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 codeName="{1AED2BDD-1FA3-CEF2-32D4-FBADEFEB71E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Direct Testimony &amp; Exhibits-FILING 200___\I. UE_AVA Dir Evidence-(Oct20)\3. UE_AVA WP's (Oct20)\5. UE__Andrews(AVA-Oct20)\Native Workpapers\3.01 PF Revenue Normalization\"/>
    </mc:Choice>
  </mc:AlternateContent>
  <xr:revisionPtr revIDLastSave="0" documentId="13_ncr:1_{456841CD-DA43-41A6-B01E-339EA7186206}" xr6:coauthVersionLast="44" xr6:coauthVersionMax="44" xr10:uidLastSave="{00000000-0000-0000-0000-000000000000}"/>
  <bookViews>
    <workbookView xWindow="-120" yWindow="-120" windowWidth="29040" windowHeight="15990" tabRatio="796" xr2:uid="{00000000-000D-0000-FFFF-FFFF00000000}"/>
  </bookViews>
  <sheets>
    <sheet name="Pres &amp; Prop Rev" sheetId="1" r:id="rId1"/>
    <sheet name="Rate Design" sheetId="11" r:id="rId2"/>
    <sheet name="Exh1" sheetId="16" r:id="rId3"/>
    <sheet name="Exh2" sheetId="15" r:id="rId4"/>
    <sheet name="Exh3" sheetId="13" r:id="rId5"/>
    <sheet name="Exh4" sheetId="28" r:id="rId6"/>
    <sheet name="Exh5" sheetId="30" r:id="rId7"/>
    <sheet name="ROR" sheetId="18" r:id="rId8"/>
    <sheet name="BFG" sheetId="17" state="hidden" r:id="rId9"/>
    <sheet name="Rate Spread" sheetId="29" r:id="rId10"/>
    <sheet name="Bill Impact" sheetId="22" r:id="rId11"/>
    <sheet name="Bill Determ" sheetId="6" r:id="rId12"/>
    <sheet name="Block Usage" sheetId="25" r:id="rId13"/>
    <sheet name="Big Schedules" sheetId="4" r:id="rId14"/>
    <sheet name="12MEDEC19" sheetId="27" r:id="rId15"/>
  </sheets>
  <definedNames>
    <definedName name="Base1_Billing2">'Pres &amp; Prop Rev'!$O$8</definedName>
    <definedName name="_xlnm.Print_Area" localSheetId="14">'12MEDEC19'!$A$175:$P$210</definedName>
    <definedName name="_xlnm.Print_Area" localSheetId="8">BFG!$A$1:$F$19</definedName>
    <definedName name="_xlnm.Print_Area" localSheetId="13">'Big Schedules'!$B$1:$U$105</definedName>
    <definedName name="_xlnm.Print_Area" localSheetId="11">'Bill Determ'!$A$1:$H$59</definedName>
    <definedName name="_xlnm.Print_Area" localSheetId="10">'Bill Impact'!$A$1:$M$49</definedName>
    <definedName name="_xlnm.Print_Area" localSheetId="12">'Block Usage'!$A$1:$O$50</definedName>
    <definedName name="_xlnm.Print_Area" localSheetId="2">'Exh1'!$A$1:$K$26</definedName>
    <definedName name="_xlnm.Print_Area" localSheetId="3">'Exh2'!$A$1:$J$21</definedName>
    <definedName name="_xlnm.Print_Area" localSheetId="4">'Exh3'!$A$1:$I$64</definedName>
    <definedName name="_xlnm.Print_Area" localSheetId="5">'Exh4'!$A$1:$G$52</definedName>
    <definedName name="_xlnm.Print_Area" localSheetId="6">'Exh5'!$A$1:$H$25</definedName>
    <definedName name="_xlnm.Print_Area" localSheetId="0">'Pres &amp; Prop Rev'!$A$1:$J$248</definedName>
    <definedName name="_xlnm.Print_Area" localSheetId="1">'Rate Design'!$A$47:$H$105</definedName>
    <definedName name="_xlnm.Print_Area" localSheetId="9">'Rate Spread'!$A$2:$J$20</definedName>
    <definedName name="_xlnm.Print_Area" localSheetId="7">ROR!$A$1:$I$61</definedName>
    <definedName name="PrintHeader" localSheetId="0">'Pres &amp; Prop Rev'!$Q$6</definedName>
    <definedName name="Rates_Base_Present">'Rate Design'!$D$4:$H$11</definedName>
    <definedName name="Rates_Base_Proposed">'Rate Design'!$D$26:$H$33</definedName>
    <definedName name="Rates_Billing_Present">'Rate Design'!$D$14:$H$21</definedName>
    <definedName name="Rates_Billing_Proposed">'Rate Design'!$D$36:$H$43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6" l="1"/>
  <c r="H41" i="6"/>
  <c r="N51" i="4"/>
  <c r="N6" i="4"/>
  <c r="M6" i="4"/>
  <c r="M51" i="4" s="1"/>
  <c r="Q51" i="4" s="1"/>
  <c r="B22" i="6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O6" i="4" l="1"/>
  <c r="W6" i="4" s="1"/>
  <c r="Q6" i="4"/>
  <c r="R6" i="4" s="1"/>
  <c r="H14" i="16"/>
  <c r="H15" i="16"/>
  <c r="L33" i="16"/>
  <c r="G39" i="11"/>
  <c r="G40" i="11"/>
  <c r="G41" i="11"/>
  <c r="G38" i="11"/>
  <c r="G17" i="11"/>
  <c r="G18" i="11"/>
  <c r="G19" i="11"/>
  <c r="G16" i="11"/>
  <c r="X6" i="4" l="1"/>
  <c r="S6" i="4"/>
  <c r="T6" i="4" s="1"/>
  <c r="U6" i="4" s="1"/>
  <c r="Y6" i="4" s="1"/>
  <c r="C60" i="4"/>
  <c r="Q52" i="4"/>
  <c r="B21" i="6" s="1"/>
  <c r="Q53" i="4"/>
  <c r="Q54" i="4"/>
  <c r="U49" i="4"/>
  <c r="T49" i="4"/>
  <c r="S49" i="4"/>
  <c r="R49" i="4"/>
  <c r="I56" i="13"/>
  <c r="G90" i="4"/>
  <c r="Z6" i="4" l="1"/>
  <c r="AA6" i="4" s="1"/>
  <c r="R52" i="4"/>
  <c r="R51" i="4"/>
  <c r="C22" i="6" s="1"/>
  <c r="R54" i="4"/>
  <c r="R53" i="4"/>
  <c r="S53" i="4" s="1"/>
  <c r="I77" i="4"/>
  <c r="S52" i="4" l="1"/>
  <c r="D21" i="6" s="1"/>
  <c r="C21" i="6"/>
  <c r="T53" i="4"/>
  <c r="S54" i="4"/>
  <c r="T54" i="4" s="1"/>
  <c r="S51" i="4"/>
  <c r="D22" i="6" s="1"/>
  <c r="F261" i="1"/>
  <c r="T52" i="4" l="1"/>
  <c r="E21" i="6" s="1"/>
  <c r="T51" i="4"/>
  <c r="B44" i="6"/>
  <c r="U51" i="4" l="1"/>
  <c r="F22" i="6" s="1"/>
  <c r="G22" i="6" s="1"/>
  <c r="E22" i="6"/>
  <c r="E126" i="1"/>
  <c r="E137" i="1" l="1"/>
  <c r="G29" i="6" l="1"/>
  <c r="P190" i="27"/>
  <c r="C28" i="27"/>
  <c r="D28" i="27"/>
  <c r="E28" i="27"/>
  <c r="F28" i="27"/>
  <c r="G28" i="27"/>
  <c r="H28" i="27"/>
  <c r="I28" i="27"/>
  <c r="J28" i="27"/>
  <c r="K28" i="27"/>
  <c r="L28" i="27"/>
  <c r="M28" i="27"/>
  <c r="N28" i="27"/>
  <c r="C27" i="27"/>
  <c r="H39" i="11"/>
  <c r="H40" i="11"/>
  <c r="H41" i="11"/>
  <c r="H42" i="11"/>
  <c r="H38" i="11"/>
  <c r="H16" i="11"/>
  <c r="E70" i="11"/>
  <c r="E80" i="11" s="1"/>
  <c r="E71" i="11"/>
  <c r="E19" i="11"/>
  <c r="E39" i="11"/>
  <c r="E40" i="11"/>
  <c r="E38" i="11"/>
  <c r="E16" i="11"/>
  <c r="D16" i="11"/>
  <c r="H17" i="11"/>
  <c r="H18" i="11"/>
  <c r="H19" i="11"/>
  <c r="H20" i="11"/>
  <c r="E17" i="11"/>
  <c r="E18" i="11"/>
  <c r="E20" i="11"/>
  <c r="D17" i="11"/>
  <c r="F18" i="11" l="1"/>
  <c r="F19" i="11"/>
  <c r="F20" i="11"/>
  <c r="F16" i="11"/>
  <c r="F17" i="11"/>
  <c r="E51" i="30" l="1"/>
  <c r="E50" i="30"/>
  <c r="A23" i="13" l="1"/>
  <c r="A22" i="13" l="1"/>
  <c r="A21" i="13"/>
  <c r="E10" i="18" l="1"/>
  <c r="E16" i="16" l="1"/>
  <c r="E185" i="1"/>
  <c r="E81" i="11" l="1"/>
  <c r="E86" i="11" s="1"/>
  <c r="F39" i="11"/>
  <c r="F40" i="11"/>
  <c r="F41" i="11"/>
  <c r="F42" i="11"/>
  <c r="F27" i="11"/>
  <c r="E85" i="11" l="1"/>
  <c r="E31" i="11" s="1"/>
  <c r="E41" i="11" s="1"/>
  <c r="I14" i="29" l="1"/>
  <c r="I15" i="29"/>
  <c r="I16" i="29"/>
  <c r="I17" i="29"/>
  <c r="I18" i="29"/>
  <c r="O17" i="16" l="1"/>
  <c r="P17" i="16" s="1"/>
  <c r="I13" i="29"/>
  <c r="L36" i="16"/>
  <c r="L34" i="16"/>
  <c r="P191" i="27" l="1"/>
  <c r="E208" i="27"/>
  <c r="F208" i="27"/>
  <c r="G208" i="27"/>
  <c r="H208" i="27"/>
  <c r="I208" i="27"/>
  <c r="J208" i="27"/>
  <c r="K208" i="27"/>
  <c r="L208" i="27"/>
  <c r="M208" i="27"/>
  <c r="N208" i="27"/>
  <c r="O208" i="27"/>
  <c r="D208" i="27"/>
  <c r="E204" i="27"/>
  <c r="F204" i="27"/>
  <c r="G204" i="27"/>
  <c r="H204" i="27"/>
  <c r="I204" i="27"/>
  <c r="J204" i="27"/>
  <c r="K204" i="27"/>
  <c r="L204" i="27"/>
  <c r="M204" i="27"/>
  <c r="N204" i="27"/>
  <c r="O204" i="27"/>
  <c r="E205" i="27"/>
  <c r="F205" i="27"/>
  <c r="G205" i="27"/>
  <c r="H205" i="27"/>
  <c r="I205" i="27"/>
  <c r="J205" i="27"/>
  <c r="K205" i="27"/>
  <c r="L205" i="27"/>
  <c r="M205" i="27"/>
  <c r="N205" i="27"/>
  <c r="O205" i="27"/>
  <c r="E206" i="27"/>
  <c r="F206" i="27"/>
  <c r="G206" i="27"/>
  <c r="H206" i="27"/>
  <c r="I206" i="27"/>
  <c r="J206" i="27"/>
  <c r="K206" i="27"/>
  <c r="L206" i="27"/>
  <c r="M206" i="27"/>
  <c r="N206" i="27"/>
  <c r="O206" i="27"/>
  <c r="E207" i="27"/>
  <c r="F207" i="27"/>
  <c r="G207" i="27"/>
  <c r="H207" i="27"/>
  <c r="I207" i="27"/>
  <c r="J207" i="27"/>
  <c r="K207" i="27"/>
  <c r="L207" i="27"/>
  <c r="M207" i="27"/>
  <c r="N207" i="27"/>
  <c r="O207" i="27"/>
  <c r="E209" i="27"/>
  <c r="F209" i="27"/>
  <c r="G209" i="27"/>
  <c r="H209" i="27"/>
  <c r="I209" i="27"/>
  <c r="J209" i="27"/>
  <c r="K209" i="27"/>
  <c r="L209" i="27"/>
  <c r="M209" i="27"/>
  <c r="N209" i="27"/>
  <c r="O209" i="27"/>
  <c r="D206" i="27"/>
  <c r="D205" i="27"/>
  <c r="E199" i="27"/>
  <c r="F199" i="27"/>
  <c r="G199" i="27"/>
  <c r="H199" i="27"/>
  <c r="I199" i="27"/>
  <c r="J199" i="27"/>
  <c r="K199" i="27"/>
  <c r="L199" i="27"/>
  <c r="M199" i="27"/>
  <c r="N199" i="27"/>
  <c r="O199" i="27"/>
  <c r="D199" i="27"/>
  <c r="E190" i="27"/>
  <c r="F190" i="27"/>
  <c r="G190" i="27"/>
  <c r="H190" i="27"/>
  <c r="I190" i="27"/>
  <c r="I200" i="27" s="1"/>
  <c r="J190" i="27"/>
  <c r="K190" i="27"/>
  <c r="L190" i="27"/>
  <c r="M190" i="27"/>
  <c r="N190" i="27"/>
  <c r="O190" i="27"/>
  <c r="D190" i="27"/>
  <c r="D200" i="27" s="1"/>
  <c r="P183" i="27"/>
  <c r="P184" i="27"/>
  <c r="P185" i="27"/>
  <c r="P186" i="27"/>
  <c r="P187" i="27"/>
  <c r="P188" i="27"/>
  <c r="P189" i="27"/>
  <c r="P209" i="27" s="1"/>
  <c r="P192" i="27"/>
  <c r="P193" i="27"/>
  <c r="P194" i="27"/>
  <c r="P195" i="27"/>
  <c r="P196" i="27"/>
  <c r="P197" i="27"/>
  <c r="P198" i="27"/>
  <c r="P182" i="27"/>
  <c r="P149" i="27"/>
  <c r="P150" i="27"/>
  <c r="P148" i="27"/>
  <c r="E151" i="27"/>
  <c r="F151" i="27"/>
  <c r="G151" i="27"/>
  <c r="H151" i="27"/>
  <c r="I151" i="27"/>
  <c r="J151" i="27"/>
  <c r="K151" i="27"/>
  <c r="L151" i="27"/>
  <c r="M151" i="27"/>
  <c r="N151" i="27"/>
  <c r="O151" i="27"/>
  <c r="D151" i="27"/>
  <c r="P146" i="27"/>
  <c r="P147" i="27" s="1"/>
  <c r="E147" i="27"/>
  <c r="F147" i="27"/>
  <c r="G147" i="27"/>
  <c r="G159" i="27" s="1"/>
  <c r="H147" i="27"/>
  <c r="I147" i="27"/>
  <c r="J147" i="27"/>
  <c r="K147" i="27"/>
  <c r="L147" i="27"/>
  <c r="M147" i="27"/>
  <c r="N147" i="27"/>
  <c r="O147" i="27"/>
  <c r="D147" i="27"/>
  <c r="P135" i="27"/>
  <c r="P136" i="27"/>
  <c r="P137" i="27"/>
  <c r="P138" i="27"/>
  <c r="P139" i="27"/>
  <c r="P140" i="27"/>
  <c r="P141" i="27"/>
  <c r="P142" i="27"/>
  <c r="P143" i="27"/>
  <c r="P134" i="27"/>
  <c r="E144" i="27"/>
  <c r="F144" i="27"/>
  <c r="G144" i="27"/>
  <c r="H144" i="27"/>
  <c r="I144" i="27"/>
  <c r="J144" i="27"/>
  <c r="K144" i="27"/>
  <c r="L144" i="27"/>
  <c r="M144" i="27"/>
  <c r="N144" i="27"/>
  <c r="O144" i="27"/>
  <c r="D144" i="27"/>
  <c r="E133" i="27"/>
  <c r="F133" i="27"/>
  <c r="G133" i="27"/>
  <c r="H133" i="27"/>
  <c r="I133" i="27"/>
  <c r="J133" i="27"/>
  <c r="K133" i="27"/>
  <c r="L133" i="27"/>
  <c r="M133" i="27"/>
  <c r="N133" i="27"/>
  <c r="O133" i="27"/>
  <c r="D133" i="27"/>
  <c r="P123" i="27"/>
  <c r="P124" i="27"/>
  <c r="P125" i="27"/>
  <c r="P126" i="27"/>
  <c r="P127" i="27"/>
  <c r="P128" i="27"/>
  <c r="P129" i="27"/>
  <c r="P130" i="27"/>
  <c r="P131" i="27"/>
  <c r="P132" i="27"/>
  <c r="P122" i="27"/>
  <c r="P109" i="27"/>
  <c r="P110" i="27"/>
  <c r="P111" i="27"/>
  <c r="P112" i="27"/>
  <c r="P113" i="27"/>
  <c r="P114" i="27"/>
  <c r="P115" i="27"/>
  <c r="P116" i="27"/>
  <c r="P117" i="27"/>
  <c r="P118" i="27"/>
  <c r="P119" i="27"/>
  <c r="P120" i="27"/>
  <c r="P108" i="27"/>
  <c r="E121" i="27"/>
  <c r="F121" i="27"/>
  <c r="G121" i="27"/>
  <c r="H121" i="27"/>
  <c r="I121" i="27"/>
  <c r="J121" i="27"/>
  <c r="K121" i="27"/>
  <c r="L121" i="27"/>
  <c r="M121" i="27"/>
  <c r="N121" i="27"/>
  <c r="O121" i="27"/>
  <c r="D121" i="27"/>
  <c r="O11" i="27"/>
  <c r="O12" i="27"/>
  <c r="O13" i="27"/>
  <c r="O14" i="27"/>
  <c r="O15" i="27"/>
  <c r="O16" i="27"/>
  <c r="O17" i="27"/>
  <c r="O18" i="27"/>
  <c r="O19" i="27"/>
  <c r="E107" i="27"/>
  <c r="F107" i="27"/>
  <c r="G107" i="27"/>
  <c r="H107" i="27"/>
  <c r="I107" i="27"/>
  <c r="J107" i="27"/>
  <c r="K107" i="27"/>
  <c r="L107" i="27"/>
  <c r="M107" i="27"/>
  <c r="N107" i="27"/>
  <c r="O107" i="27"/>
  <c r="D107" i="27"/>
  <c r="P95" i="27"/>
  <c r="P96" i="27"/>
  <c r="P97" i="27"/>
  <c r="P98" i="27"/>
  <c r="P99" i="27"/>
  <c r="P100" i="27"/>
  <c r="P101" i="27"/>
  <c r="P102" i="27"/>
  <c r="P103" i="27"/>
  <c r="P104" i="27"/>
  <c r="P105" i="27"/>
  <c r="P106" i="27"/>
  <c r="P94" i="27"/>
  <c r="O93" i="27"/>
  <c r="N93" i="27"/>
  <c r="M93" i="27"/>
  <c r="M163" i="27" s="1"/>
  <c r="L93" i="27"/>
  <c r="K93" i="27"/>
  <c r="J93" i="27"/>
  <c r="J163" i="27" s="1"/>
  <c r="I93" i="27"/>
  <c r="H93" i="27"/>
  <c r="G93" i="27"/>
  <c r="F93" i="27"/>
  <c r="F163" i="27" s="1"/>
  <c r="E93" i="27"/>
  <c r="E163" i="27" s="1"/>
  <c r="D93" i="27"/>
  <c r="P92" i="27"/>
  <c r="P91" i="27"/>
  <c r="P90" i="27"/>
  <c r="P89" i="27"/>
  <c r="P88" i="27"/>
  <c r="P87" i="27"/>
  <c r="P86" i="27"/>
  <c r="P85" i="27"/>
  <c r="P84" i="27"/>
  <c r="P83" i="27"/>
  <c r="P82" i="27"/>
  <c r="E81" i="27"/>
  <c r="F81" i="27"/>
  <c r="G81" i="27"/>
  <c r="H81" i="27"/>
  <c r="I81" i="27"/>
  <c r="J81" i="27"/>
  <c r="K81" i="27"/>
  <c r="L81" i="27"/>
  <c r="M81" i="27"/>
  <c r="N81" i="27"/>
  <c r="O81" i="27"/>
  <c r="D81" i="27"/>
  <c r="P71" i="27"/>
  <c r="P72" i="27"/>
  <c r="P73" i="27"/>
  <c r="P74" i="27"/>
  <c r="P75" i="27"/>
  <c r="P76" i="27"/>
  <c r="P77" i="27"/>
  <c r="P78" i="27"/>
  <c r="P79" i="27"/>
  <c r="P80" i="27"/>
  <c r="P70" i="27"/>
  <c r="P57" i="27"/>
  <c r="P58" i="27"/>
  <c r="P59" i="27"/>
  <c r="P60" i="27"/>
  <c r="P61" i="27"/>
  <c r="P62" i="27"/>
  <c r="P63" i="27"/>
  <c r="P64" i="27"/>
  <c r="P65" i="27"/>
  <c r="P66" i="27"/>
  <c r="P67" i="27"/>
  <c r="P68" i="27"/>
  <c r="E69" i="27"/>
  <c r="F69" i="27"/>
  <c r="G69" i="27"/>
  <c r="H69" i="27"/>
  <c r="I69" i="27"/>
  <c r="J69" i="27"/>
  <c r="K69" i="27"/>
  <c r="L69" i="27"/>
  <c r="M69" i="27"/>
  <c r="N69" i="27"/>
  <c r="O69" i="27"/>
  <c r="D69" i="27"/>
  <c r="E56" i="27"/>
  <c r="F56" i="27"/>
  <c r="G56" i="27"/>
  <c r="H56" i="27"/>
  <c r="I56" i="27"/>
  <c r="J56" i="27"/>
  <c r="K56" i="27"/>
  <c r="L56" i="27"/>
  <c r="M56" i="27"/>
  <c r="N56" i="27"/>
  <c r="O56" i="27"/>
  <c r="D56" i="27"/>
  <c r="P47" i="27"/>
  <c r="P48" i="27"/>
  <c r="P49" i="27"/>
  <c r="P50" i="27"/>
  <c r="P51" i="27"/>
  <c r="P52" i="27"/>
  <c r="P53" i="27"/>
  <c r="P44" i="27"/>
  <c r="P45" i="27"/>
  <c r="P46" i="27"/>
  <c r="P55" i="27"/>
  <c r="P54" i="27"/>
  <c r="D27" i="27"/>
  <c r="E27" i="27"/>
  <c r="F27" i="27"/>
  <c r="G27" i="27"/>
  <c r="H27" i="27"/>
  <c r="I27" i="27"/>
  <c r="J27" i="27"/>
  <c r="K27" i="27"/>
  <c r="L27" i="27"/>
  <c r="M27" i="27"/>
  <c r="N27" i="27"/>
  <c r="D23" i="27"/>
  <c r="E23" i="27"/>
  <c r="F23" i="27"/>
  <c r="G23" i="27"/>
  <c r="H23" i="27"/>
  <c r="I23" i="27"/>
  <c r="J23" i="27"/>
  <c r="K23" i="27"/>
  <c r="L23" i="27"/>
  <c r="M23" i="27"/>
  <c r="N23" i="27"/>
  <c r="C23" i="27"/>
  <c r="P11" i="27"/>
  <c r="P12" i="27"/>
  <c r="P13" i="27"/>
  <c r="P14" i="27"/>
  <c r="P15" i="27"/>
  <c r="P16" i="27"/>
  <c r="P17" i="27"/>
  <c r="P18" i="27"/>
  <c r="P19" i="27"/>
  <c r="P20" i="27"/>
  <c r="P21" i="27"/>
  <c r="P22" i="27"/>
  <c r="P10" i="27"/>
  <c r="O10" i="27"/>
  <c r="P199" i="27" l="1"/>
  <c r="P200" i="27" s="1"/>
  <c r="P208" i="27"/>
  <c r="P207" i="27"/>
  <c r="K200" i="27"/>
  <c r="M200" i="27"/>
  <c r="E200" i="27"/>
  <c r="L200" i="27"/>
  <c r="N163" i="27"/>
  <c r="I163" i="27"/>
  <c r="H159" i="27"/>
  <c r="O27" i="27"/>
  <c r="P206" i="27"/>
  <c r="K163" i="27"/>
  <c r="N159" i="27"/>
  <c r="F159" i="27"/>
  <c r="P204" i="27"/>
  <c r="P210" i="27" s="1"/>
  <c r="D163" i="27"/>
  <c r="L163" i="27"/>
  <c r="M159" i="27"/>
  <c r="E159" i="27"/>
  <c r="P205" i="27"/>
  <c r="P214" i="27" s="1"/>
  <c r="P133" i="27"/>
  <c r="K159" i="27"/>
  <c r="O200" i="27"/>
  <c r="G200" i="27"/>
  <c r="P69" i="27"/>
  <c r="H200" i="27"/>
  <c r="G163" i="27"/>
  <c r="J159" i="27"/>
  <c r="N200" i="27"/>
  <c r="F200" i="27"/>
  <c r="L159" i="27"/>
  <c r="D159" i="27"/>
  <c r="H163" i="27"/>
  <c r="I159" i="27"/>
  <c r="O159" i="27"/>
  <c r="O163" i="27"/>
  <c r="J200" i="27"/>
  <c r="P151" i="27"/>
  <c r="P121" i="27"/>
  <c r="P144" i="27"/>
  <c r="P107" i="27"/>
  <c r="P81" i="27"/>
  <c r="P93" i="27"/>
  <c r="P56" i="27"/>
  <c r="P23" i="27"/>
  <c r="H39" i="16" l="1"/>
  <c r="H33" i="16"/>
  <c r="H40" i="16"/>
  <c r="L35" i="16"/>
  <c r="P159" i="27"/>
  <c r="P163" i="27"/>
  <c r="E100" i="22" l="1"/>
  <c r="Y42" i="13" l="1"/>
  <c r="Y30" i="13"/>
  <c r="Y19" i="13"/>
  <c r="X20" i="13"/>
  <c r="X21" i="13"/>
  <c r="X26" i="13"/>
  <c r="X31" i="13"/>
  <c r="X32" i="13"/>
  <c r="X33" i="13"/>
  <c r="X34" i="13"/>
  <c r="X37" i="13"/>
  <c r="X43" i="13"/>
  <c r="X45" i="13" s="1"/>
  <c r="X44" i="13"/>
  <c r="I19" i="29" l="1"/>
  <c r="O77" i="4" l="1"/>
  <c r="O76" i="4"/>
  <c r="I10" i="11" l="1"/>
  <c r="I7" i="11"/>
  <c r="H44" i="16" l="1"/>
  <c r="L44" i="16" s="1"/>
  <c r="D44" i="25" l="1"/>
  <c r="E44" i="25"/>
  <c r="F44" i="25"/>
  <c r="G44" i="25"/>
  <c r="H44" i="25"/>
  <c r="I44" i="25"/>
  <c r="J44" i="25"/>
  <c r="K44" i="25"/>
  <c r="L44" i="25"/>
  <c r="M44" i="25"/>
  <c r="N44" i="25"/>
  <c r="D45" i="25"/>
  <c r="E45" i="25"/>
  <c r="F45" i="25"/>
  <c r="G45" i="25"/>
  <c r="H45" i="25"/>
  <c r="I45" i="25"/>
  <c r="J45" i="25"/>
  <c r="K45" i="25"/>
  <c r="L45" i="25"/>
  <c r="M45" i="25"/>
  <c r="N45" i="25"/>
  <c r="D46" i="25"/>
  <c r="E46" i="25"/>
  <c r="F46" i="25"/>
  <c r="G46" i="25"/>
  <c r="H46" i="25"/>
  <c r="I46" i="25"/>
  <c r="J46" i="25"/>
  <c r="K46" i="25"/>
  <c r="L46" i="25"/>
  <c r="M46" i="25"/>
  <c r="N46" i="25"/>
  <c r="D47" i="25"/>
  <c r="E47" i="25"/>
  <c r="F47" i="25"/>
  <c r="G47" i="25"/>
  <c r="H47" i="25"/>
  <c r="I47" i="25"/>
  <c r="J47" i="25"/>
  <c r="K47" i="25"/>
  <c r="L47" i="25"/>
  <c r="M47" i="25"/>
  <c r="N47" i="25"/>
  <c r="D48" i="25"/>
  <c r="E48" i="25"/>
  <c r="F48" i="25"/>
  <c r="G48" i="25"/>
  <c r="H48" i="25"/>
  <c r="I48" i="25"/>
  <c r="J48" i="25"/>
  <c r="K48" i="25"/>
  <c r="L48" i="25"/>
  <c r="M48" i="25"/>
  <c r="N48" i="25"/>
  <c r="C45" i="25"/>
  <c r="C46" i="25"/>
  <c r="C47" i="25"/>
  <c r="C48" i="25"/>
  <c r="C44" i="25"/>
  <c r="D23" i="25"/>
  <c r="E23" i="25"/>
  <c r="F23" i="25"/>
  <c r="G23" i="25"/>
  <c r="H23" i="25"/>
  <c r="I23" i="25"/>
  <c r="J23" i="25"/>
  <c r="K23" i="25"/>
  <c r="L23" i="25"/>
  <c r="M23" i="25"/>
  <c r="N23" i="25"/>
  <c r="D24" i="25"/>
  <c r="E24" i="25"/>
  <c r="F24" i="25"/>
  <c r="G24" i="25"/>
  <c r="H24" i="25"/>
  <c r="I24" i="25"/>
  <c r="J24" i="25"/>
  <c r="K24" i="25"/>
  <c r="L24" i="25"/>
  <c r="M24" i="25"/>
  <c r="N24" i="25"/>
  <c r="D25" i="25"/>
  <c r="E25" i="25"/>
  <c r="F25" i="25"/>
  <c r="G25" i="25"/>
  <c r="H25" i="25"/>
  <c r="I25" i="25"/>
  <c r="J25" i="25"/>
  <c r="K25" i="25"/>
  <c r="L25" i="25"/>
  <c r="M25" i="25"/>
  <c r="N25" i="25"/>
  <c r="C24" i="25"/>
  <c r="C25" i="25"/>
  <c r="C23" i="25"/>
  <c r="D5" i="25"/>
  <c r="E5" i="25"/>
  <c r="F5" i="25"/>
  <c r="G5" i="25"/>
  <c r="H5" i="25"/>
  <c r="I5" i="25"/>
  <c r="J5" i="25"/>
  <c r="K5" i="25"/>
  <c r="L5" i="25"/>
  <c r="M5" i="25"/>
  <c r="N5" i="25"/>
  <c r="D6" i="25"/>
  <c r="E6" i="25"/>
  <c r="F6" i="25"/>
  <c r="G6" i="25"/>
  <c r="H6" i="25"/>
  <c r="I6" i="25"/>
  <c r="J6" i="25"/>
  <c r="K6" i="25"/>
  <c r="L6" i="25"/>
  <c r="M6" i="25"/>
  <c r="N6" i="25"/>
  <c r="C6" i="25"/>
  <c r="C5" i="25"/>
  <c r="F210" i="27"/>
  <c r="F212" i="27" s="1"/>
  <c r="E210" i="27"/>
  <c r="E212" i="27" s="1"/>
  <c r="H210" i="27"/>
  <c r="H212" i="27" s="1"/>
  <c r="D207" i="27"/>
  <c r="D209" i="27"/>
  <c r="D204" i="27"/>
  <c r="E162" i="27"/>
  <c r="D10" i="25" s="1"/>
  <c r="F162" i="27"/>
  <c r="E10" i="25" s="1"/>
  <c r="G162" i="27"/>
  <c r="F10" i="25" s="1"/>
  <c r="H162" i="27"/>
  <c r="G10" i="25" s="1"/>
  <c r="I162" i="27"/>
  <c r="H10" i="25" s="1"/>
  <c r="J162" i="27"/>
  <c r="I10" i="25" s="1"/>
  <c r="K162" i="27"/>
  <c r="J10" i="25" s="1"/>
  <c r="L162" i="27"/>
  <c r="K10" i="25" s="1"/>
  <c r="M162" i="27"/>
  <c r="L10" i="25" s="1"/>
  <c r="N162" i="27"/>
  <c r="M10" i="25" s="1"/>
  <c r="O162" i="27"/>
  <c r="N10" i="25" s="1"/>
  <c r="P162" i="27"/>
  <c r="G8" i="6" s="1"/>
  <c r="D27" i="25"/>
  <c r="E27" i="25"/>
  <c r="F27" i="25"/>
  <c r="G27" i="25"/>
  <c r="H27" i="25"/>
  <c r="I27" i="25"/>
  <c r="J27" i="25"/>
  <c r="K27" i="25"/>
  <c r="L27" i="25"/>
  <c r="M27" i="25"/>
  <c r="N27" i="25"/>
  <c r="E13" i="6"/>
  <c r="E164" i="27"/>
  <c r="F164" i="27"/>
  <c r="G164" i="27"/>
  <c r="H164" i="27"/>
  <c r="I164" i="27"/>
  <c r="J164" i="27"/>
  <c r="K164" i="27"/>
  <c r="L164" i="27"/>
  <c r="M164" i="27"/>
  <c r="N164" i="27"/>
  <c r="O164" i="27"/>
  <c r="P164" i="27"/>
  <c r="G31" i="6" s="1"/>
  <c r="E165" i="27"/>
  <c r="D81" i="4" s="1"/>
  <c r="F165" i="27"/>
  <c r="E81" i="4" s="1"/>
  <c r="G165" i="27"/>
  <c r="F81" i="4" s="1"/>
  <c r="H165" i="27"/>
  <c r="G81" i="4" s="1"/>
  <c r="I165" i="27"/>
  <c r="H81" i="4" s="1"/>
  <c r="J165" i="27"/>
  <c r="I81" i="4" s="1"/>
  <c r="K165" i="27"/>
  <c r="J81" i="4" s="1"/>
  <c r="L165" i="27"/>
  <c r="K81" i="4" s="1"/>
  <c r="M165" i="27"/>
  <c r="L81" i="4" s="1"/>
  <c r="N165" i="27"/>
  <c r="M81" i="4" s="1"/>
  <c r="O165" i="27"/>
  <c r="N81" i="4" s="1"/>
  <c r="P165" i="27"/>
  <c r="E166" i="27"/>
  <c r="D49" i="4" s="1"/>
  <c r="D58" i="4" s="1"/>
  <c r="F166" i="27"/>
  <c r="E49" i="4" s="1"/>
  <c r="E58" i="4" s="1"/>
  <c r="G166" i="27"/>
  <c r="F49" i="4" s="1"/>
  <c r="F58" i="4" s="1"/>
  <c r="H166" i="27"/>
  <c r="G49" i="4" s="1"/>
  <c r="G58" i="4" s="1"/>
  <c r="I166" i="27"/>
  <c r="H49" i="4" s="1"/>
  <c r="H58" i="4" s="1"/>
  <c r="J166" i="27"/>
  <c r="I49" i="4" s="1"/>
  <c r="I58" i="4" s="1"/>
  <c r="K166" i="27"/>
  <c r="J49" i="4" s="1"/>
  <c r="J58" i="4" s="1"/>
  <c r="L166" i="27"/>
  <c r="K49" i="4" s="1"/>
  <c r="K58" i="4" s="1"/>
  <c r="M166" i="27"/>
  <c r="L49" i="4" s="1"/>
  <c r="L58" i="4" s="1"/>
  <c r="N166" i="27"/>
  <c r="M49" i="4" s="1"/>
  <c r="M58" i="4" s="1"/>
  <c r="O166" i="27"/>
  <c r="N49" i="4" s="1"/>
  <c r="N58" i="4" s="1"/>
  <c r="P166" i="27"/>
  <c r="E167" i="27"/>
  <c r="D105" i="4" s="1"/>
  <c r="F167" i="27"/>
  <c r="E105" i="4" s="1"/>
  <c r="G167" i="27"/>
  <c r="F105" i="4" s="1"/>
  <c r="H167" i="27"/>
  <c r="G105" i="4" s="1"/>
  <c r="I167" i="27"/>
  <c r="H105" i="4" s="1"/>
  <c r="J167" i="27"/>
  <c r="I105" i="4" s="1"/>
  <c r="K167" i="27"/>
  <c r="J105" i="4" s="1"/>
  <c r="L167" i="27"/>
  <c r="K105" i="4" s="1"/>
  <c r="M167" i="27"/>
  <c r="L105" i="4" s="1"/>
  <c r="N167" i="27"/>
  <c r="M105" i="4" s="1"/>
  <c r="O167" i="27"/>
  <c r="N105" i="4" s="1"/>
  <c r="P167" i="27"/>
  <c r="E168" i="27"/>
  <c r="D95" i="4" s="1"/>
  <c r="F168" i="27"/>
  <c r="E95" i="4" s="1"/>
  <c r="G168" i="27"/>
  <c r="F95" i="4" s="1"/>
  <c r="H168" i="27"/>
  <c r="G95" i="4" s="1"/>
  <c r="I168" i="27"/>
  <c r="H95" i="4" s="1"/>
  <c r="J168" i="27"/>
  <c r="I95" i="4" s="1"/>
  <c r="K168" i="27"/>
  <c r="J95" i="4" s="1"/>
  <c r="L168" i="27"/>
  <c r="K95" i="4" s="1"/>
  <c r="M168" i="27"/>
  <c r="L95" i="4" s="1"/>
  <c r="N168" i="27"/>
  <c r="M95" i="4" s="1"/>
  <c r="O168" i="27"/>
  <c r="N95" i="4" s="1"/>
  <c r="P168" i="27"/>
  <c r="E169" i="27"/>
  <c r="E171" i="27" s="1"/>
  <c r="F169" i="27"/>
  <c r="F171" i="27" s="1"/>
  <c r="G169" i="27"/>
  <c r="G171" i="27" s="1"/>
  <c r="H169" i="27"/>
  <c r="H171" i="27" s="1"/>
  <c r="D168" i="27"/>
  <c r="C95" i="4" s="1"/>
  <c r="D167" i="27"/>
  <c r="C105" i="4" s="1"/>
  <c r="D166" i="27"/>
  <c r="C49" i="4" s="1"/>
  <c r="C58" i="4" s="1"/>
  <c r="D165" i="27"/>
  <c r="C81" i="4" s="1"/>
  <c r="D164" i="27"/>
  <c r="C27" i="25"/>
  <c r="D162" i="27"/>
  <c r="C10" i="25" s="1"/>
  <c r="D26" i="27"/>
  <c r="D8" i="25" s="1"/>
  <c r="E26" i="27"/>
  <c r="E8" i="25" s="1"/>
  <c r="F26" i="27"/>
  <c r="F8" i="25" s="1"/>
  <c r="G26" i="27"/>
  <c r="G8" i="25" s="1"/>
  <c r="H26" i="27"/>
  <c r="H8" i="25" s="1"/>
  <c r="I26" i="27"/>
  <c r="I8" i="25" s="1"/>
  <c r="J26" i="27"/>
  <c r="J8" i="25" s="1"/>
  <c r="K26" i="27"/>
  <c r="K8" i="25" s="1"/>
  <c r="L26" i="27"/>
  <c r="L8" i="25" s="1"/>
  <c r="M26" i="27"/>
  <c r="M8" i="25" s="1"/>
  <c r="N26" i="27"/>
  <c r="N8" i="25" s="1"/>
  <c r="D29" i="27"/>
  <c r="E29" i="27"/>
  <c r="F29" i="27"/>
  <c r="G29" i="27"/>
  <c r="H29" i="27"/>
  <c r="I29" i="27"/>
  <c r="J29" i="27"/>
  <c r="K29" i="27"/>
  <c r="L29" i="27"/>
  <c r="M29" i="27"/>
  <c r="N29" i="27"/>
  <c r="D30" i="27"/>
  <c r="E30" i="27"/>
  <c r="F30" i="27"/>
  <c r="G30" i="27"/>
  <c r="H30" i="27"/>
  <c r="I30" i="27"/>
  <c r="J30" i="27"/>
  <c r="K30" i="27"/>
  <c r="L30" i="27"/>
  <c r="M30" i="27"/>
  <c r="N30" i="27"/>
  <c r="D31" i="27"/>
  <c r="E31" i="27"/>
  <c r="F31" i="27"/>
  <c r="G31" i="27"/>
  <c r="H31" i="27"/>
  <c r="I31" i="27"/>
  <c r="J31" i="27"/>
  <c r="K31" i="27"/>
  <c r="L31" i="27"/>
  <c r="M31" i="27"/>
  <c r="N31" i="27"/>
  <c r="D32" i="27"/>
  <c r="E32" i="27"/>
  <c r="F32" i="27"/>
  <c r="G32" i="27"/>
  <c r="H32" i="27"/>
  <c r="I32" i="27"/>
  <c r="J32" i="27"/>
  <c r="K32" i="27"/>
  <c r="L32" i="27"/>
  <c r="M32" i="27"/>
  <c r="N32" i="27"/>
  <c r="C32" i="27"/>
  <c r="C31" i="27"/>
  <c r="C30" i="27"/>
  <c r="C29" i="27"/>
  <c r="P27" i="27"/>
  <c r="C26" i="27"/>
  <c r="M169" i="27" l="1"/>
  <c r="M171" i="27" s="1"/>
  <c r="O169" i="27"/>
  <c r="O171" i="27" s="1"/>
  <c r="N169" i="27"/>
  <c r="N171" i="27" s="1"/>
  <c r="I169" i="27"/>
  <c r="I171" i="27" s="1"/>
  <c r="O28" i="27"/>
  <c r="O29" i="27"/>
  <c r="L169" i="27"/>
  <c r="L171" i="27" s="1"/>
  <c r="O30" i="27"/>
  <c r="K169" i="27"/>
  <c r="K171" i="27" s="1"/>
  <c r="C8" i="25"/>
  <c r="O26" i="27"/>
  <c r="O31" i="27"/>
  <c r="J169" i="27"/>
  <c r="J171" i="27" s="1"/>
  <c r="O32" i="27"/>
  <c r="E174" i="1"/>
  <c r="L210" i="27"/>
  <c r="L212" i="27" s="1"/>
  <c r="D210" i="27"/>
  <c r="D212" i="27" s="1"/>
  <c r="P212" i="27"/>
  <c r="N210" i="27"/>
  <c r="N212" i="27" s="1"/>
  <c r="M210" i="27"/>
  <c r="M212" i="27" s="1"/>
  <c r="J210" i="27"/>
  <c r="J212" i="27" s="1"/>
  <c r="I210" i="27"/>
  <c r="I212" i="27" s="1"/>
  <c r="O210" i="27"/>
  <c r="O212" i="27" s="1"/>
  <c r="K210" i="27"/>
  <c r="K212" i="27" s="1"/>
  <c r="G210" i="27"/>
  <c r="G212" i="27" s="1"/>
  <c r="K50" i="25"/>
  <c r="G50" i="25"/>
  <c r="C50" i="25"/>
  <c r="P169" i="27"/>
  <c r="B69" i="6" s="1"/>
  <c r="P31" i="27"/>
  <c r="N50" i="25"/>
  <c r="J50" i="25"/>
  <c r="F50" i="25"/>
  <c r="M50" i="25"/>
  <c r="I50" i="25"/>
  <c r="E50" i="25"/>
  <c r="D126" i="1"/>
  <c r="L50" i="25"/>
  <c r="H50" i="25"/>
  <c r="D50" i="25"/>
  <c r="B7" i="6"/>
  <c r="G33" i="27"/>
  <c r="G35" i="27" s="1"/>
  <c r="P28" i="27"/>
  <c r="P32" i="27"/>
  <c r="P29" i="27"/>
  <c r="P26" i="27"/>
  <c r="P30" i="27"/>
  <c r="K33" i="27"/>
  <c r="K35" i="27" s="1"/>
  <c r="C33" i="27"/>
  <c r="C35" i="27" s="1"/>
  <c r="N33" i="27"/>
  <c r="N35" i="27" s="1"/>
  <c r="J33" i="27"/>
  <c r="J35" i="27" s="1"/>
  <c r="F33" i="27"/>
  <c r="F35" i="27" s="1"/>
  <c r="M33" i="27"/>
  <c r="M35" i="27" s="1"/>
  <c r="I33" i="27"/>
  <c r="I35" i="27" s="1"/>
  <c r="E33" i="27"/>
  <c r="E35" i="27" s="1"/>
  <c r="L33" i="27"/>
  <c r="L35" i="27" s="1"/>
  <c r="H33" i="27"/>
  <c r="H35" i="27" s="1"/>
  <c r="D33" i="27"/>
  <c r="D35" i="27" s="1"/>
  <c r="B93" i="6"/>
  <c r="F13" i="6"/>
  <c r="D169" i="27"/>
  <c r="D171" i="27" s="1"/>
  <c r="C7" i="6"/>
  <c r="O14" i="16" s="1"/>
  <c r="P171" i="27" l="1"/>
  <c r="O33" i="27"/>
  <c r="B86" i="6" s="1"/>
  <c r="H28" i="6"/>
  <c r="B23" i="6" s="1"/>
  <c r="O20" i="4"/>
  <c r="W20" i="4" s="1"/>
  <c r="Q20" i="4"/>
  <c r="O18" i="16" l="1"/>
  <c r="P18" i="16" s="1"/>
  <c r="B92" i="6"/>
  <c r="H30" i="6"/>
  <c r="H23" i="6" s="1"/>
  <c r="O53" i="4"/>
  <c r="X20" i="4"/>
  <c r="R20" i="4"/>
  <c r="O49" i="4"/>
  <c r="O30" i="4"/>
  <c r="Q30" i="4"/>
  <c r="R30" i="4" s="1"/>
  <c r="O34" i="4"/>
  <c r="O25" i="4"/>
  <c r="O26" i="4"/>
  <c r="O27" i="4"/>
  <c r="O28" i="4"/>
  <c r="O29" i="4"/>
  <c r="O31" i="4"/>
  <c r="O32" i="4"/>
  <c r="O33" i="4"/>
  <c r="B277" i="1" l="1"/>
  <c r="O16" i="16"/>
  <c r="P16" i="16" s="1"/>
  <c r="U53" i="4"/>
  <c r="S20" i="4"/>
  <c r="S30" i="4"/>
  <c r="T20" i="4" l="1"/>
  <c r="U20" i="4" s="1"/>
  <c r="H20" i="16"/>
  <c r="W44" i="13" l="1"/>
  <c r="V44" i="13"/>
  <c r="W43" i="13"/>
  <c r="W45" i="13" s="1"/>
  <c r="V43" i="13"/>
  <c r="W31" i="13"/>
  <c r="W34" i="13"/>
  <c r="W33" i="13"/>
  <c r="V34" i="13"/>
  <c r="Y34" i="13" s="1"/>
  <c r="V33" i="13"/>
  <c r="Y33" i="13" s="1"/>
  <c r="W37" i="13"/>
  <c r="V37" i="13"/>
  <c r="W32" i="13"/>
  <c r="V32" i="13"/>
  <c r="Y32" i="13" s="1"/>
  <c r="V31" i="13"/>
  <c r="W26" i="13"/>
  <c r="W21" i="13"/>
  <c r="W20" i="13"/>
  <c r="V26" i="13"/>
  <c r="V21" i="13"/>
  <c r="V20" i="13"/>
  <c r="U21" i="13"/>
  <c r="U20" i="13"/>
  <c r="U19" i="13"/>
  <c r="Y21" i="13" l="1"/>
  <c r="Y37" i="13"/>
  <c r="Y44" i="13"/>
  <c r="V45" i="13"/>
  <c r="Y45" i="13" s="1"/>
  <c r="Y43" i="13"/>
  <c r="Y31" i="13"/>
  <c r="Y26" i="13"/>
  <c r="Y20" i="13"/>
  <c r="N18" i="18"/>
  <c r="O18" i="18"/>
  <c r="P18" i="18"/>
  <c r="Q18" i="18"/>
  <c r="M18" i="18"/>
  <c r="D18" i="11" l="1"/>
  <c r="B97" i="1" l="1"/>
  <c r="L39" i="16"/>
  <c r="G60" i="4"/>
  <c r="H60" i="4"/>
  <c r="I60" i="4"/>
  <c r="J60" i="4"/>
  <c r="K60" i="4"/>
  <c r="L60" i="4"/>
  <c r="N60" i="4"/>
  <c r="M60" i="4"/>
  <c r="E60" i="4"/>
  <c r="D60" i="4"/>
  <c r="F60" i="4"/>
  <c r="Q68" i="4" l="1"/>
  <c r="R68" i="4" s="1"/>
  <c r="W29" i="4"/>
  <c r="X26" i="4"/>
  <c r="Q26" i="4"/>
  <c r="X27" i="4"/>
  <c r="Q27" i="4"/>
  <c r="Q28" i="4"/>
  <c r="X29" i="4"/>
  <c r="Q29" i="4"/>
  <c r="Q31" i="4"/>
  <c r="W28" i="4" l="1"/>
  <c r="X28" i="4"/>
  <c r="W26" i="4"/>
  <c r="S68" i="4"/>
  <c r="W27" i="4"/>
  <c r="R31" i="4"/>
  <c r="S31" i="4" s="1"/>
  <c r="R29" i="4"/>
  <c r="S29" i="4" s="1"/>
  <c r="R28" i="4"/>
  <c r="S28" i="4" s="1"/>
  <c r="R27" i="4"/>
  <c r="S27" i="4" s="1"/>
  <c r="R26" i="4"/>
  <c r="M73" i="4"/>
  <c r="N73" i="4"/>
  <c r="L73" i="4"/>
  <c r="S26" i="4" l="1"/>
  <c r="T26" i="4" s="1"/>
  <c r="T68" i="4"/>
  <c r="X65" i="4"/>
  <c r="AP65" i="4"/>
  <c r="AJ65" i="4"/>
  <c r="AD65" i="4"/>
  <c r="O45" i="25"/>
  <c r="O46" i="25"/>
  <c r="N49" i="25"/>
  <c r="M49" i="25"/>
  <c r="L49" i="25"/>
  <c r="K49" i="25"/>
  <c r="J49" i="25"/>
  <c r="I49" i="25"/>
  <c r="H49" i="25"/>
  <c r="G49" i="25"/>
  <c r="E49" i="25"/>
  <c r="D49" i="25"/>
  <c r="C49" i="25"/>
  <c r="O48" i="25"/>
  <c r="O47" i="25"/>
  <c r="P49" i="4"/>
  <c r="H66" i="18"/>
  <c r="U26" i="4" l="1"/>
  <c r="Y65" i="4"/>
  <c r="K71" i="4"/>
  <c r="C71" i="4"/>
  <c r="N71" i="4"/>
  <c r="F71" i="4"/>
  <c r="L71" i="4"/>
  <c r="H71" i="4"/>
  <c r="D71" i="4"/>
  <c r="G71" i="4"/>
  <c r="J71" i="4"/>
  <c r="M71" i="4"/>
  <c r="I71" i="4"/>
  <c r="E71" i="4"/>
  <c r="L51" i="25"/>
  <c r="D51" i="25"/>
  <c r="D55" i="25" s="1"/>
  <c r="D62" i="25" s="1"/>
  <c r="U68" i="4"/>
  <c r="Z65" i="4"/>
  <c r="AQ65" i="4"/>
  <c r="AK65" i="4"/>
  <c r="AE65" i="4"/>
  <c r="I51" i="25"/>
  <c r="M51" i="25"/>
  <c r="J51" i="25"/>
  <c r="G51" i="25"/>
  <c r="K51" i="25"/>
  <c r="N51" i="25"/>
  <c r="H51" i="25"/>
  <c r="E51" i="25"/>
  <c r="O50" i="25"/>
  <c r="C51" i="25"/>
  <c r="O44" i="25"/>
  <c r="O49" i="25" s="1"/>
  <c r="F49" i="25"/>
  <c r="F51" i="25" s="1"/>
  <c r="D53" i="25" l="1"/>
  <c r="D57" i="25"/>
  <c r="D54" i="25"/>
  <c r="D61" i="25" s="1"/>
  <c r="D56" i="25"/>
  <c r="AF65" i="4"/>
  <c r="AR65" i="4"/>
  <c r="AA65" i="4"/>
  <c r="AB65" i="4"/>
  <c r="AL65" i="4"/>
  <c r="AM65" i="4"/>
  <c r="F56" i="25"/>
  <c r="F55" i="25"/>
  <c r="F62" i="25" s="1"/>
  <c r="F57" i="25"/>
  <c r="F53" i="25"/>
  <c r="F54" i="25"/>
  <c r="F61" i="25" s="1"/>
  <c r="E57" i="25"/>
  <c r="E53" i="25"/>
  <c r="E54" i="25"/>
  <c r="E61" i="25" s="1"/>
  <c r="E55" i="25"/>
  <c r="E62" i="25" s="1"/>
  <c r="E56" i="25"/>
  <c r="K54" i="25"/>
  <c r="K61" i="25" s="1"/>
  <c r="K55" i="25"/>
  <c r="K62" i="25" s="1"/>
  <c r="K57" i="25"/>
  <c r="K53" i="25"/>
  <c r="K56" i="25"/>
  <c r="N56" i="25"/>
  <c r="N54" i="25"/>
  <c r="N61" i="25" s="1"/>
  <c r="N55" i="25"/>
  <c r="N62" i="25" s="1"/>
  <c r="N57" i="25"/>
  <c r="N53" i="25"/>
  <c r="H55" i="25"/>
  <c r="H62" i="25" s="1"/>
  <c r="H53" i="25"/>
  <c r="H56" i="25"/>
  <c r="H54" i="25"/>
  <c r="H61" i="25" s="1"/>
  <c r="H57" i="25"/>
  <c r="J56" i="25"/>
  <c r="J57" i="25"/>
  <c r="J53" i="25"/>
  <c r="J54" i="25"/>
  <c r="J61" i="25" s="1"/>
  <c r="J55" i="25"/>
  <c r="J62" i="25" s="1"/>
  <c r="I57" i="25"/>
  <c r="I53" i="25"/>
  <c r="I54" i="25"/>
  <c r="I61" i="25" s="1"/>
  <c r="I55" i="25"/>
  <c r="I62" i="25" s="1"/>
  <c r="I56" i="25"/>
  <c r="L55" i="25"/>
  <c r="L62" i="25" s="1"/>
  <c r="L54" i="25"/>
  <c r="L61" i="25" s="1"/>
  <c r="L57" i="25"/>
  <c r="L53" i="25"/>
  <c r="L56" i="25"/>
  <c r="G54" i="25"/>
  <c r="G61" i="25" s="1"/>
  <c r="G56" i="25"/>
  <c r="G55" i="25"/>
  <c r="G62" i="25" s="1"/>
  <c r="G57" i="25"/>
  <c r="G53" i="25"/>
  <c r="M57" i="25"/>
  <c r="M53" i="25"/>
  <c r="M56" i="25"/>
  <c r="M55" i="25"/>
  <c r="M62" i="25" s="1"/>
  <c r="M54" i="25"/>
  <c r="M61" i="25" s="1"/>
  <c r="C54" i="25"/>
  <c r="C57" i="25"/>
  <c r="C56" i="25"/>
  <c r="C55" i="25"/>
  <c r="C53" i="25"/>
  <c r="C60" i="25" s="1"/>
  <c r="O51" i="25"/>
  <c r="P51" i="25" s="1"/>
  <c r="AG65" i="4" l="1"/>
  <c r="AT65" i="4"/>
  <c r="AS65" i="4"/>
  <c r="AN65" i="4"/>
  <c r="AH65" i="4"/>
  <c r="O55" i="25"/>
  <c r="C62" i="25"/>
  <c r="O62" i="25" s="1"/>
  <c r="D28" i="6" s="1"/>
  <c r="D23" i="6" s="1"/>
  <c r="C61" i="25"/>
  <c r="O61" i="25" s="1"/>
  <c r="C28" i="6" s="1"/>
  <c r="O54" i="25"/>
  <c r="N94" i="11"/>
  <c r="I60" i="18" l="1"/>
  <c r="H60" i="18"/>
  <c r="G60" i="18"/>
  <c r="E60" i="18"/>
  <c r="D60" i="18"/>
  <c r="F60" i="18" l="1"/>
  <c r="C60" i="18" s="1"/>
  <c r="M11" i="11" l="1"/>
  <c r="M12" i="11" s="1"/>
  <c r="L40" i="16" l="1"/>
  <c r="C9" i="25" l="1"/>
  <c r="O37" i="4"/>
  <c r="X37" i="4" s="1"/>
  <c r="Q37" i="4"/>
  <c r="R37" i="4" s="1"/>
  <c r="O38" i="4"/>
  <c r="X38" i="4" s="1"/>
  <c r="Q38" i="4"/>
  <c r="O39" i="4"/>
  <c r="X39" i="4" s="1"/>
  <c r="Q39" i="4"/>
  <c r="W39" i="4" l="1"/>
  <c r="W37" i="4"/>
  <c r="W38" i="4"/>
  <c r="R38" i="4"/>
  <c r="S37" i="4"/>
  <c r="R39" i="4"/>
  <c r="S39" i="4" l="1"/>
  <c r="T39" i="4" s="1"/>
  <c r="S38" i="4"/>
  <c r="T38" i="4" s="1"/>
  <c r="T37" i="4"/>
  <c r="U37" i="4" s="1"/>
  <c r="U38" i="4" l="1"/>
  <c r="U39" i="4"/>
  <c r="E75" i="18"/>
  <c r="C69" i="18" l="1"/>
  <c r="C78" i="18" l="1"/>
  <c r="F75" i="18" l="1"/>
  <c r="G75" i="18"/>
  <c r="H75" i="18"/>
  <c r="D75" i="18"/>
  <c r="E66" i="18"/>
  <c r="F66" i="18"/>
  <c r="G66" i="18"/>
  <c r="D66" i="18"/>
  <c r="C66" i="18" l="1"/>
  <c r="C75" i="18"/>
  <c r="L95" i="11" l="1"/>
  <c r="N95" i="11" l="1"/>
  <c r="F15" i="11" l="1"/>
  <c r="E15" i="11"/>
  <c r="F15" i="13"/>
  <c r="C52" i="18"/>
  <c r="D16" i="13" l="1"/>
  <c r="C26" i="25"/>
  <c r="O24" i="25"/>
  <c r="D7" i="25" l="1"/>
  <c r="D11" i="25" s="1"/>
  <c r="D13" i="25" s="1"/>
  <c r="D9" i="25"/>
  <c r="E9" i="25"/>
  <c r="F9" i="25"/>
  <c r="G9" i="25"/>
  <c r="H9" i="25"/>
  <c r="I9" i="25"/>
  <c r="J9" i="25"/>
  <c r="K9" i="25"/>
  <c r="L9" i="25"/>
  <c r="M9" i="25"/>
  <c r="N9" i="25"/>
  <c r="O10" i="25"/>
  <c r="N26" i="25"/>
  <c r="M26" i="25"/>
  <c r="L26" i="25"/>
  <c r="K26" i="25"/>
  <c r="J26" i="25"/>
  <c r="I26" i="25"/>
  <c r="H26" i="25"/>
  <c r="G26" i="25"/>
  <c r="F26" i="25"/>
  <c r="E26" i="25"/>
  <c r="D26" i="25"/>
  <c r="O25" i="25"/>
  <c r="O23" i="25"/>
  <c r="O8" i="25"/>
  <c r="N7" i="25"/>
  <c r="N11" i="25" s="1"/>
  <c r="N13" i="25" s="1"/>
  <c r="M7" i="25"/>
  <c r="M11" i="25" s="1"/>
  <c r="L7" i="25"/>
  <c r="L11" i="25" s="1"/>
  <c r="L13" i="25" s="1"/>
  <c r="K7" i="25"/>
  <c r="K11" i="25" s="1"/>
  <c r="K13" i="25" s="1"/>
  <c r="J7" i="25"/>
  <c r="J11" i="25" s="1"/>
  <c r="I7" i="25"/>
  <c r="I11" i="25" s="1"/>
  <c r="I14" i="25" s="1"/>
  <c r="H7" i="25"/>
  <c r="H11" i="25" s="1"/>
  <c r="G7" i="25"/>
  <c r="G11" i="25" s="1"/>
  <c r="G14" i="25" s="1"/>
  <c r="F7" i="25"/>
  <c r="F11" i="25" s="1"/>
  <c r="F13" i="25" s="1"/>
  <c r="E7" i="25"/>
  <c r="E11" i="25" s="1"/>
  <c r="E14" i="25" s="1"/>
  <c r="C7" i="25"/>
  <c r="C11" i="25" s="1"/>
  <c r="O6" i="25"/>
  <c r="O5" i="25"/>
  <c r="Q77" i="4"/>
  <c r="C13" i="25" l="1"/>
  <c r="C17" i="25" s="1"/>
  <c r="M13" i="25"/>
  <c r="M14" i="25"/>
  <c r="F14" i="25"/>
  <c r="H13" i="25"/>
  <c r="N14" i="25"/>
  <c r="H14" i="25"/>
  <c r="J13" i="25"/>
  <c r="J14" i="25"/>
  <c r="L14" i="25"/>
  <c r="D14" i="25"/>
  <c r="K14" i="25"/>
  <c r="I13" i="25"/>
  <c r="G13" i="25"/>
  <c r="E13" i="25"/>
  <c r="C14" i="25"/>
  <c r="O26" i="25"/>
  <c r="F28" i="25"/>
  <c r="N28" i="25"/>
  <c r="O7" i="25"/>
  <c r="O27" i="25"/>
  <c r="G28" i="25"/>
  <c r="K28" i="25"/>
  <c r="J28" i="25"/>
  <c r="E28" i="25"/>
  <c r="I28" i="25"/>
  <c r="M28" i="25"/>
  <c r="D28" i="25"/>
  <c r="H28" i="25"/>
  <c r="L28" i="25"/>
  <c r="C28" i="25"/>
  <c r="O11" i="25"/>
  <c r="P11" i="25" s="1"/>
  <c r="O9" i="25"/>
  <c r="R77" i="4"/>
  <c r="C64" i="25" l="1"/>
  <c r="M32" i="25"/>
  <c r="M37" i="25" s="1"/>
  <c r="M64" i="25"/>
  <c r="M63" i="25"/>
  <c r="K32" i="25"/>
  <c r="K37" i="25" s="1"/>
  <c r="K64" i="25"/>
  <c r="K63" i="25"/>
  <c r="N31" i="25"/>
  <c r="N36" i="25" s="1"/>
  <c r="N63" i="25"/>
  <c r="N64" i="25"/>
  <c r="D31" i="25"/>
  <c r="D36" i="25" s="1"/>
  <c r="D64" i="25"/>
  <c r="D63" i="25"/>
  <c r="J31" i="25"/>
  <c r="J36" i="25" s="1"/>
  <c r="J64" i="25"/>
  <c r="J63" i="25"/>
  <c r="H31" i="25"/>
  <c r="H36" i="25" s="1"/>
  <c r="H63" i="25"/>
  <c r="H64" i="25"/>
  <c r="E31" i="25"/>
  <c r="E36" i="25" s="1"/>
  <c r="E64" i="25"/>
  <c r="E63" i="25"/>
  <c r="L31" i="25"/>
  <c r="L36" i="25" s="1"/>
  <c r="L63" i="25"/>
  <c r="L64" i="25"/>
  <c r="I30" i="25"/>
  <c r="I35" i="25" s="1"/>
  <c r="I64" i="25"/>
  <c r="I63" i="25"/>
  <c r="G30" i="25"/>
  <c r="G35" i="25" s="1"/>
  <c r="G64" i="25"/>
  <c r="G63" i="25"/>
  <c r="F30" i="25"/>
  <c r="F35" i="25" s="1"/>
  <c r="F63" i="25"/>
  <c r="I32" i="25"/>
  <c r="I37" i="25" s="1"/>
  <c r="N32" i="25"/>
  <c r="N37" i="25" s="1"/>
  <c r="N30" i="25"/>
  <c r="N35" i="25" s="1"/>
  <c r="M31" i="25"/>
  <c r="M36" i="25" s="1"/>
  <c r="M30" i="25"/>
  <c r="M35" i="25" s="1"/>
  <c r="L32" i="25"/>
  <c r="L37" i="25" s="1"/>
  <c r="L30" i="25"/>
  <c r="L35" i="25" s="1"/>
  <c r="K30" i="25"/>
  <c r="K35" i="25" s="1"/>
  <c r="K31" i="25"/>
  <c r="K36" i="25" s="1"/>
  <c r="J30" i="25"/>
  <c r="J35" i="25" s="1"/>
  <c r="J32" i="25"/>
  <c r="J37" i="25" s="1"/>
  <c r="I31" i="25"/>
  <c r="I36" i="25" s="1"/>
  <c r="H32" i="25"/>
  <c r="H37" i="25" s="1"/>
  <c r="H30" i="25"/>
  <c r="H35" i="25" s="1"/>
  <c r="G32" i="25"/>
  <c r="G37" i="25" s="1"/>
  <c r="G31" i="25"/>
  <c r="G36" i="25" s="1"/>
  <c r="F31" i="25"/>
  <c r="F36" i="25" s="1"/>
  <c r="F32" i="25"/>
  <c r="F37" i="25" s="1"/>
  <c r="E32" i="25"/>
  <c r="E37" i="25" s="1"/>
  <c r="E30" i="25"/>
  <c r="E35" i="25" s="1"/>
  <c r="D32" i="25"/>
  <c r="D37" i="25" s="1"/>
  <c r="D30" i="25"/>
  <c r="D35" i="25" s="1"/>
  <c r="C30" i="25"/>
  <c r="C35" i="25" s="1"/>
  <c r="C32" i="25"/>
  <c r="C37" i="25" s="1"/>
  <c r="C31" i="25"/>
  <c r="O28" i="25"/>
  <c r="P28" i="25" s="1"/>
  <c r="S77" i="4"/>
  <c r="T77" i="4" s="1"/>
  <c r="F58" i="25" l="1"/>
  <c r="F60" i="25"/>
  <c r="L58" i="25"/>
  <c r="L60" i="25"/>
  <c r="L65" i="25" s="1"/>
  <c r="L66" i="25" s="1"/>
  <c r="J60" i="25"/>
  <c r="J65" i="25" s="1"/>
  <c r="J66" i="25" s="1"/>
  <c r="J58" i="25"/>
  <c r="N60" i="25"/>
  <c r="N65" i="25" s="1"/>
  <c r="N66" i="25" s="1"/>
  <c r="N58" i="25"/>
  <c r="C58" i="25"/>
  <c r="O53" i="25"/>
  <c r="I58" i="25"/>
  <c r="I60" i="25"/>
  <c r="I65" i="25" s="1"/>
  <c r="I66" i="25" s="1"/>
  <c r="E60" i="25"/>
  <c r="E65" i="25" s="1"/>
  <c r="E66" i="25" s="1"/>
  <c r="E58" i="25"/>
  <c r="H60" i="25"/>
  <c r="H65" i="25" s="1"/>
  <c r="H66" i="25" s="1"/>
  <c r="H58" i="25"/>
  <c r="D58" i="25"/>
  <c r="D60" i="25"/>
  <c r="D65" i="25" s="1"/>
  <c r="D66" i="25" s="1"/>
  <c r="M58" i="25"/>
  <c r="M60" i="25"/>
  <c r="M65" i="25" s="1"/>
  <c r="M66" i="25" s="1"/>
  <c r="O57" i="25"/>
  <c r="F64" i="25"/>
  <c r="O64" i="25" s="1"/>
  <c r="F28" i="6" s="1"/>
  <c r="F23" i="6" s="1"/>
  <c r="G58" i="25"/>
  <c r="G60" i="25"/>
  <c r="G65" i="25" s="1"/>
  <c r="G66" i="25" s="1"/>
  <c r="K58" i="25"/>
  <c r="K60" i="25"/>
  <c r="K65" i="25" s="1"/>
  <c r="K66" i="25" s="1"/>
  <c r="C63" i="25"/>
  <c r="O63" i="25" s="1"/>
  <c r="E28" i="6" s="1"/>
  <c r="E23" i="6" s="1"/>
  <c r="O56" i="25"/>
  <c r="C36" i="25"/>
  <c r="O36" i="25" s="1"/>
  <c r="C10" i="6" s="1"/>
  <c r="O31" i="25"/>
  <c r="D8" i="22"/>
  <c r="C8" i="22"/>
  <c r="D68" i="11"/>
  <c r="D78" i="11" s="1"/>
  <c r="D83" i="11" s="1"/>
  <c r="F65" i="25" l="1"/>
  <c r="F66" i="25" s="1"/>
  <c r="C65" i="25"/>
  <c r="C66" i="25" s="1"/>
  <c r="O60" i="25"/>
  <c r="B28" i="6" s="1"/>
  <c r="C23" i="6" s="1"/>
  <c r="G23" i="6" s="1"/>
  <c r="O58" i="25"/>
  <c r="C42" i="22"/>
  <c r="C43" i="22"/>
  <c r="C44" i="22"/>
  <c r="C45" i="22"/>
  <c r="C46" i="22"/>
  <c r="C47" i="22"/>
  <c r="C48" i="22"/>
  <c r="C49" i="22"/>
  <c r="C40" i="22"/>
  <c r="C41" i="22"/>
  <c r="D14" i="18"/>
  <c r="O65" i="25" l="1"/>
  <c r="O66" i="25" s="1"/>
  <c r="D65" i="18"/>
  <c r="D74" i="18"/>
  <c r="Q56" i="4" l="1"/>
  <c r="R56" i="4" s="1"/>
  <c r="O7" i="4"/>
  <c r="Q7" i="4"/>
  <c r="O8" i="4"/>
  <c r="X8" i="4" s="1"/>
  <c r="Q8" i="4"/>
  <c r="O9" i="4"/>
  <c r="X9" i="4" s="1"/>
  <c r="Q9" i="4"/>
  <c r="O10" i="4"/>
  <c r="X10" i="4" s="1"/>
  <c r="Q10" i="4"/>
  <c r="R10" i="4" s="1"/>
  <c r="O11" i="4"/>
  <c r="X11" i="4" s="1"/>
  <c r="Q11" i="4"/>
  <c r="O12" i="4"/>
  <c r="X12" i="4" s="1"/>
  <c r="Q12" i="4"/>
  <c r="O13" i="4"/>
  <c r="Q13" i="4"/>
  <c r="O14" i="4"/>
  <c r="X14" i="4" s="1"/>
  <c r="Q14" i="4"/>
  <c r="R14" i="4" s="1"/>
  <c r="O15" i="4"/>
  <c r="X15" i="4" s="1"/>
  <c r="Q15" i="4"/>
  <c r="O16" i="4"/>
  <c r="X16" i="4" s="1"/>
  <c r="Q16" i="4"/>
  <c r="O17" i="4"/>
  <c r="X17" i="4" s="1"/>
  <c r="Q17" i="4"/>
  <c r="O18" i="4"/>
  <c r="X18" i="4" s="1"/>
  <c r="Q18" i="4"/>
  <c r="R18" i="4" s="1"/>
  <c r="O19" i="4"/>
  <c r="X19" i="4" s="1"/>
  <c r="Q19" i="4"/>
  <c r="O21" i="4"/>
  <c r="X21" i="4" s="1"/>
  <c r="Q21" i="4"/>
  <c r="O22" i="4"/>
  <c r="X22" i="4" s="1"/>
  <c r="Q22" i="4"/>
  <c r="O23" i="4"/>
  <c r="Q23" i="4"/>
  <c r="R23" i="4" s="1"/>
  <c r="O24" i="4"/>
  <c r="Q24" i="4"/>
  <c r="Q25" i="4"/>
  <c r="R25" i="4" s="1"/>
  <c r="X32" i="4"/>
  <c r="Q32" i="4"/>
  <c r="X33" i="4"/>
  <c r="Q33" i="4"/>
  <c r="Q34" i="4"/>
  <c r="R34" i="4" s="1"/>
  <c r="O35" i="4"/>
  <c r="X35" i="4" s="1"/>
  <c r="Q35" i="4"/>
  <c r="O36" i="4"/>
  <c r="X36" i="4" s="1"/>
  <c r="Q36" i="4"/>
  <c r="O40" i="4"/>
  <c r="X40" i="4" s="1"/>
  <c r="Q40" i="4"/>
  <c r="O41" i="4"/>
  <c r="X41" i="4" s="1"/>
  <c r="Q41" i="4"/>
  <c r="O42" i="4"/>
  <c r="Q42" i="4"/>
  <c r="O43" i="4"/>
  <c r="Q43" i="4"/>
  <c r="O82" i="4"/>
  <c r="O81" i="4"/>
  <c r="D83" i="4"/>
  <c r="E83" i="4"/>
  <c r="F83" i="4"/>
  <c r="G83" i="4"/>
  <c r="H83" i="4"/>
  <c r="I83" i="4"/>
  <c r="J83" i="4"/>
  <c r="K83" i="4"/>
  <c r="L83" i="4"/>
  <c r="M83" i="4"/>
  <c r="N83" i="4"/>
  <c r="C83" i="4"/>
  <c r="C79" i="4"/>
  <c r="I65" i="4"/>
  <c r="J65" i="4"/>
  <c r="K65" i="4"/>
  <c r="L65" i="4"/>
  <c r="M65" i="4"/>
  <c r="N65" i="4"/>
  <c r="G65" i="4"/>
  <c r="H65" i="4"/>
  <c r="C65" i="4"/>
  <c r="Q63" i="4"/>
  <c r="R63" i="4" s="1"/>
  <c r="O63" i="4"/>
  <c r="W32" i="4" l="1"/>
  <c r="W41" i="4"/>
  <c r="W33" i="4"/>
  <c r="W22" i="4"/>
  <c r="W19" i="4"/>
  <c r="W17" i="4"/>
  <c r="W15" i="4"/>
  <c r="W11" i="4"/>
  <c r="W9" i="4"/>
  <c r="W40" i="4"/>
  <c r="W21" i="4"/>
  <c r="W18" i="4"/>
  <c r="W16" i="4"/>
  <c r="W14" i="4"/>
  <c r="W12" i="4"/>
  <c r="W10" i="4"/>
  <c r="W8" i="4"/>
  <c r="C84" i="4"/>
  <c r="B71" i="6" s="1"/>
  <c r="S34" i="4"/>
  <c r="T34" i="4" s="1"/>
  <c r="S25" i="4"/>
  <c r="T25" i="4" s="1"/>
  <c r="U25" i="4" s="1"/>
  <c r="S23" i="4"/>
  <c r="T23" i="4" s="1"/>
  <c r="U23" i="4" s="1"/>
  <c r="S18" i="4"/>
  <c r="T18" i="4" s="1"/>
  <c r="U18" i="4" s="1"/>
  <c r="S14" i="4"/>
  <c r="T14" i="4" s="1"/>
  <c r="U14" i="4" s="1"/>
  <c r="S10" i="4"/>
  <c r="T10" i="4" s="1"/>
  <c r="R42" i="4"/>
  <c r="S42" i="4" s="1"/>
  <c r="R40" i="4"/>
  <c r="S40" i="4" s="1"/>
  <c r="R36" i="4"/>
  <c r="S36" i="4" s="1"/>
  <c r="R32" i="4"/>
  <c r="S32" i="4" s="1"/>
  <c r="R22" i="4"/>
  <c r="R19" i="4"/>
  <c r="S19" i="4" s="1"/>
  <c r="R17" i="4"/>
  <c r="S17" i="4" s="1"/>
  <c r="R15" i="4"/>
  <c r="S15" i="4" s="1"/>
  <c r="R13" i="4"/>
  <c r="R11" i="4"/>
  <c r="S11" i="4" s="1"/>
  <c r="R9" i="4"/>
  <c r="R7" i="4"/>
  <c r="S7" i="4" s="1"/>
  <c r="R43" i="4"/>
  <c r="R41" i="4"/>
  <c r="S41" i="4" s="1"/>
  <c r="R35" i="4"/>
  <c r="R33" i="4"/>
  <c r="R24" i="4"/>
  <c r="R21" i="4"/>
  <c r="S21" i="4" s="1"/>
  <c r="R16" i="4"/>
  <c r="S16" i="4" s="1"/>
  <c r="R12" i="4"/>
  <c r="R8" i="4"/>
  <c r="O83" i="4"/>
  <c r="S63" i="4"/>
  <c r="U34" i="4" l="1"/>
  <c r="T40" i="4"/>
  <c r="U40" i="4" s="1"/>
  <c r="T17" i="4"/>
  <c r="U17" i="4" s="1"/>
  <c r="U10" i="4"/>
  <c r="T36" i="4"/>
  <c r="U36" i="4" s="1"/>
  <c r="T19" i="4"/>
  <c r="U19" i="4" s="1"/>
  <c r="T42" i="4"/>
  <c r="U42" i="4" s="1"/>
  <c r="S43" i="4"/>
  <c r="T43" i="4" s="1"/>
  <c r="S24" i="4"/>
  <c r="S12" i="4"/>
  <c r="S35" i="4"/>
  <c r="T35" i="4" s="1"/>
  <c r="S33" i="4"/>
  <c r="T33" i="4" s="1"/>
  <c r="T15" i="4"/>
  <c r="U15" i="4" s="1"/>
  <c r="T11" i="4"/>
  <c r="U11" i="4" s="1"/>
  <c r="T32" i="4"/>
  <c r="U32" i="4" s="1"/>
  <c r="S13" i="4"/>
  <c r="S22" i="4"/>
  <c r="S9" i="4"/>
  <c r="T16" i="4"/>
  <c r="U16" i="4" s="1"/>
  <c r="T21" i="4"/>
  <c r="U21" i="4" s="1"/>
  <c r="T41" i="4"/>
  <c r="U41" i="4" s="1"/>
  <c r="S8" i="4"/>
  <c r="T7" i="4"/>
  <c r="U7" i="4" s="1"/>
  <c r="T63" i="4"/>
  <c r="U63" i="4" s="1"/>
  <c r="T8" i="4" l="1"/>
  <c r="U8" i="4" s="1"/>
  <c r="T22" i="4"/>
  <c r="U22" i="4" s="1"/>
  <c r="T24" i="4"/>
  <c r="U24" i="4" s="1"/>
  <c r="T13" i="4"/>
  <c r="U13" i="4" s="1"/>
  <c r="U43" i="4"/>
  <c r="U33" i="4"/>
  <c r="T9" i="4"/>
  <c r="U9" i="4" s="1"/>
  <c r="U35" i="4"/>
  <c r="T12" i="4"/>
  <c r="U12" i="4" s="1"/>
  <c r="I8" i="11" l="1"/>
  <c r="I9" i="11"/>
  <c r="B8" i="22" l="1"/>
  <c r="A10" i="22"/>
  <c r="A59" i="22"/>
  <c r="A60" i="22" s="1"/>
  <c r="A61" i="22" s="1"/>
  <c r="A62" i="22" s="1"/>
  <c r="A63" i="22" s="1"/>
  <c r="A64" i="22" s="1"/>
  <c r="A65" i="22" l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B41" i="22"/>
  <c r="B40" i="22"/>
  <c r="B42" i="22"/>
  <c r="B43" i="22"/>
  <c r="B44" i="22"/>
  <c r="B45" i="22"/>
  <c r="B46" i="22"/>
  <c r="B47" i="22"/>
  <c r="B48" i="22"/>
  <c r="B49" i="22"/>
  <c r="B11" i="22"/>
  <c r="B15" i="22"/>
  <c r="C9" i="22"/>
  <c r="C34" i="22"/>
  <c r="C21" i="22"/>
  <c r="C20" i="22"/>
  <c r="C24" i="22"/>
  <c r="C28" i="22"/>
  <c r="C32" i="22"/>
  <c r="C36" i="22"/>
  <c r="C17" i="22"/>
  <c r="C18" i="22"/>
  <c r="C26" i="22"/>
  <c r="C38" i="22"/>
  <c r="C25" i="22"/>
  <c r="C33" i="22"/>
  <c r="C19" i="22"/>
  <c r="C23" i="22"/>
  <c r="C27" i="22"/>
  <c r="C31" i="22"/>
  <c r="C35" i="22"/>
  <c r="C39" i="22"/>
  <c r="C22" i="22"/>
  <c r="C30" i="22"/>
  <c r="C29" i="22"/>
  <c r="C37" i="22"/>
  <c r="C10" i="22"/>
  <c r="B37" i="22"/>
  <c r="B33" i="22"/>
  <c r="B29" i="22"/>
  <c r="B25" i="22"/>
  <c r="B21" i="22"/>
  <c r="B17" i="22"/>
  <c r="B12" i="22"/>
  <c r="B39" i="22"/>
  <c r="B35" i="22"/>
  <c r="B31" i="22"/>
  <c r="B27" i="22"/>
  <c r="B23" i="22"/>
  <c r="B19" i="22"/>
  <c r="B14" i="22"/>
  <c r="B10" i="22"/>
  <c r="B9" i="22"/>
  <c r="B38" i="22"/>
  <c r="B36" i="22"/>
  <c r="B34" i="22"/>
  <c r="B32" i="22"/>
  <c r="B30" i="22"/>
  <c r="B28" i="22"/>
  <c r="B26" i="22"/>
  <c r="B24" i="22"/>
  <c r="B22" i="22"/>
  <c r="B20" i="22"/>
  <c r="B18" i="22"/>
  <c r="B16" i="22"/>
  <c r="B13" i="22"/>
  <c r="A11" i="22"/>
  <c r="C11" i="22" s="1"/>
  <c r="E9" i="22" l="1"/>
  <c r="E10" i="22"/>
  <c r="A12" i="22"/>
  <c r="C12" i="22" s="1"/>
  <c r="E11" i="22"/>
  <c r="E12" i="22" l="1"/>
  <c r="A13" i="22"/>
  <c r="C13" i="22" s="1"/>
  <c r="A14" i="22" l="1"/>
  <c r="C14" i="22" s="1"/>
  <c r="E13" i="22"/>
  <c r="E14" i="22" l="1"/>
  <c r="A16" i="22"/>
  <c r="C16" i="22" s="1"/>
  <c r="A17" i="22" l="1"/>
  <c r="D17" i="22" s="1"/>
  <c r="E17" i="22" s="1"/>
  <c r="E16" i="22"/>
  <c r="A18" i="22" l="1"/>
  <c r="D18" i="22" s="1"/>
  <c r="K52" i="18"/>
  <c r="N89" i="11"/>
  <c r="L89" i="11"/>
  <c r="A19" i="22" l="1"/>
  <c r="D19" i="22" s="1"/>
  <c r="E18" i="22"/>
  <c r="A20" i="22" l="1"/>
  <c r="D20" i="22" s="1"/>
  <c r="E19" i="22"/>
  <c r="A21" i="22" l="1"/>
  <c r="D21" i="22" s="1"/>
  <c r="E20" i="22"/>
  <c r="I47" i="4"/>
  <c r="A22" i="22" l="1"/>
  <c r="D22" i="22" s="1"/>
  <c r="E21" i="22"/>
  <c r="O54" i="4"/>
  <c r="B88" i="6"/>
  <c r="O69" i="4"/>
  <c r="A23" i="22" l="1"/>
  <c r="D23" i="22" s="1"/>
  <c r="E22" i="22"/>
  <c r="O55" i="4"/>
  <c r="O56" i="4"/>
  <c r="A24" i="22" l="1"/>
  <c r="D24" i="22" s="1"/>
  <c r="E23" i="22"/>
  <c r="S56" i="4"/>
  <c r="O64" i="4"/>
  <c r="Q64" i="4"/>
  <c r="A25" i="22" l="1"/>
  <c r="D25" i="22" s="1"/>
  <c r="E24" i="22"/>
  <c r="O67" i="4"/>
  <c r="R64" i="4"/>
  <c r="S64" i="4" s="1"/>
  <c r="A26" i="22" l="1"/>
  <c r="D26" i="22" s="1"/>
  <c r="E25" i="22"/>
  <c r="C12" i="6"/>
  <c r="T64" i="4"/>
  <c r="U64" i="4" s="1"/>
  <c r="C20" i="6" l="1"/>
  <c r="A27" i="22"/>
  <c r="D27" i="22" s="1"/>
  <c r="E26" i="22"/>
  <c r="E14" i="6"/>
  <c r="B74" i="6" s="1"/>
  <c r="E11" i="6" l="1"/>
  <c r="A28" i="22"/>
  <c r="D28" i="22" s="1"/>
  <c r="E27" i="22"/>
  <c r="A29" i="22" l="1"/>
  <c r="D29" i="22" s="1"/>
  <c r="E28" i="22"/>
  <c r="A30" i="22" l="1"/>
  <c r="D30" i="22" s="1"/>
  <c r="E29" i="22"/>
  <c r="O68" i="4"/>
  <c r="H28" i="16" a="1"/>
  <c r="Q55" i="4" l="1"/>
  <c r="A31" i="22"/>
  <c r="D31" i="22" s="1"/>
  <c r="E30" i="22"/>
  <c r="B30" i="6" l="1"/>
  <c r="D255" i="1" s="1"/>
  <c r="Q59" i="4"/>
  <c r="A32" i="22"/>
  <c r="D32" i="22" s="1"/>
  <c r="E31" i="22"/>
  <c r="E103" i="4"/>
  <c r="A33" i="22" l="1"/>
  <c r="D33" i="22" s="1"/>
  <c r="E32" i="22"/>
  <c r="D47" i="4"/>
  <c r="E47" i="4"/>
  <c r="F47" i="4"/>
  <c r="G47" i="4"/>
  <c r="H47" i="4"/>
  <c r="J47" i="4"/>
  <c r="K47" i="4"/>
  <c r="L47" i="4"/>
  <c r="M47" i="4"/>
  <c r="N47" i="4"/>
  <c r="C47" i="4"/>
  <c r="C59" i="4" s="1"/>
  <c r="A34" i="22" l="1"/>
  <c r="D34" i="22" s="1"/>
  <c r="E33" i="22"/>
  <c r="F16" i="6"/>
  <c r="H20" i="6" s="1"/>
  <c r="E49" i="1" l="1"/>
  <c r="E26" i="1"/>
  <c r="F231" i="1" s="1"/>
  <c r="F243" i="1" s="1"/>
  <c r="O15" i="16"/>
  <c r="P15" i="16" s="1"/>
  <c r="A35" i="22"/>
  <c r="D35" i="22" s="1"/>
  <c r="E34" i="22"/>
  <c r="N11" i="11"/>
  <c r="A36" i="22" l="1"/>
  <c r="D36" i="22" s="1"/>
  <c r="E35" i="22"/>
  <c r="A37" i="22" l="1"/>
  <c r="D37" i="22" s="1"/>
  <c r="E36" i="22"/>
  <c r="A38" i="22" l="1"/>
  <c r="E37" i="22"/>
  <c r="F70" i="11"/>
  <c r="F85" i="11" s="1"/>
  <c r="D38" i="22" l="1"/>
  <c r="E38" i="22" s="1"/>
  <c r="A39" i="22"/>
  <c r="O108" i="4"/>
  <c r="O105" i="4"/>
  <c r="N103" i="4"/>
  <c r="N109" i="4" s="1"/>
  <c r="I103" i="4"/>
  <c r="I106" i="4" s="1"/>
  <c r="H103" i="4"/>
  <c r="H109" i="4" s="1"/>
  <c r="G103" i="4"/>
  <c r="G109" i="4" s="1"/>
  <c r="F103" i="4"/>
  <c r="F109" i="4" s="1"/>
  <c r="E109" i="4"/>
  <c r="D103" i="4"/>
  <c r="D109" i="4" s="1"/>
  <c r="M103" i="4"/>
  <c r="M109" i="4" s="1"/>
  <c r="L103" i="4"/>
  <c r="L109" i="4" s="1"/>
  <c r="K103" i="4"/>
  <c r="K109" i="4" s="1"/>
  <c r="J103" i="4"/>
  <c r="J109" i="4" s="1"/>
  <c r="C103" i="4"/>
  <c r="C109" i="4" s="1"/>
  <c r="O100" i="4"/>
  <c r="N99" i="4"/>
  <c r="M99" i="4"/>
  <c r="L99" i="4"/>
  <c r="K99" i="4"/>
  <c r="J99" i="4"/>
  <c r="I99" i="4"/>
  <c r="H99" i="4"/>
  <c r="G99" i="4"/>
  <c r="F99" i="4"/>
  <c r="E99" i="4"/>
  <c r="D99" i="4"/>
  <c r="C99" i="4"/>
  <c r="O95" i="4"/>
  <c r="N93" i="4"/>
  <c r="M93" i="4"/>
  <c r="L93" i="4"/>
  <c r="K93" i="4"/>
  <c r="J93" i="4"/>
  <c r="I93" i="4"/>
  <c r="H93" i="4"/>
  <c r="G93" i="4"/>
  <c r="F93" i="4"/>
  <c r="E93" i="4"/>
  <c r="D93" i="4"/>
  <c r="D96" i="4" s="1"/>
  <c r="C93" i="4"/>
  <c r="O91" i="4"/>
  <c r="O90" i="4"/>
  <c r="O89" i="4"/>
  <c r="O88" i="4"/>
  <c r="O87" i="4"/>
  <c r="N86" i="4"/>
  <c r="M86" i="4"/>
  <c r="L86" i="4"/>
  <c r="K86" i="4"/>
  <c r="J86" i="4"/>
  <c r="I86" i="4"/>
  <c r="H86" i="4"/>
  <c r="G86" i="4"/>
  <c r="F86" i="4"/>
  <c r="E86" i="4"/>
  <c r="D86" i="4"/>
  <c r="C86" i="4"/>
  <c r="N79" i="4"/>
  <c r="N84" i="4" s="1"/>
  <c r="M79" i="4"/>
  <c r="M84" i="4" s="1"/>
  <c r="L79" i="4"/>
  <c r="L84" i="4" s="1"/>
  <c r="K79" i="4"/>
  <c r="K84" i="4" s="1"/>
  <c r="J79" i="4"/>
  <c r="J84" i="4" s="1"/>
  <c r="I79" i="4"/>
  <c r="I84" i="4" s="1"/>
  <c r="H79" i="4"/>
  <c r="H84" i="4" s="1"/>
  <c r="G79" i="4"/>
  <c r="G84" i="4" s="1"/>
  <c r="F79" i="4"/>
  <c r="F84" i="4" s="1"/>
  <c r="E79" i="4"/>
  <c r="E84" i="4" s="1"/>
  <c r="D79" i="4"/>
  <c r="D84" i="4" s="1"/>
  <c r="Q76" i="4"/>
  <c r="N75" i="4"/>
  <c r="M75" i="4"/>
  <c r="L75" i="4"/>
  <c r="K75" i="4"/>
  <c r="J75" i="4"/>
  <c r="I75" i="4"/>
  <c r="H75" i="4"/>
  <c r="G75" i="4"/>
  <c r="F75" i="4"/>
  <c r="E75" i="4"/>
  <c r="D75" i="4"/>
  <c r="C75" i="4"/>
  <c r="F65" i="4"/>
  <c r="E65" i="4"/>
  <c r="D65" i="4"/>
  <c r="N62" i="4"/>
  <c r="M62" i="4"/>
  <c r="L62" i="4"/>
  <c r="K62" i="4"/>
  <c r="J62" i="4"/>
  <c r="I62" i="4"/>
  <c r="H62" i="4"/>
  <c r="G62" i="4"/>
  <c r="F62" i="4"/>
  <c r="E62" i="4"/>
  <c r="D62" i="4"/>
  <c r="C62" i="4"/>
  <c r="U60" i="4"/>
  <c r="T60" i="4"/>
  <c r="S60" i="4"/>
  <c r="R60" i="4"/>
  <c r="N59" i="4"/>
  <c r="M59" i="4"/>
  <c r="I59" i="4"/>
  <c r="G59" i="4"/>
  <c r="D59" i="4"/>
  <c r="O57" i="4"/>
  <c r="O52" i="4"/>
  <c r="O51" i="4"/>
  <c r="O58" i="4" s="1"/>
  <c r="O50" i="4"/>
  <c r="Y69" i="4" l="1"/>
  <c r="O65" i="4"/>
  <c r="Q58" i="4"/>
  <c r="D39" i="22"/>
  <c r="E39" i="22" s="1"/>
  <c r="A40" i="22"/>
  <c r="O79" i="4"/>
  <c r="O84" i="4" s="1"/>
  <c r="O70" i="4"/>
  <c r="O71" i="4" s="1"/>
  <c r="O93" i="4"/>
  <c r="O96" i="4" s="1"/>
  <c r="N96" i="4" s="1"/>
  <c r="M96" i="4" s="1"/>
  <c r="L96" i="4" s="1"/>
  <c r="K96" i="4" s="1"/>
  <c r="J96" i="4" s="1"/>
  <c r="I96" i="4" s="1"/>
  <c r="H96" i="4" s="1"/>
  <c r="G96" i="4" s="1"/>
  <c r="F96" i="4" s="1"/>
  <c r="E96" i="4" s="1"/>
  <c r="I109" i="4"/>
  <c r="Q65" i="4"/>
  <c r="H106" i="4"/>
  <c r="G106" i="4" s="1"/>
  <c r="F106" i="4" s="1"/>
  <c r="E106" i="4" s="1"/>
  <c r="D106" i="4" s="1"/>
  <c r="C106" i="4"/>
  <c r="Q79" i="4"/>
  <c r="B37" i="6" s="1"/>
  <c r="O101" i="4"/>
  <c r="C96" i="4"/>
  <c r="H59" i="4"/>
  <c r="L59" i="4"/>
  <c r="K59" i="4"/>
  <c r="J59" i="4" s="1"/>
  <c r="F59" i="4"/>
  <c r="E59" i="4"/>
  <c r="R58" i="4" l="1"/>
  <c r="R55" i="4"/>
  <c r="A41" i="22"/>
  <c r="D40" i="22"/>
  <c r="E40" i="22" s="1"/>
  <c r="O72" i="4"/>
  <c r="O109" i="4"/>
  <c r="O103" i="4"/>
  <c r="O106" i="4" s="1"/>
  <c r="N106" i="4" s="1"/>
  <c r="M106" i="4" s="1"/>
  <c r="L106" i="4" s="1"/>
  <c r="K106" i="4" s="1"/>
  <c r="J106" i="4" s="1"/>
  <c r="R65" i="4"/>
  <c r="C24" i="6" l="1"/>
  <c r="R59" i="4"/>
  <c r="A42" i="22"/>
  <c r="D41" i="22"/>
  <c r="E41" i="22" s="1"/>
  <c r="S65" i="4"/>
  <c r="E32" i="1" l="1"/>
  <c r="E9" i="1"/>
  <c r="C30" i="6"/>
  <c r="D256" i="1" s="1"/>
  <c r="A43" i="22"/>
  <c r="D42" i="22"/>
  <c r="E42" i="22" s="1"/>
  <c r="Q5" i="4"/>
  <c r="O5" i="4"/>
  <c r="X5" i="4" s="1"/>
  <c r="U2" i="4"/>
  <c r="T2" i="4"/>
  <c r="S2" i="4"/>
  <c r="R2" i="4"/>
  <c r="R5" i="4" l="1"/>
  <c r="W5" i="4"/>
  <c r="Y54" i="4"/>
  <c r="A44" i="22"/>
  <c r="D43" i="22"/>
  <c r="E43" i="22" s="1"/>
  <c r="O47" i="4"/>
  <c r="B53" i="6"/>
  <c r="C51" i="6"/>
  <c r="B84" i="6" s="1"/>
  <c r="B50" i="6"/>
  <c r="B49" i="6"/>
  <c r="B48" i="6"/>
  <c r="B47" i="6"/>
  <c r="E16" i="6"/>
  <c r="F8" i="17"/>
  <c r="I25" i="1" l="1"/>
  <c r="I106" i="1" s="1"/>
  <c r="A45" i="22"/>
  <c r="D44" i="22"/>
  <c r="E44" i="22" s="1"/>
  <c r="O59" i="4"/>
  <c r="B51" i="6"/>
  <c r="C45" i="18"/>
  <c r="B43" i="18"/>
  <c r="C53" i="18" l="1"/>
  <c r="C61" i="18"/>
  <c r="A46" i="22"/>
  <c r="D45" i="22"/>
  <c r="E45" i="22" s="1"/>
  <c r="C35" i="18"/>
  <c r="A47" i="22" l="1"/>
  <c r="D46" i="22"/>
  <c r="E46" i="22" s="1"/>
  <c r="C27" i="18"/>
  <c r="C31" i="18" s="1"/>
  <c r="C30" i="18" s="1"/>
  <c r="C23" i="18"/>
  <c r="C16" i="18"/>
  <c r="C15" i="18"/>
  <c r="H14" i="18"/>
  <c r="H65" i="18" s="1"/>
  <c r="G14" i="18"/>
  <c r="F14" i="18"/>
  <c r="E14" i="18"/>
  <c r="D43" i="18"/>
  <c r="H12" i="18"/>
  <c r="H19" i="18" s="1"/>
  <c r="H20" i="18" s="1"/>
  <c r="G12" i="18"/>
  <c r="F12" i="18"/>
  <c r="E12" i="18"/>
  <c r="D12" i="18"/>
  <c r="D19" i="18" s="1"/>
  <c r="C11" i="18"/>
  <c r="C10" i="18"/>
  <c r="C8" i="18"/>
  <c r="D55" i="13"/>
  <c r="A55" i="13"/>
  <c r="D54" i="13"/>
  <c r="A54" i="13"/>
  <c r="D53" i="13"/>
  <c r="A53" i="13"/>
  <c r="D52" i="13"/>
  <c r="A52" i="13"/>
  <c r="D51" i="13"/>
  <c r="A51" i="13"/>
  <c r="D49" i="13"/>
  <c r="D45" i="13"/>
  <c r="A45" i="13"/>
  <c r="D44" i="13"/>
  <c r="A44" i="13"/>
  <c r="D43" i="13"/>
  <c r="A43" i="13"/>
  <c r="D42" i="13"/>
  <c r="A42" i="13"/>
  <c r="D37" i="13"/>
  <c r="D36" i="13"/>
  <c r="Y20" i="4" l="1"/>
  <c r="D26" i="18"/>
  <c r="K37" i="18" s="1"/>
  <c r="P10" i="18"/>
  <c r="O10" i="18"/>
  <c r="N10" i="18"/>
  <c r="M10" i="18"/>
  <c r="Q10" i="18"/>
  <c r="O8" i="18"/>
  <c r="N8" i="18"/>
  <c r="M8" i="18"/>
  <c r="Q8" i="18"/>
  <c r="P8" i="18"/>
  <c r="Y27" i="4"/>
  <c r="Y28" i="4"/>
  <c r="Y29" i="4"/>
  <c r="Y26" i="4"/>
  <c r="C67" i="18"/>
  <c r="C76" i="18"/>
  <c r="W36" i="4"/>
  <c r="Y36" i="4" s="1"/>
  <c r="W35" i="4"/>
  <c r="Y35" i="4" s="1"/>
  <c r="Y10" i="4"/>
  <c r="Y14" i="4"/>
  <c r="Y18" i="4"/>
  <c r="Y32" i="4"/>
  <c r="Y37" i="4"/>
  <c r="Y41" i="4"/>
  <c r="Y12" i="4"/>
  <c r="Y21" i="4"/>
  <c r="Y39" i="4"/>
  <c r="Y15" i="4"/>
  <c r="Y33" i="4"/>
  <c r="Y38" i="4"/>
  <c r="Y9" i="4"/>
  <c r="Y17" i="4"/>
  <c r="Y22" i="4"/>
  <c r="Y40" i="4"/>
  <c r="Y8" i="4"/>
  <c r="Y16" i="4"/>
  <c r="Y11" i="4"/>
  <c r="Y19" i="4"/>
  <c r="H43" i="18"/>
  <c r="H74" i="18"/>
  <c r="G43" i="18"/>
  <c r="G74" i="18"/>
  <c r="G65" i="18"/>
  <c r="F43" i="18"/>
  <c r="F65" i="18"/>
  <c r="F74" i="18"/>
  <c r="E43" i="18"/>
  <c r="E65" i="18"/>
  <c r="E74" i="18"/>
  <c r="C73" i="18"/>
  <c r="H73" i="18" s="1"/>
  <c r="C64" i="18"/>
  <c r="E64" i="18" s="1"/>
  <c r="A48" i="22"/>
  <c r="D47" i="22"/>
  <c r="E47" i="22" s="1"/>
  <c r="C14" i="18"/>
  <c r="C43" i="18" s="1"/>
  <c r="C12" i="18"/>
  <c r="C29" i="18"/>
  <c r="D29" i="18" s="1"/>
  <c r="D34" i="13"/>
  <c r="A34" i="13"/>
  <c r="D33" i="13"/>
  <c r="A33" i="13"/>
  <c r="D32" i="13"/>
  <c r="A32" i="13"/>
  <c r="D31" i="13"/>
  <c r="A31" i="13"/>
  <c r="D30" i="13"/>
  <c r="A30" i="13"/>
  <c r="D26" i="13"/>
  <c r="D25" i="13"/>
  <c r="D21" i="13"/>
  <c r="D20" i="13"/>
  <c r="O91" i="11" s="1"/>
  <c r="A20" i="13"/>
  <c r="D19" i="13"/>
  <c r="A19" i="13"/>
  <c r="D15" i="13"/>
  <c r="D13" i="13"/>
  <c r="W13" i="4" l="1"/>
  <c r="Y13" i="4" s="1"/>
  <c r="W30" i="4"/>
  <c r="Y30" i="4" s="1"/>
  <c r="W25" i="4"/>
  <c r="Y25" i="4" s="1"/>
  <c r="W7" i="4"/>
  <c r="Y7" i="4" s="1"/>
  <c r="R16" i="13"/>
  <c r="H64" i="18"/>
  <c r="W42" i="4"/>
  <c r="Y42" i="4" s="1"/>
  <c r="W31" i="4"/>
  <c r="Y31" i="4" s="1"/>
  <c r="W24" i="4"/>
  <c r="Y24" i="4" s="1"/>
  <c r="W34" i="4"/>
  <c r="Y34" i="4" s="1"/>
  <c r="W23" i="4"/>
  <c r="P16" i="13"/>
  <c r="P19" i="13"/>
  <c r="P30" i="13"/>
  <c r="C74" i="18"/>
  <c r="C65" i="18"/>
  <c r="F64" i="18"/>
  <c r="G64" i="18"/>
  <c r="D73" i="18"/>
  <c r="F73" i="18"/>
  <c r="G73" i="18"/>
  <c r="D64" i="18"/>
  <c r="E73" i="18"/>
  <c r="A49" i="22"/>
  <c r="D49" i="22" s="1"/>
  <c r="E49" i="22" s="1"/>
  <c r="D48" i="22"/>
  <c r="E48" i="22" s="1"/>
  <c r="C17" i="18"/>
  <c r="J19" i="15"/>
  <c r="J18" i="15"/>
  <c r="J16" i="15"/>
  <c r="P17" i="18" l="1"/>
  <c r="N17" i="18"/>
  <c r="M17" i="18"/>
  <c r="Q17" i="18"/>
  <c r="O17" i="18"/>
  <c r="W47" i="4"/>
  <c r="H107" i="1" s="1"/>
  <c r="Y23" i="4"/>
  <c r="G19" i="18"/>
  <c r="F19" i="18" s="1"/>
  <c r="E19" i="18" s="1"/>
  <c r="P113" i="11"/>
  <c r="O113" i="11"/>
  <c r="N113" i="11"/>
  <c r="M113" i="11"/>
  <c r="K113" i="11"/>
  <c r="I113" i="11"/>
  <c r="P112" i="11"/>
  <c r="O112" i="11"/>
  <c r="N112" i="11"/>
  <c r="M112" i="11"/>
  <c r="K112" i="11"/>
  <c r="I112" i="11"/>
  <c r="P111" i="11"/>
  <c r="O111" i="11"/>
  <c r="N111" i="11"/>
  <c r="M111" i="11"/>
  <c r="K111" i="11"/>
  <c r="I111" i="11"/>
  <c r="P110" i="11"/>
  <c r="O110" i="11"/>
  <c r="N110" i="11"/>
  <c r="M110" i="11"/>
  <c r="K110" i="11"/>
  <c r="I110" i="11"/>
  <c r="P109" i="11"/>
  <c r="O109" i="11"/>
  <c r="N109" i="11"/>
  <c r="M109" i="11"/>
  <c r="K109" i="11"/>
  <c r="I109" i="11"/>
  <c r="K108" i="11"/>
  <c r="I108" i="11"/>
  <c r="F106" i="11"/>
  <c r="C106" i="11"/>
  <c r="D20" i="18" l="1"/>
  <c r="C19" i="18"/>
  <c r="G20" i="18"/>
  <c r="D18" i="15" s="1"/>
  <c r="C108" i="11"/>
  <c r="F20" i="18"/>
  <c r="C109" i="11"/>
  <c r="C113" i="11"/>
  <c r="C114" i="11"/>
  <c r="C110" i="11"/>
  <c r="C111" i="11"/>
  <c r="C112" i="11"/>
  <c r="C115" i="11"/>
  <c r="C116" i="11"/>
  <c r="C117" i="11"/>
  <c r="C118" i="11"/>
  <c r="C119" i="11"/>
  <c r="C120" i="11"/>
  <c r="C121" i="11"/>
  <c r="C122" i="11"/>
  <c r="C32" i="18" l="1"/>
  <c r="G39" i="18" s="1"/>
  <c r="C63" i="18"/>
  <c r="H63" i="18" s="1"/>
  <c r="H67" i="18" s="1"/>
  <c r="C20" i="18"/>
  <c r="H21" i="18" s="1"/>
  <c r="H57" i="18" s="1"/>
  <c r="E20" i="18"/>
  <c r="C44" i="18"/>
  <c r="I43" i="18" s="1"/>
  <c r="H39" i="18" l="1"/>
  <c r="H38" i="18" s="1"/>
  <c r="I19" i="15" s="1"/>
  <c r="C72" i="18"/>
  <c r="H72" i="18" s="1"/>
  <c r="C68" i="18"/>
  <c r="D63" i="18"/>
  <c r="D67" i="18" s="1"/>
  <c r="D68" i="18" s="1"/>
  <c r="H68" i="18"/>
  <c r="H83" i="18" s="1"/>
  <c r="F63" i="18"/>
  <c r="F67" i="18" s="1"/>
  <c r="F68" i="18" s="1"/>
  <c r="E63" i="18"/>
  <c r="E67" i="18" s="1"/>
  <c r="E68" i="18" s="1"/>
  <c r="G63" i="18"/>
  <c r="G67" i="18" s="1"/>
  <c r="G68" i="18" s="1"/>
  <c r="G21" i="18"/>
  <c r="C21" i="18"/>
  <c r="E20" i="15" s="1"/>
  <c r="F39" i="18"/>
  <c r="F40" i="18" s="1"/>
  <c r="C39" i="18"/>
  <c r="C38" i="18" s="1"/>
  <c r="F21" i="18"/>
  <c r="D20" i="15"/>
  <c r="D21" i="18"/>
  <c r="C33" i="18"/>
  <c r="E39" i="18"/>
  <c r="E40" i="18" s="1"/>
  <c r="D32" i="18"/>
  <c r="G40" i="18"/>
  <c r="G38" i="18"/>
  <c r="I18" i="15" s="1"/>
  <c r="E21" i="18"/>
  <c r="D16" i="15"/>
  <c r="K74" i="11"/>
  <c r="H71" i="11"/>
  <c r="H81" i="11" s="1"/>
  <c r="H86" i="11" s="1"/>
  <c r="G71" i="11"/>
  <c r="F71" i="11"/>
  <c r="D71" i="11"/>
  <c r="H70" i="11"/>
  <c r="G70" i="11"/>
  <c r="G80" i="11" s="1"/>
  <c r="D70" i="11"/>
  <c r="D80" i="11" s="1"/>
  <c r="H69" i="11"/>
  <c r="G69" i="11"/>
  <c r="G79" i="11" s="1"/>
  <c r="F69" i="11"/>
  <c r="F84" i="11" s="1"/>
  <c r="E69" i="11"/>
  <c r="E79" i="11" s="1"/>
  <c r="E84" i="11" s="1"/>
  <c r="D69" i="11"/>
  <c r="D79" i="11" s="1"/>
  <c r="H68" i="11"/>
  <c r="G68" i="11"/>
  <c r="F68" i="11"/>
  <c r="E68" i="11"/>
  <c r="E78" i="11" s="1"/>
  <c r="E83" i="11" s="1"/>
  <c r="H67" i="11"/>
  <c r="G67" i="11"/>
  <c r="F67" i="11"/>
  <c r="F77" i="11" s="1"/>
  <c r="E67" i="11"/>
  <c r="D67" i="11"/>
  <c r="D77" i="11" s="1"/>
  <c r="D82" i="11" s="1"/>
  <c r="L90" i="11" s="1"/>
  <c r="J63" i="11"/>
  <c r="I63" i="11"/>
  <c r="H62" i="11"/>
  <c r="H64" i="11" s="1"/>
  <c r="G62" i="11"/>
  <c r="G64" i="11" s="1"/>
  <c r="F62" i="11"/>
  <c r="E62" i="11"/>
  <c r="D62" i="11"/>
  <c r="V42" i="11"/>
  <c r="U42" i="11"/>
  <c r="T42" i="11"/>
  <c r="S42" i="11"/>
  <c r="P42" i="11"/>
  <c r="O42" i="11"/>
  <c r="N42" i="11"/>
  <c r="M42" i="11"/>
  <c r="L42" i="11"/>
  <c r="V41" i="11"/>
  <c r="U41" i="11"/>
  <c r="T41" i="11"/>
  <c r="S41" i="11"/>
  <c r="P41" i="11"/>
  <c r="O41" i="11"/>
  <c r="N41" i="11"/>
  <c r="M41" i="11"/>
  <c r="L41" i="11"/>
  <c r="V40" i="11"/>
  <c r="U40" i="11"/>
  <c r="T40" i="11"/>
  <c r="S40" i="11"/>
  <c r="P40" i="11"/>
  <c r="O40" i="11"/>
  <c r="N40" i="11"/>
  <c r="M40" i="11"/>
  <c r="L40" i="11"/>
  <c r="V39" i="11"/>
  <c r="U39" i="11"/>
  <c r="T39" i="11"/>
  <c r="S39" i="11"/>
  <c r="P39" i="11"/>
  <c r="O39" i="11"/>
  <c r="N39" i="11"/>
  <c r="M39" i="11"/>
  <c r="L39" i="11"/>
  <c r="P38" i="11"/>
  <c r="O38" i="11"/>
  <c r="N38" i="11"/>
  <c r="M38" i="11"/>
  <c r="L38" i="11"/>
  <c r="H34" i="11"/>
  <c r="G34" i="11"/>
  <c r="D32" i="11"/>
  <c r="J113" i="11" s="1"/>
  <c r="D31" i="11"/>
  <c r="J112" i="11" s="1"/>
  <c r="D30" i="11"/>
  <c r="J111" i="11" s="1"/>
  <c r="H27" i="11"/>
  <c r="G27" i="11"/>
  <c r="D27" i="11"/>
  <c r="D37" i="11" s="1"/>
  <c r="H26" i="11"/>
  <c r="I49" i="13" s="1"/>
  <c r="G26" i="11"/>
  <c r="F26" i="11"/>
  <c r="F36" i="11" s="1"/>
  <c r="E26" i="11"/>
  <c r="D26" i="11"/>
  <c r="H24" i="11"/>
  <c r="G24" i="11"/>
  <c r="P20" i="11"/>
  <c r="O20" i="11"/>
  <c r="N20" i="11"/>
  <c r="M20" i="11"/>
  <c r="L20" i="11"/>
  <c r="D20" i="11"/>
  <c r="P19" i="11"/>
  <c r="O19" i="11"/>
  <c r="N19" i="11"/>
  <c r="M19" i="11"/>
  <c r="L19" i="11"/>
  <c r="F54" i="13"/>
  <c r="D19" i="11"/>
  <c r="P18" i="11"/>
  <c r="O18" i="11"/>
  <c r="N18" i="11"/>
  <c r="M18" i="11"/>
  <c r="L18" i="11"/>
  <c r="P17" i="11"/>
  <c r="O17" i="11"/>
  <c r="N17" i="11"/>
  <c r="M17" i="11"/>
  <c r="L17" i="11"/>
  <c r="F52" i="13"/>
  <c r="F43" i="13"/>
  <c r="F16" i="13"/>
  <c r="P16" i="11"/>
  <c r="O16" i="11"/>
  <c r="N16" i="11"/>
  <c r="M16" i="11"/>
  <c r="M21" i="11" s="1"/>
  <c r="L16" i="11"/>
  <c r="H15" i="11"/>
  <c r="G15" i="11"/>
  <c r="D15" i="11"/>
  <c r="H14" i="11"/>
  <c r="F49" i="13" s="1"/>
  <c r="E49" i="13" s="1"/>
  <c r="G14" i="11"/>
  <c r="F14" i="11"/>
  <c r="E14" i="11"/>
  <c r="D14" i="11"/>
  <c r="F13" i="13" s="1"/>
  <c r="E13" i="13" s="1"/>
  <c r="N12" i="11"/>
  <c r="H12" i="11"/>
  <c r="G12" i="11"/>
  <c r="E77" i="11" l="1"/>
  <c r="E82" i="11" s="1"/>
  <c r="F83" i="11"/>
  <c r="J83" i="11" s="1"/>
  <c r="E29" i="11"/>
  <c r="G8" i="22"/>
  <c r="G47" i="22" s="1"/>
  <c r="E54" i="13"/>
  <c r="E52" i="13"/>
  <c r="E43" i="13"/>
  <c r="J84" i="11"/>
  <c r="F82" i="11"/>
  <c r="F70" i="18"/>
  <c r="F90" i="18" s="1"/>
  <c r="F83" i="18"/>
  <c r="C77" i="18"/>
  <c r="C79" i="18" s="1"/>
  <c r="D72" i="18"/>
  <c r="D76" i="18" s="1"/>
  <c r="D77" i="18" s="1"/>
  <c r="D81" i="18" s="1"/>
  <c r="E72" i="18"/>
  <c r="E76" i="18" s="1"/>
  <c r="E77" i="18" s="1"/>
  <c r="H76" i="18"/>
  <c r="H77" i="18" s="1"/>
  <c r="H81" i="18" s="1"/>
  <c r="F72" i="18"/>
  <c r="F76" i="18" s="1"/>
  <c r="F77" i="18" s="1"/>
  <c r="G72" i="18"/>
  <c r="G76" i="18" s="1"/>
  <c r="G77" i="18" s="1"/>
  <c r="E83" i="18"/>
  <c r="E70" i="18"/>
  <c r="E90" i="18" s="1"/>
  <c r="C83" i="18"/>
  <c r="C70" i="18"/>
  <c r="G83" i="18"/>
  <c r="G70" i="18"/>
  <c r="G90" i="18" s="1"/>
  <c r="H70" i="18"/>
  <c r="H90" i="18" s="1"/>
  <c r="D83" i="18"/>
  <c r="D70" i="18"/>
  <c r="D90" i="18" s="1"/>
  <c r="K17" i="15"/>
  <c r="F57" i="18"/>
  <c r="E18" i="15"/>
  <c r="K18" i="15" s="1"/>
  <c r="G57" i="18"/>
  <c r="E16" i="15"/>
  <c r="K16" i="15" s="1"/>
  <c r="E57" i="18"/>
  <c r="H78" i="11"/>
  <c r="H83" i="11" s="1"/>
  <c r="K83" i="11" s="1"/>
  <c r="C40" i="18"/>
  <c r="E41" i="18" s="1"/>
  <c r="E42" i="18" s="1"/>
  <c r="E45" i="18" s="1"/>
  <c r="D64" i="11"/>
  <c r="E15" i="13"/>
  <c r="E16" i="13" s="1"/>
  <c r="F86" i="11"/>
  <c r="F38" i="18"/>
  <c r="E38" i="18"/>
  <c r="I16" i="15" s="1"/>
  <c r="D39" i="18"/>
  <c r="D37" i="18" s="1"/>
  <c r="D57" i="18" s="1"/>
  <c r="H40" i="18"/>
  <c r="D36" i="11"/>
  <c r="F34" i="13"/>
  <c r="F55" i="13"/>
  <c r="F44" i="13"/>
  <c r="F53" i="13"/>
  <c r="H79" i="11"/>
  <c r="H84" i="11" s="1"/>
  <c r="F42" i="13"/>
  <c r="F51" i="13"/>
  <c r="H77" i="11"/>
  <c r="H82" i="11" s="1"/>
  <c r="F33" i="13"/>
  <c r="F45" i="13"/>
  <c r="G78" i="11"/>
  <c r="G77" i="11"/>
  <c r="G82" i="11" s="1"/>
  <c r="F21" i="13"/>
  <c r="F32" i="13"/>
  <c r="F20" i="13"/>
  <c r="F31" i="13"/>
  <c r="F26" i="13"/>
  <c r="F37" i="13"/>
  <c r="N21" i="11"/>
  <c r="F36" i="13"/>
  <c r="F25" i="13"/>
  <c r="H36" i="11"/>
  <c r="G36" i="11" s="1"/>
  <c r="J49" i="13"/>
  <c r="D19" i="15"/>
  <c r="E19" i="15"/>
  <c r="K19" i="15" s="1"/>
  <c r="I20" i="15"/>
  <c r="C37" i="18"/>
  <c r="J20" i="15" s="1"/>
  <c r="E36" i="11"/>
  <c r="I13" i="13"/>
  <c r="J108" i="11"/>
  <c r="J190" i="1"/>
  <c r="I190" i="1"/>
  <c r="H190" i="1"/>
  <c r="G190" i="1"/>
  <c r="D185" i="1"/>
  <c r="E30" i="11" l="1"/>
  <c r="G34" i="22"/>
  <c r="G46" i="22"/>
  <c r="J82" i="11"/>
  <c r="P94" i="11"/>
  <c r="P95" i="11" s="1"/>
  <c r="P96" i="11" s="1"/>
  <c r="P90" i="11"/>
  <c r="O90" i="11"/>
  <c r="M94" i="11"/>
  <c r="G9" i="22"/>
  <c r="G13" i="22"/>
  <c r="G35" i="22"/>
  <c r="G11" i="22"/>
  <c r="G15" i="22"/>
  <c r="G40" i="22"/>
  <c r="G24" i="22"/>
  <c r="G19" i="22"/>
  <c r="G25" i="22"/>
  <c r="G41" i="22"/>
  <c r="E49" i="18"/>
  <c r="E61" i="18"/>
  <c r="G30" i="22"/>
  <c r="G14" i="22"/>
  <c r="G31" i="22"/>
  <c r="G20" i="22"/>
  <c r="G36" i="22"/>
  <c r="G21" i="22"/>
  <c r="G37" i="22"/>
  <c r="G48" i="22"/>
  <c r="G49" i="22"/>
  <c r="G43" i="22"/>
  <c r="G26" i="22"/>
  <c r="G10" i="22"/>
  <c r="G27" i="22"/>
  <c r="G16" i="22"/>
  <c r="G32" i="22"/>
  <c r="G17" i="22"/>
  <c r="G33" i="22"/>
  <c r="G42" i="22"/>
  <c r="G45" i="22"/>
  <c r="G22" i="22"/>
  <c r="G38" i="22"/>
  <c r="G23" i="22"/>
  <c r="G39" i="22"/>
  <c r="G28" i="22"/>
  <c r="G12" i="22"/>
  <c r="G29" i="22"/>
  <c r="G18" i="22"/>
  <c r="G44" i="22"/>
  <c r="E51" i="13"/>
  <c r="E31" i="13"/>
  <c r="E33" i="13"/>
  <c r="E34" i="13"/>
  <c r="E32" i="13"/>
  <c r="E44" i="13"/>
  <c r="E26" i="13"/>
  <c r="E21" i="13"/>
  <c r="E45" i="13"/>
  <c r="E42" i="13"/>
  <c r="E55" i="13"/>
  <c r="E37" i="13"/>
  <c r="E20" i="13"/>
  <c r="E53" i="13"/>
  <c r="C90" i="18"/>
  <c r="K70" i="18"/>
  <c r="H79" i="18"/>
  <c r="F81" i="18"/>
  <c r="F79" i="18"/>
  <c r="G81" i="18"/>
  <c r="G79" i="18"/>
  <c r="E81" i="18"/>
  <c r="E79" i="18"/>
  <c r="G41" i="18"/>
  <c r="G42" i="18" s="1"/>
  <c r="G45" i="18" s="1"/>
  <c r="H41" i="18"/>
  <c r="H42" i="18" s="1"/>
  <c r="D79" i="18"/>
  <c r="B57" i="22"/>
  <c r="H20" i="13"/>
  <c r="Z20" i="13" s="1"/>
  <c r="I57" i="22"/>
  <c r="J15" i="15"/>
  <c r="C41" i="18"/>
  <c r="C42" i="18" s="1"/>
  <c r="F41" i="18"/>
  <c r="F42" i="18" s="1"/>
  <c r="E36" i="13"/>
  <c r="G84" i="11"/>
  <c r="G30" i="11" s="1"/>
  <c r="G83" i="11"/>
  <c r="G29" i="11" s="1"/>
  <c r="L82" i="11"/>
  <c r="J86" i="11"/>
  <c r="C185" i="1"/>
  <c r="E53" i="18"/>
  <c r="I39" i="18"/>
  <c r="D38" i="18"/>
  <c r="I15" i="15" s="1"/>
  <c r="D40" i="18"/>
  <c r="D41" i="18" s="1"/>
  <c r="G89" i="11"/>
  <c r="H89" i="11"/>
  <c r="I20" i="13"/>
  <c r="H49" i="13"/>
  <c r="G49" i="13" s="1"/>
  <c r="F28" i="11"/>
  <c r="F38" i="11" s="1"/>
  <c r="F30" i="13"/>
  <c r="L30" i="13" s="1"/>
  <c r="N22" i="11"/>
  <c r="E25" i="13"/>
  <c r="F19" i="13"/>
  <c r="M22" i="11"/>
  <c r="H29" i="11"/>
  <c r="H28" i="11"/>
  <c r="K82" i="11"/>
  <c r="H30" i="11"/>
  <c r="K84" i="11"/>
  <c r="G81" i="11"/>
  <c r="G86" i="11" s="1"/>
  <c r="G28" i="11"/>
  <c r="E32" i="11"/>
  <c r="E42" i="11" s="1"/>
  <c r="L110" i="11"/>
  <c r="D81" i="11"/>
  <c r="H80" i="11" s="1"/>
  <c r="D40" i="11"/>
  <c r="H13" i="13"/>
  <c r="G13" i="13" s="1"/>
  <c r="J13" i="13"/>
  <c r="I23" i="13" l="1"/>
  <c r="H23" i="13"/>
  <c r="B93" i="22"/>
  <c r="B100" i="22"/>
  <c r="O94" i="11"/>
  <c r="O95" i="11" s="1"/>
  <c r="M95" i="11"/>
  <c r="M96" i="11" s="1"/>
  <c r="G53" i="18"/>
  <c r="G61" i="18"/>
  <c r="E30" i="13"/>
  <c r="I100" i="22"/>
  <c r="C81" i="18"/>
  <c r="B68" i="22"/>
  <c r="B77" i="22"/>
  <c r="B58" i="22"/>
  <c r="B84" i="22"/>
  <c r="B66" i="22"/>
  <c r="B59" i="22"/>
  <c r="B82" i="22"/>
  <c r="B75" i="22"/>
  <c r="B62" i="22"/>
  <c r="B78" i="22"/>
  <c r="B64" i="22"/>
  <c r="B80" i="22"/>
  <c r="B87" i="22"/>
  <c r="B79" i="22"/>
  <c r="B63" i="22"/>
  <c r="B81" i="22"/>
  <c r="B65" i="22"/>
  <c r="B61" i="22"/>
  <c r="B74" i="22"/>
  <c r="B90" i="22"/>
  <c r="B76" i="22"/>
  <c r="B92" i="22"/>
  <c r="B83" i="22"/>
  <c r="B67" i="22"/>
  <c r="B85" i="22"/>
  <c r="B69" i="22"/>
  <c r="B70" i="22"/>
  <c r="B86" i="22"/>
  <c r="B72" i="22"/>
  <c r="B88" i="22"/>
  <c r="B91" i="22"/>
  <c r="B71" i="22"/>
  <c r="B89" i="22"/>
  <c r="B73" i="22"/>
  <c r="B60" i="22"/>
  <c r="Z31" i="13"/>
  <c r="J100" i="22"/>
  <c r="K100" i="22"/>
  <c r="I93" i="22"/>
  <c r="I91" i="22"/>
  <c r="I81" i="22"/>
  <c r="I88" i="22"/>
  <c r="I85" i="22"/>
  <c r="I83" i="22"/>
  <c r="I79" i="22"/>
  <c r="I80" i="22"/>
  <c r="I78" i="22"/>
  <c r="I89" i="22"/>
  <c r="I92" i="22"/>
  <c r="I87" i="22"/>
  <c r="I86" i="22"/>
  <c r="I84" i="22"/>
  <c r="I82" i="22"/>
  <c r="I90" i="22"/>
  <c r="J57" i="22"/>
  <c r="D28" i="11"/>
  <c r="D38" i="11" s="1"/>
  <c r="N90" i="11"/>
  <c r="H52" i="13"/>
  <c r="I29" i="11"/>
  <c r="E28" i="11"/>
  <c r="H26" i="13" s="1"/>
  <c r="I30" i="11"/>
  <c r="J20" i="13"/>
  <c r="G20" i="13"/>
  <c r="H43" i="13"/>
  <c r="Z43" i="13" s="1"/>
  <c r="I43" i="13"/>
  <c r="I44" i="13"/>
  <c r="G44" i="13" s="1"/>
  <c r="I53" i="13"/>
  <c r="H53" i="13"/>
  <c r="I52" i="13"/>
  <c r="I41" i="18"/>
  <c r="D42" i="18"/>
  <c r="I42" i="18" s="1"/>
  <c r="I51" i="13"/>
  <c r="H51" i="13"/>
  <c r="I21" i="13"/>
  <c r="L111" i="11"/>
  <c r="I40" i="18"/>
  <c r="H45" i="18"/>
  <c r="I42" i="13"/>
  <c r="Z32" i="13"/>
  <c r="J37" i="13"/>
  <c r="E19" i="13"/>
  <c r="H32" i="11"/>
  <c r="K86" i="11"/>
  <c r="C46" i="18"/>
  <c r="H37" i="11"/>
  <c r="G37" i="11" s="1"/>
  <c r="G32" i="11"/>
  <c r="G85" i="11"/>
  <c r="H85" i="11"/>
  <c r="H44" i="13"/>
  <c r="Z44" i="13" s="1"/>
  <c r="D42" i="11"/>
  <c r="F178" i="1"/>
  <c r="E178" i="1"/>
  <c r="E182" i="1" s="1"/>
  <c r="D178" i="1"/>
  <c r="I22" i="13" l="1"/>
  <c r="H22" i="13"/>
  <c r="H61" i="18"/>
  <c r="H49" i="18"/>
  <c r="K44" i="13"/>
  <c r="L44" i="13"/>
  <c r="K20" i="13"/>
  <c r="L20" i="13"/>
  <c r="J51" i="13"/>
  <c r="Z26" i="13"/>
  <c r="I26" i="13"/>
  <c r="J109" i="11"/>
  <c r="H46" i="18"/>
  <c r="H91" i="18" s="1"/>
  <c r="I102" i="22"/>
  <c r="I101" i="22"/>
  <c r="C47" i="18"/>
  <c r="C84" i="18"/>
  <c r="C85" i="18" s="1"/>
  <c r="C91" i="18"/>
  <c r="C92" i="18" s="1"/>
  <c r="I15" i="13"/>
  <c r="C57" i="22"/>
  <c r="H21" i="13"/>
  <c r="Z21" i="13" s="1"/>
  <c r="G52" i="13"/>
  <c r="J53" i="13"/>
  <c r="G53" i="13"/>
  <c r="G51" i="13"/>
  <c r="H55" i="13"/>
  <c r="H57" i="22"/>
  <c r="L109" i="11"/>
  <c r="L113" i="11"/>
  <c r="J42" i="13"/>
  <c r="G42" i="13"/>
  <c r="J43" i="13"/>
  <c r="G43" i="13"/>
  <c r="I46" i="13" s="1"/>
  <c r="J44" i="13"/>
  <c r="J21" i="13"/>
  <c r="G21" i="13"/>
  <c r="D29" i="11"/>
  <c r="D39" i="11" s="1"/>
  <c r="J31" i="13"/>
  <c r="J32" i="13"/>
  <c r="L91" i="11"/>
  <c r="J67" i="11"/>
  <c r="J52" i="13"/>
  <c r="G31" i="11"/>
  <c r="D45" i="18"/>
  <c r="D61" i="18" s="1"/>
  <c r="I55" i="13"/>
  <c r="H53" i="18"/>
  <c r="Z34" i="13"/>
  <c r="C178" i="1"/>
  <c r="H31" i="11"/>
  <c r="K85" i="11"/>
  <c r="J85" i="11"/>
  <c r="D41" i="11"/>
  <c r="H42" i="13"/>
  <c r="Z42" i="13" s="1"/>
  <c r="F182" i="1"/>
  <c r="D174" i="1"/>
  <c r="D182" i="1" s="1"/>
  <c r="G26" i="13" l="1"/>
  <c r="J26" i="13"/>
  <c r="N91" i="11"/>
  <c r="N92" i="11" s="1"/>
  <c r="L92" i="11"/>
  <c r="C64" i="22"/>
  <c r="E64" i="22" s="1"/>
  <c r="C100" i="22"/>
  <c r="C101" i="22" s="1"/>
  <c r="C102" i="22" s="1"/>
  <c r="X30" i="4"/>
  <c r="X25" i="4"/>
  <c r="X7" i="4"/>
  <c r="K52" i="13"/>
  <c r="L52" i="13"/>
  <c r="K32" i="13"/>
  <c r="L32" i="13"/>
  <c r="K51" i="13"/>
  <c r="L51" i="13"/>
  <c r="K37" i="13"/>
  <c r="K31" i="13"/>
  <c r="L31" i="13"/>
  <c r="K42" i="13"/>
  <c r="L42" i="13"/>
  <c r="K26" i="13"/>
  <c r="L26" i="13"/>
  <c r="J56" i="13"/>
  <c r="X34" i="4"/>
  <c r="X42" i="4"/>
  <c r="X31" i="4"/>
  <c r="X24" i="4"/>
  <c r="X13" i="4"/>
  <c r="X23" i="4"/>
  <c r="K43" i="13"/>
  <c r="L43" i="13"/>
  <c r="K21" i="13"/>
  <c r="L21" i="13"/>
  <c r="K53" i="13"/>
  <c r="L53" i="13"/>
  <c r="M35" i="11"/>
  <c r="J38" i="13"/>
  <c r="J46" i="13"/>
  <c r="H8" i="22"/>
  <c r="H15" i="13"/>
  <c r="N35" i="11"/>
  <c r="I16" i="13"/>
  <c r="S16" i="13" s="1"/>
  <c r="I8" i="22"/>
  <c r="C58" i="22"/>
  <c r="E58" i="22" s="1"/>
  <c r="C74" i="22"/>
  <c r="C63" i="22"/>
  <c r="E63" i="22" s="1"/>
  <c r="C85" i="22"/>
  <c r="C86" i="22"/>
  <c r="I32" i="11"/>
  <c r="H54" i="13"/>
  <c r="H47" i="18"/>
  <c r="G19" i="15" s="1"/>
  <c r="H84" i="18"/>
  <c r="H85" i="18" s="1"/>
  <c r="C79" i="22"/>
  <c r="C88" i="22"/>
  <c r="C65" i="22"/>
  <c r="C72" i="22"/>
  <c r="C75" i="22"/>
  <c r="C59" i="22"/>
  <c r="E59" i="22" s="1"/>
  <c r="C78" i="22"/>
  <c r="C91" i="22"/>
  <c r="C71" i="22"/>
  <c r="C61" i="22"/>
  <c r="E61" i="22" s="1"/>
  <c r="C82" i="22"/>
  <c r="C66" i="22"/>
  <c r="C83" i="22"/>
  <c r="C69" i="22"/>
  <c r="C60" i="22"/>
  <c r="E60" i="22" s="1"/>
  <c r="C90" i="22"/>
  <c r="C80" i="22"/>
  <c r="C70" i="22"/>
  <c r="C87" i="22"/>
  <c r="C77" i="22"/>
  <c r="C67" i="22"/>
  <c r="C93" i="22"/>
  <c r="C62" i="22"/>
  <c r="E62" i="22" s="1"/>
  <c r="C92" i="22"/>
  <c r="C84" i="22"/>
  <c r="C76" i="22"/>
  <c r="C68" i="22"/>
  <c r="C89" i="22"/>
  <c r="C81" i="22"/>
  <c r="C73" i="22"/>
  <c r="H94" i="18"/>
  <c r="H92" i="18"/>
  <c r="Z33" i="13"/>
  <c r="L100" i="22"/>
  <c r="H58" i="22"/>
  <c r="H93" i="22"/>
  <c r="D46" i="18"/>
  <c r="D91" i="18" s="1"/>
  <c r="D53" i="18"/>
  <c r="J55" i="13"/>
  <c r="G55" i="13"/>
  <c r="I31" i="11"/>
  <c r="H76" i="22"/>
  <c r="H79" i="22"/>
  <c r="H71" i="22"/>
  <c r="H92" i="22"/>
  <c r="H66" i="22"/>
  <c r="H85" i="22"/>
  <c r="H77" i="22"/>
  <c r="H61" i="22"/>
  <c r="H83" i="22"/>
  <c r="H75" i="22"/>
  <c r="H59" i="22"/>
  <c r="H72" i="22"/>
  <c r="H89" i="22"/>
  <c r="H70" i="22"/>
  <c r="H65" i="22"/>
  <c r="H82" i="22"/>
  <c r="H62" i="22"/>
  <c r="H64" i="22"/>
  <c r="H63" i="22"/>
  <c r="H84" i="22"/>
  <c r="H78" i="22"/>
  <c r="H69" i="22"/>
  <c r="H86" i="22"/>
  <c r="H68" i="22"/>
  <c r="H74" i="22"/>
  <c r="H67" i="22"/>
  <c r="H88" i="22"/>
  <c r="H60" i="22"/>
  <c r="H81" i="22"/>
  <c r="H73" i="22"/>
  <c r="H90" i="22"/>
  <c r="H91" i="22"/>
  <c r="H87" i="22"/>
  <c r="H80" i="22"/>
  <c r="H45" i="13"/>
  <c r="Z45" i="13" s="1"/>
  <c r="L112" i="11"/>
  <c r="J34" i="13"/>
  <c r="J110" i="11"/>
  <c r="D121" i="11" s="1"/>
  <c r="E121" i="11" s="1"/>
  <c r="F121" i="11" s="1"/>
  <c r="D57" i="22"/>
  <c r="I45" i="13"/>
  <c r="D49" i="18"/>
  <c r="I54" i="13"/>
  <c r="Z20" i="4" s="1"/>
  <c r="AA20" i="4" s="1"/>
  <c r="C174" i="1"/>
  <c r="C182" i="1" s="1"/>
  <c r="G20" i="15"/>
  <c r="C61" i="11"/>
  <c r="D93" i="22" l="1"/>
  <c r="E93" i="22" s="1"/>
  <c r="D100" i="22"/>
  <c r="Z30" i="4"/>
  <c r="AA30" i="4" s="1"/>
  <c r="L37" i="13"/>
  <c r="Z37" i="13"/>
  <c r="K34" i="13"/>
  <c r="L34" i="13"/>
  <c r="K55" i="13"/>
  <c r="L55" i="13"/>
  <c r="Q16" i="13"/>
  <c r="Z27" i="4"/>
  <c r="AA27" i="4" s="1"/>
  <c r="Z28" i="4"/>
  <c r="AA28" i="4" s="1"/>
  <c r="Z26" i="4"/>
  <c r="AA26" i="4" s="1"/>
  <c r="Z29" i="4"/>
  <c r="AA29" i="4" s="1"/>
  <c r="Z31" i="4"/>
  <c r="AA31" i="4" s="1"/>
  <c r="H12" i="22"/>
  <c r="J12" i="22" s="1"/>
  <c r="L12" i="22" s="1"/>
  <c r="M12" i="22" s="1"/>
  <c r="H46" i="22"/>
  <c r="H14" i="22"/>
  <c r="J14" i="22" s="1"/>
  <c r="L14" i="22" s="1"/>
  <c r="M14" i="22" s="1"/>
  <c r="H25" i="22"/>
  <c r="H48" i="22"/>
  <c r="H9" i="22"/>
  <c r="J9" i="22" s="1"/>
  <c r="L9" i="22" s="1"/>
  <c r="M9" i="22" s="1"/>
  <c r="H31" i="22"/>
  <c r="H42" i="22"/>
  <c r="H28" i="22"/>
  <c r="H24" i="22"/>
  <c r="H41" i="22"/>
  <c r="H44" i="22"/>
  <c r="H36" i="22"/>
  <c r="H37" i="22"/>
  <c r="H29" i="22"/>
  <c r="H32" i="22"/>
  <c r="H27" i="22"/>
  <c r="H16" i="22"/>
  <c r="J16" i="22" s="1"/>
  <c r="L16" i="22" s="1"/>
  <c r="M16" i="22" s="1"/>
  <c r="H30" i="22"/>
  <c r="H23" i="22"/>
  <c r="H33" i="22"/>
  <c r="H40" i="22"/>
  <c r="H47" i="22"/>
  <c r="H45" i="22"/>
  <c r="H19" i="22"/>
  <c r="H17" i="22"/>
  <c r="H34" i="22"/>
  <c r="H39" i="22"/>
  <c r="H21" i="22"/>
  <c r="H49" i="22"/>
  <c r="H18" i="22"/>
  <c r="H38" i="22"/>
  <c r="H22" i="22"/>
  <c r="H43" i="22"/>
  <c r="H20" i="22"/>
  <c r="H35" i="22"/>
  <c r="H11" i="22"/>
  <c r="J11" i="22" s="1"/>
  <c r="L11" i="22" s="1"/>
  <c r="M11" i="22" s="1"/>
  <c r="H13" i="22"/>
  <c r="J13" i="22" s="1"/>
  <c r="L13" i="22" s="1"/>
  <c r="M13" i="22" s="1"/>
  <c r="H26" i="22"/>
  <c r="H10" i="22"/>
  <c r="J10" i="22" s="1"/>
  <c r="L10" i="22" s="1"/>
  <c r="M10" i="22" s="1"/>
  <c r="Z21" i="4"/>
  <c r="AA21" i="4" s="1"/>
  <c r="Z39" i="4"/>
  <c r="AA39" i="4" s="1"/>
  <c r="Z11" i="4"/>
  <c r="AA11" i="4" s="1"/>
  <c r="Z33" i="4"/>
  <c r="AA33" i="4" s="1"/>
  <c r="Z23" i="4"/>
  <c r="AA23" i="4" s="1"/>
  <c r="Z9" i="4"/>
  <c r="AA9" i="4" s="1"/>
  <c r="Z34" i="4"/>
  <c r="AA34" i="4" s="1"/>
  <c r="Z16" i="4"/>
  <c r="AA16" i="4" s="1"/>
  <c r="Z35" i="4"/>
  <c r="AA35" i="4" s="1"/>
  <c r="Z7" i="4"/>
  <c r="Z24" i="4"/>
  <c r="AA24" i="4" s="1"/>
  <c r="Z42" i="4"/>
  <c r="AA42" i="4" s="1"/>
  <c r="Z18" i="4"/>
  <c r="AA18" i="4" s="1"/>
  <c r="Z22" i="4"/>
  <c r="AA22" i="4" s="1"/>
  <c r="Z12" i="4"/>
  <c r="AA12" i="4" s="1"/>
  <c r="Z10" i="4"/>
  <c r="AA10" i="4" s="1"/>
  <c r="Z19" i="4"/>
  <c r="AA19" i="4" s="1"/>
  <c r="Z38" i="4"/>
  <c r="AA38" i="4" s="1"/>
  <c r="Z14" i="4"/>
  <c r="AA14" i="4" s="1"/>
  <c r="Z37" i="4"/>
  <c r="AA37" i="4" s="1"/>
  <c r="Z17" i="4"/>
  <c r="AA17" i="4" s="1"/>
  <c r="Z40" i="4"/>
  <c r="AA40" i="4" s="1"/>
  <c r="Z8" i="4"/>
  <c r="AA8" i="4" s="1"/>
  <c r="Z25" i="4"/>
  <c r="AA25" i="4" s="1"/>
  <c r="Z15" i="4"/>
  <c r="AA15" i="4" s="1"/>
  <c r="Z32" i="4"/>
  <c r="AA32" i="4" s="1"/>
  <c r="Z13" i="4"/>
  <c r="AA13" i="4" s="1"/>
  <c r="Z36" i="4"/>
  <c r="AA36" i="4" s="1"/>
  <c r="Z41" i="4"/>
  <c r="AA41" i="4" s="1"/>
  <c r="X47" i="4"/>
  <c r="H156" i="1" s="1"/>
  <c r="H87" i="18"/>
  <c r="D94" i="18"/>
  <c r="D92" i="18"/>
  <c r="D47" i="18"/>
  <c r="G15" i="15" s="1"/>
  <c r="E15" i="15" s="1"/>
  <c r="D84" i="18"/>
  <c r="D50" i="18"/>
  <c r="D44" i="18"/>
  <c r="J54" i="13"/>
  <c r="G54" i="13"/>
  <c r="I40" i="22"/>
  <c r="I41" i="22"/>
  <c r="I49" i="22"/>
  <c r="I42" i="22"/>
  <c r="I43" i="22"/>
  <c r="I44" i="22"/>
  <c r="I45" i="22"/>
  <c r="I46" i="22"/>
  <c r="I47" i="22"/>
  <c r="I48" i="22"/>
  <c r="D122" i="11"/>
  <c r="E122" i="11" s="1"/>
  <c r="F122" i="11" s="1"/>
  <c r="D118" i="11"/>
  <c r="E118" i="11" s="1"/>
  <c r="F118" i="11" s="1"/>
  <c r="D113" i="11"/>
  <c r="E113" i="11" s="1"/>
  <c r="F113" i="11" s="1"/>
  <c r="D115" i="11"/>
  <c r="E115" i="11" s="1"/>
  <c r="F115" i="11" s="1"/>
  <c r="D117" i="11"/>
  <c r="E117" i="11" s="1"/>
  <c r="F117" i="11" s="1"/>
  <c r="D116" i="11"/>
  <c r="E116" i="11" s="1"/>
  <c r="F116" i="11" s="1"/>
  <c r="D120" i="11"/>
  <c r="E120" i="11" s="1"/>
  <c r="F120" i="11" s="1"/>
  <c r="D119" i="11"/>
  <c r="E119" i="11" s="1"/>
  <c r="F119" i="11" s="1"/>
  <c r="J45" i="13"/>
  <c r="G45" i="13"/>
  <c r="G16" i="13"/>
  <c r="J16" i="13"/>
  <c r="D67" i="22"/>
  <c r="E67" i="22" s="1"/>
  <c r="D71" i="22"/>
  <c r="E71" i="22" s="1"/>
  <c r="D75" i="22"/>
  <c r="E75" i="22" s="1"/>
  <c r="D79" i="22"/>
  <c r="E79" i="22" s="1"/>
  <c r="D83" i="22"/>
  <c r="E83" i="22" s="1"/>
  <c r="D87" i="22"/>
  <c r="E87" i="22" s="1"/>
  <c r="D91" i="22"/>
  <c r="E91" i="22" s="1"/>
  <c r="D66" i="22"/>
  <c r="E66" i="22" s="1"/>
  <c r="D70" i="22"/>
  <c r="E70" i="22" s="1"/>
  <c r="D74" i="22"/>
  <c r="E74" i="22" s="1"/>
  <c r="D78" i="22"/>
  <c r="E78" i="22" s="1"/>
  <c r="D82" i="22"/>
  <c r="E82" i="22" s="1"/>
  <c r="D86" i="22"/>
  <c r="E86" i="22" s="1"/>
  <c r="D90" i="22"/>
  <c r="E90" i="22" s="1"/>
  <c r="D69" i="22"/>
  <c r="E69" i="22" s="1"/>
  <c r="D73" i="22"/>
  <c r="E73" i="22" s="1"/>
  <c r="D77" i="22"/>
  <c r="E77" i="22" s="1"/>
  <c r="D81" i="22"/>
  <c r="E81" i="22" s="1"/>
  <c r="D85" i="22"/>
  <c r="E85" i="22" s="1"/>
  <c r="D89" i="22"/>
  <c r="E89" i="22" s="1"/>
  <c r="D65" i="22"/>
  <c r="E65" i="22" s="1"/>
  <c r="D68" i="22"/>
  <c r="E68" i="22" s="1"/>
  <c r="D72" i="22"/>
  <c r="E72" i="22" s="1"/>
  <c r="D76" i="22"/>
  <c r="E76" i="22" s="1"/>
  <c r="D80" i="22"/>
  <c r="E80" i="22" s="1"/>
  <c r="D84" i="22"/>
  <c r="E84" i="22" s="1"/>
  <c r="D88" i="22"/>
  <c r="E88" i="22" s="1"/>
  <c r="D92" i="22"/>
  <c r="E92" i="22" s="1"/>
  <c r="H16" i="13"/>
  <c r="I17" i="22"/>
  <c r="J33" i="13"/>
  <c r="J156" i="1"/>
  <c r="I156" i="1"/>
  <c r="D101" i="22" l="1"/>
  <c r="D102" i="22"/>
  <c r="J45" i="22"/>
  <c r="L45" i="22" s="1"/>
  <c r="M45" i="22" s="1"/>
  <c r="K45" i="13"/>
  <c r="L45" i="13"/>
  <c r="K16" i="13"/>
  <c r="L16" i="13"/>
  <c r="K33" i="13"/>
  <c r="L33" i="13"/>
  <c r="K54" i="13"/>
  <c r="L54" i="13"/>
  <c r="M57" i="13"/>
  <c r="N63" i="13" s="1"/>
  <c r="D15" i="15"/>
  <c r="K15" i="15"/>
  <c r="J47" i="22"/>
  <c r="L47" i="22" s="1"/>
  <c r="M47" i="22" s="1"/>
  <c r="J46" i="22"/>
  <c r="L46" i="22" s="1"/>
  <c r="M46" i="22" s="1"/>
  <c r="J42" i="22"/>
  <c r="L42" i="22" s="1"/>
  <c r="M42" i="22" s="1"/>
  <c r="J48" i="22"/>
  <c r="L48" i="22" s="1"/>
  <c r="M48" i="22" s="1"/>
  <c r="J44" i="22"/>
  <c r="L44" i="22" s="1"/>
  <c r="M44" i="22" s="1"/>
  <c r="J40" i="22"/>
  <c r="L40" i="22" s="1"/>
  <c r="M40" i="22" s="1"/>
  <c r="J41" i="22"/>
  <c r="L41" i="22" s="1"/>
  <c r="M41" i="22" s="1"/>
  <c r="J43" i="22"/>
  <c r="L43" i="22" s="1"/>
  <c r="M43" i="22" s="1"/>
  <c r="J49" i="22"/>
  <c r="L49" i="22" s="1"/>
  <c r="M49" i="22" s="1"/>
  <c r="AA7" i="4"/>
  <c r="D61" i="11"/>
  <c r="D85" i="18"/>
  <c r="D87" i="18"/>
  <c r="I19" i="22"/>
  <c r="J19" i="22" s="1"/>
  <c r="L19" i="22" s="1"/>
  <c r="M19" i="22" s="1"/>
  <c r="I36" i="22"/>
  <c r="J36" i="22" s="1"/>
  <c r="L36" i="22" s="1"/>
  <c r="M36" i="22" s="1"/>
  <c r="I28" i="22"/>
  <c r="J28" i="22" s="1"/>
  <c r="L28" i="22" s="1"/>
  <c r="M28" i="22" s="1"/>
  <c r="I20" i="22"/>
  <c r="J20" i="22" s="1"/>
  <c r="L20" i="22" s="1"/>
  <c r="M20" i="22" s="1"/>
  <c r="I33" i="22"/>
  <c r="J33" i="22" s="1"/>
  <c r="L33" i="22" s="1"/>
  <c r="M33" i="22" s="1"/>
  <c r="I25" i="22"/>
  <c r="J25" i="22" s="1"/>
  <c r="L25" i="22" s="1"/>
  <c r="M25" i="22" s="1"/>
  <c r="I38" i="22"/>
  <c r="J38" i="22" s="1"/>
  <c r="L38" i="22" s="1"/>
  <c r="M38" i="22" s="1"/>
  <c r="I30" i="22"/>
  <c r="J30" i="22" s="1"/>
  <c r="L30" i="22" s="1"/>
  <c r="M30" i="22" s="1"/>
  <c r="I22" i="22"/>
  <c r="J22" i="22" s="1"/>
  <c r="L22" i="22" s="1"/>
  <c r="M22" i="22" s="1"/>
  <c r="I39" i="22"/>
  <c r="J39" i="22" s="1"/>
  <c r="L39" i="22" s="1"/>
  <c r="M39" i="22" s="1"/>
  <c r="I31" i="22"/>
  <c r="J31" i="22" s="1"/>
  <c r="L31" i="22" s="1"/>
  <c r="M31" i="22" s="1"/>
  <c r="I23" i="22"/>
  <c r="J23" i="22" s="1"/>
  <c r="L23" i="22" s="1"/>
  <c r="M23" i="22" s="1"/>
  <c r="J17" i="22"/>
  <c r="L17" i="22" s="1"/>
  <c r="M17" i="22" s="1"/>
  <c r="I32" i="22"/>
  <c r="J32" i="22" s="1"/>
  <c r="L32" i="22" s="1"/>
  <c r="M32" i="22" s="1"/>
  <c r="I24" i="22"/>
  <c r="J24" i="22" s="1"/>
  <c r="L24" i="22" s="1"/>
  <c r="M24" i="22" s="1"/>
  <c r="I37" i="22"/>
  <c r="J37" i="22" s="1"/>
  <c r="L37" i="22" s="1"/>
  <c r="M37" i="22" s="1"/>
  <c r="I29" i="22"/>
  <c r="J29" i="22" s="1"/>
  <c r="L29" i="22" s="1"/>
  <c r="M29" i="22" s="1"/>
  <c r="I21" i="22"/>
  <c r="J21" i="22" s="1"/>
  <c r="L21" i="22" s="1"/>
  <c r="M21" i="22" s="1"/>
  <c r="I34" i="22"/>
  <c r="J34" i="22" s="1"/>
  <c r="L34" i="22" s="1"/>
  <c r="M34" i="22" s="1"/>
  <c r="I26" i="22"/>
  <c r="J26" i="22" s="1"/>
  <c r="L26" i="22" s="1"/>
  <c r="M26" i="22" s="1"/>
  <c r="I18" i="22"/>
  <c r="J18" i="22" s="1"/>
  <c r="L18" i="22" s="1"/>
  <c r="M18" i="22" s="1"/>
  <c r="I35" i="22"/>
  <c r="J35" i="22" s="1"/>
  <c r="L35" i="22" s="1"/>
  <c r="M35" i="22" s="1"/>
  <c r="I27" i="22"/>
  <c r="J27" i="22" s="1"/>
  <c r="L27" i="22" s="1"/>
  <c r="M27" i="22" s="1"/>
  <c r="J142" i="1"/>
  <c r="I142" i="1"/>
  <c r="H142" i="1"/>
  <c r="H101" i="11" s="1"/>
  <c r="G142" i="1"/>
  <c r="G101" i="11" s="1"/>
  <c r="C137" i="1" l="1"/>
  <c r="F134" i="1" l="1"/>
  <c r="E134" i="1"/>
  <c r="E21" i="1" s="1"/>
  <c r="D134" i="1"/>
  <c r="C130" i="1"/>
  <c r="C126" i="1" l="1"/>
  <c r="C134" i="1" s="1"/>
  <c r="J119" i="1" l="1"/>
  <c r="I119" i="1"/>
  <c r="J112" i="1" l="1"/>
  <c r="J111" i="1" l="1"/>
  <c r="J110" i="1"/>
  <c r="J109" i="1"/>
  <c r="J107" i="1"/>
  <c r="I107" i="1"/>
  <c r="M53" i="1"/>
  <c r="D49" i="1"/>
  <c r="F48" i="1"/>
  <c r="E48" i="1"/>
  <c r="J41" i="1" l="1"/>
  <c r="J168" i="1" s="1"/>
  <c r="I41" i="1"/>
  <c r="I168" i="1" s="1"/>
  <c r="H41" i="1"/>
  <c r="G41" i="1"/>
  <c r="G55" i="11" s="1"/>
  <c r="J38" i="1"/>
  <c r="I38" i="1"/>
  <c r="H38" i="1"/>
  <c r="G38" i="1"/>
  <c r="F38" i="1"/>
  <c r="E38" i="1"/>
  <c r="D38" i="1"/>
  <c r="C38" i="1" l="1"/>
  <c r="H55" i="11"/>
  <c r="J35" i="1"/>
  <c r="J161" i="1" s="1"/>
  <c r="G35" i="1"/>
  <c r="G54" i="11" s="1"/>
  <c r="D35" i="1"/>
  <c r="D54" i="11" s="1"/>
  <c r="J34" i="1"/>
  <c r="J160" i="1" s="1"/>
  <c r="D34" i="1"/>
  <c r="J33" i="1"/>
  <c r="J159" i="1" s="1"/>
  <c r="D33" i="1"/>
  <c r="D52" i="11" s="1"/>
  <c r="J32" i="1"/>
  <c r="J158" i="1" s="1"/>
  <c r="D53" i="11" l="1"/>
  <c r="J25" i="1"/>
  <c r="J106" i="1" s="1"/>
  <c r="H25" i="1"/>
  <c r="G25" i="1"/>
  <c r="D25" i="1"/>
  <c r="F207" i="1" s="1"/>
  <c r="F216" i="1" s="1"/>
  <c r="B221" i="1" l="1"/>
  <c r="M13" i="13"/>
  <c r="D48" i="1"/>
  <c r="J48" i="1"/>
  <c r="J21" i="1"/>
  <c r="J44" i="1" s="1"/>
  <c r="I21" i="1"/>
  <c r="I44" i="1" s="1"/>
  <c r="H21" i="1"/>
  <c r="H44" i="1" s="1"/>
  <c r="H56" i="11" s="1"/>
  <c r="G21" i="1"/>
  <c r="F21" i="1" l="1"/>
  <c r="G44" i="1"/>
  <c r="G56" i="11" s="1"/>
  <c r="D21" i="1"/>
  <c r="D58" i="11"/>
  <c r="D65" i="11" s="1"/>
  <c r="I48" i="1"/>
  <c r="J155" i="1"/>
  <c r="I12" i="1"/>
  <c r="O10" i="1"/>
  <c r="O9" i="1"/>
  <c r="Q6" i="1" s="1"/>
  <c r="F56" i="11" l="1"/>
  <c r="E44" i="1"/>
  <c r="E56" i="11" s="1"/>
  <c r="D44" i="1"/>
  <c r="C21" i="1"/>
  <c r="I9" i="1"/>
  <c r="B170" i="1"/>
  <c r="B191" i="1" s="1"/>
  <c r="B154" i="1"/>
  <c r="B121" i="1"/>
  <c r="B143" i="1" s="1"/>
  <c r="B105" i="1"/>
  <c r="I112" i="1"/>
  <c r="I35" i="1"/>
  <c r="I161" i="1" s="1"/>
  <c r="I10" i="1"/>
  <c r="I110" i="1" s="1"/>
  <c r="M54" i="1"/>
  <c r="J8" i="1"/>
  <c r="J108" i="1" s="1"/>
  <c r="D226" i="1"/>
  <c r="M20" i="13"/>
  <c r="H48" i="1"/>
  <c r="M49" i="13" s="1"/>
  <c r="I155" i="1"/>
  <c r="D56" i="11" l="1"/>
  <c r="C56" i="11" s="1"/>
  <c r="C44" i="1"/>
  <c r="I11" i="1"/>
  <c r="E51" i="11"/>
  <c r="D238" i="1"/>
  <c r="M55" i="1"/>
  <c r="M56" i="1"/>
  <c r="M31" i="13"/>
  <c r="I109" i="1"/>
  <c r="I32" i="1"/>
  <c r="I158" i="1" s="1"/>
  <c r="G48" i="1"/>
  <c r="H58" i="11"/>
  <c r="H65" i="11" s="1"/>
  <c r="I8" i="1"/>
  <c r="J31" i="1"/>
  <c r="J14" i="1"/>
  <c r="I33" i="1"/>
  <c r="I159" i="1" s="1"/>
  <c r="H78" i="1"/>
  <c r="F57" i="1"/>
  <c r="D80" i="1"/>
  <c r="H80" i="1"/>
  <c r="E78" i="1"/>
  <c r="G80" i="1"/>
  <c r="G57" i="1"/>
  <c r="G79" i="1"/>
  <c r="D78" i="1"/>
  <c r="H75" i="1"/>
  <c r="G78" i="1"/>
  <c r="D60" i="1"/>
  <c r="F56" i="1"/>
  <c r="D77" i="1"/>
  <c r="F59" i="1"/>
  <c r="D57" i="1"/>
  <c r="G61" i="1"/>
  <c r="F80" i="1"/>
  <c r="E74" i="1"/>
  <c r="E79" i="1"/>
  <c r="D79" i="1"/>
  <c r="F79" i="1"/>
  <c r="H62" i="1"/>
  <c r="F63" i="1"/>
  <c r="D81" i="1"/>
  <c r="F74" i="1"/>
  <c r="G81" i="1"/>
  <c r="E57" i="1"/>
  <c r="G62" i="1"/>
  <c r="F60" i="1"/>
  <c r="E63" i="1"/>
  <c r="H59" i="1"/>
  <c r="G74" i="1"/>
  <c r="G63" i="1"/>
  <c r="F77" i="1"/>
  <c r="C229" i="1" l="1"/>
  <c r="C256" i="1"/>
  <c r="C267" i="1"/>
  <c r="C214" i="1"/>
  <c r="C213" i="1"/>
  <c r="C205" i="1"/>
  <c r="C259" i="1"/>
  <c r="C255" i="1"/>
  <c r="D268" i="1"/>
  <c r="C270" i="1"/>
  <c r="C269" i="1"/>
  <c r="F273" i="1"/>
  <c r="D161" i="1"/>
  <c r="D159" i="1"/>
  <c r="C238" i="1"/>
  <c r="E158" i="1"/>
  <c r="D179" i="1"/>
  <c r="F155" i="1"/>
  <c r="G161" i="1"/>
  <c r="D160" i="1"/>
  <c r="C239" i="1"/>
  <c r="E155" i="1"/>
  <c r="G112" i="1"/>
  <c r="F109" i="1"/>
  <c r="D107" i="1"/>
  <c r="G107" i="1"/>
  <c r="F106" i="1"/>
  <c r="G58" i="11"/>
  <c r="G65" i="11" s="1"/>
  <c r="I111" i="1"/>
  <c r="I34" i="1"/>
  <c r="I160" i="1" s="1"/>
  <c r="J157" i="1"/>
  <c r="J37" i="1"/>
  <c r="I108" i="1"/>
  <c r="I31" i="1"/>
  <c r="I14" i="1"/>
  <c r="I17" i="1" s="1"/>
  <c r="F107" i="1"/>
  <c r="F108" i="1"/>
  <c r="M37" i="13"/>
  <c r="F51" i="11"/>
  <c r="G155" i="1"/>
  <c r="G75" i="1"/>
  <c r="E56" i="1"/>
  <c r="H61" i="1"/>
  <c r="G77" i="1"/>
  <c r="D56" i="1"/>
  <c r="E61" i="1"/>
  <c r="E81" i="1"/>
  <c r="G60" i="1"/>
  <c r="E60" i="1"/>
  <c r="D63" i="1"/>
  <c r="H63" i="1"/>
  <c r="H60" i="1"/>
  <c r="D75" i="1"/>
  <c r="H56" i="1"/>
  <c r="D62" i="1"/>
  <c r="F62" i="1"/>
  <c r="F81" i="1"/>
  <c r="D59" i="1"/>
  <c r="D61" i="1"/>
  <c r="H77" i="1"/>
  <c r="H74" i="1"/>
  <c r="D74" i="1"/>
  <c r="G59" i="1"/>
  <c r="F78" i="1"/>
  <c r="E77" i="1"/>
  <c r="E59" i="1"/>
  <c r="F61" i="1"/>
  <c r="H79" i="1"/>
  <c r="E62" i="1"/>
  <c r="E80" i="1"/>
  <c r="G56" i="1"/>
  <c r="H81" i="1"/>
  <c r="C227" i="1" l="1"/>
  <c r="C228" i="1"/>
  <c r="C237" i="1"/>
  <c r="C240" i="1"/>
  <c r="D156" i="1"/>
  <c r="C258" i="1"/>
  <c r="D110" i="1"/>
  <c r="E106" i="1"/>
  <c r="D106" i="1"/>
  <c r="G106" i="1"/>
  <c r="C241" i="1"/>
  <c r="C225" i="1"/>
  <c r="H155" i="1"/>
  <c r="D155" i="1"/>
  <c r="C257" i="1"/>
  <c r="C271" i="1"/>
  <c r="C268" i="1"/>
  <c r="E268" i="1" s="1"/>
  <c r="C226" i="1"/>
  <c r="E226" i="1" s="1"/>
  <c r="E109" i="1"/>
  <c r="D111" i="1"/>
  <c r="D112" i="1"/>
  <c r="H106" i="1"/>
  <c r="C204" i="1"/>
  <c r="D131" i="1"/>
  <c r="G156" i="1"/>
  <c r="E238" i="1"/>
  <c r="E255" i="1"/>
  <c r="D267" i="1"/>
  <c r="E267" i="1" s="1"/>
  <c r="E256" i="1"/>
  <c r="I20" i="1"/>
  <c r="I23" i="1" s="1"/>
  <c r="D180" i="1"/>
  <c r="F50" i="11"/>
  <c r="F58" i="11"/>
  <c r="I157" i="1"/>
  <c r="I37" i="1"/>
  <c r="I40" i="1" s="1"/>
  <c r="I43" i="1" s="1"/>
  <c r="I46" i="1" s="1"/>
  <c r="H99" i="11" l="1"/>
  <c r="G99" i="11"/>
  <c r="D99" i="11"/>
  <c r="C106" i="1"/>
  <c r="C155" i="1"/>
  <c r="F255" i="1"/>
  <c r="F267" i="1"/>
  <c r="H267" i="1" s="1"/>
  <c r="I267" i="1" s="1"/>
  <c r="F256" i="1" l="1"/>
  <c r="H256" i="1" s="1"/>
  <c r="H255" i="1"/>
  <c r="I255" i="1" s="1"/>
  <c r="G255" i="1"/>
  <c r="F268" i="1"/>
  <c r="H268" i="1" s="1"/>
  <c r="I268" i="1" s="1"/>
  <c r="G267" i="1"/>
  <c r="G256" i="1" l="1"/>
  <c r="G268" i="1"/>
  <c r="I256" i="1"/>
  <c r="I115" i="1"/>
  <c r="I118" i="1" s="1"/>
  <c r="D132" i="1"/>
  <c r="I164" i="1" l="1"/>
  <c r="I167" i="1" s="1"/>
  <c r="I170" i="1" s="1"/>
  <c r="I191" i="1" s="1"/>
  <c r="I192" i="1" s="1"/>
  <c r="I121" i="1"/>
  <c r="I143" i="1" s="1"/>
  <c r="I145" i="1" s="1"/>
  <c r="F9" i="17"/>
  <c r="F11" i="17" s="1"/>
  <c r="J40" i="1"/>
  <c r="J43" i="1" s="1"/>
  <c r="J46" i="1" s="1"/>
  <c r="J17" i="1"/>
  <c r="J20" i="1" s="1"/>
  <c r="J23" i="1" s="1"/>
  <c r="R19" i="16" s="1"/>
  <c r="T19" i="16" s="1"/>
  <c r="D114" i="11"/>
  <c r="E114" i="11" s="1"/>
  <c r="F114" i="11" s="1"/>
  <c r="D112" i="11"/>
  <c r="E112" i="11" s="1"/>
  <c r="F112" i="11" s="1"/>
  <c r="D111" i="11"/>
  <c r="E111" i="11" s="1"/>
  <c r="F111" i="11" s="1"/>
  <c r="D110" i="11"/>
  <c r="E110" i="11" s="1"/>
  <c r="F110" i="11" s="1"/>
  <c r="D109" i="11"/>
  <c r="E109" i="11" s="1"/>
  <c r="F109" i="11" s="1"/>
  <c r="D108" i="11"/>
  <c r="E108" i="11" s="1"/>
  <c r="F108" i="11" s="1"/>
  <c r="B95" i="6" l="1"/>
  <c r="I193" i="1"/>
  <c r="I195" i="1" s="1"/>
  <c r="J162" i="1"/>
  <c r="J113" i="1"/>
  <c r="B248" i="1" l="1"/>
  <c r="E107" i="1"/>
  <c r="B98" i="6"/>
  <c r="B99" i="6" s="1"/>
  <c r="B96" i="6"/>
  <c r="C113" i="1"/>
  <c r="J115" i="1"/>
  <c r="J118" i="1" s="1"/>
  <c r="J121" i="1" s="1"/>
  <c r="J143" i="1" s="1"/>
  <c r="J145" i="1" s="1"/>
  <c r="D19" i="16" s="1"/>
  <c r="I196" i="1"/>
  <c r="J164" i="1"/>
  <c r="J167" i="1" s="1"/>
  <c r="J170" i="1" s="1"/>
  <c r="J191" i="1" s="1"/>
  <c r="J192" i="1" s="1"/>
  <c r="C162" i="1"/>
  <c r="F24" i="17"/>
  <c r="D18" i="29" l="1"/>
  <c r="V19" i="16"/>
  <c r="E58" i="11"/>
  <c r="C107" i="1"/>
  <c r="F19" i="16"/>
  <c r="J193" i="1"/>
  <c r="J195" i="1" s="1"/>
  <c r="E19" i="16" s="1"/>
  <c r="K19" i="16" l="1"/>
  <c r="J196" i="1"/>
  <c r="J19" i="16" l="1"/>
  <c r="G19" i="16"/>
  <c r="E46" i="18" l="1"/>
  <c r="E91" i="18" s="1"/>
  <c r="F45" i="18"/>
  <c r="G49" i="18"/>
  <c r="F46" i="18" l="1"/>
  <c r="F44" i="18" s="1"/>
  <c r="F61" i="18"/>
  <c r="E92" i="18"/>
  <c r="E94" i="18"/>
  <c r="E47" i="18"/>
  <c r="E61" i="11" s="1"/>
  <c r="E84" i="18"/>
  <c r="F53" i="18"/>
  <c r="F49" i="18"/>
  <c r="C49" i="18" s="1"/>
  <c r="E44" i="18"/>
  <c r="E50" i="18"/>
  <c r="I45" i="18"/>
  <c r="I61" i="18" s="1"/>
  <c r="G46" i="18"/>
  <c r="F84" i="18" l="1"/>
  <c r="F87" i="18" s="1"/>
  <c r="F91" i="18"/>
  <c r="F94" i="18" s="1"/>
  <c r="F47" i="18"/>
  <c r="G91" i="18"/>
  <c r="G84" i="18"/>
  <c r="E85" i="18"/>
  <c r="E87" i="18"/>
  <c r="F50" i="18"/>
  <c r="H50" i="18"/>
  <c r="H44" i="18"/>
  <c r="G16" i="15"/>
  <c r="H61" i="11"/>
  <c r="G50" i="18"/>
  <c r="G47" i="18"/>
  <c r="G44" i="18"/>
  <c r="I46" i="18"/>
  <c r="F85" i="18" l="1"/>
  <c r="F92" i="18"/>
  <c r="F61" i="11"/>
  <c r="G92" i="18"/>
  <c r="G94" i="18"/>
  <c r="G85" i="18"/>
  <c r="G87" i="18"/>
  <c r="I44" i="18"/>
  <c r="C50" i="18"/>
  <c r="G18" i="15"/>
  <c r="G61" i="11"/>
  <c r="S5" i="4" l="1"/>
  <c r="T5" i="4" l="1"/>
  <c r="U5" i="4" l="1"/>
  <c r="Y5" i="4" s="1"/>
  <c r="Y47" i="4" s="1"/>
  <c r="Z5" i="4" l="1"/>
  <c r="Q47" i="4"/>
  <c r="B41" i="6" s="1"/>
  <c r="AA5" i="4" l="1"/>
  <c r="Z47" i="4"/>
  <c r="AA47" i="4" s="1"/>
  <c r="H8" i="1"/>
  <c r="H31" i="1" l="1"/>
  <c r="M51" i="13" s="1"/>
  <c r="H108" i="1"/>
  <c r="H157" i="1" l="1"/>
  <c r="H50" i="11"/>
  <c r="S47" i="4" l="1"/>
  <c r="R47" i="4"/>
  <c r="C41" i="6" s="1"/>
  <c r="D41" i="6" l="1"/>
  <c r="H10" i="1" s="1"/>
  <c r="H9" i="1"/>
  <c r="H110" i="1" l="1"/>
  <c r="H33" i="1"/>
  <c r="H159" i="1" s="1"/>
  <c r="M53" i="13"/>
  <c r="T47" i="4"/>
  <c r="H52" i="11"/>
  <c r="U47" i="4"/>
  <c r="H32" i="1"/>
  <c r="M52" i="13" s="1"/>
  <c r="H109" i="1"/>
  <c r="F41" i="6" l="1"/>
  <c r="H12" i="1" s="1"/>
  <c r="E41" i="6"/>
  <c r="H11" i="1" s="1"/>
  <c r="U48" i="4"/>
  <c r="H158" i="1"/>
  <c r="H51" i="11"/>
  <c r="H34" i="1" l="1"/>
  <c r="H14" i="1"/>
  <c r="H17" i="1" s="1"/>
  <c r="H20" i="1" s="1"/>
  <c r="H111" i="1"/>
  <c r="H35" i="1"/>
  <c r="M55" i="13" s="1"/>
  <c r="H112" i="1"/>
  <c r="G41" i="6"/>
  <c r="B73" i="6" s="1"/>
  <c r="H53" i="11"/>
  <c r="M54" i="13"/>
  <c r="H160" i="1"/>
  <c r="H115" i="1" l="1"/>
  <c r="H118" i="1" s="1"/>
  <c r="H65" i="1" s="1"/>
  <c r="H127" i="1" s="1"/>
  <c r="H54" i="11"/>
  <c r="H161" i="1"/>
  <c r="H164" i="1" s="1"/>
  <c r="H167" i="1" s="1"/>
  <c r="H37" i="1"/>
  <c r="H40" i="1" s="1"/>
  <c r="H43" i="1" s="1"/>
  <c r="M56" i="13"/>
  <c r="H57" i="11"/>
  <c r="H105" i="11" s="1"/>
  <c r="H87" i="11"/>
  <c r="H23" i="1"/>
  <c r="R18" i="16" s="1"/>
  <c r="T18" i="16" s="1"/>
  <c r="H83" i="1" l="1"/>
  <c r="H168" i="1" s="1"/>
  <c r="H88" i="11" s="1"/>
  <c r="H102" i="11"/>
  <c r="H119" i="1"/>
  <c r="H121" i="1" s="1"/>
  <c r="H143" i="1" s="1"/>
  <c r="H145" i="1" s="1"/>
  <c r="H46" i="1"/>
  <c r="H175" i="1" l="1"/>
  <c r="H170" i="1"/>
  <c r="H191" i="1" s="1"/>
  <c r="H192" i="1" s="1"/>
  <c r="F18" i="16" s="1"/>
  <c r="H100" i="11"/>
  <c r="D18" i="16"/>
  <c r="V18" i="16" s="1"/>
  <c r="H193" i="1"/>
  <c r="Y48" i="4" l="1"/>
  <c r="D17" i="29"/>
  <c r="H195" i="1"/>
  <c r="H96" i="11"/>
  <c r="H103" i="11"/>
  <c r="Z48" i="4" l="1"/>
  <c r="E18" i="16"/>
  <c r="N56" i="13"/>
  <c r="H196" i="1"/>
  <c r="G18" i="16" l="1"/>
  <c r="K18" i="16"/>
  <c r="J18" i="16"/>
  <c r="S55" i="4" l="1"/>
  <c r="D30" i="6" l="1"/>
  <c r="S59" i="4"/>
  <c r="U52" i="4"/>
  <c r="F21" i="6" s="1"/>
  <c r="S58" i="4"/>
  <c r="F110" i="1" l="1"/>
  <c r="D257" i="1"/>
  <c r="F257" i="1" s="1"/>
  <c r="M32" i="13"/>
  <c r="U55" i="4"/>
  <c r="T55" i="4"/>
  <c r="T58" i="4"/>
  <c r="U58" i="4"/>
  <c r="F30" i="6" l="1"/>
  <c r="F24" i="6"/>
  <c r="E30" i="6"/>
  <c r="D258" i="1" s="1"/>
  <c r="F258" i="1"/>
  <c r="D259" i="1"/>
  <c r="F52" i="11"/>
  <c r="F159" i="1"/>
  <c r="D269" i="1"/>
  <c r="F269" i="1" s="1"/>
  <c r="H269" i="1" s="1"/>
  <c r="E257" i="1"/>
  <c r="V58" i="4"/>
  <c r="E24" i="6" l="1"/>
  <c r="G21" i="6"/>
  <c r="E35" i="1"/>
  <c r="D241" i="1" s="1"/>
  <c r="E241" i="1" s="1"/>
  <c r="E12" i="1"/>
  <c r="E269" i="1"/>
  <c r="H257" i="1"/>
  <c r="I257" i="1" s="1"/>
  <c r="G32" i="6"/>
  <c r="G33" i="6" s="1"/>
  <c r="B72" i="6"/>
  <c r="F41" i="1"/>
  <c r="I269" i="1"/>
  <c r="G269" i="1"/>
  <c r="E54" i="11" l="1"/>
  <c r="E161" i="1"/>
  <c r="M23" i="13"/>
  <c r="D229" i="1"/>
  <c r="E229" i="1" s="1"/>
  <c r="E112" i="1"/>
  <c r="E11" i="1"/>
  <c r="E34" i="1"/>
  <c r="G257" i="1"/>
  <c r="G261" i="1" s="1"/>
  <c r="G262" i="1" s="1"/>
  <c r="F55" i="11"/>
  <c r="G8" i="1"/>
  <c r="R76" i="4"/>
  <c r="R79" i="4" s="1"/>
  <c r="C37" i="6" s="1"/>
  <c r="D240" i="1" l="1"/>
  <c r="E240" i="1" s="1"/>
  <c r="M22" i="13"/>
  <c r="E53" i="11"/>
  <c r="E160" i="1"/>
  <c r="D228" i="1"/>
  <c r="E228" i="1" s="1"/>
  <c r="E111" i="1"/>
  <c r="G31" i="1"/>
  <c r="G108" i="1"/>
  <c r="S76" i="4"/>
  <c r="S79" i="4" s="1"/>
  <c r="U65" i="4"/>
  <c r="T65" i="4"/>
  <c r="D37" i="6" l="1"/>
  <c r="G10" i="1" s="1"/>
  <c r="G157" i="1"/>
  <c r="M42" i="13"/>
  <c r="F111" i="1"/>
  <c r="M33" i="13"/>
  <c r="G28" i="6"/>
  <c r="G50" i="11"/>
  <c r="T76" i="4"/>
  <c r="T79" i="4" s="1"/>
  <c r="E37" i="6" s="1"/>
  <c r="U66" i="4"/>
  <c r="G9" i="1"/>
  <c r="G110" i="1" l="1"/>
  <c r="G33" i="1"/>
  <c r="G30" i="6"/>
  <c r="G34" i="6" s="1"/>
  <c r="G52" i="11"/>
  <c r="M44" i="13"/>
  <c r="B75" i="6"/>
  <c r="D270" i="1"/>
  <c r="F53" i="11"/>
  <c r="F160" i="1"/>
  <c r="M34" i="13"/>
  <c r="F112" i="1"/>
  <c r="F14" i="1"/>
  <c r="F17" i="1" s="1"/>
  <c r="F20" i="1" s="1"/>
  <c r="F23" i="1" s="1"/>
  <c r="R16" i="16" s="1"/>
  <c r="T16" i="16" s="1"/>
  <c r="G159" i="1"/>
  <c r="T83" i="4"/>
  <c r="G109" i="1"/>
  <c r="G32" i="1"/>
  <c r="M43" i="13" s="1"/>
  <c r="E258" i="1" l="1"/>
  <c r="G258" i="1"/>
  <c r="F270" i="1"/>
  <c r="G270" i="1" s="1"/>
  <c r="E270" i="1"/>
  <c r="C112" i="1"/>
  <c r="F115" i="1"/>
  <c r="F118" i="1" s="1"/>
  <c r="D271" i="1"/>
  <c r="F161" i="1"/>
  <c r="F54" i="11"/>
  <c r="F87" i="11" s="1"/>
  <c r="F37" i="1"/>
  <c r="F40" i="1" s="1"/>
  <c r="F43" i="1" s="1"/>
  <c r="F46" i="1" s="1"/>
  <c r="G11" i="1"/>
  <c r="F37" i="6"/>
  <c r="B67" i="6" s="1"/>
  <c r="B79" i="6" s="1"/>
  <c r="G158" i="1"/>
  <c r="G51" i="11"/>
  <c r="B76" i="6" l="1"/>
  <c r="H270" i="1"/>
  <c r="I270" i="1" s="1"/>
  <c r="H258" i="1"/>
  <c r="I258" i="1" s="1"/>
  <c r="C54" i="11"/>
  <c r="F57" i="11"/>
  <c r="F105" i="11" s="1"/>
  <c r="C161" i="1"/>
  <c r="F102" i="11"/>
  <c r="E259" i="1"/>
  <c r="E261" i="1" s="1"/>
  <c r="D261" i="1"/>
  <c r="F259" i="1"/>
  <c r="G259" i="1" s="1"/>
  <c r="E271" i="1"/>
  <c r="E273" i="1" s="1"/>
  <c r="D273" i="1"/>
  <c r="F271" i="1"/>
  <c r="G271" i="1" s="1"/>
  <c r="G273" i="1" s="1"/>
  <c r="G274" i="1" s="1"/>
  <c r="G34" i="1"/>
  <c r="M45" i="13" s="1"/>
  <c r="M46" i="13" s="1"/>
  <c r="G111" i="1"/>
  <c r="G14" i="1"/>
  <c r="E274" i="1" l="1"/>
  <c r="E262" i="1"/>
  <c r="F121" i="1"/>
  <c r="F128" i="1"/>
  <c r="H271" i="1"/>
  <c r="H259" i="1"/>
  <c r="C111" i="1"/>
  <c r="G115" i="1"/>
  <c r="G17" i="1"/>
  <c r="G53" i="11"/>
  <c r="G160" i="1"/>
  <c r="G37" i="1"/>
  <c r="I259" i="1" l="1"/>
  <c r="I261" i="1" s="1"/>
  <c r="H261" i="1"/>
  <c r="I271" i="1"/>
  <c r="I273" i="1" s="1"/>
  <c r="H273" i="1"/>
  <c r="C160" i="1"/>
  <c r="G102" i="11"/>
  <c r="G164" i="1"/>
  <c r="G118" i="1"/>
  <c r="G65" i="1" s="1"/>
  <c r="G40" i="1"/>
  <c r="C53" i="11"/>
  <c r="G87" i="11"/>
  <c r="G57" i="11"/>
  <c r="G20" i="1"/>
  <c r="I274" i="1" l="1"/>
  <c r="I262" i="1"/>
  <c r="F139" i="1" s="1"/>
  <c r="F187" i="1"/>
  <c r="G105" i="11"/>
  <c r="G119" i="1"/>
  <c r="G23" i="1"/>
  <c r="R17" i="16" s="1"/>
  <c r="T17" i="16" s="1"/>
  <c r="G43" i="1"/>
  <c r="G167" i="1"/>
  <c r="G121" i="1" l="1"/>
  <c r="G83" i="1"/>
  <c r="G168" i="1" s="1"/>
  <c r="G46" i="1"/>
  <c r="I20" i="16" l="1"/>
  <c r="G143" i="1"/>
  <c r="G170" i="1"/>
  <c r="G88" i="11"/>
  <c r="G100" i="11"/>
  <c r="D15" i="29" l="1"/>
  <c r="V16" i="16"/>
  <c r="G145" i="1"/>
  <c r="G191" i="1"/>
  <c r="D17" i="16" l="1"/>
  <c r="G193" i="1"/>
  <c r="G192" i="1"/>
  <c r="D16" i="29" l="1"/>
  <c r="V17" i="16"/>
  <c r="F17" i="16"/>
  <c r="G195" i="1"/>
  <c r="G96" i="11"/>
  <c r="G103" i="11"/>
  <c r="N46" i="13" l="1"/>
  <c r="E17" i="16"/>
  <c r="G196" i="1"/>
  <c r="G17" i="16" l="1"/>
  <c r="K17" i="16"/>
  <c r="J17" i="16"/>
  <c r="C18" i="25" l="1"/>
  <c r="C15" i="25"/>
  <c r="C19" i="25" l="1"/>
  <c r="C20" i="25" s="1"/>
  <c r="E15" i="25"/>
  <c r="I15" i="25"/>
  <c r="G15" i="25"/>
  <c r="J17" i="25"/>
  <c r="H15" i="25"/>
  <c r="H18" i="25"/>
  <c r="J18" i="25"/>
  <c r="F17" i="25"/>
  <c r="H17" i="25"/>
  <c r="I17" i="25"/>
  <c r="F15" i="25"/>
  <c r="F18" i="25"/>
  <c r="G17" i="25"/>
  <c r="E17" i="25"/>
  <c r="D17" i="25"/>
  <c r="D18" i="25"/>
  <c r="H19" i="25" l="1"/>
  <c r="H20" i="25" s="1"/>
  <c r="F19" i="25"/>
  <c r="F20" i="25" s="1"/>
  <c r="J19" i="25"/>
  <c r="J20" i="25" s="1"/>
  <c r="D19" i="25"/>
  <c r="D20" i="25" s="1"/>
  <c r="J15" i="25"/>
  <c r="I18" i="25"/>
  <c r="I19" i="25" s="1"/>
  <c r="I20" i="25" s="1"/>
  <c r="E18" i="25"/>
  <c r="E19" i="25" s="1"/>
  <c r="E20" i="25" s="1"/>
  <c r="G18" i="25"/>
  <c r="G19" i="25" s="1"/>
  <c r="G20" i="25" s="1"/>
  <c r="D15" i="25"/>
  <c r="L15" i="25"/>
  <c r="K15" i="25"/>
  <c r="N18" i="25"/>
  <c r="N15" i="25"/>
  <c r="M15" i="25"/>
  <c r="L18" i="25"/>
  <c r="K17" i="25"/>
  <c r="O14" i="25"/>
  <c r="K18" i="25"/>
  <c r="M18" i="25"/>
  <c r="M17" i="25"/>
  <c r="N17" i="25"/>
  <c r="L17" i="25"/>
  <c r="O13" i="25"/>
  <c r="M19" i="25" l="1"/>
  <c r="M20" i="25" s="1"/>
  <c r="N19" i="25"/>
  <c r="N20" i="25" s="1"/>
  <c r="O17" i="25"/>
  <c r="E7" i="6" s="1"/>
  <c r="L19" i="25"/>
  <c r="L20" i="25" s="1"/>
  <c r="O18" i="25"/>
  <c r="F7" i="6" s="1"/>
  <c r="O15" i="25"/>
  <c r="K19" i="25"/>
  <c r="K20" i="25" s="1"/>
  <c r="D9" i="1" l="1"/>
  <c r="D32" i="1"/>
  <c r="M16" i="13" s="1"/>
  <c r="D8" i="1"/>
  <c r="D108" i="1" s="1"/>
  <c r="D31" i="1"/>
  <c r="G7" i="6"/>
  <c r="O19" i="25"/>
  <c r="O20" i="25" s="1"/>
  <c r="G9" i="6" l="1"/>
  <c r="D18" i="1" s="1"/>
  <c r="D214" i="1"/>
  <c r="D205" i="1"/>
  <c r="E205" i="1" s="1"/>
  <c r="D109" i="1"/>
  <c r="C109" i="1" s="1"/>
  <c r="D213" i="1"/>
  <c r="D204" i="1"/>
  <c r="D14" i="1"/>
  <c r="D51" i="11"/>
  <c r="C51" i="11" s="1"/>
  <c r="D158" i="1"/>
  <c r="C158" i="1" s="1"/>
  <c r="D37" i="1"/>
  <c r="D50" i="11"/>
  <c r="D157" i="1"/>
  <c r="C33" i="25"/>
  <c r="C38" i="25"/>
  <c r="C39" i="25" s="1"/>
  <c r="J33" i="25"/>
  <c r="M33" i="25"/>
  <c r="F33" i="25"/>
  <c r="G33" i="25"/>
  <c r="L33" i="25"/>
  <c r="K33" i="25"/>
  <c r="I33" i="25"/>
  <c r="N33" i="25"/>
  <c r="D33" i="25"/>
  <c r="H33" i="25"/>
  <c r="O32" i="25"/>
  <c r="J38" i="25"/>
  <c r="J39" i="25" s="1"/>
  <c r="O30" i="25"/>
  <c r="E33" i="25"/>
  <c r="E38" i="25"/>
  <c r="E39" i="25" s="1"/>
  <c r="K38" i="25"/>
  <c r="K39" i="25" s="1"/>
  <c r="H38" i="25"/>
  <c r="H39" i="25" s="1"/>
  <c r="O37" i="25"/>
  <c r="F38" i="25"/>
  <c r="F39" i="25" s="1"/>
  <c r="M38" i="25"/>
  <c r="M39" i="25" s="1"/>
  <c r="N38" i="25"/>
  <c r="N39" i="25" s="1"/>
  <c r="O35" i="25"/>
  <c r="B10" i="6" s="1"/>
  <c r="L38" i="25"/>
  <c r="L39" i="25" s="1"/>
  <c r="G38" i="25"/>
  <c r="G39" i="25" s="1"/>
  <c r="I38" i="25"/>
  <c r="I39" i="25" s="1"/>
  <c r="D10" i="6" l="1"/>
  <c r="D12" i="6" s="1"/>
  <c r="O33" i="25"/>
  <c r="O38" i="25"/>
  <c r="O39" i="25" s="1"/>
  <c r="D115" i="1"/>
  <c r="D207" i="1"/>
  <c r="F204" i="1"/>
  <c r="H204" i="1" s="1"/>
  <c r="E204" i="1"/>
  <c r="E207" i="1" s="1"/>
  <c r="E214" i="1"/>
  <c r="D87" i="11"/>
  <c r="D102" i="11"/>
  <c r="D164" i="1"/>
  <c r="D167" i="1" s="1"/>
  <c r="D216" i="1"/>
  <c r="F213" i="1"/>
  <c r="E213" i="1"/>
  <c r="D41" i="1"/>
  <c r="D40" i="1"/>
  <c r="D17" i="1"/>
  <c r="D38" i="25"/>
  <c r="D39" i="25" s="1"/>
  <c r="D20" i="6" l="1"/>
  <c r="D24" i="6" s="1"/>
  <c r="H213" i="1"/>
  <c r="I213" i="1" s="1"/>
  <c r="G213" i="1"/>
  <c r="B12" i="6"/>
  <c r="E10" i="6"/>
  <c r="E12" i="6" s="1"/>
  <c r="E17" i="6" s="1"/>
  <c r="E18" i="1" s="1"/>
  <c r="E208" i="1"/>
  <c r="E216" i="1"/>
  <c r="D43" i="1"/>
  <c r="D118" i="1"/>
  <c r="D65" i="1" s="1"/>
  <c r="D55" i="11"/>
  <c r="D20" i="1"/>
  <c r="F214" i="1"/>
  <c r="D83" i="1"/>
  <c r="D175" i="1" s="1"/>
  <c r="D176" i="1" s="1"/>
  <c r="D183" i="1" s="1"/>
  <c r="F205" i="1"/>
  <c r="G204" i="1"/>
  <c r="J15" i="13"/>
  <c r="G15" i="13"/>
  <c r="E63" i="11" s="1"/>
  <c r="M89" i="11" s="1"/>
  <c r="E33" i="1" l="1"/>
  <c r="E159" i="1" s="1"/>
  <c r="C159" i="1" s="1"/>
  <c r="E10" i="1"/>
  <c r="D227" i="1" s="1"/>
  <c r="E227" i="1" s="1"/>
  <c r="E217" i="1"/>
  <c r="B20" i="6"/>
  <c r="B24" i="6" s="1"/>
  <c r="E8" i="1" s="1"/>
  <c r="E108" i="1" s="1"/>
  <c r="E27" i="11"/>
  <c r="M15" i="13"/>
  <c r="M17" i="13" s="1"/>
  <c r="L15" i="13"/>
  <c r="K15" i="13"/>
  <c r="E41" i="1"/>
  <c r="C18" i="1"/>
  <c r="D168" i="1"/>
  <c r="H205" i="1"/>
  <c r="H207" i="1" s="1"/>
  <c r="K204" i="1" s="1"/>
  <c r="G205" i="1"/>
  <c r="G207" i="1" s="1"/>
  <c r="G208" i="1" s="1"/>
  <c r="D57" i="11"/>
  <c r="D46" i="1"/>
  <c r="G214" i="1"/>
  <c r="G216" i="1" s="1"/>
  <c r="G217" i="1" s="1"/>
  <c r="H214" i="1"/>
  <c r="I204" i="1"/>
  <c r="D23" i="1"/>
  <c r="R14" i="16" s="1"/>
  <c r="D225" i="1" l="1"/>
  <c r="D239" i="1"/>
  <c r="E239" i="1" s="1"/>
  <c r="E110" i="1"/>
  <c r="C110" i="1" s="1"/>
  <c r="E52" i="11"/>
  <c r="C52" i="11" s="1"/>
  <c r="M21" i="13"/>
  <c r="F225" i="1"/>
  <c r="H225" i="1" s="1"/>
  <c r="D231" i="1"/>
  <c r="G20" i="6"/>
  <c r="G24" i="6" s="1"/>
  <c r="E31" i="1"/>
  <c r="D237" i="1" s="1"/>
  <c r="E14" i="1"/>
  <c r="E17" i="1" s="1"/>
  <c r="T14" i="16"/>
  <c r="A15" i="22"/>
  <c r="M82" i="11"/>
  <c r="E55" i="11"/>
  <c r="C55" i="11" s="1"/>
  <c r="C41" i="1"/>
  <c r="C108" i="1"/>
  <c r="E225" i="1"/>
  <c r="K205" i="1"/>
  <c r="I205" i="1"/>
  <c r="I207" i="1" s="1"/>
  <c r="I208" i="1" s="1"/>
  <c r="D138" i="1" s="1"/>
  <c r="D139" i="1" s="1"/>
  <c r="I214" i="1"/>
  <c r="I216" i="1" s="1"/>
  <c r="H216" i="1"/>
  <c r="D105" i="11"/>
  <c r="D127" i="1"/>
  <c r="D128" i="1" s="1"/>
  <c r="D119" i="1"/>
  <c r="D88" i="11"/>
  <c r="D170" i="1"/>
  <c r="D191" i="1" s="1"/>
  <c r="O89" i="11"/>
  <c r="O92" i="11" s="1"/>
  <c r="G57" i="22"/>
  <c r="E64" i="11"/>
  <c r="E65" i="11"/>
  <c r="M92" i="11"/>
  <c r="M98" i="11" s="1"/>
  <c r="P89" i="11"/>
  <c r="P92" i="11" s="1"/>
  <c r="P98" i="11" s="1"/>
  <c r="F64" i="11"/>
  <c r="P82" i="11"/>
  <c r="F65" i="11"/>
  <c r="E75" i="1"/>
  <c r="F75" i="1"/>
  <c r="E115" i="1" l="1"/>
  <c r="C115" i="1" s="1"/>
  <c r="D243" i="1"/>
  <c r="F237" i="1"/>
  <c r="F226" i="1"/>
  <c r="F227" i="1" s="1"/>
  <c r="E231" i="1"/>
  <c r="E232" i="1" s="1"/>
  <c r="E50" i="11"/>
  <c r="E57" i="11" s="1"/>
  <c r="E105" i="11" s="1"/>
  <c r="E157" i="1"/>
  <c r="C157" i="1" s="1"/>
  <c r="C102" i="11" s="1"/>
  <c r="M26" i="13"/>
  <c r="E37" i="1"/>
  <c r="C37" i="1" s="1"/>
  <c r="C14" i="1"/>
  <c r="E156" i="1"/>
  <c r="C15" i="22"/>
  <c r="E15" i="22" s="1"/>
  <c r="P14" i="16" s="1"/>
  <c r="H15" i="22"/>
  <c r="J15" i="22" s="1"/>
  <c r="I217" i="1"/>
  <c r="D186" i="1" s="1"/>
  <c r="D187" i="1" s="1"/>
  <c r="I225" i="1"/>
  <c r="G225" i="1"/>
  <c r="E237" i="1"/>
  <c r="E243" i="1" s="1"/>
  <c r="E20" i="1"/>
  <c r="B78" i="6" s="1"/>
  <c r="C17" i="1"/>
  <c r="D135" i="1"/>
  <c r="D121" i="1"/>
  <c r="D143" i="1" s="1"/>
  <c r="D100" i="11"/>
  <c r="L108" i="11"/>
  <c r="G113" i="11" s="1"/>
  <c r="H113" i="11" s="1"/>
  <c r="C65" i="11"/>
  <c r="M33" i="11"/>
  <c r="I19" i="13" s="1"/>
  <c r="I25" i="13"/>
  <c r="E37" i="11"/>
  <c r="M43" i="11" s="1"/>
  <c r="F156" i="1"/>
  <c r="N33" i="11"/>
  <c r="F37" i="11"/>
  <c r="H100" i="22"/>
  <c r="G79" i="22"/>
  <c r="K79" i="22" s="1"/>
  <c r="M79" i="22" s="1"/>
  <c r="G83" i="22"/>
  <c r="K83" i="22" s="1"/>
  <c r="M83" i="22" s="1"/>
  <c r="G80" i="22"/>
  <c r="K80" i="22" s="1"/>
  <c r="M80" i="22" s="1"/>
  <c r="G77" i="22"/>
  <c r="K77" i="22" s="1"/>
  <c r="M77" i="22" s="1"/>
  <c r="G75" i="22"/>
  <c r="K75" i="22" s="1"/>
  <c r="M75" i="22" s="1"/>
  <c r="G78" i="22"/>
  <c r="K78" i="22" s="1"/>
  <c r="M78" i="22" s="1"/>
  <c r="G73" i="22"/>
  <c r="K73" i="22" s="1"/>
  <c r="M73" i="22" s="1"/>
  <c r="G64" i="22"/>
  <c r="K64" i="22" s="1"/>
  <c r="M64" i="22" s="1"/>
  <c r="G76" i="22"/>
  <c r="K76" i="22" s="1"/>
  <c r="M76" i="22" s="1"/>
  <c r="G61" i="22"/>
  <c r="K61" i="22" s="1"/>
  <c r="M61" i="22" s="1"/>
  <c r="G63" i="22"/>
  <c r="K63" i="22" s="1"/>
  <c r="M63" i="22" s="1"/>
  <c r="G93" i="22"/>
  <c r="K93" i="22" s="1"/>
  <c r="M93" i="22" s="1"/>
  <c r="G92" i="22"/>
  <c r="K92" i="22" s="1"/>
  <c r="M92" i="22" s="1"/>
  <c r="G72" i="22"/>
  <c r="K72" i="22" s="1"/>
  <c r="M72" i="22" s="1"/>
  <c r="G71" i="22"/>
  <c r="K71" i="22" s="1"/>
  <c r="M71" i="22" s="1"/>
  <c r="G74" i="22"/>
  <c r="K74" i="22" s="1"/>
  <c r="M74" i="22" s="1"/>
  <c r="G68" i="22"/>
  <c r="K68" i="22" s="1"/>
  <c r="M68" i="22" s="1"/>
  <c r="G65" i="22"/>
  <c r="K65" i="22" s="1"/>
  <c r="M65" i="22" s="1"/>
  <c r="G60" i="22"/>
  <c r="K60" i="22" s="1"/>
  <c r="M60" i="22" s="1"/>
  <c r="G58" i="22"/>
  <c r="K58" i="22" s="1"/>
  <c r="M58" i="22" s="1"/>
  <c r="G84" i="22"/>
  <c r="K84" i="22" s="1"/>
  <c r="M84" i="22" s="1"/>
  <c r="G67" i="22"/>
  <c r="K67" i="22" s="1"/>
  <c r="M67" i="22" s="1"/>
  <c r="G86" i="22"/>
  <c r="K86" i="22" s="1"/>
  <c r="M86" i="22" s="1"/>
  <c r="G91" i="22"/>
  <c r="K91" i="22" s="1"/>
  <c r="M91" i="22" s="1"/>
  <c r="G89" i="22"/>
  <c r="K89" i="22" s="1"/>
  <c r="M89" i="22" s="1"/>
  <c r="G88" i="22"/>
  <c r="K88" i="22" s="1"/>
  <c r="M88" i="22" s="1"/>
  <c r="G82" i="22"/>
  <c r="K82" i="22" s="1"/>
  <c r="M82" i="22" s="1"/>
  <c r="G87" i="22"/>
  <c r="K87" i="22" s="1"/>
  <c r="M87" i="22" s="1"/>
  <c r="G66" i="22"/>
  <c r="K66" i="22" s="1"/>
  <c r="M66" i="22" s="1"/>
  <c r="G85" i="22"/>
  <c r="K85" i="22" s="1"/>
  <c r="M85" i="22" s="1"/>
  <c r="G70" i="22"/>
  <c r="K70" i="22" s="1"/>
  <c r="M70" i="22" s="1"/>
  <c r="G59" i="22"/>
  <c r="K59" i="22" s="1"/>
  <c r="M59" i="22" s="1"/>
  <c r="G62" i="22"/>
  <c r="K62" i="22" s="1"/>
  <c r="M62" i="22" s="1"/>
  <c r="G90" i="22"/>
  <c r="K90" i="22" s="1"/>
  <c r="M90" i="22" s="1"/>
  <c r="G81" i="22"/>
  <c r="K81" i="22" s="1"/>
  <c r="M81" i="22" s="1"/>
  <c r="G69" i="22"/>
  <c r="K69" i="22" s="1"/>
  <c r="M69" i="22" s="1"/>
  <c r="E118" i="1" l="1"/>
  <c r="E65" i="1" s="1"/>
  <c r="E87" i="11"/>
  <c r="C87" i="11" s="1"/>
  <c r="H227" i="1"/>
  <c r="I227" i="1" s="1"/>
  <c r="G227" i="1"/>
  <c r="F228" i="1"/>
  <c r="F229" i="1" s="1"/>
  <c r="C50" i="11"/>
  <c r="C57" i="11" s="1"/>
  <c r="E40" i="1"/>
  <c r="E43" i="1" s="1"/>
  <c r="E164" i="1"/>
  <c r="E167" i="1" s="1"/>
  <c r="E102" i="11"/>
  <c r="Q19" i="13"/>
  <c r="E244" i="1"/>
  <c r="H237" i="1"/>
  <c r="L15" i="22"/>
  <c r="M15" i="22" s="1"/>
  <c r="J18" i="13"/>
  <c r="G19" i="13"/>
  <c r="E23" i="1"/>
  <c r="R15" i="16" s="1"/>
  <c r="B80" i="6"/>
  <c r="C20" i="1"/>
  <c r="H226" i="1"/>
  <c r="G226" i="1"/>
  <c r="F238" i="1"/>
  <c r="G237" i="1"/>
  <c r="D190" i="1"/>
  <c r="D89" i="11" s="1"/>
  <c r="D142" i="1"/>
  <c r="M34" i="11"/>
  <c r="G114" i="11"/>
  <c r="H114" i="11" s="1"/>
  <c r="G109" i="11"/>
  <c r="H109" i="11" s="1"/>
  <c r="G116" i="11"/>
  <c r="H116" i="11" s="1"/>
  <c r="G120" i="11"/>
  <c r="H120" i="11" s="1"/>
  <c r="G108" i="11"/>
  <c r="H108" i="11" s="1"/>
  <c r="G118" i="11"/>
  <c r="H118" i="11" s="1"/>
  <c r="G115" i="11"/>
  <c r="H115" i="11" s="1"/>
  <c r="G112" i="11"/>
  <c r="H112" i="11" s="1"/>
  <c r="G110" i="11"/>
  <c r="H110" i="11" s="1"/>
  <c r="G119" i="11"/>
  <c r="H119" i="11" s="1"/>
  <c r="G121" i="11"/>
  <c r="H121" i="11" s="1"/>
  <c r="G117" i="11"/>
  <c r="H117" i="11" s="1"/>
  <c r="G122" i="11"/>
  <c r="H122" i="11" s="1"/>
  <c r="G111" i="11"/>
  <c r="H111" i="11" s="1"/>
  <c r="E99" i="11"/>
  <c r="J25" i="13"/>
  <c r="H25" i="13"/>
  <c r="G25" i="13" s="1"/>
  <c r="M25" i="13" s="1"/>
  <c r="M27" i="13" s="1"/>
  <c r="C156" i="1"/>
  <c r="C99" i="11" s="1"/>
  <c r="J36" i="13"/>
  <c r="N34" i="11"/>
  <c r="F164" i="1"/>
  <c r="F167" i="1" s="1"/>
  <c r="F99" i="11"/>
  <c r="N43" i="11"/>
  <c r="M44" i="11"/>
  <c r="H19" i="13"/>
  <c r="Z19" i="13" s="1"/>
  <c r="J19" i="13"/>
  <c r="H101" i="22"/>
  <c r="M101" i="22" s="1"/>
  <c r="H102" i="22"/>
  <c r="M102" i="22" s="1"/>
  <c r="C118" i="1" l="1"/>
  <c r="C40" i="1"/>
  <c r="H228" i="1"/>
  <c r="I228" i="1" s="1"/>
  <c r="G228" i="1"/>
  <c r="I237" i="1"/>
  <c r="I226" i="1"/>
  <c r="G238" i="1"/>
  <c r="F239" i="1"/>
  <c r="F240" i="1" s="1"/>
  <c r="E83" i="1"/>
  <c r="E175" i="1" s="1"/>
  <c r="T15" i="16"/>
  <c r="T20" i="16" s="1"/>
  <c r="R20" i="16"/>
  <c r="K25" i="13"/>
  <c r="L25" i="13"/>
  <c r="K19" i="13"/>
  <c r="L19" i="13"/>
  <c r="J29" i="13"/>
  <c r="Q30" i="13"/>
  <c r="C23" i="1"/>
  <c r="H238" i="1"/>
  <c r="I238" i="1" s="1"/>
  <c r="G229" i="1"/>
  <c r="G231" i="1" s="1"/>
  <c r="G232" i="1" s="1"/>
  <c r="H229" i="1"/>
  <c r="I229" i="1" s="1"/>
  <c r="E127" i="1"/>
  <c r="E128" i="1" s="1"/>
  <c r="E119" i="1"/>
  <c r="E46" i="1"/>
  <c r="C43" i="1"/>
  <c r="D192" i="1"/>
  <c r="F14" i="16" s="1"/>
  <c r="D145" i="1"/>
  <c r="D101" i="11"/>
  <c r="B102" i="22"/>
  <c r="F102" i="22" s="1"/>
  <c r="O102" i="22" s="1"/>
  <c r="B101" i="22"/>
  <c r="F101" i="22" s="1"/>
  <c r="O101" i="22" s="1"/>
  <c r="C164" i="1"/>
  <c r="C167" i="1"/>
  <c r="Z30" i="13"/>
  <c r="N44" i="11"/>
  <c r="J30" i="13"/>
  <c r="I231" i="1" l="1"/>
  <c r="H231" i="1"/>
  <c r="H240" i="1"/>
  <c r="I240" i="1" s="1"/>
  <c r="G240" i="1"/>
  <c r="F241" i="1"/>
  <c r="D14" i="16"/>
  <c r="M14" i="16" s="1"/>
  <c r="D96" i="11"/>
  <c r="K30" i="13"/>
  <c r="M36" i="13"/>
  <c r="M38" i="13" s="1"/>
  <c r="N38" i="13" s="1"/>
  <c r="C46" i="1"/>
  <c r="G239" i="1"/>
  <c r="G243" i="1" s="1"/>
  <c r="G244" i="1" s="1"/>
  <c r="H239" i="1"/>
  <c r="I239" i="1" s="1"/>
  <c r="C128" i="1"/>
  <c r="E121" i="1"/>
  <c r="E143" i="1" s="1"/>
  <c r="C143" i="1" s="1"/>
  <c r="C119" i="1"/>
  <c r="D193" i="1"/>
  <c r="F176" i="1"/>
  <c r="F179" i="1"/>
  <c r="F180" i="1" s="1"/>
  <c r="E168" i="1"/>
  <c r="E176" i="1"/>
  <c r="H241" i="1" l="1"/>
  <c r="G241" i="1"/>
  <c r="V14" i="16"/>
  <c r="D13" i="29"/>
  <c r="I232" i="1"/>
  <c r="E138" i="1" s="1"/>
  <c r="E139" i="1" s="1"/>
  <c r="C139" i="1" s="1"/>
  <c r="M61" i="13"/>
  <c r="C121" i="1"/>
  <c r="D103" i="11"/>
  <c r="D195" i="1"/>
  <c r="N17" i="13" s="1"/>
  <c r="F190" i="1"/>
  <c r="F101" i="11" s="1"/>
  <c r="F100" i="11"/>
  <c r="F88" i="11"/>
  <c r="F170" i="1"/>
  <c r="F191" i="1" s="1"/>
  <c r="E88" i="11"/>
  <c r="E100" i="11"/>
  <c r="C168" i="1"/>
  <c r="C100" i="11" s="1"/>
  <c r="E170" i="1"/>
  <c r="C176" i="1"/>
  <c r="I241" i="1" l="1"/>
  <c r="I243" i="1" s="1"/>
  <c r="H243" i="1"/>
  <c r="E14" i="16"/>
  <c r="E131" i="1"/>
  <c r="E132" i="1" s="1"/>
  <c r="E135" i="1" s="1"/>
  <c r="D196" i="1"/>
  <c r="F192" i="1"/>
  <c r="F16" i="16" s="1"/>
  <c r="F89" i="11"/>
  <c r="C170" i="1"/>
  <c r="E191" i="1"/>
  <c r="C191" i="1" s="1"/>
  <c r="C88" i="11"/>
  <c r="I244" i="1" l="1"/>
  <c r="E186" i="1" s="1"/>
  <c r="E187" i="1" s="1"/>
  <c r="F96" i="11"/>
  <c r="C132" i="1"/>
  <c r="C135" i="1" s="1"/>
  <c r="E142" i="1"/>
  <c r="J14" i="16"/>
  <c r="K14" i="16"/>
  <c r="G14" i="16"/>
  <c r="F103" i="11"/>
  <c r="C142" i="1" l="1"/>
  <c r="E179" i="1"/>
  <c r="E180" i="1" s="1"/>
  <c r="C180" i="1" s="1"/>
  <c r="C183" i="1" s="1"/>
  <c r="C187" i="1"/>
  <c r="E145" i="1"/>
  <c r="D15" i="16" s="1"/>
  <c r="E183" i="1" l="1"/>
  <c r="E190" i="1" s="1"/>
  <c r="C190" i="1" s="1"/>
  <c r="N62" i="13" s="1"/>
  <c r="C145" i="1"/>
  <c r="D20" i="16" s="1"/>
  <c r="M15" i="16"/>
  <c r="E193" i="1"/>
  <c r="H28" i="16"/>
  <c r="J16" i="16"/>
  <c r="E101" i="11" l="1"/>
  <c r="E192" i="1"/>
  <c r="F15" i="16" s="1"/>
  <c r="E89" i="11"/>
  <c r="C89" i="11" s="1"/>
  <c r="N27" i="13"/>
  <c r="N61" i="13" s="1"/>
  <c r="V15" i="16"/>
  <c r="D19" i="29"/>
  <c r="E23" i="29" s="1"/>
  <c r="F15" i="29" s="1"/>
  <c r="D28" i="16" a="1"/>
  <c r="D28" i="16" s="1"/>
  <c r="D14" i="29"/>
  <c r="C101" i="11"/>
  <c r="H29" i="16"/>
  <c r="C193" i="1"/>
  <c r="E103" i="11" l="1"/>
  <c r="C192" i="1"/>
  <c r="F20" i="16" s="1"/>
  <c r="E96" i="11"/>
  <c r="E195" i="1"/>
  <c r="E15" i="16" s="1"/>
  <c r="F28" i="16" a="1"/>
  <c r="F28" i="16" s="1"/>
  <c r="F29" i="16" s="1"/>
  <c r="C96" i="11"/>
  <c r="C103" i="11"/>
  <c r="D21" i="16"/>
  <c r="V20" i="16"/>
  <c r="F19" i="29"/>
  <c r="G18" i="29"/>
  <c r="D29" i="16"/>
  <c r="F21" i="16" l="1"/>
  <c r="E196" i="1"/>
  <c r="C195" i="1"/>
  <c r="E20" i="16" s="1"/>
  <c r="N64" i="13"/>
  <c r="J18" i="29"/>
  <c r="H18" i="29"/>
  <c r="F14" i="29"/>
  <c r="F17" i="29"/>
  <c r="G17" i="29" s="1"/>
  <c r="F16" i="29"/>
  <c r="G16" i="29" s="1"/>
  <c r="G15" i="29"/>
  <c r="F13" i="29"/>
  <c r="G13" i="29" s="1"/>
  <c r="J15" i="16"/>
  <c r="K15" i="16"/>
  <c r="K28" i="16" s="1" a="1"/>
  <c r="K28" i="16" s="1"/>
  <c r="G15" i="16"/>
  <c r="E28" i="16" a="1"/>
  <c r="E28" i="16" s="1"/>
  <c r="C196" i="1" l="1"/>
  <c r="G14" i="29"/>
  <c r="J14" i="29" s="1"/>
  <c r="J20" i="16"/>
  <c r="J21" i="16" s="1"/>
  <c r="J16" i="29"/>
  <c r="H16" i="29"/>
  <c r="G60" i="11" s="1"/>
  <c r="J17" i="29"/>
  <c r="H17" i="29"/>
  <c r="H60" i="11" s="1"/>
  <c r="J15" i="29"/>
  <c r="H15" i="29"/>
  <c r="J13" i="29"/>
  <c r="H13" i="29"/>
  <c r="K20" i="16"/>
  <c r="E29" i="16"/>
  <c r="G20" i="16"/>
  <c r="H14" i="29" l="1"/>
  <c r="E60" i="11" s="1"/>
  <c r="E95" i="11" s="1"/>
  <c r="E97" i="11" s="1"/>
  <c r="H95" i="11"/>
  <c r="H97" i="11" s="1"/>
  <c r="H91" i="11"/>
  <c r="H92" i="11" s="1"/>
  <c r="G95" i="11"/>
  <c r="G97" i="11" s="1"/>
  <c r="G91" i="11"/>
  <c r="G92" i="11" s="1"/>
  <c r="F95" i="11"/>
  <c r="F97" i="11" s="1"/>
  <c r="F91" i="11"/>
  <c r="F92" i="11" s="1"/>
  <c r="D60" i="11"/>
  <c r="D91" i="11" s="1"/>
  <c r="D92" i="11" s="1"/>
  <c r="G19" i="29"/>
  <c r="J19" i="29" s="1"/>
  <c r="K21" i="16"/>
  <c r="K29" i="16"/>
  <c r="P15" i="22" l="1"/>
  <c r="Q15" i="22" s="1"/>
  <c r="H19" i="29"/>
  <c r="E91" i="11"/>
  <c r="E92" i="11" s="1"/>
  <c r="H93" i="11"/>
  <c r="G93" i="11"/>
  <c r="F93" i="11"/>
  <c r="D95" i="11"/>
  <c r="C95" i="11" s="1"/>
  <c r="C60" i="11"/>
  <c r="D93" i="11"/>
  <c r="R15" i="22" l="1"/>
  <c r="C91" i="11"/>
  <c r="C92" i="11" s="1"/>
  <c r="E93" i="11"/>
  <c r="C93" i="11" s="1"/>
  <c r="D97" i="11"/>
  <c r="C97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  <author>Joe Miller</author>
  </authors>
  <commentList>
    <comment ref="J8" authorId="0" shapeId="0" xr:uid="{00000000-0006-0000-0000-000001000000}">
      <text>
        <r>
          <rPr>
            <sz val="9"/>
            <color indexed="81"/>
            <rFont val="Tahoma"/>
            <family val="2"/>
          </rPr>
          <t>WSU, 8 million annual minimum</t>
        </r>
      </text>
    </comment>
    <comment ref="J56" authorId="0" shapeId="0" xr:uid="{00000000-0006-0000-0000-000002000000}">
      <text>
        <r>
          <rPr>
            <sz val="9"/>
            <color indexed="81"/>
            <rFont val="Tahoma"/>
            <family val="2"/>
          </rPr>
          <t>WSU
Fixed Charge - $200/mo.
Capital Charge - $26,132/mo.
Total - $26,332/mo.
Collected over 20 yrs; effective 8/1/2003</t>
        </r>
      </text>
    </comment>
    <comment ref="J59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$.01 for first 10 million therms/year; $.005 for all therms over 10 million</t>
        </r>
      </text>
    </comment>
    <comment ref="I61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$.03168 first 2.5M Therms
$.021 all addition therms</t>
        </r>
      </text>
    </comment>
    <comment ref="I62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if usage in prior year greater than 4M therms, rate for next year is $0.025 per therm.
100K annual minimum</t>
        </r>
      </text>
    </comment>
    <comment ref="B90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Rate dependent upon prior year usage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</authors>
  <commentList>
    <comment ref="B3" authorId="0" shapeId="0" xr:uid="{00000000-0006-0000-0100-000001000000}">
      <text>
        <r>
          <rPr>
            <sz val="11"/>
            <color indexed="81"/>
            <rFont val="Tahoma"/>
            <family val="2"/>
          </rPr>
          <t>Excludes Sch 150</t>
        </r>
      </text>
    </comment>
    <comment ref="B24" authorId="0" shapeId="0" xr:uid="{00000000-0006-0000-0100-000002000000}">
      <text>
        <r>
          <rPr>
            <sz val="11"/>
            <color indexed="81"/>
            <rFont val="Tahoma"/>
            <family val="2"/>
          </rPr>
          <t xml:space="preserve">Excludes Sch 150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  <author>Joe Miller</author>
  </authors>
  <commentList>
    <comment ref="H13" authorId="0" shapeId="0" xr:uid="{00000000-0006-0000-0200-000001000000}">
      <text>
        <r>
          <rPr>
            <sz val="8"/>
            <color indexed="81"/>
            <rFont val="Tahoma"/>
            <family val="2"/>
          </rPr>
          <t>Change the cell range named Bill1Base2 to '2'.
Copy the values from col. D to this column.
Change the cell range named Bill1Base2 back to '1'.</t>
        </r>
      </text>
    </comment>
    <comment ref="J32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L32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  <comment ref="J38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L38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  <comment ref="J43" authorId="1" shapeId="0" xr:uid="{00000000-0006-0000-0200-000006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L43" authorId="1" shapeId="0" xr:uid="{00000000-0006-0000-0200-000007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D26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excludes special contract revenue</t>
        </r>
      </text>
    </comment>
    <comment ref="I35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based on Dist. Plant.  Line 499 from COS "Summary"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</authors>
  <commentList>
    <comment ref="I12" authorId="0" shapeId="0" xr:uid="{00000000-0006-0000-0900-000001000000}">
      <text>
        <r>
          <rPr>
            <sz val="8"/>
            <color indexed="81"/>
            <rFont val="Tahoma"/>
            <family val="2"/>
          </rPr>
          <t>Change the cell range named Bill1Base2 to '2'.
Copy the values from col. D to this column.
Change the cell range named Bill1Base2 back to '1'.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</authors>
  <commentList>
    <comment ref="B53" authorId="0" shapeId="0" xr:uid="{00000000-0006-0000-0B00-000001000000}">
      <text>
        <r>
          <rPr>
            <sz val="11"/>
            <color indexed="81"/>
            <rFont val="Tahoma"/>
            <family val="2"/>
          </rPr>
          <t>Annual minimum is 8M therms.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B61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60,000 minimum</t>
        </r>
      </text>
    </comment>
    <comment ref="B74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250, 000 minimum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  <author>Miller, Joe</author>
  </authors>
  <commentList>
    <comment ref="O183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Adj for Sch switching from 121</t>
        </r>
      </text>
    </comment>
    <comment ref="D192" authorId="1" shapeId="0" xr:uid="{B17851DC-6F3A-4B74-A6EB-E2E674735C4B}">
      <text>
        <r>
          <rPr>
            <b/>
            <sz val="9"/>
            <color indexed="81"/>
            <rFont val="Tahoma"/>
            <family val="2"/>
          </rPr>
          <t>Miller, Joe:</t>
        </r>
        <r>
          <rPr>
            <sz val="9"/>
            <color indexed="81"/>
            <rFont val="Tahoma"/>
            <family val="2"/>
          </rPr>
          <t xml:space="preserve">
corrected</t>
        </r>
      </text>
    </comment>
    <comment ref="D194" authorId="1" shapeId="0" xr:uid="{1BFB0AF3-763E-497F-BDEF-6F13AB84BB16}">
      <text>
        <r>
          <rPr>
            <b/>
            <sz val="9"/>
            <color indexed="81"/>
            <rFont val="Tahoma"/>
            <family val="2"/>
          </rPr>
          <t>Miller, Joe:</t>
        </r>
        <r>
          <rPr>
            <sz val="9"/>
            <color indexed="81"/>
            <rFont val="Tahoma"/>
            <family val="2"/>
          </rPr>
          <t xml:space="preserve">
corrected</t>
        </r>
      </text>
    </comment>
  </commentList>
</comments>
</file>

<file path=xl/sharedStrings.xml><?xml version="1.0" encoding="utf-8"?>
<sst xmlns="http://schemas.openxmlformats.org/spreadsheetml/2006/main" count="1448" uniqueCount="705">
  <si>
    <t xml:space="preserve"> </t>
  </si>
  <si>
    <t>GEN SERVICE</t>
  </si>
  <si>
    <t>LRG GEN SVC</t>
  </si>
  <si>
    <t>EX LRG GEN SVC</t>
  </si>
  <si>
    <t>INTERRUPTIBLE</t>
  </si>
  <si>
    <t>TRANSPORT</t>
  </si>
  <si>
    <t>TOTAL</t>
  </si>
  <si>
    <t>SCHEDULE 101</t>
  </si>
  <si>
    <t>SCH. 111&amp;112</t>
  </si>
  <si>
    <t>SCH. 121&amp;122</t>
  </si>
  <si>
    <t>SCH. 131&amp;132</t>
  </si>
  <si>
    <t>SCHEDULE 146</t>
  </si>
  <si>
    <t>THERMS</t>
  </si>
  <si>
    <t>BLOCK 1</t>
  </si>
  <si>
    <t>BLOCK 2</t>
  </si>
  <si>
    <t>BLOCK 3</t>
  </si>
  <si>
    <t>BLOCK 4</t>
  </si>
  <si>
    <t>SUBTOTAL</t>
  </si>
  <si>
    <t>NET SHIFTING ADJUSTMENT</t>
  </si>
  <si>
    <t>ADJUSTMENT TO ACTUAL</t>
  </si>
  <si>
    <t>TOTAL BEFORE ADJUSTMENT</t>
  </si>
  <si>
    <t>WEATHER &amp; UNBILLED REV. ADJ.</t>
  </si>
  <si>
    <t>TOTAL PROFORMA THERMS</t>
  </si>
  <si>
    <t>TOTAL BILLS</t>
  </si>
  <si>
    <t>SCHEDULE 111</t>
  </si>
  <si>
    <t>SCHEDULE 121</t>
  </si>
  <si>
    <t>SCHEDULE 131</t>
  </si>
  <si>
    <t>PRESENT RATES</t>
  </si>
  <si>
    <t>BASIC CHARGE</t>
  </si>
  <si>
    <t>MONTHLY MINIMUM</t>
  </si>
  <si>
    <t>BLOCK 1 PER THERM</t>
  </si>
  <si>
    <t>BLOCK 2 PER THERM</t>
  </si>
  <si>
    <t>BLOCK 3 PER THERM</t>
  </si>
  <si>
    <t>BLOCK 4 PER THERM</t>
  </si>
  <si>
    <t>ADJUST TO ACTUAL PER THERM</t>
  </si>
  <si>
    <t>PROPOSED RATES</t>
  </si>
  <si>
    <t>PRESENT REVENUE</t>
  </si>
  <si>
    <t>ADJUST TO ACTUAL</t>
  </si>
  <si>
    <t>ADJUSTMENT REVENUE</t>
  </si>
  <si>
    <t>UNBILLED REVENUE ADJUSTMENT</t>
  </si>
  <si>
    <t>WEATHER NORMALIZATION ADJ</t>
  </si>
  <si>
    <t>OTHER ADJUSTMENTS</t>
  </si>
  <si>
    <t>TOTAL ADJUSTMENT REVENUE</t>
  </si>
  <si>
    <t>TOTAL PRESENT REVENUE</t>
  </si>
  <si>
    <t>PROPOSED REVENUE</t>
  </si>
  <si>
    <t>TOTAL PROPOSED REVENUE</t>
  </si>
  <si>
    <t>TOTAL INCREASED REVENUE</t>
  </si>
  <si>
    <t>PERCENT REVENUE INCREASE</t>
  </si>
  <si>
    <t>BASE LOAD</t>
  </si>
  <si>
    <t>WTHR-SENS.</t>
  </si>
  <si>
    <t>RATES</t>
  </si>
  <si>
    <t>REVENUE</t>
  </si>
  <si>
    <t>THERMS(1)</t>
  </si>
  <si>
    <t>AVERAGE RATE</t>
  </si>
  <si>
    <t>SCHEDULE 148</t>
  </si>
  <si>
    <t>BLOCK 5</t>
  </si>
  <si>
    <t>BLOCK 5 PER THERM</t>
  </si>
  <si>
    <t>ANN. MINIMUM</t>
  </si>
  <si>
    <t>Washington</t>
  </si>
  <si>
    <t>Total</t>
  </si>
  <si>
    <t>Sch 101</t>
  </si>
  <si>
    <t>Sch 111</t>
  </si>
  <si>
    <t>Sch 121</t>
  </si>
  <si>
    <t>Sch 131</t>
  </si>
  <si>
    <t>Sch 146</t>
  </si>
  <si>
    <t>Total Expenses</t>
  </si>
  <si>
    <t>Present Rate of Return</t>
  </si>
  <si>
    <t>Proposed Revenue</t>
  </si>
  <si>
    <t>Schedule 101</t>
  </si>
  <si>
    <t>Total therms</t>
  </si>
  <si>
    <t>0-200 thms</t>
  </si>
  <si>
    <t>201-1000 thms</t>
  </si>
  <si>
    <t>&gt; 1000 thms</t>
  </si>
  <si>
    <t>therms</t>
  </si>
  <si>
    <t>therms by block(2)</t>
  </si>
  <si>
    <t>1001-10000</t>
  </si>
  <si>
    <t>10000-</t>
  </si>
  <si>
    <t>0-500 thms</t>
  </si>
  <si>
    <t>501-1000 thms</t>
  </si>
  <si>
    <t>25000 thms</t>
  </si>
  <si>
    <t>&gt;25000 thms</t>
  </si>
  <si>
    <t>therms by block(3)</t>
  </si>
  <si>
    <t>first</t>
  </si>
  <si>
    <t>next</t>
  </si>
  <si>
    <t>over</t>
  </si>
  <si>
    <t>10000 thms</t>
  </si>
  <si>
    <t>15000 thms</t>
  </si>
  <si>
    <t>50000 thms</t>
  </si>
  <si>
    <t>billed/pro forma therms(4)</t>
  </si>
  <si>
    <t>Schedule 146</t>
  </si>
  <si>
    <t>20000 thms</t>
  </si>
  <si>
    <t>30000 thms</t>
  </si>
  <si>
    <t>250000 thms</t>
  </si>
  <si>
    <t>200000 thms</t>
  </si>
  <si>
    <t>500000 thms</t>
  </si>
  <si>
    <t>thms/mo</t>
  </si>
  <si>
    <t>1st</t>
  </si>
  <si>
    <t>ANNUAL USAGE, Sch 148</t>
  </si>
  <si>
    <t>Washington Potato</t>
  </si>
  <si>
    <t>Lamb-Weston</t>
  </si>
  <si>
    <t>Meters</t>
  </si>
  <si>
    <t>Usage</t>
  </si>
  <si>
    <t>check</t>
  </si>
  <si>
    <t>AVISTA UTILITIES</t>
  </si>
  <si>
    <t>CUSTOMERS</t>
  </si>
  <si>
    <t>Revenue Runs</t>
  </si>
  <si>
    <t>Total Sch 146</t>
  </si>
  <si>
    <t>Total WA Sch 146</t>
  </si>
  <si>
    <t>ANNUAL USAGE, Sch 146</t>
  </si>
  <si>
    <t>Total WA Sch 148</t>
  </si>
  <si>
    <t>ANNUAL USAGE, Sch 147</t>
  </si>
  <si>
    <t>Total WA Sch 147</t>
  </si>
  <si>
    <t>billed/pro forma therms</t>
  </si>
  <si>
    <t>less:</t>
  </si>
  <si>
    <t>Diff</t>
  </si>
  <si>
    <t>Schedule 131,132</t>
  </si>
  <si>
    <t>PRESENT BILL DETERMINANTS</t>
  </si>
  <si>
    <t>PROPOSED BILL DETERMINANTS</t>
  </si>
  <si>
    <t>Tiers - used for bill comparisons</t>
  </si>
  <si>
    <t>Range Name</t>
  </si>
  <si>
    <t>Base Tariff Rates</t>
  </si>
  <si>
    <t>Rates_Base_Present</t>
  </si>
  <si>
    <t>Billing Rates</t>
  </si>
  <si>
    <t>Rates_Billing_Present</t>
  </si>
  <si>
    <t>Rates_Base_Proposed</t>
  </si>
  <si>
    <t>Rates_Billing_Proposed</t>
  </si>
  <si>
    <t>Proposed Rate Workup - from Pres &amp; Prop Rev tab</t>
  </si>
  <si>
    <t>ADJ. TO ACTUAL</t>
  </si>
  <si>
    <t>Proposed rates:</t>
  </si>
  <si>
    <t>Formulas to copy</t>
  </si>
  <si>
    <t>same as current</t>
  </si>
  <si>
    <t>FLOOR</t>
  </si>
  <si>
    <t>CEILING</t>
  </si>
  <si>
    <t>OTHER</t>
  </si>
  <si>
    <t>diff than current</t>
  </si>
  <si>
    <t>Basic Charge Revenue</t>
  </si>
  <si>
    <t>Present Block 1 Rate</t>
  </si>
  <si>
    <t>Present Block 2 Rate</t>
  </si>
  <si>
    <t>Present Block 3 Rate</t>
  </si>
  <si>
    <t>1) Flat Rate Increase</t>
  </si>
  <si>
    <t>2) % Rate Increase</t>
  </si>
  <si>
    <t>Method ---&gt;</t>
  </si>
  <si>
    <t>Calculated</t>
  </si>
  <si>
    <t>Input</t>
  </si>
  <si>
    <t>Adj. to Actual Revenue</t>
  </si>
  <si>
    <t>Weather &amp; U/B Revenue</t>
  </si>
  <si>
    <t>Revenue Remaining</t>
  </si>
  <si>
    <t>check - &lt; $4k is rounding</t>
  </si>
  <si>
    <t>Overall Revenue</t>
  </si>
  <si>
    <t>Avg. Usage</t>
  </si>
  <si>
    <t>Bill Compare:</t>
  </si>
  <si>
    <t>Pres</t>
  </si>
  <si>
    <t>Prop</t>
  </si>
  <si>
    <t>% Incr</t>
  </si>
  <si>
    <r>
      <t xml:space="preserve">%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 xml:space="preserve"> in Basic Charge</t>
    </r>
  </si>
  <si>
    <r>
      <t xml:space="preserve">Rate </t>
    </r>
    <r>
      <rPr>
        <u/>
        <sz val="10"/>
        <rFont val="Symbol"/>
        <family val="1"/>
        <charset val="2"/>
      </rPr>
      <t>D</t>
    </r>
    <r>
      <rPr>
        <u/>
        <sz val="10"/>
        <rFont val="Arial"/>
        <family val="2"/>
      </rPr>
      <t xml:space="preserve"> Check</t>
    </r>
  </si>
  <si>
    <t>SCH. 101</t>
  </si>
  <si>
    <t>SCH. 111,112</t>
  </si>
  <si>
    <t>SCH. 121,122</t>
  </si>
  <si>
    <t>SCH. 146</t>
  </si>
  <si>
    <t>SCH. 131,132</t>
  </si>
  <si>
    <t>TOTAL MINIMUM BILLS</t>
  </si>
  <si>
    <t>Present Basic/Min Charge</t>
  </si>
  <si>
    <t>Present Block 4 Rate</t>
  </si>
  <si>
    <t>Present Block 5 Rate</t>
  </si>
  <si>
    <t>Blocks 1-5 Revenue</t>
  </si>
  <si>
    <t>Block Therm Charges</t>
  </si>
  <si>
    <t>BASIC/MIN CHARGE</t>
  </si>
  <si>
    <t>Basic/Min Charge</t>
  </si>
  <si>
    <t>Revenue Remaining - ¢/Th</t>
  </si>
  <si>
    <t>Print Header for all printed pages on this worksheet:</t>
  </si>
  <si>
    <t>Calculate all revenue exhibits using  ____ rates:</t>
  </si>
  <si>
    <t>1)</t>
  </si>
  <si>
    <t>Base Tariff</t>
  </si>
  <si>
    <t>or</t>
  </si>
  <si>
    <t>2)</t>
  </si>
  <si>
    <t>- range name where Present Rates table can be found</t>
  </si>
  <si>
    <t>- range name where Proposed Rates table can be found</t>
  </si>
  <si>
    <t>ANNUAL MINIMUM</t>
  </si>
  <si>
    <t>BASE LOAD THERMS</t>
  </si>
  <si>
    <t>BASE LOAD RATE</t>
  </si>
  <si>
    <t>BASE LOAD REVENUE</t>
  </si>
  <si>
    <t>WEATHER-SENSITIVE THERMS</t>
  </si>
  <si>
    <t>WEATHER-SENSITIVE RATE</t>
  </si>
  <si>
    <t>WEATHER-SENSITIVE REVENUE</t>
  </si>
  <si>
    <t>TOTAL UNBILLED THERM ADJ</t>
  </si>
  <si>
    <t>TOTAL UNBILLED REVENUE ADJ</t>
  </si>
  <si>
    <t>0-200 THERMS</t>
  </si>
  <si>
    <t>201-1,000 THERMS</t>
  </si>
  <si>
    <t>PRESENT BASELOAD AND WEATHER-SENSITIVE RATE</t>
  </si>
  <si>
    <t>PROPOSED BASELOAD AND WEATHER-SENSITIVE RATE</t>
  </si>
  <si>
    <t>WORK PAPER</t>
  </si>
  <si>
    <t>REFERENCE</t>
  </si>
  <si>
    <t>Kaiser -Trentwood</t>
  </si>
  <si>
    <t>Mutual Materials</t>
  </si>
  <si>
    <t>Wash. State Univ.</t>
  </si>
  <si>
    <t>Block 5 - Avista Electric generating facilities billed at 2.091 cents/therm (Sch. 148 floor)</t>
  </si>
  <si>
    <t>from COS</t>
  </si>
  <si>
    <t>Targeted Rate Increase</t>
  </si>
  <si>
    <t>WEATHER &amp; U/B THERMS</t>
  </si>
  <si>
    <t>Proposed Target</t>
  </si>
  <si>
    <t>Proposed Actual</t>
  </si>
  <si>
    <t>Line</t>
  </si>
  <si>
    <t>Sch.</t>
  </si>
  <si>
    <t>Relative</t>
  </si>
  <si>
    <t>Rate of</t>
  </si>
  <si>
    <t>No.</t>
  </si>
  <si>
    <t>Schedule</t>
  </si>
  <si>
    <t>Return</t>
  </si>
  <si>
    <t>(a)</t>
  </si>
  <si>
    <t>(b)</t>
  </si>
  <si>
    <t>(c)</t>
  </si>
  <si>
    <t>(d)</t>
  </si>
  <si>
    <t>(e)</t>
  </si>
  <si>
    <t>(f)</t>
  </si>
  <si>
    <t>General Service</t>
  </si>
  <si>
    <t>Large General Service</t>
  </si>
  <si>
    <t>Transportation Service</t>
  </si>
  <si>
    <t>This worksheet uses Base &amp; Billing rates from 'Rate Design' tab.</t>
  </si>
  <si>
    <t>PRESENT AND PROPOSED RATE COMPONENTS BY SCHEDULE</t>
  </si>
  <si>
    <t>Present</t>
  </si>
  <si>
    <t xml:space="preserve">General </t>
  </si>
  <si>
    <t xml:space="preserve">Proposed </t>
  </si>
  <si>
    <t xml:space="preserve">Present </t>
  </si>
  <si>
    <t xml:space="preserve">Rate </t>
  </si>
  <si>
    <t xml:space="preserve">Billing </t>
  </si>
  <si>
    <t>Increase</t>
  </si>
  <si>
    <t>(g)</t>
  </si>
  <si>
    <t>Basic Charge</t>
  </si>
  <si>
    <t>(000s of Dollars)</t>
  </si>
  <si>
    <t>Revenue</t>
  </si>
  <si>
    <t>Type of</t>
  </si>
  <si>
    <t>Proposed</t>
  </si>
  <si>
    <t>Percent</t>
  </si>
  <si>
    <t>Service</t>
  </si>
  <si>
    <t>Number</t>
  </si>
  <si>
    <t>(h)</t>
  </si>
  <si>
    <t xml:space="preserve">Interruptible Service </t>
  </si>
  <si>
    <t>Special Contracts</t>
  </si>
  <si>
    <t>This worksheet pulls data from 'ROR' tab.</t>
  </si>
  <si>
    <t>Present Rates</t>
  </si>
  <si>
    <t>Base</t>
  </si>
  <si>
    <t>Tariff</t>
  </si>
  <si>
    <t xml:space="preserve">Relative </t>
  </si>
  <si>
    <t>ROR</t>
  </si>
  <si>
    <t>Large General Svc.-High Annual Load Factor</t>
  </si>
  <si>
    <t>101</t>
  </si>
  <si>
    <t>111</t>
  </si>
  <si>
    <t>121</t>
  </si>
  <si>
    <t>131</t>
  </si>
  <si>
    <t>146</t>
  </si>
  <si>
    <t>This worksheet pulls data from 'Pres &amp; Prop Rev' tab.</t>
  </si>
  <si>
    <t>PROPOSED INCREASE BY SERVICE SCHEDULE</t>
  </si>
  <si>
    <t>Total Billed</t>
  </si>
  <si>
    <t xml:space="preserve">Percent </t>
  </si>
  <si>
    <t>Under Present</t>
  </si>
  <si>
    <t>General</t>
  </si>
  <si>
    <t>Under Proposed</t>
  </si>
  <si>
    <t>at Present</t>
  </si>
  <si>
    <t>on Billed</t>
  </si>
  <si>
    <t>148</t>
  </si>
  <si>
    <t>Rates</t>
  </si>
  <si>
    <t>Proposed Rates</t>
  </si>
  <si>
    <t>Usage Charge:</t>
  </si>
  <si>
    <t>Large General Service - Schedule 111</t>
  </si>
  <si>
    <t>General Service - Schedule 101</t>
  </si>
  <si>
    <t>Minimum Charge:</t>
  </si>
  <si>
    <t>per month</t>
  </si>
  <si>
    <t>per therm</t>
  </si>
  <si>
    <t>1st block rate</t>
  </si>
  <si>
    <t>High Annual Load Factor Large General Service - Schedule 121</t>
  </si>
  <si>
    <t>Transportation Service - Schedule 146</t>
  </si>
  <si>
    <t>Rate(1)</t>
  </si>
  <si>
    <t>Usage Deficiency</t>
  </si>
  <si>
    <t>Deficiency Charge per therm(3)</t>
  </si>
  <si>
    <t>Annual Minimum Deficiency</t>
  </si>
  <si>
    <t>Annual Minimum Usage Requirement(1)</t>
  </si>
  <si>
    <t>Gas</t>
  </si>
  <si>
    <t>USAGE &amp; BILLINGS BY RATE SCHEDULE</t>
  </si>
  <si>
    <t>STATE OF WASHINGTON</t>
  </si>
  <si>
    <t>GAS ANNUAL MINIMUM DEFICIENCY FOR B.F. GOODRICH</t>
  </si>
  <si>
    <t>PRESENT &amp; PROPOSED RATE OF RETURN BY RATE SCHEDULE</t>
  </si>
  <si>
    <t>PRESENT &amp; PROPOSED RATES OF RETURN BY RATE SCHEDULE</t>
  </si>
  <si>
    <t>BASED ON 2007 ANNUAL MINIMUM</t>
  </si>
  <si>
    <t>BASE TARIFF</t>
  </si>
  <si>
    <t>BILLING</t>
  </si>
  <si>
    <t>Adjust. To Actual</t>
  </si>
  <si>
    <t>Total Billings</t>
  </si>
  <si>
    <t>from Present Rev tab</t>
  </si>
  <si>
    <t>this sheet</t>
  </si>
  <si>
    <t>Rev. Run customers</t>
  </si>
  <si>
    <t>Sch 146 normalize</t>
  </si>
  <si>
    <t>Customers from this sheet</t>
  </si>
  <si>
    <t>Sch 147 customers not billed</t>
  </si>
  <si>
    <t>Sch 147 Revenue from Rev. Runs</t>
  </si>
  <si>
    <t>Annual Minimum per therm</t>
  </si>
  <si>
    <t>Present:</t>
  </si>
  <si>
    <t>Proposed:</t>
  </si>
  <si>
    <t>Per Rev. Run(1)</t>
  </si>
  <si>
    <t>Total Rate Base</t>
  </si>
  <si>
    <t>Revenue From Retail Rates</t>
  </si>
  <si>
    <t>Other Operating Revenues</t>
  </si>
  <si>
    <t>Total Revenues</t>
  </si>
  <si>
    <t>Total Operating Exp b4 conv items &amp; taxes</t>
  </si>
  <si>
    <t>Income Taxes</t>
  </si>
  <si>
    <t>Net Operating Income</t>
  </si>
  <si>
    <t>Interest Expense</t>
  </si>
  <si>
    <t>Proposed Misc Revenue Increase</t>
  </si>
  <si>
    <t>Proposed Rate Revenue Increase</t>
  </si>
  <si>
    <t>Proposed Rev Increase</t>
  </si>
  <si>
    <t>change</t>
  </si>
  <si>
    <t>Proposed Rate Revenues</t>
  </si>
  <si>
    <t>Uncollectibles</t>
  </si>
  <si>
    <t>incremental conversion expenses</t>
  </si>
  <si>
    <t>Commiss Fees</t>
  </si>
  <si>
    <t>incremental Income Taxes</t>
  </si>
  <si>
    <t>Excise Tax</t>
  </si>
  <si>
    <t>Proposed Return</t>
  </si>
  <si>
    <t>Federal Inc Tax</t>
  </si>
  <si>
    <t>Proposed Return %</t>
  </si>
  <si>
    <t>Allocation of incremental Misc Rev</t>
  </si>
  <si>
    <t>Target Relative Return</t>
  </si>
  <si>
    <t>Target Return %</t>
  </si>
  <si>
    <t>Target Return (NOI b4 Interest)</t>
  </si>
  <si>
    <t>Target Return after Interest Expense</t>
  </si>
  <si>
    <t>Target Return b4 Income Taxes &amp; Interest</t>
  </si>
  <si>
    <t>Target Return b4 Misc Rev</t>
  </si>
  <si>
    <t>Conversion Items</t>
  </si>
  <si>
    <t>Incremental Rate Revenue</t>
  </si>
  <si>
    <t>Target Rate Revenue</t>
  </si>
  <si>
    <t>Change in Rate Revenue</t>
  </si>
  <si>
    <t>Incremental Rate Revenue - rounded</t>
  </si>
  <si>
    <t>Target Rate Revenue - rounded</t>
  </si>
  <si>
    <t>Present Return Ratio</t>
  </si>
  <si>
    <t>Revenue Related conversion items</t>
  </si>
  <si>
    <t>(i)</t>
  </si>
  <si>
    <t>LIRAP increase</t>
  </si>
  <si>
    <t>Sch. 191</t>
  </si>
  <si>
    <t>LIRAP/DSM</t>
  </si>
  <si>
    <t>Rate Schedule Num</t>
  </si>
  <si>
    <t>WASHINGTON GAS</t>
  </si>
  <si>
    <t>Washington Gas Billing Determinants by Customer</t>
  </si>
  <si>
    <t>12-mo ended</t>
  </si>
  <si>
    <t>Sch 131 normalize</t>
  </si>
  <si>
    <t>Sch 148 normalize</t>
  </si>
  <si>
    <t>Revenue Run therms, this sheet</t>
  </si>
  <si>
    <t>actual Revenue Run therms</t>
  </si>
  <si>
    <t>(1) Per Contract - workpaper BJH-G-36</t>
  </si>
  <si>
    <t>(2) From workpaper BJH-G-9</t>
  </si>
  <si>
    <t>(3) From workpaper BJH-G-35</t>
  </si>
  <si>
    <t>Stimson switching--reduce Sch 146</t>
  </si>
  <si>
    <t>Sch 121/122</t>
  </si>
  <si>
    <t>Less: Jan 09 - Dec 09 Usage(2)</t>
  </si>
  <si>
    <t>**  Annual Minimum Ended in 2009</t>
  </si>
  <si>
    <t>Basic Charge Calc</t>
  </si>
  <si>
    <t>USAGE</t>
  </si>
  <si>
    <t>UNBILLED LOAD THERMS</t>
  </si>
  <si>
    <t>UNBILLED LOAD RATE</t>
  </si>
  <si>
    <t>UNBILLED LOAD REVENUE</t>
  </si>
  <si>
    <t>LOAD ADJUSTMENT</t>
  </si>
  <si>
    <t>0-500 THERMS</t>
  </si>
  <si>
    <t>501-1,000 THERMS</t>
  </si>
  <si>
    <t>1001-10,000 THERMS</t>
  </si>
  <si>
    <t>10,001-25,000 THERMS</t>
  </si>
  <si>
    <t>OVER 25,000 THERMS</t>
  </si>
  <si>
    <t>Difference</t>
  </si>
  <si>
    <t>Billed Revenue</t>
  </si>
  <si>
    <t>Billed Increase</t>
  </si>
  <si>
    <t>WASHINGTON NATURAL GAS</t>
  </si>
  <si>
    <t>Type of Service</t>
  </si>
  <si>
    <t>ANNUAL USAGE, Sch 121/122</t>
  </si>
  <si>
    <t>Total WA Sch 121/122</t>
  </si>
  <si>
    <t xml:space="preserve">less: shifted from Sch. 121 </t>
  </si>
  <si>
    <t>Sch 11/12 Shifting</t>
  </si>
  <si>
    <t>less: shifted to Sch 146</t>
  </si>
  <si>
    <t>Total therms by block</t>
  </si>
  <si>
    <t>Rate</t>
  </si>
  <si>
    <t>Billing</t>
  </si>
  <si>
    <t>Schedule 121/122</t>
  </si>
  <si>
    <t>Schedule 111/112</t>
  </si>
  <si>
    <t>Rate Sch.</t>
  </si>
  <si>
    <t>Therms</t>
  </si>
  <si>
    <t>Sch 155 Rate</t>
  </si>
  <si>
    <t>Billing Impact</t>
  </si>
  <si>
    <t>Basic Charge/Minimum</t>
  </si>
  <si>
    <t>Therm Rate</t>
  </si>
  <si>
    <t>Bill Calculation</t>
  </si>
  <si>
    <t>111/112</t>
  </si>
  <si>
    <t>SCH. 132</t>
  </si>
  <si>
    <t>121/122</t>
  </si>
  <si>
    <t>131/132</t>
  </si>
  <si>
    <t>Breakeven Proof Calc</t>
  </si>
  <si>
    <t xml:space="preserve">from COS </t>
  </si>
  <si>
    <t>Interruptible Service - Schedule 132</t>
  </si>
  <si>
    <t>billed/pro forma therms(3)</t>
  </si>
  <si>
    <t>Sch. 147-Interdepartmental(3)</t>
  </si>
  <si>
    <t>Sch. 148-Sp. Contracts(3)</t>
  </si>
  <si>
    <t>&gt;70</t>
  </si>
  <si>
    <t>Total Therms</t>
  </si>
  <si>
    <t>Block 1</t>
  </si>
  <si>
    <t>Block 2</t>
  </si>
  <si>
    <t>Total Bill</t>
  </si>
  <si>
    <t>Schedule 111</t>
  </si>
  <si>
    <t>Minimum Charge</t>
  </si>
  <si>
    <t>Block 3</t>
  </si>
  <si>
    <t>Schedule 101 Proposed</t>
  </si>
  <si>
    <t>Schedule 101 Present</t>
  </si>
  <si>
    <t>Bill Impact</t>
  </si>
  <si>
    <t>% Change</t>
  </si>
  <si>
    <t>Schedule 101 Bill Impact</t>
  </si>
  <si>
    <t>Bill Differential</t>
  </si>
  <si>
    <t>0-70</t>
  </si>
  <si>
    <t>SPOKANE COUNTY COURTHOUSE (122 to 132)</t>
  </si>
  <si>
    <t xml:space="preserve">     Total WA Sch 132</t>
  </si>
  <si>
    <t>State Cde:WA</t>
  </si>
  <si>
    <t>Period</t>
  </si>
  <si>
    <t>12 Month Average</t>
  </si>
  <si>
    <t>Total for WA</t>
  </si>
  <si>
    <t>12 Month Total</t>
  </si>
  <si>
    <t xml:space="preserve">   First 70 Therms</t>
  </si>
  <si>
    <t xml:space="preserve">   All over 70 Therms</t>
  </si>
  <si>
    <t>0-70 THERMS</t>
  </si>
  <si>
    <t>OVER 70 THERMS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</si>
  <si>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</si>
  <si>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</si>
  <si>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</si>
  <si>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</si>
  <si>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</si>
  <si>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</si>
  <si>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</si>
  <si>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</si>
  <si>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</si>
  <si>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</si>
  <si>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</si>
  <si>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</si>
  <si>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Annual Total</t>
  </si>
  <si>
    <t>Rate Design Program Monthly Results</t>
  </si>
  <si>
    <t>Billed Customers</t>
  </si>
  <si>
    <t>Block 1 Limit</t>
  </si>
  <si>
    <t>Revenue Run Total</t>
  </si>
  <si>
    <t>WASHINGTON NATURAL GAS SYSTEM</t>
  </si>
  <si>
    <t>% excludes special contract revenue</t>
  </si>
  <si>
    <t>% movement towards unity</t>
  </si>
  <si>
    <t>Gas Costs</t>
  </si>
  <si>
    <t>Gas Cost Difference</t>
  </si>
  <si>
    <t>Gas Cost Revenue</t>
  </si>
  <si>
    <t>Breakeven Analysis (Base Rates)</t>
  </si>
  <si>
    <t>Schedule 121</t>
  </si>
  <si>
    <t>Block 4</t>
  </si>
  <si>
    <t>therms per Revenue Run(1)(2)</t>
  </si>
  <si>
    <t>Present Base</t>
  </si>
  <si>
    <t>Proposed Base</t>
  </si>
  <si>
    <t>Uniform Present Return</t>
  </si>
  <si>
    <t>Present Income Taxes at Unity</t>
  </si>
  <si>
    <t>Operating Expenses (Excl. Rev Rel exp &amp; inc tax)</t>
  </si>
  <si>
    <t>Deduct Other Operating Revenues</t>
  </si>
  <si>
    <t>Revenue Related Expenses at Unity</t>
  </si>
  <si>
    <t>Total Uniform Cost at Present Return</t>
  </si>
  <si>
    <t>Uniform Proposed Return</t>
  </si>
  <si>
    <t>Proposed Income Taxes at Unity</t>
  </si>
  <si>
    <t>Proposed Revenue Related Expenses at Unity</t>
  </si>
  <si>
    <t>Total Uniform Cost at Proposed Return</t>
  </si>
  <si>
    <t>Revenue Change to Achieve Unity (rounded)</t>
  </si>
  <si>
    <t>Revenue to Cost Ratio at Present Rates</t>
  </si>
  <si>
    <t>Revenue to Cost Ratio at Proposed Rates</t>
  </si>
  <si>
    <t>Change in Revenue to Cost Ratio</t>
  </si>
  <si>
    <t>Exclude Cost of Gas w / Revenue Exp.</t>
  </si>
  <si>
    <t>Total Uniform Current Margin</t>
  </si>
  <si>
    <t>Margin to Cost Ratio at Present Rates</t>
  </si>
  <si>
    <t>Margin to Cost Ratio at Proposed Rates</t>
  </si>
  <si>
    <t>Change in Margin to Cost Ratio</t>
  </si>
  <si>
    <t>Total Uniform Proposed Margin</t>
  </si>
  <si>
    <t>ANNUAL USAGE, Sch 132</t>
  </si>
  <si>
    <t>Jurisdiction:WA</t>
  </si>
  <si>
    <t>GRC</t>
  </si>
  <si>
    <t xml:space="preserve">Bill </t>
  </si>
  <si>
    <t>Check</t>
  </si>
  <si>
    <t>Minimum</t>
  </si>
  <si>
    <t>Annual</t>
  </si>
  <si>
    <t>MONTHLY/ANNUAL MINIMUM</t>
  </si>
  <si>
    <t>"Summary" Line 467</t>
  </si>
  <si>
    <t>"Summary" Line 469</t>
  </si>
  <si>
    <t>"Summary" Line 470</t>
  </si>
  <si>
    <t>"Summary" Line 491</t>
  </si>
  <si>
    <t>"Summary" Line 490</t>
  </si>
  <si>
    <t>"Summary" Line 536</t>
  </si>
  <si>
    <t>Ties to COS line 574</t>
  </si>
  <si>
    <t>from COS line 575</t>
  </si>
  <si>
    <t>Ties to COS line 560</t>
  </si>
  <si>
    <t>Ties to COS line 609</t>
  </si>
  <si>
    <t>Ties to COS line 611</t>
  </si>
  <si>
    <t>Ties to COS line 610</t>
  </si>
  <si>
    <t>"Summary" Line 497</t>
  </si>
  <si>
    <t>% Move</t>
  </si>
  <si>
    <t xml:space="preserve">Towards </t>
  </si>
  <si>
    <t>Parity</t>
  </si>
  <si>
    <t xml:space="preserve"> Schedule 191 (DSM Adjustment) and Schedule 192 (LIRAP Adjustment).</t>
  </si>
  <si>
    <t>Weather &amp; Unbilled Revenue</t>
  </si>
  <si>
    <t>Annual Minimum Difference</t>
  </si>
  <si>
    <t>Sch 456 Annual Minimum Difference</t>
  </si>
  <si>
    <t>0101</t>
  </si>
  <si>
    <t>0111</t>
  </si>
  <si>
    <t>0121</t>
  </si>
  <si>
    <t>0122</t>
  </si>
  <si>
    <t>0132</t>
  </si>
  <si>
    <t>0146</t>
  </si>
  <si>
    <t>0147</t>
  </si>
  <si>
    <t>0148</t>
  </si>
  <si>
    <t>0158</t>
  </si>
  <si>
    <t>0158A</t>
  </si>
  <si>
    <t>0199</t>
  </si>
  <si>
    <t>Block 5</t>
  </si>
  <si>
    <t xml:space="preserve">Base </t>
  </si>
  <si>
    <t>Distribution Revenue</t>
  </si>
  <si>
    <t>Rates (1)</t>
  </si>
  <si>
    <t>111/121</t>
  </si>
  <si>
    <t>112/122</t>
  </si>
  <si>
    <t>Distribution</t>
  </si>
  <si>
    <t>Rate Adj. (1)</t>
  </si>
  <si>
    <t>Billing Rate</t>
  </si>
  <si>
    <t>Revenue Class:&lt;All&gt;</t>
  </si>
  <si>
    <t>Source Id</t>
  </si>
  <si>
    <t>REVUNBL-G</t>
  </si>
  <si>
    <t>Total for REVUNBL-G</t>
  </si>
  <si>
    <t>REVUNBL-GR</t>
  </si>
  <si>
    <t>Total for REVUNBL-GR</t>
  </si>
  <si>
    <t>SCH 148 - WSU</t>
  </si>
  <si>
    <t>Large General Service - Schedule 112</t>
  </si>
  <si>
    <t>155 Amort Rate</t>
  </si>
  <si>
    <t xml:space="preserve">Sch 111 </t>
  </si>
  <si>
    <t>Sch 112</t>
  </si>
  <si>
    <t>First 500 therms</t>
  </si>
  <si>
    <t>500 - 1,000 therms</t>
  </si>
  <si>
    <t>1,000 - 10,000 therms</t>
  </si>
  <si>
    <t>10,000 - 25,000 therms</t>
  </si>
  <si>
    <t>All over 25,000 therms</t>
  </si>
  <si>
    <t>First 10,000 therms</t>
  </si>
  <si>
    <t>25,000 - 50,000 therms</t>
  </si>
  <si>
    <t>All over 50,000 therms</t>
  </si>
  <si>
    <t>Sch 122</t>
  </si>
  <si>
    <t>Sch 132</t>
  </si>
  <si>
    <t>Billing Determinant</t>
  </si>
  <si>
    <t>NA</t>
  </si>
  <si>
    <t>BASIC CHARGE GAS</t>
  </si>
  <si>
    <t>RIDER 150</t>
  </si>
  <si>
    <t>RIDER 155</t>
  </si>
  <si>
    <t>RIDER 156</t>
  </si>
  <si>
    <t>RIDER 159</t>
  </si>
  <si>
    <t>RIDER 191</t>
  </si>
  <si>
    <t>RIDER 192</t>
  </si>
  <si>
    <t>THERMS BLOCK 1</t>
  </si>
  <si>
    <t>THERMS BLOCK 2</t>
  </si>
  <si>
    <t>Total for 0101</t>
  </si>
  <si>
    <t>0102</t>
  </si>
  <si>
    <t>RIDER 189</t>
  </si>
  <si>
    <t>Total for 0102</t>
  </si>
  <si>
    <t>THERMS BLOCK 3</t>
  </si>
  <si>
    <t>Total for 0111</t>
  </si>
  <si>
    <t>THERMS BLOCK 4</t>
  </si>
  <si>
    <t>THERMS BLOCK 5</t>
  </si>
  <si>
    <t>Total for 0121</t>
  </si>
  <si>
    <t>Total for 0122</t>
  </si>
  <si>
    <t>Total for 0132</t>
  </si>
  <si>
    <t>Total for 0146</t>
  </si>
  <si>
    <t>Total for 0147</t>
  </si>
  <si>
    <t>Total for 0148</t>
  </si>
  <si>
    <t>RIDER 158</t>
  </si>
  <si>
    <t>Total for 0158</t>
  </si>
  <si>
    <t>Total for 0158A</t>
  </si>
  <si>
    <t>Total for 0199</t>
  </si>
  <si>
    <t>Billings</t>
  </si>
  <si>
    <t>RIDER 175</t>
  </si>
  <si>
    <t>RIDER 197</t>
  </si>
  <si>
    <t>101/102</t>
  </si>
  <si>
    <t>Sch 189 Rate</t>
  </si>
  <si>
    <t>101-121</t>
  </si>
  <si>
    <t>Sch 132 Jan 2016 billing</t>
  </si>
  <si>
    <t>Schedule 121 Shifting</t>
  </si>
  <si>
    <t>Sch 146 Shifting</t>
  </si>
  <si>
    <t>Step 1 Rev Req</t>
  </si>
  <si>
    <t>Step 2 Rev Req</t>
  </si>
  <si>
    <t xml:space="preserve">Percentage </t>
  </si>
  <si>
    <t>Revenue Requirement</t>
  </si>
  <si>
    <t>Avista</t>
  </si>
  <si>
    <t>Natural Gas</t>
  </si>
  <si>
    <t>Rate Spread</t>
  </si>
  <si>
    <t>of Base</t>
  </si>
  <si>
    <t>Sch 175</t>
  </si>
  <si>
    <t>Decoupling</t>
  </si>
  <si>
    <t>Avg</t>
  </si>
  <si>
    <t>Schedule 101/102</t>
  </si>
  <si>
    <t>SCH. 101 &amp; 102</t>
  </si>
  <si>
    <t>less: shifted to Sch. 146</t>
  </si>
  <si>
    <t>0112</t>
  </si>
  <si>
    <t>Total for 0112</t>
  </si>
  <si>
    <t>112</t>
  </si>
  <si>
    <t>122</t>
  </si>
  <si>
    <t>147</t>
  </si>
  <si>
    <t>less: Closed Acct</t>
  </si>
  <si>
    <t>less: Acct closed (2)</t>
  </si>
  <si>
    <t>SCH. 111,112,116</t>
  </si>
  <si>
    <t>SCH. 121,122,126</t>
  </si>
  <si>
    <t>111/112/116</t>
  </si>
  <si>
    <t>121/122/126</t>
  </si>
  <si>
    <t>SCH. 121,122&amp;126</t>
  </si>
  <si>
    <t>SCH. 111,112&amp;116</t>
  </si>
  <si>
    <t>Sch 175 Rate</t>
  </si>
  <si>
    <t>No 116 in Test Year</t>
  </si>
  <si>
    <t>No 126 in Test Year</t>
  </si>
  <si>
    <t>Base Revenue</t>
  </si>
  <si>
    <t xml:space="preserve">Therm </t>
  </si>
  <si>
    <t>Sch 150</t>
  </si>
  <si>
    <t>plus</t>
  </si>
  <si>
    <t># of Bills</t>
  </si>
  <si>
    <t>Avg Bill</t>
  </si>
  <si>
    <t>Sales</t>
  </si>
  <si>
    <t>PGA Rate</t>
  </si>
  <si>
    <t xml:space="preserve">Per </t>
  </si>
  <si>
    <t>Customer</t>
  </si>
  <si>
    <t>JDM-G-8</t>
  </si>
  <si>
    <t>JDM-G-3</t>
  </si>
  <si>
    <t>JDM-G-13/14</t>
  </si>
  <si>
    <t>JDM-G-15</t>
  </si>
  <si>
    <t>JDM-G-2/5/6</t>
  </si>
  <si>
    <t>JDM-G-14</t>
  </si>
  <si>
    <t>JDM-G-2/5</t>
  </si>
  <si>
    <t>JDM-G-17</t>
  </si>
  <si>
    <t>Add:  Sch 121/122</t>
  </si>
  <si>
    <t>Total Usage</t>
  </si>
  <si>
    <t>Large General Svc.-High Annual Load Factor (2)</t>
  </si>
  <si>
    <t>(1) Base load per bill for Schedule 101 is shown on workpaper JDM-G-18 multiplied by total billings from JDM-G-1, or</t>
  </si>
  <si>
    <t>(1) Base load per bill for Schedule 111 is shown on workpaper JDM-G-18 multiplied by total billings from JDM-G-1, or</t>
  </si>
  <si>
    <t>(1) Base load per bill for Schedule 121 is shown on workpaper JDM-G-18 multiplied by total billings from JDM-G-1, or</t>
  </si>
  <si>
    <t>Yr 2</t>
  </si>
  <si>
    <t xml:space="preserve">  Schedule 175 (Decoupling), Schedule 191 (DSM Adjustment) and Schedule 192 (LIRAP Adjustment).</t>
  </si>
  <si>
    <t>(1) Includes Schedule 150 (Purchase Gas Cost Adjustment), Schedule 155 (Gas Rate Adjustment), Schedule 174 (Tax Rebate),</t>
  </si>
  <si>
    <t>High Annual Load Factor Large General Service - Schedule 121 (Discontinued)</t>
  </si>
  <si>
    <t>(Adjusted)</t>
  </si>
  <si>
    <t>(New)</t>
  </si>
  <si>
    <t>(1) Block 1 - Kaiser-Trentwood - workpaper JDM-G-19</t>
  </si>
  <si>
    <t>Block 2 - Lamb-Weston - workpaper JDM-G-21</t>
  </si>
  <si>
    <t>Block 3 - Mutual Materials - workpaper JDM-G-25</t>
  </si>
  <si>
    <t>Block 4 - Washington Potato - workpaper JDM-G-23</t>
  </si>
  <si>
    <t>(2) Monthly minimum / rate per therm - workpaper JDM-G-27</t>
  </si>
  <si>
    <t>**DISCONTINUED**</t>
  </si>
  <si>
    <t>(1) shown on workpaper JDM-G-11</t>
  </si>
  <si>
    <t>(2) shown on workpaper JDM-G-9</t>
  </si>
  <si>
    <t>(3) shown on workpaper JDM-G-10</t>
  </si>
  <si>
    <t>(4) shown on workpaper JDM-G-9</t>
  </si>
  <si>
    <t>Unbilled Usage</t>
  </si>
  <si>
    <t>12 MONTHS ENDED DECEMBER 31, 2019</t>
  </si>
  <si>
    <t>Gas Revenue Meters Report by Location  Twelve Months Ended  for Report Date : '12/31/2019'</t>
  </si>
  <si>
    <t xml:space="preserve">Gas Revenue Meters Report by Location  Twelve Months Ended  for Report Date : '12/31/2019'  </t>
  </si>
  <si>
    <t>Gas Revenue Usage Report by Location Twelve Months Ended for Report Date : '12/31/2019'</t>
  </si>
  <si>
    <t>Sch 121/122 disc</t>
  </si>
  <si>
    <t>(UG-190334)</t>
  </si>
  <si>
    <t>Schedule 111,112, 116 - Adjusted</t>
  </si>
  <si>
    <t>Kaiser</t>
  </si>
  <si>
    <t>Lamb</t>
  </si>
  <si>
    <t>Mutual</t>
  </si>
  <si>
    <t>WSU</t>
  </si>
  <si>
    <t xml:space="preserve">Huntwood Industries                               </t>
  </si>
  <si>
    <t xml:space="preserve">Western States Asphalt Inc                        </t>
  </si>
  <si>
    <t xml:space="preserve">Hollister-Stier Laboratories                      </t>
  </si>
  <si>
    <t xml:space="preserve">Inland Asphalt Co                                 </t>
  </si>
  <si>
    <t xml:space="preserve">Valley Hosp &amp; Medical Ctr                         </t>
  </si>
  <si>
    <t xml:space="preserve">Inland Empire Paper Co                            </t>
  </si>
  <si>
    <t xml:space="preserve">Quarry Tile Co                                    </t>
  </si>
  <si>
    <t xml:space="preserve">Northern Quest Casino                             </t>
  </si>
  <si>
    <t xml:space="preserve">Whitworth University                              </t>
  </si>
  <si>
    <t xml:space="preserve">Goodrich                                          </t>
  </si>
  <si>
    <t xml:space="preserve">Franz Bakery                                      </t>
  </si>
  <si>
    <t xml:space="preserve">Boise Cascade Wood Products LLC                   </t>
  </si>
  <si>
    <t xml:space="preserve">Travis Pattern &amp; Foundry                          </t>
  </si>
  <si>
    <t xml:space="preserve">Gonzaga University                                </t>
  </si>
  <si>
    <t xml:space="preserve">Waste Management Of Spokane                       </t>
  </si>
  <si>
    <t xml:space="preserve">Purina Mills Inc                                  </t>
  </si>
  <si>
    <t xml:space="preserve">SCC Campus                                        </t>
  </si>
  <si>
    <t xml:space="preserve">Shamrock Paving                                   </t>
  </si>
  <si>
    <t xml:space="preserve">Eastern Washington University                     </t>
  </si>
  <si>
    <t xml:space="preserve">Lakeland Village                                  </t>
  </si>
  <si>
    <t xml:space="preserve">Spokane Falls Campus                              </t>
  </si>
  <si>
    <t xml:space="preserve">Alsco                                             </t>
  </si>
  <si>
    <t xml:space="preserve">Lamb Weston                                       </t>
  </si>
  <si>
    <t xml:space="preserve">Creach Greenhouse                                 </t>
  </si>
  <si>
    <t xml:space="preserve">Sacred Heart Medical Center                       </t>
  </si>
  <si>
    <t xml:space="preserve">Veterans Admin Hospital                           </t>
  </si>
  <si>
    <t xml:space="preserve">Eastern State Hospital                            </t>
  </si>
  <si>
    <t xml:space="preserve">Lane Mt Silica Co                                 </t>
  </si>
  <si>
    <t xml:space="preserve">Deaconess Medical Center                          </t>
  </si>
  <si>
    <t xml:space="preserve">Baker Commodities Inc.                            </t>
  </si>
  <si>
    <t xml:space="preserve">Inland Northwest Dairies                          </t>
  </si>
  <si>
    <t xml:space="preserve">Central Pre-Mix Block                             </t>
  </si>
  <si>
    <t xml:space="preserve">Johanna Beverage Co                               </t>
  </si>
  <si>
    <t xml:space="preserve">Holy Family Hospital                              </t>
  </si>
  <si>
    <t xml:space="preserve">Spokane Steel Foundry                             </t>
  </si>
  <si>
    <t>Sch 146 to Sch 112</t>
  </si>
  <si>
    <t xml:space="preserve">92 Ces/Cer-M (to Sch 112)                                     </t>
  </si>
  <si>
    <t xml:space="preserve">Triumph Composite (to Sch 112)                                 </t>
  </si>
  <si>
    <t>(1) Includes Schedule 150 (Purchase Gas Cost Adjustment), Schedule 155 (Gas Rate Adjustment), Schedule 194 (Remand Rebate), Schedule 175 (Decoupling),</t>
  </si>
  <si>
    <t xml:space="preserve">92 Ces/Cer-M (to Sch 112 Nov-Dec) Back to 146 on Oct 20                                  </t>
  </si>
  <si>
    <t>Sch 112 to 146</t>
  </si>
  <si>
    <t xml:space="preserve">Schedule 111,112, 116 </t>
  </si>
  <si>
    <t>Schedule 121,122 (Discontinued)</t>
  </si>
  <si>
    <t>Discontinued in UG-190335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</si>
</sst>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#,##0.000\¢\ ;\(#,##0.000\¢\)"/>
    <numFmt numFmtId="166" formatCode="_(* #,##0_);_(* \(#,##0\);_(* &quot;-&quot;??_);_(@_)"/>
    <numFmt numFmtId="167" formatCode="#,##0.000"/>
    <numFmt numFmtId="168" formatCode="&quot;$&quot;#,##0"/>
    <numFmt numFmtId="169" formatCode="0.000"/>
    <numFmt numFmtId="170" formatCode="#,##0;;"/>
    <numFmt numFmtId="171" formatCode="&quot;Over&quot;"/>
    <numFmt numFmtId="172" formatCode="&quot;$&quot;#,##0.00000_);\(&quot;$&quot;#,##0.00000\)"/>
    <numFmt numFmtId="173" formatCode="#,##0;\-#,##0;"/>
    <numFmt numFmtId="174" formatCode="&quot;$&quot;#,##0.00"/>
    <numFmt numFmtId="175" formatCode="0.0%"/>
    <numFmt numFmtId="176" formatCode="&quot;$&quot;#,##0.00;\-&quot;$&quot;#,##0.00;"/>
    <numFmt numFmtId="177" formatCode="&quot;$&quot;#,##0;\-&quot;$&quot;#,##0;"/>
    <numFmt numFmtId="178" formatCode=";;;"/>
    <numFmt numFmtId="179" formatCode="#,##0.000\¢\ ;\(#,##0.000\¢\);"/>
    <numFmt numFmtId="180" formatCode="&quot;$&quot;#,##0.00000"/>
    <numFmt numFmtId="181" formatCode="0.0%;\-0.0%;"/>
    <numFmt numFmtId="182" formatCode="&quot;$&quot;#,##0_);\(&quot;$&quot;#,##0\);"/>
    <numFmt numFmtId="183" formatCode="#,##0_);\(#,##0\);"/>
    <numFmt numFmtId="184" formatCode="&quot;$&quot;#,##0.00000_);\(&quot;$&quot;#,##0.00000\);"/>
    <numFmt numFmtId="185" formatCode="0.00000"/>
    <numFmt numFmtId="186" formatCode="#,##0.000000"/>
    <numFmt numFmtId="187" formatCode="mmm\ yy"/>
    <numFmt numFmtId="188" formatCode="#,##0.00000_);\(#,##0.00000\)"/>
    <numFmt numFmtId="189" formatCode="_(* #,##0.00000_);_(* \(#,##0.00000\);_(* &quot;-&quot;?????_);_(@_)"/>
    <numFmt numFmtId="190" formatCode="_(&quot;$&quot;* #,##0_);_(&quot;$&quot;* \(#,##0\);_(&quot;$&quot;* &quot;-&quot;??_);_(@_)"/>
    <numFmt numFmtId="191" formatCode="0.00000%"/>
    <numFmt numFmtId="192" formatCode="_(&quot;$&quot;* #,##0.00000_);_(&quot;$&quot;* \(#,##0.00000\);_(&quot;$&quot;* &quot;-&quot;??_);_(@_)"/>
    <numFmt numFmtId="193" formatCode="&quot;$&quot;#,##0.000_);\(&quot;$&quot;#,##0.000\)"/>
    <numFmt numFmtId="194" formatCode="_(* #,##0.000000_);_(* \(#,##0.000000\);_(* &quot;-&quot;??_);_(@_)"/>
    <numFmt numFmtId="195" formatCode="&quot;$&quot;#,##0.0;\-&quot;$&quot;#,##0;"/>
    <numFmt numFmtId="196" formatCode="_(* #,##0.000_);_(* \(#,##0.000\);_(* &quot;-&quot;??_);_(@_)"/>
  </numFmts>
  <fonts count="9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12"/>
      <name val="Arial"/>
      <family val="2"/>
    </font>
    <font>
      <sz val="11"/>
      <color indexed="81"/>
      <name val="Tahoma"/>
      <family val="2"/>
    </font>
    <font>
      <u/>
      <sz val="10"/>
      <name val="Arial"/>
      <family val="2"/>
    </font>
    <font>
      <sz val="10"/>
      <name val="Times New Roman"/>
      <family val="1"/>
    </font>
    <font>
      <b/>
      <sz val="8"/>
      <name val="Courier"/>
      <family val="3"/>
    </font>
    <font>
      <sz val="8"/>
      <name val="Geneva"/>
    </font>
    <font>
      <b/>
      <sz val="11"/>
      <name val="Arial"/>
      <family val="2"/>
    </font>
    <font>
      <sz val="10"/>
      <color indexed="39"/>
      <name val="Arial"/>
      <family val="2"/>
    </font>
    <font>
      <sz val="10"/>
      <name val="Symbol"/>
      <family val="1"/>
      <charset val="2"/>
    </font>
    <font>
      <u/>
      <sz val="10"/>
      <name val="Symbol"/>
      <family val="1"/>
      <charset val="2"/>
    </font>
    <font>
      <u/>
      <sz val="8"/>
      <name val="Geneva"/>
    </font>
    <font>
      <b/>
      <sz val="9"/>
      <name val="Arial"/>
      <family val="2"/>
    </font>
    <font>
      <b/>
      <sz val="8"/>
      <name val="Geneva"/>
    </font>
    <font>
      <sz val="8"/>
      <color indexed="12"/>
      <name val="Arial"/>
      <family val="2"/>
    </font>
    <font>
      <sz val="10"/>
      <color indexed="12"/>
      <name val="Arial"/>
      <family val="2"/>
    </font>
    <font>
      <sz val="8"/>
      <color indexed="12"/>
      <name val="Geneva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sz val="9"/>
      <name val="Geneva"/>
    </font>
    <font>
      <sz val="9"/>
      <color indexed="81"/>
      <name val="Tahoma"/>
      <family val="2"/>
    </font>
    <font>
      <b/>
      <sz val="8"/>
      <color indexed="12"/>
      <name val="Geneva"/>
    </font>
    <font>
      <b/>
      <i/>
      <sz val="10"/>
      <name val="Arial"/>
      <family val="2"/>
    </font>
    <font>
      <sz val="8"/>
      <name val="Arial Narrow"/>
      <family val="2"/>
    </font>
    <font>
      <b/>
      <sz val="8"/>
      <color indexed="81"/>
      <name val="Tahoma"/>
      <family val="2"/>
    </font>
    <font>
      <sz val="10"/>
      <color rgb="FF0000FF"/>
      <name val="Arial"/>
      <family val="2"/>
    </font>
    <font>
      <sz val="11"/>
      <color rgb="FF0000FF"/>
      <name val="Geneva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10"/>
      <color rgb="FF0000FF"/>
      <name val="Arial"/>
      <family val="2"/>
    </font>
    <font>
      <sz val="10"/>
      <color theme="1"/>
      <name val="Tahoma"/>
      <family val="2"/>
    </font>
    <font>
      <sz val="12"/>
      <name val="Arial"/>
      <family val="2"/>
    </font>
    <font>
      <sz val="10"/>
      <name val="Geneva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theme="6" tint="-0.249977111117893"/>
      <name val="Arial"/>
      <family val="2"/>
    </font>
    <font>
      <b/>
      <sz val="14"/>
      <name val="Arial"/>
      <family val="2"/>
    </font>
    <font>
      <sz val="12"/>
      <color indexed="10"/>
      <name val="Times New Roman"/>
      <family val="1"/>
    </font>
    <font>
      <sz val="10"/>
      <color rgb="FF0000FF"/>
      <name val="Calibri"/>
      <family val="2"/>
      <scheme val="minor"/>
    </font>
    <font>
      <b/>
      <u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60"/>
      <name val="Arial"/>
      <family val="2"/>
    </font>
    <font>
      <sz val="8"/>
      <name val="Tahom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8"/>
      <color theme="0"/>
      <name val="Tahoma"/>
      <family val="2"/>
    </font>
    <font>
      <sz val="8"/>
      <color theme="6" tint="-0.249977111117893"/>
      <name val="Arial"/>
      <family val="2"/>
    </font>
    <font>
      <b/>
      <sz val="12"/>
      <name val="Arial"/>
      <family val="2"/>
    </font>
    <font>
      <sz val="10"/>
      <color theme="0"/>
      <name val="Calibri"/>
      <family val="2"/>
      <scheme val="minor"/>
    </font>
    <font>
      <u val="singleAccounting"/>
      <sz val="10"/>
      <name val="Arial"/>
      <family val="2"/>
    </font>
    <font>
      <sz val="10"/>
      <color theme="0"/>
      <name val="Tahoma"/>
      <family val="2"/>
    </font>
    <font>
      <b/>
      <sz val="1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9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86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4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7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55" fillId="0" borderId="0" applyFont="0" applyFill="0" applyBorder="0" applyAlignment="0" applyProtection="0"/>
    <xf numFmtId="8" fontId="5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7" fillId="0" borderId="0"/>
    <xf numFmtId="0" fontId="56" fillId="0" borderId="0"/>
    <xf numFmtId="0" fontId="27" fillId="0" borderId="0"/>
    <xf numFmtId="0" fontId="55" fillId="0" borderId="0"/>
    <xf numFmtId="0" fontId="27" fillId="0" borderId="0"/>
    <xf numFmtId="0" fontId="13" fillId="0" borderId="0"/>
    <xf numFmtId="0" fontId="13" fillId="0" borderId="0"/>
    <xf numFmtId="0" fontId="58" fillId="0" borderId="0"/>
    <xf numFmtId="0" fontId="13" fillId="0" borderId="0"/>
    <xf numFmtId="9" fontId="2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5" fillId="0" borderId="0" applyFont="0" applyFill="0" applyBorder="0" applyAlignment="0" applyProtection="0"/>
    <xf numFmtId="38" fontId="60" fillId="0" borderId="0" applyNumberFormat="0" applyFont="0" applyFill="0" applyBorder="0">
      <alignment horizontal="left" indent="4"/>
      <protection locked="0"/>
    </xf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12">
      <alignment horizontal="center"/>
    </xf>
    <xf numFmtId="3" fontId="61" fillId="0" borderId="0" applyFont="0" applyFill="0" applyBorder="0" applyAlignment="0" applyProtection="0"/>
    <xf numFmtId="0" fontId="61" fillId="9" borderId="0" applyNumberFormat="0" applyFont="0" applyBorder="0" applyAlignment="0" applyProtection="0"/>
    <xf numFmtId="166" fontId="55" fillId="2" borderId="0" applyFont="0" applyFill="0" applyBorder="0" applyAlignment="0" applyProtection="0">
      <alignment wrapText="1"/>
    </xf>
    <xf numFmtId="0" fontId="13" fillId="10" borderId="0" applyNumberFormat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3" fillId="0" borderId="0"/>
    <xf numFmtId="43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59" fillId="0" borderId="0"/>
    <xf numFmtId="0" fontId="65" fillId="4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1" fillId="0" borderId="18" applyNumberFormat="0" applyFill="0" applyAlignment="0" applyProtection="0"/>
    <xf numFmtId="0" fontId="71" fillId="0" borderId="0" applyNumberFormat="0" applyFill="0" applyBorder="0" applyAlignment="0" applyProtection="0"/>
    <xf numFmtId="0" fontId="72" fillId="12" borderId="0" applyNumberFormat="0" applyBorder="0" applyAlignment="0" applyProtection="0"/>
    <xf numFmtId="0" fontId="73" fillId="13" borderId="0" applyNumberFormat="0" applyBorder="0" applyAlignment="0" applyProtection="0"/>
    <xf numFmtId="0" fontId="74" fillId="14" borderId="0" applyNumberFormat="0" applyBorder="0" applyAlignment="0" applyProtection="0"/>
    <xf numFmtId="0" fontId="75" fillId="15" borderId="19" applyNumberFormat="0" applyAlignment="0" applyProtection="0"/>
    <xf numFmtId="0" fontId="76" fillId="16" borderId="20" applyNumberFormat="0" applyAlignment="0" applyProtection="0"/>
    <xf numFmtId="0" fontId="77" fillId="16" borderId="19" applyNumberFormat="0" applyAlignment="0" applyProtection="0"/>
    <xf numFmtId="0" fontId="78" fillId="0" borderId="21" applyNumberFormat="0" applyFill="0" applyAlignment="0" applyProtection="0"/>
    <xf numFmtId="0" fontId="79" fillId="17" borderId="22" applyNumberFormat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24" applyNumberFormat="0" applyFill="0" applyAlignment="0" applyProtection="0"/>
    <xf numFmtId="0" fontId="83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83" fillId="22" borderId="0" applyNumberFormat="0" applyBorder="0" applyAlignment="0" applyProtection="0"/>
    <xf numFmtId="0" fontId="83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83" fillId="26" borderId="0" applyNumberFormat="0" applyBorder="0" applyAlignment="0" applyProtection="0"/>
    <xf numFmtId="0" fontId="83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83" fillId="30" borderId="0" applyNumberFormat="0" applyBorder="0" applyAlignment="0" applyProtection="0"/>
    <xf numFmtId="0" fontId="83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3" fillId="34" borderId="0" applyNumberFormat="0" applyBorder="0" applyAlignment="0" applyProtection="0"/>
    <xf numFmtId="0" fontId="83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83" fillId="38" borderId="0" applyNumberFormat="0" applyBorder="0" applyAlignment="0" applyProtection="0"/>
    <xf numFmtId="0" fontId="83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83" fillId="42" borderId="0" applyNumberFormat="0" applyBorder="0" applyAlignment="0" applyProtection="0"/>
    <xf numFmtId="0" fontId="56" fillId="0" borderId="0"/>
    <xf numFmtId="9" fontId="13" fillId="0" borderId="0" applyFont="0" applyFill="0" applyBorder="0" applyAlignment="0" applyProtection="0"/>
    <xf numFmtId="0" fontId="56" fillId="0" borderId="0"/>
    <xf numFmtId="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4" fillId="0" borderId="0"/>
    <xf numFmtId="9" fontId="84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3" fontId="13" fillId="43" borderId="0" applyFont="0" applyFill="0" applyBorder="0" applyAlignment="0" applyProtection="0"/>
    <xf numFmtId="5" fontId="13" fillId="43" borderId="0" applyFont="0" applyFill="0" applyBorder="0" applyAlignment="0" applyProtection="0"/>
    <xf numFmtId="0" fontId="13" fillId="43" borderId="0" applyFont="0" applyFill="0" applyBorder="0" applyAlignment="0" applyProtection="0"/>
    <xf numFmtId="2" fontId="13" fillId="43" borderId="0" applyFont="0" applyFill="0" applyBorder="0" applyAlignment="0" applyProtection="0"/>
    <xf numFmtId="41" fontId="85" fillId="2" borderId="25">
      <alignment horizontal="left"/>
      <protection locked="0"/>
    </xf>
    <xf numFmtId="0" fontId="27" fillId="0" borderId="0"/>
    <xf numFmtId="44" fontId="27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4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84" fillId="0" borderId="0"/>
    <xf numFmtId="44" fontId="1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4" fillId="0" borderId="0"/>
    <xf numFmtId="9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6" fillId="0" borderId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4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7" fillId="0" borderId="0"/>
    <xf numFmtId="9" fontId="8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84" fillId="0" borderId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/>
    <xf numFmtId="0" fontId="9" fillId="18" borderId="23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43" fontId="56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84" fillId="0" borderId="0"/>
    <xf numFmtId="9" fontId="56" fillId="0" borderId="0" applyFont="0" applyFill="0" applyBorder="0" applyAlignment="0" applyProtection="0"/>
    <xf numFmtId="0" fontId="56" fillId="0" borderId="0"/>
    <xf numFmtId="0" fontId="9" fillId="0" borderId="0"/>
    <xf numFmtId="0" fontId="56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4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4" fillId="0" borderId="0"/>
    <xf numFmtId="44" fontId="13" fillId="0" borderId="0" applyFont="0" applyFill="0" applyBorder="0" applyAlignment="0" applyProtection="0"/>
    <xf numFmtId="0" fontId="84" fillId="0" borderId="0"/>
    <xf numFmtId="0" fontId="84" fillId="0" borderId="0"/>
    <xf numFmtId="44" fontId="13" fillId="0" borderId="0" applyFont="0" applyFill="0" applyBorder="0" applyAlignment="0" applyProtection="0"/>
    <xf numFmtId="0" fontId="9" fillId="0" borderId="0"/>
    <xf numFmtId="9" fontId="56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4" fillId="0" borderId="0"/>
    <xf numFmtId="9" fontId="84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9" fillId="0" borderId="0"/>
    <xf numFmtId="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4" fillId="0" borderId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84" fillId="0" borderId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6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84" fillId="0" borderId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6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6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6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6" fillId="0" borderId="0"/>
    <xf numFmtId="43" fontId="27" fillId="0" borderId="0" applyFont="0" applyFill="0" applyBorder="0" applyAlignment="0" applyProtection="0"/>
    <xf numFmtId="0" fontId="27" fillId="0" borderId="0"/>
    <xf numFmtId="0" fontId="13" fillId="0" borderId="0"/>
    <xf numFmtId="43" fontId="56" fillId="0" borderId="0" applyFont="0" applyFill="0" applyBorder="0" applyAlignment="0" applyProtection="0"/>
    <xf numFmtId="0" fontId="9" fillId="0" borderId="0"/>
    <xf numFmtId="0" fontId="56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13" fillId="0" borderId="0"/>
    <xf numFmtId="0" fontId="9" fillId="0" borderId="0"/>
    <xf numFmtId="0" fontId="56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4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/>
    <xf numFmtId="0" fontId="56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56" fillId="0" borderId="0"/>
    <xf numFmtId="43" fontId="56" fillId="0" borderId="0" applyFont="0" applyFill="0" applyBorder="0" applyAlignment="0" applyProtection="0"/>
    <xf numFmtId="0" fontId="56" fillId="0" borderId="0"/>
    <xf numFmtId="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4" fillId="0" borderId="0"/>
    <xf numFmtId="9" fontId="84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9" fontId="1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6" fillId="0" borderId="0"/>
    <xf numFmtId="44" fontId="13" fillId="0" borderId="0" applyFont="0" applyFill="0" applyBorder="0" applyAlignment="0" applyProtection="0"/>
    <xf numFmtId="0" fontId="56" fillId="0" borderId="0"/>
    <xf numFmtId="9" fontId="84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84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56" fillId="0" borderId="0"/>
    <xf numFmtId="43" fontId="13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43" fontId="56" fillId="0" borderId="0" applyFont="0" applyFill="0" applyBorder="0" applyAlignment="0" applyProtection="0"/>
    <xf numFmtId="0" fontId="27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9" fontId="8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9" fontId="13" fillId="0" borderId="0" applyFont="0" applyFill="0" applyBorder="0" applyAlignment="0" applyProtection="0"/>
    <xf numFmtId="0" fontId="56" fillId="0" borderId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43" fontId="27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4" fillId="0" borderId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44" fontId="27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9" fontId="8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4" fillId="0" borderId="0"/>
    <xf numFmtId="44" fontId="1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9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43" fontId="56" fillId="0" borderId="0" applyFont="0" applyFill="0" applyBorder="0" applyAlignment="0" applyProtection="0"/>
    <xf numFmtId="0" fontId="27" fillId="0" borderId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9" fontId="84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44" fontId="27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43" fontId="27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4" fillId="0" borderId="0"/>
    <xf numFmtId="44" fontId="1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9" fontId="13" fillId="0" borderId="0" applyFont="0" applyFill="0" applyBorder="0" applyAlignment="0" applyProtection="0"/>
    <xf numFmtId="0" fontId="27" fillId="0" borderId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9" fontId="84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43" fontId="27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4" fillId="0" borderId="0"/>
    <xf numFmtId="44" fontId="1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43" fontId="13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27" fillId="0" borderId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9" fontId="84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/>
    <xf numFmtId="0" fontId="13" fillId="0" borderId="0"/>
    <xf numFmtId="0" fontId="84" fillId="0" borderId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9" fontId="56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9" fontId="27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43" fontId="1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6" fillId="0" borderId="0"/>
    <xf numFmtId="0" fontId="27" fillId="0" borderId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56" fillId="0" borderId="0"/>
    <xf numFmtId="44" fontId="27" fillId="0" borderId="0" applyFont="0" applyFill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4" fillId="0" borderId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43" fontId="56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7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44" fontId="13" fillId="0" borderId="0" applyFont="0" applyFill="0" applyBorder="0" applyAlignment="0" applyProtection="0"/>
    <xf numFmtId="0" fontId="56" fillId="0" borderId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3" fillId="0" borderId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43" fontId="13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7" fillId="0" borderId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13" fillId="0" borderId="0"/>
    <xf numFmtId="9" fontId="27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43" fontId="27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4" fillId="0" borderId="0"/>
    <xf numFmtId="44" fontId="27" fillId="0" borderId="0" applyFont="0" applyFill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43" fontId="27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6" fillId="0" borderId="0"/>
    <xf numFmtId="44" fontId="27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4" fillId="0" borderId="0"/>
    <xf numFmtId="44" fontId="13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56" fillId="0" borderId="0"/>
    <xf numFmtId="43" fontId="1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43" fontId="56" fillId="0" borderId="0" applyFont="0" applyFill="0" applyBorder="0" applyAlignment="0" applyProtection="0"/>
    <xf numFmtId="0" fontId="27" fillId="0" borderId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9" fontId="8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44" fontId="27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4" fillId="0" borderId="0"/>
    <xf numFmtId="44" fontId="1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6" fillId="0" borderId="0"/>
    <xf numFmtId="43" fontId="13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43" fontId="56" fillId="0" borderId="0" applyFont="0" applyFill="0" applyBorder="0" applyAlignment="0" applyProtection="0"/>
    <xf numFmtId="0" fontId="27" fillId="0" borderId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9" fontId="84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44" fontId="27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43" fontId="27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4" fillId="0" borderId="0"/>
    <xf numFmtId="44" fontId="1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43" fontId="13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43" fontId="56" fillId="0" borderId="0" applyFont="0" applyFill="0" applyBorder="0" applyAlignment="0" applyProtection="0"/>
    <xf numFmtId="0" fontId="27" fillId="0" borderId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9" fontId="84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44" fontId="27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43" fontId="27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4" fillId="0" borderId="0"/>
    <xf numFmtId="44" fontId="1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43" fontId="13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27" fillId="0" borderId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9" fontId="84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43" fontId="27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4" fillId="0" borderId="0"/>
    <xf numFmtId="44" fontId="1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43" fontId="13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27" fillId="0" borderId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9" fontId="84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0" fontId="13" fillId="0" borderId="0">
      <alignment readingOrder="1"/>
    </xf>
    <xf numFmtId="40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55" fillId="0" borderId="0"/>
    <xf numFmtId="9" fontId="27" fillId="0" borderId="0" applyFont="0" applyFill="0" applyBorder="0" applyAlignment="0" applyProtection="0"/>
    <xf numFmtId="0" fontId="7" fillId="24" borderId="0" applyNumberFormat="0" applyBorder="0" applyAlignment="0" applyProtection="0"/>
    <xf numFmtId="0" fontId="13" fillId="0" borderId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13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4" fillId="0" borderId="0"/>
    <xf numFmtId="43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5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4" fillId="0" borderId="0"/>
    <xf numFmtId="9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7" fillId="0" borderId="0"/>
    <xf numFmtId="0" fontId="7" fillId="36" borderId="0" applyNumberFormat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6" fillId="0" borderId="0"/>
    <xf numFmtId="0" fontId="7" fillId="3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2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9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8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5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21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9" fontId="7" fillId="0" borderId="0" applyFon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9" fontId="27" fillId="0" borderId="0" applyFont="0" applyFill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2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8" borderId="23" applyNumberFormat="0" applyFont="0" applyAlignment="0" applyProtection="0"/>
    <xf numFmtId="43" fontId="27" fillId="0" borderId="0" applyFont="0" applyFill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9" fontId="84" fillId="0" borderId="0" applyFont="0" applyFill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41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0" fontId="13" fillId="0" borderId="0"/>
    <xf numFmtId="43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18" borderId="23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18" borderId="23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0" fontId="4" fillId="18" borderId="23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0" fontId="4" fillId="18" borderId="23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8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8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8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8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3">
    <xf numFmtId="0" fontId="0" fillId="0" borderId="0" xfId="0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1" xfId="0" applyFont="1" applyBorder="1"/>
    <xf numFmtId="3" fontId="14" fillId="0" borderId="0" xfId="0" applyNumberFormat="1" applyFont="1"/>
    <xf numFmtId="164" fontId="14" fillId="0" borderId="0" xfId="0" applyNumberFormat="1" applyFont="1" applyAlignment="1">
      <alignment horizontal="center"/>
    </xf>
    <xf numFmtId="165" fontId="14" fillId="0" borderId="0" xfId="0" applyNumberFormat="1" applyFont="1"/>
    <xf numFmtId="0" fontId="15" fillId="0" borderId="0" xfId="0" applyFont="1"/>
    <xf numFmtId="5" fontId="14" fillId="0" borderId="0" xfId="0" applyNumberFormat="1" applyFont="1"/>
    <xf numFmtId="6" fontId="14" fillId="0" borderId="0" xfId="2" applyNumberFormat="1" applyFont="1"/>
    <xf numFmtId="5" fontId="14" fillId="0" borderId="1" xfId="0" applyNumberFormat="1" applyFont="1" applyBorder="1"/>
    <xf numFmtId="5" fontId="14" fillId="0" borderId="1" xfId="2" applyNumberFormat="1" applyFont="1" applyBorder="1"/>
    <xf numFmtId="5" fontId="14" fillId="0" borderId="0" xfId="2" applyNumberFormat="1" applyFont="1"/>
    <xf numFmtId="37" fontId="14" fillId="0" borderId="0" xfId="0" applyNumberFormat="1" applyFont="1"/>
    <xf numFmtId="0" fontId="14" fillId="0" borderId="2" xfId="0" applyFont="1" applyBorder="1"/>
    <xf numFmtId="165" fontId="14" fillId="0" borderId="1" xfId="0" applyNumberFormat="1" applyFont="1" applyBorder="1"/>
    <xf numFmtId="167" fontId="14" fillId="0" borderId="1" xfId="0" applyNumberFormat="1" applyFont="1" applyBorder="1"/>
    <xf numFmtId="5" fontId="14" fillId="0" borderId="0" xfId="0" applyNumberFormat="1" applyFont="1" applyBorder="1"/>
    <xf numFmtId="0" fontId="15" fillId="0" borderId="0" xfId="0" applyFont="1" applyAlignment="1">
      <alignment horizontal="left"/>
    </xf>
    <xf numFmtId="5" fontId="15" fillId="0" borderId="0" xfId="0" applyNumberFormat="1" applyFont="1"/>
    <xf numFmtId="10" fontId="15" fillId="0" borderId="0" xfId="0" applyNumberFormat="1" applyFont="1"/>
    <xf numFmtId="10" fontId="14" fillId="0" borderId="0" xfId="0" applyNumberFormat="1" applyFont="1"/>
    <xf numFmtId="37" fontId="14" fillId="0" borderId="0" xfId="2" applyNumberFormat="1" applyFont="1"/>
    <xf numFmtId="6" fontId="14" fillId="0" borderId="3" xfId="2" applyNumberFormat="1" applyFont="1" applyBorder="1"/>
    <xf numFmtId="5" fontId="14" fillId="0" borderId="3" xfId="0" applyNumberFormat="1" applyFont="1" applyBorder="1"/>
    <xf numFmtId="0" fontId="14" fillId="0" borderId="0" xfId="0" applyFont="1" applyBorder="1" applyAlignment="1">
      <alignment horizontal="center"/>
    </xf>
    <xf numFmtId="3" fontId="14" fillId="0" borderId="0" xfId="0" applyNumberFormat="1" applyFont="1" applyBorder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center"/>
    </xf>
    <xf numFmtId="170" fontId="0" fillId="0" borderId="0" xfId="0" applyNumberFormat="1"/>
    <xf numFmtId="3" fontId="0" fillId="0" borderId="0" xfId="0" applyNumberFormat="1"/>
    <xf numFmtId="0" fontId="0" fillId="0" borderId="0" xfId="0" applyAlignment="1">
      <alignment horizontal="left" indent="1"/>
    </xf>
    <xf numFmtId="170" fontId="0" fillId="0" borderId="3" xfId="0" applyNumberFormat="1" applyBorder="1"/>
    <xf numFmtId="0" fontId="19" fillId="0" borderId="0" xfId="0" applyFont="1" applyAlignment="1">
      <alignment horizontal="centerContinuous"/>
    </xf>
    <xf numFmtId="0" fontId="21" fillId="0" borderId="0" xfId="0" applyFont="1"/>
    <xf numFmtId="0" fontId="22" fillId="0" borderId="0" xfId="0" applyFont="1" applyAlignment="1">
      <alignment horizontal="center"/>
    </xf>
    <xf numFmtId="37" fontId="21" fillId="0" borderId="0" xfId="0" applyNumberFormat="1" applyFont="1"/>
    <xf numFmtId="0" fontId="23" fillId="0" borderId="0" xfId="0" applyFont="1"/>
    <xf numFmtId="0" fontId="23" fillId="0" borderId="0" xfId="0" applyFont="1" applyAlignment="1">
      <alignment horizontal="center"/>
    </xf>
    <xf numFmtId="3" fontId="20" fillId="0" borderId="0" xfId="0" applyNumberFormat="1" applyFont="1"/>
    <xf numFmtId="0" fontId="20" fillId="0" borderId="0" xfId="0" applyFont="1"/>
    <xf numFmtId="3" fontId="19" fillId="0" borderId="0" xfId="0" applyNumberFormat="1" applyFont="1" applyAlignment="1">
      <alignment horizontal="center"/>
    </xf>
    <xf numFmtId="3" fontId="22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center"/>
    </xf>
    <xf numFmtId="171" fontId="24" fillId="0" borderId="0" xfId="0" applyNumberFormat="1" applyFont="1" applyAlignment="1">
      <alignment horizontal="center"/>
    </xf>
    <xf numFmtId="170" fontId="19" fillId="0" borderId="3" xfId="0" applyNumberFormat="1" applyFont="1" applyBorder="1"/>
    <xf numFmtId="0" fontId="0" fillId="0" borderId="0" xfId="0" applyFill="1"/>
    <xf numFmtId="0" fontId="0" fillId="0" borderId="0" xfId="0" applyAlignment="1">
      <alignment horizontal="centerContinuous"/>
    </xf>
    <xf numFmtId="170" fontId="21" fillId="0" borderId="3" xfId="0" applyNumberFormat="1" applyFont="1" applyBorder="1"/>
    <xf numFmtId="0" fontId="26" fillId="0" borderId="0" xfId="0" applyFont="1"/>
    <xf numFmtId="0" fontId="0" fillId="0" borderId="0" xfId="0" applyAlignment="1">
      <alignment horizontal="right"/>
    </xf>
    <xf numFmtId="3" fontId="0" fillId="0" borderId="3" xfId="0" applyNumberFormat="1" applyBorder="1"/>
    <xf numFmtId="178" fontId="29" fillId="0" borderId="0" xfId="0" applyNumberFormat="1" applyFont="1"/>
    <xf numFmtId="170" fontId="0" fillId="0" borderId="0" xfId="0" applyNumberFormat="1" applyBorder="1"/>
    <xf numFmtId="170" fontId="21" fillId="0" borderId="0" xfId="0" applyNumberFormat="1" applyFont="1" applyBorder="1"/>
    <xf numFmtId="170" fontId="19" fillId="0" borderId="0" xfId="0" applyNumberFormat="1" applyFont="1" applyBorder="1"/>
    <xf numFmtId="0" fontId="0" fillId="0" borderId="0" xfId="0" applyAlignment="1"/>
    <xf numFmtId="170" fontId="21" fillId="0" borderId="4" xfId="0" applyNumberFormat="1" applyFont="1" applyBorder="1"/>
    <xf numFmtId="170" fontId="0" fillId="0" borderId="0" xfId="0" applyNumberFormat="1" applyFill="1"/>
    <xf numFmtId="173" fontId="0" fillId="0" borderId="0" xfId="0" applyNumberFormat="1"/>
    <xf numFmtId="173" fontId="20" fillId="0" borderId="0" xfId="0" applyNumberFormat="1" applyFont="1" applyBorder="1"/>
    <xf numFmtId="173" fontId="0" fillId="0" borderId="3" xfId="0" applyNumberFormat="1" applyBorder="1"/>
    <xf numFmtId="3" fontId="0" fillId="0" borderId="5" xfId="0" applyNumberFormat="1" applyBorder="1"/>
    <xf numFmtId="3" fontId="26" fillId="0" borderId="0" xfId="0" applyNumberFormat="1" applyFont="1"/>
    <xf numFmtId="0" fontId="28" fillId="0" borderId="1" xfId="0" applyFont="1" applyBorder="1"/>
    <xf numFmtId="0" fontId="21" fillId="0" borderId="0" xfId="0" applyFont="1" applyFill="1"/>
    <xf numFmtId="166" fontId="21" fillId="0" borderId="0" xfId="0" applyNumberFormat="1" applyFont="1" applyFill="1"/>
    <xf numFmtId="0" fontId="21" fillId="0" borderId="0" xfId="0" applyFont="1" applyFill="1" applyAlignment="1">
      <alignment horizontal="left" indent="1"/>
    </xf>
    <xf numFmtId="3" fontId="21" fillId="0" borderId="0" xfId="0" applyNumberFormat="1" applyFont="1" applyFill="1"/>
    <xf numFmtId="3" fontId="13" fillId="0" borderId="0" xfId="0" applyNumberFormat="1" applyFont="1" applyFill="1"/>
    <xf numFmtId="37" fontId="26" fillId="0" borderId="0" xfId="0" applyNumberFormat="1" applyFont="1" applyFill="1"/>
    <xf numFmtId="3" fontId="0" fillId="0" borderId="0" xfId="0" applyNumberFormat="1" applyFill="1"/>
    <xf numFmtId="37" fontId="13" fillId="0" borderId="0" xfId="0" applyNumberFormat="1" applyFont="1" applyFill="1"/>
    <xf numFmtId="176" fontId="29" fillId="0" borderId="0" xfId="0" applyNumberFormat="1" applyFont="1"/>
    <xf numFmtId="179" fontId="29" fillId="0" borderId="0" xfId="0" applyNumberFormat="1" applyFont="1"/>
    <xf numFmtId="0" fontId="30" fillId="0" borderId="0" xfId="0" applyFont="1"/>
    <xf numFmtId="0" fontId="26" fillId="0" borderId="0" xfId="0" applyFont="1" applyAlignment="1"/>
    <xf numFmtId="174" fontId="31" fillId="2" borderId="0" xfId="0" applyNumberFormat="1" applyFont="1" applyFill="1"/>
    <xf numFmtId="0" fontId="0" fillId="2" borderId="0" xfId="0" applyFill="1"/>
    <xf numFmtId="165" fontId="31" fillId="2" borderId="0" xfId="0" applyNumberFormat="1" applyFont="1" applyFill="1"/>
    <xf numFmtId="0" fontId="0" fillId="3" borderId="0" xfId="0" applyFill="1"/>
    <xf numFmtId="0" fontId="0" fillId="4" borderId="0" xfId="0" applyFill="1"/>
    <xf numFmtId="0" fontId="22" fillId="0" borderId="0" xfId="0" applyFont="1" applyAlignment="1">
      <alignment horizontal="centerContinuous"/>
    </xf>
    <xf numFmtId="168" fontId="0" fillId="0" borderId="0" xfId="0" applyNumberFormat="1"/>
    <xf numFmtId="0" fontId="0" fillId="5" borderId="0" xfId="0" applyFill="1"/>
    <xf numFmtId="175" fontId="19" fillId="0" borderId="0" xfId="0" applyNumberFormat="1" applyFont="1"/>
    <xf numFmtId="0" fontId="0" fillId="6" borderId="0" xfId="0" applyFill="1"/>
    <xf numFmtId="0" fontId="0" fillId="0" borderId="6" xfId="0" applyBorder="1"/>
    <xf numFmtId="0" fontId="0" fillId="0" borderId="3" xfId="0" applyBorder="1"/>
    <xf numFmtId="176" fontId="0" fillId="0" borderId="3" xfId="0" applyNumberFormat="1" applyBorder="1"/>
    <xf numFmtId="0" fontId="0" fillId="0" borderId="7" xfId="0" applyBorder="1"/>
    <xf numFmtId="0" fontId="0" fillId="0" borderId="0" xfId="0" applyBorder="1"/>
    <xf numFmtId="0" fontId="0" fillId="0" borderId="8" xfId="0" applyFill="1" applyBorder="1"/>
    <xf numFmtId="0" fontId="0" fillId="0" borderId="1" xfId="0" applyFill="1" applyBorder="1"/>
    <xf numFmtId="181" fontId="13" fillId="0" borderId="1" xfId="0" applyNumberFormat="1" applyFont="1" applyBorder="1"/>
    <xf numFmtId="177" fontId="0" fillId="0" borderId="0" xfId="0" applyNumberFormat="1"/>
    <xf numFmtId="179" fontId="0" fillId="0" borderId="0" xfId="0" applyNumberFormat="1"/>
    <xf numFmtId="179" fontId="20" fillId="0" borderId="0" xfId="0" applyNumberFormat="1" applyFont="1"/>
    <xf numFmtId="10" fontId="20" fillId="0" borderId="0" xfId="0" applyNumberFormat="1" applyFont="1"/>
    <xf numFmtId="3" fontId="24" fillId="0" borderId="0" xfId="0" applyNumberFormat="1" applyFont="1" applyAlignment="1">
      <alignment horizontal="right"/>
    </xf>
    <xf numFmtId="179" fontId="20" fillId="5" borderId="3" xfId="0" applyNumberFormat="1" applyFont="1" applyFill="1" applyBorder="1"/>
    <xf numFmtId="179" fontId="20" fillId="5" borderId="0" xfId="0" applyNumberFormat="1" applyFont="1" applyFill="1" applyBorder="1"/>
    <xf numFmtId="0" fontId="0" fillId="0" borderId="8" xfId="0" applyBorder="1"/>
    <xf numFmtId="0" fontId="0" fillId="0" borderId="1" xfId="0" applyBorder="1"/>
    <xf numFmtId="179" fontId="20" fillId="5" borderId="1" xfId="0" applyNumberFormat="1" applyFont="1" applyFill="1" applyBorder="1"/>
    <xf numFmtId="0" fontId="19" fillId="0" borderId="0" xfId="0" applyFont="1" applyAlignment="1"/>
    <xf numFmtId="165" fontId="0" fillId="0" borderId="0" xfId="0" applyNumberFormat="1"/>
    <xf numFmtId="175" fontId="0" fillId="0" borderId="0" xfId="0" applyNumberFormat="1"/>
    <xf numFmtId="0" fontId="19" fillId="0" borderId="3" xfId="0" applyFont="1" applyBorder="1" applyAlignment="1">
      <alignment horizontal="left" indent="7"/>
    </xf>
    <xf numFmtId="0" fontId="0" fillId="0" borderId="3" xfId="0" applyBorder="1" applyAlignment="1">
      <alignment horizontal="centerContinuous"/>
    </xf>
    <xf numFmtId="0" fontId="24" fillId="0" borderId="0" xfId="0" applyFont="1"/>
    <xf numFmtId="176" fontId="13" fillId="3" borderId="0" xfId="0" applyNumberFormat="1" applyFont="1" applyFill="1"/>
    <xf numFmtId="179" fontId="31" fillId="3" borderId="0" xfId="0" applyNumberFormat="1" applyFont="1" applyFill="1"/>
    <xf numFmtId="176" fontId="20" fillId="5" borderId="0" xfId="0" applyNumberFormat="1" applyFont="1" applyFill="1" applyBorder="1"/>
    <xf numFmtId="179" fontId="13" fillId="4" borderId="0" xfId="0" applyNumberFormat="1" applyFont="1" applyFill="1"/>
    <xf numFmtId="179" fontId="31" fillId="7" borderId="0" xfId="0" applyNumberFormat="1" applyFont="1" applyFill="1"/>
    <xf numFmtId="176" fontId="13" fillId="4" borderId="0" xfId="0" applyNumberFormat="1" applyFont="1" applyFill="1"/>
    <xf numFmtId="176" fontId="13" fillId="7" borderId="0" xfId="0" applyNumberFormat="1" applyFont="1" applyFill="1"/>
    <xf numFmtId="0" fontId="29" fillId="0" borderId="0" xfId="0" applyFont="1" applyAlignment="1">
      <alignment horizontal="center"/>
    </xf>
    <xf numFmtId="0" fontId="34" fillId="0" borderId="0" xfId="0" applyFont="1" applyAlignment="1"/>
    <xf numFmtId="0" fontId="29" fillId="0" borderId="0" xfId="0" applyFont="1" applyAlignment="1"/>
    <xf numFmtId="0" fontId="29" fillId="0" borderId="0" xfId="0" applyFont="1"/>
    <xf numFmtId="0" fontId="29" fillId="0" borderId="0" xfId="0" applyFont="1" applyAlignment="1">
      <alignment horizontal="right"/>
    </xf>
    <xf numFmtId="0" fontId="36" fillId="0" borderId="0" xfId="0" applyFont="1"/>
    <xf numFmtId="0" fontId="29" fillId="0" borderId="0" xfId="0" quotePrefix="1" applyFont="1"/>
    <xf numFmtId="0" fontId="37" fillId="0" borderId="0" xfId="0" applyFont="1"/>
    <xf numFmtId="0" fontId="20" fillId="0" borderId="7" xfId="0" applyFont="1" applyBorder="1"/>
    <xf numFmtId="6" fontId="14" fillId="0" borderId="0" xfId="2" applyNumberFormat="1" applyFont="1" applyBorder="1"/>
    <xf numFmtId="0" fontId="14" fillId="0" borderId="3" xfId="0" applyFont="1" applyBorder="1"/>
    <xf numFmtId="0" fontId="14" fillId="0" borderId="0" xfId="0" applyFont="1" applyAlignment="1">
      <alignment horizontal="left" indent="1"/>
    </xf>
    <xf numFmtId="3" fontId="14" fillId="0" borderId="0" xfId="0" applyNumberFormat="1" applyFont="1" applyAlignment="1">
      <alignment horizontal="left" indent="1"/>
    </xf>
    <xf numFmtId="165" fontId="14" fillId="0" borderId="0" xfId="0" applyNumberFormat="1" applyFont="1" applyAlignment="1">
      <alignment horizontal="left" indent="1"/>
    </xf>
    <xf numFmtId="5" fontId="14" fillId="0" borderId="0" xfId="0" applyNumberFormat="1" applyFont="1" applyAlignment="1">
      <alignment horizontal="left" indent="1"/>
    </xf>
    <xf numFmtId="0" fontId="16" fillId="0" borderId="0" xfId="0" applyFont="1"/>
    <xf numFmtId="0" fontId="29" fillId="0" borderId="0" xfId="0" applyFont="1" applyAlignment="1">
      <alignment horizontal="left"/>
    </xf>
    <xf numFmtId="182" fontId="14" fillId="0" borderId="0" xfId="0" applyNumberFormat="1" applyFont="1"/>
    <xf numFmtId="37" fontId="37" fillId="0" borderId="0" xfId="0" applyNumberFormat="1" applyFont="1"/>
    <xf numFmtId="37" fontId="29" fillId="0" borderId="0" xfId="0" applyNumberFormat="1" applyFont="1"/>
    <xf numFmtId="37" fontId="29" fillId="0" borderId="0" xfId="0" applyNumberFormat="1" applyFont="1" applyBorder="1"/>
    <xf numFmtId="183" fontId="14" fillId="0" borderId="0" xfId="0" applyNumberFormat="1" applyFont="1"/>
    <xf numFmtId="183" fontId="14" fillId="0" borderId="0" xfId="0" applyNumberFormat="1" applyFont="1" applyBorder="1"/>
    <xf numFmtId="183" fontId="14" fillId="0" borderId="3" xfId="0" applyNumberFormat="1" applyFont="1" applyBorder="1"/>
    <xf numFmtId="183" fontId="14" fillId="0" borderId="1" xfId="0" applyNumberFormat="1" applyFont="1" applyBorder="1"/>
    <xf numFmtId="183" fontId="14" fillId="0" borderId="0" xfId="0" applyNumberFormat="1" applyFont="1" applyAlignment="1">
      <alignment horizontal="center"/>
    </xf>
    <xf numFmtId="0" fontId="20" fillId="0" borderId="0" xfId="0" applyNumberFormat="1" applyFont="1" applyFill="1" applyBorder="1"/>
    <xf numFmtId="3" fontId="21" fillId="0" borderId="0" xfId="0" applyNumberFormat="1" applyFont="1"/>
    <xf numFmtId="176" fontId="39" fillId="0" borderId="0" xfId="0" applyNumberFormat="1" applyFont="1"/>
    <xf numFmtId="179" fontId="39" fillId="0" borderId="0" xfId="0" applyNumberFormat="1" applyFont="1"/>
    <xf numFmtId="168" fontId="19" fillId="0" borderId="0" xfId="0" applyNumberFormat="1" applyFont="1"/>
    <xf numFmtId="0" fontId="19" fillId="0" borderId="0" xfId="0" applyFont="1" applyAlignment="1">
      <alignment horizontal="left" indent="1"/>
    </xf>
    <xf numFmtId="0" fontId="22" fillId="0" borderId="0" xfId="0" applyFont="1"/>
    <xf numFmtId="7" fontId="13" fillId="0" borderId="0" xfId="0" applyNumberFormat="1" applyFont="1"/>
    <xf numFmtId="176" fontId="13" fillId="0" borderId="0" xfId="0" applyNumberFormat="1" applyFont="1" applyAlignment="1">
      <alignment horizontal="center"/>
    </xf>
    <xf numFmtId="7" fontId="19" fillId="0" borderId="0" xfId="0" applyNumberFormat="1" applyFont="1"/>
    <xf numFmtId="172" fontId="19" fillId="0" borderId="0" xfId="0" applyNumberFormat="1" applyFont="1"/>
    <xf numFmtId="10" fontId="19" fillId="0" borderId="0" xfId="0" applyNumberFormat="1" applyFont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10" fontId="19" fillId="0" borderId="0" xfId="0" applyNumberFormat="1" applyFont="1"/>
    <xf numFmtId="10" fontId="19" fillId="0" borderId="0" xfId="0" applyNumberFormat="1" applyFont="1" applyAlignment="1">
      <alignment horizontal="centerContinuous"/>
    </xf>
    <xf numFmtId="0" fontId="19" fillId="0" borderId="0" xfId="0" applyFont="1" applyBorder="1" applyAlignment="1">
      <alignment horizontal="center"/>
    </xf>
    <xf numFmtId="2" fontId="19" fillId="0" borderId="0" xfId="0" applyNumberFormat="1" applyFont="1" applyAlignment="1">
      <alignment horizontal="center"/>
    </xf>
    <xf numFmtId="5" fontId="19" fillId="0" borderId="0" xfId="0" applyNumberFormat="1" applyFont="1" applyAlignment="1">
      <alignment horizontal="centerContinuous"/>
    </xf>
    <xf numFmtId="5" fontId="19" fillId="0" borderId="0" xfId="0" applyNumberFormat="1" applyFont="1" applyAlignment="1">
      <alignment horizontal="center"/>
    </xf>
    <xf numFmtId="10" fontId="19" fillId="0" borderId="0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9" fontId="13" fillId="0" borderId="0" xfId="0" applyNumberFormat="1" applyFont="1" applyFill="1"/>
    <xf numFmtId="179" fontId="13" fillId="0" borderId="6" xfId="0" applyNumberFormat="1" applyFont="1" applyFill="1" applyBorder="1"/>
    <xf numFmtId="179" fontId="13" fillId="0" borderId="3" xfId="0" applyNumberFormat="1" applyFont="1" applyFill="1" applyBorder="1"/>
    <xf numFmtId="179" fontId="13" fillId="0" borderId="9" xfId="0" applyNumberFormat="1" applyFont="1" applyFill="1" applyBorder="1"/>
    <xf numFmtId="174" fontId="0" fillId="0" borderId="1" xfId="0" applyNumberFormat="1" applyBorder="1"/>
    <xf numFmtId="174" fontId="0" fillId="0" borderId="10" xfId="0" applyNumberFormat="1" applyBorder="1"/>
    <xf numFmtId="184" fontId="19" fillId="0" borderId="0" xfId="0" applyNumberFormat="1" applyFont="1"/>
    <xf numFmtId="184" fontId="13" fillId="0" borderId="0" xfId="0" applyNumberFormat="1" applyFont="1"/>
    <xf numFmtId="0" fontId="0" fillId="0" borderId="0" xfId="0" applyAlignment="1">
      <alignment horizontal="left" indent="2"/>
    </xf>
    <xf numFmtId="168" fontId="0" fillId="0" borderId="3" xfId="0" applyNumberFormat="1" applyBorder="1"/>
    <xf numFmtId="10" fontId="0" fillId="0" borderId="0" xfId="0" applyNumberFormat="1"/>
    <xf numFmtId="173" fontId="19" fillId="0" borderId="0" xfId="0" applyNumberFormat="1" applyFont="1"/>
    <xf numFmtId="180" fontId="0" fillId="0" borderId="0" xfId="0" applyNumberFormat="1"/>
    <xf numFmtId="4" fontId="0" fillId="0" borderId="0" xfId="0" applyNumberFormat="1"/>
    <xf numFmtId="7" fontId="0" fillId="0" borderId="0" xfId="0" applyNumberFormat="1"/>
    <xf numFmtId="3" fontId="0" fillId="0" borderId="0" xfId="0" applyNumberFormat="1" applyBorder="1"/>
    <xf numFmtId="0" fontId="23" fillId="0" borderId="0" xfId="0" applyFont="1" applyFill="1"/>
    <xf numFmtId="37" fontId="21" fillId="0" borderId="0" xfId="0" applyNumberFormat="1" applyFont="1" applyFill="1"/>
    <xf numFmtId="166" fontId="21" fillId="0" borderId="3" xfId="0" applyNumberFormat="1" applyFont="1" applyFill="1" applyBorder="1"/>
    <xf numFmtId="173" fontId="20" fillId="0" borderId="0" xfId="0" applyNumberFormat="1" applyFont="1"/>
    <xf numFmtId="3" fontId="21" fillId="0" borderId="5" xfId="0" applyNumberFormat="1" applyFont="1" applyFill="1" applyBorder="1"/>
    <xf numFmtId="3" fontId="21" fillId="0" borderId="4" xfId="0" applyNumberFormat="1" applyFont="1" applyFill="1" applyBorder="1"/>
    <xf numFmtId="166" fontId="21" fillId="0" borderId="0" xfId="0" applyNumberFormat="1" applyFont="1" applyFill="1" applyBorder="1"/>
    <xf numFmtId="0" fontId="42" fillId="0" borderId="0" xfId="0" applyFont="1" applyFill="1"/>
    <xf numFmtId="166" fontId="21" fillId="0" borderId="4" xfId="0" applyNumberFormat="1" applyFont="1" applyFill="1" applyBorder="1"/>
    <xf numFmtId="37" fontId="21" fillId="0" borderId="5" xfId="0" applyNumberFormat="1" applyFont="1" applyBorder="1"/>
    <xf numFmtId="0" fontId="0" fillId="0" borderId="0" xfId="0" applyFill="1" applyAlignment="1">
      <alignment horizontal="centerContinuous"/>
    </xf>
    <xf numFmtId="0" fontId="2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37" fontId="20" fillId="0" borderId="0" xfId="0" applyNumberFormat="1" applyFont="1" applyFill="1"/>
    <xf numFmtId="37" fontId="0" fillId="0" borderId="0" xfId="0" applyNumberFormat="1" applyFill="1"/>
    <xf numFmtId="0" fontId="29" fillId="0" borderId="0" xfId="0" applyFont="1" applyFill="1" applyAlignment="1">
      <alignment horizontal="left" indent="1"/>
    </xf>
    <xf numFmtId="3" fontId="26" fillId="0" borderId="0" xfId="0" applyNumberFormat="1" applyFont="1" applyFill="1"/>
    <xf numFmtId="180" fontId="17" fillId="0" borderId="0" xfId="0" applyNumberFormat="1" applyFont="1"/>
    <xf numFmtId="37" fontId="14" fillId="0" borderId="1" xfId="2" applyNumberFormat="1" applyFont="1" applyBorder="1"/>
    <xf numFmtId="37" fontId="14" fillId="0" borderId="1" xfId="0" applyNumberFormat="1" applyFont="1" applyBorder="1"/>
    <xf numFmtId="37" fontId="14" fillId="0" borderId="0" xfId="2" applyNumberFormat="1" applyFont="1" applyBorder="1"/>
    <xf numFmtId="0" fontId="22" fillId="0" borderId="0" xfId="0" applyFont="1" applyFill="1"/>
    <xf numFmtId="0" fontId="30" fillId="0" borderId="0" xfId="0" applyFont="1" applyAlignment="1">
      <alignment horizontal="centerContinuous"/>
    </xf>
    <xf numFmtId="183" fontId="14" fillId="0" borderId="0" xfId="2" applyNumberFormat="1" applyFont="1"/>
    <xf numFmtId="168" fontId="0" fillId="0" borderId="0" xfId="0" applyNumberFormat="1" applyFill="1"/>
    <xf numFmtId="0" fontId="0" fillId="0" borderId="0" xfId="0" applyBorder="1" applyAlignment="1"/>
    <xf numFmtId="3" fontId="13" fillId="0" borderId="3" xfId="0" applyNumberFormat="1" applyFont="1" applyBorder="1"/>
    <xf numFmtId="3" fontId="13" fillId="0" borderId="0" xfId="0" applyNumberFormat="1" applyFont="1" applyBorder="1"/>
    <xf numFmtId="3" fontId="19" fillId="0" borderId="0" xfId="0" applyNumberFormat="1" applyFont="1"/>
    <xf numFmtId="4" fontId="19" fillId="0" borderId="0" xfId="0" applyNumberFormat="1" applyFont="1"/>
    <xf numFmtId="3" fontId="24" fillId="0" borderId="0" xfId="0" applyNumberFormat="1" applyFont="1"/>
    <xf numFmtId="3" fontId="19" fillId="0" borderId="3" xfId="0" applyNumberFormat="1" applyFont="1" applyBorder="1"/>
    <xf numFmtId="3" fontId="19" fillId="0" borderId="0" xfId="0" applyNumberFormat="1" applyFont="1" applyBorder="1"/>
    <xf numFmtId="0" fontId="26" fillId="0" borderId="0" xfId="0" applyFont="1" applyAlignment="1">
      <alignment horizontal="right"/>
    </xf>
    <xf numFmtId="186" fontId="20" fillId="0" borderId="0" xfId="0" applyNumberFormat="1" applyFont="1" applyFill="1"/>
    <xf numFmtId="185" fontId="0" fillId="0" borderId="0" xfId="0" applyNumberFormat="1"/>
    <xf numFmtId="2" fontId="19" fillId="0" borderId="0" xfId="0" applyNumberFormat="1" applyFont="1"/>
    <xf numFmtId="10" fontId="21" fillId="0" borderId="0" xfId="0" applyNumberFormat="1" applyFont="1"/>
    <xf numFmtId="41" fontId="0" fillId="0" borderId="0" xfId="0" applyNumberFormat="1"/>
    <xf numFmtId="179" fontId="31" fillId="0" borderId="0" xfId="0" applyNumberFormat="1" applyFont="1" applyFill="1"/>
    <xf numFmtId="0" fontId="44" fillId="0" borderId="0" xfId="0" applyFont="1" applyAlignment="1">
      <alignment horizontal="left" indent="1"/>
    </xf>
    <xf numFmtId="0" fontId="45" fillId="0" borderId="0" xfId="0" applyFont="1"/>
    <xf numFmtId="169" fontId="0" fillId="0" borderId="0" xfId="0" applyNumberFormat="1"/>
    <xf numFmtId="0" fontId="0" fillId="0" borderId="0" xfId="0" applyFill="1" applyBorder="1"/>
    <xf numFmtId="170" fontId="21" fillId="0" borderId="0" xfId="0" applyNumberFormat="1" applyFont="1" applyAlignment="1">
      <alignment horizontal="center"/>
    </xf>
    <xf numFmtId="187" fontId="0" fillId="0" borderId="0" xfId="0" applyNumberFormat="1" applyAlignment="1">
      <alignment horizontal="center"/>
    </xf>
    <xf numFmtId="0" fontId="21" fillId="0" borderId="0" xfId="0" applyFont="1" applyAlignment="1">
      <alignment horizontal="right"/>
    </xf>
    <xf numFmtId="37" fontId="38" fillId="0" borderId="0" xfId="0" applyNumberFormat="1" applyFont="1"/>
    <xf numFmtId="170" fontId="0" fillId="0" borderId="8" xfId="0" applyNumberFormat="1" applyBorder="1"/>
    <xf numFmtId="39" fontId="14" fillId="0" borderId="0" xfId="0" applyNumberFormat="1" applyFont="1"/>
    <xf numFmtId="0" fontId="46" fillId="0" borderId="0" xfId="0" applyFont="1" applyAlignment="1">
      <alignment horizontal="left"/>
    </xf>
    <xf numFmtId="0" fontId="13" fillId="0" borderId="0" xfId="0" applyFont="1"/>
    <xf numFmtId="187" fontId="48" fillId="0" borderId="0" xfId="0" applyNumberFormat="1" applyFont="1" applyAlignment="1">
      <alignment horizontal="center"/>
    </xf>
    <xf numFmtId="37" fontId="49" fillId="0" borderId="0" xfId="0" applyNumberFormat="1" applyFont="1" applyFill="1" applyAlignment="1" applyProtection="1">
      <alignment horizontal="right"/>
    </xf>
    <xf numFmtId="170" fontId="0" fillId="0" borderId="6" xfId="0" applyNumberFormat="1" applyBorder="1"/>
    <xf numFmtId="170" fontId="0" fillId="0" borderId="9" xfId="0" applyNumberFormat="1" applyBorder="1"/>
    <xf numFmtId="179" fontId="48" fillId="5" borderId="3" xfId="0" applyNumberFormat="1" applyFont="1" applyFill="1" applyBorder="1"/>
    <xf numFmtId="173" fontId="48" fillId="0" borderId="0" xfId="0" applyNumberFormat="1" applyFont="1"/>
    <xf numFmtId="0" fontId="13" fillId="0" borderId="0" xfId="0" applyFont="1" applyFill="1"/>
    <xf numFmtId="37" fontId="50" fillId="0" borderId="0" xfId="2" applyNumberFormat="1" applyFont="1"/>
    <xf numFmtId="37" fontId="50" fillId="0" borderId="0" xfId="0" applyNumberFormat="1" applyFont="1"/>
    <xf numFmtId="165" fontId="14" fillId="0" borderId="0" xfId="0" applyNumberFormat="1" applyFont="1" applyFill="1"/>
    <xf numFmtId="183" fontId="14" fillId="0" borderId="0" xfId="0" applyNumberFormat="1" applyFont="1" applyFill="1"/>
    <xf numFmtId="0" fontId="51" fillId="0" borderId="0" xfId="0" applyFont="1"/>
    <xf numFmtId="3" fontId="0" fillId="0" borderId="1" xfId="0" applyNumberFormat="1" applyBorder="1"/>
    <xf numFmtId="0" fontId="52" fillId="0" borderId="0" xfId="0" applyFont="1"/>
    <xf numFmtId="185" fontId="20" fillId="0" borderId="0" xfId="0" applyNumberFormat="1" applyFont="1" applyFill="1"/>
    <xf numFmtId="3" fontId="14" fillId="8" borderId="0" xfId="0" applyNumberFormat="1" applyFont="1" applyFill="1"/>
    <xf numFmtId="7" fontId="14" fillId="0" borderId="0" xfId="0" applyNumberFormat="1" applyFont="1"/>
    <xf numFmtId="0" fontId="14" fillId="0" borderId="0" xfId="0" applyFont="1" applyFill="1" applyAlignment="1">
      <alignment horizontal="left"/>
    </xf>
    <xf numFmtId="174" fontId="0" fillId="0" borderId="0" xfId="0" applyNumberFormat="1"/>
    <xf numFmtId="0" fontId="48" fillId="0" borderId="0" xfId="0" applyFont="1" applyFill="1"/>
    <xf numFmtId="0" fontId="13" fillId="0" borderId="0" xfId="0" applyFont="1" applyAlignment="1">
      <alignment horizontal="left" indent="1"/>
    </xf>
    <xf numFmtId="0" fontId="14" fillId="0" borderId="0" xfId="0" applyFont="1" applyFill="1"/>
    <xf numFmtId="173" fontId="20" fillId="0" borderId="0" xfId="0" applyNumberFormat="1" applyFont="1" applyFill="1" applyBorder="1"/>
    <xf numFmtId="179" fontId="20" fillId="5" borderId="9" xfId="0" applyNumberFormat="1" applyFont="1" applyFill="1" applyBorder="1"/>
    <xf numFmtId="179" fontId="20" fillId="5" borderId="11" xfId="0" applyNumberFormat="1" applyFont="1" applyFill="1" applyBorder="1"/>
    <xf numFmtId="179" fontId="20" fillId="5" borderId="10" xfId="0" applyNumberFormat="1" applyFont="1" applyFill="1" applyBorder="1"/>
    <xf numFmtId="189" fontId="0" fillId="0" borderId="0" xfId="0" applyNumberFormat="1"/>
    <xf numFmtId="43" fontId="0" fillId="0" borderId="0" xfId="0" applyNumberFormat="1"/>
    <xf numFmtId="44" fontId="0" fillId="0" borderId="0" xfId="2" applyFont="1"/>
    <xf numFmtId="10" fontId="0" fillId="0" borderId="0" xfId="3" applyNumberFormat="1" applyFont="1"/>
    <xf numFmtId="4" fontId="53" fillId="0" borderId="0" xfId="0" applyNumberFormat="1" applyFont="1" applyFill="1"/>
    <xf numFmtId="41" fontId="0" fillId="0" borderId="0" xfId="2" applyNumberFormat="1" applyFont="1"/>
    <xf numFmtId="175" fontId="19" fillId="0" borderId="0" xfId="0" applyNumberFormat="1" applyFont="1" applyAlignment="1">
      <alignment horizontal="center"/>
    </xf>
    <xf numFmtId="5" fontId="23" fillId="0" borderId="0" xfId="0" applyNumberFormat="1" applyFont="1" applyBorder="1" applyAlignment="1">
      <alignment horizontal="center"/>
    </xf>
    <xf numFmtId="5" fontId="23" fillId="0" borderId="0" xfId="0" applyNumberFormat="1" applyFont="1" applyAlignment="1">
      <alignment horizontal="center"/>
    </xf>
    <xf numFmtId="170" fontId="0" fillId="0" borderId="7" xfId="0" applyNumberFormat="1" applyBorder="1"/>
    <xf numFmtId="0" fontId="0" fillId="0" borderId="10" xfId="0" applyBorder="1"/>
    <xf numFmtId="170" fontId="0" fillId="0" borderId="11" xfId="0" applyNumberFormat="1" applyBorder="1"/>
    <xf numFmtId="170" fontId="0" fillId="0" borderId="0" xfId="0" applyNumberFormat="1" applyFill="1" applyBorder="1"/>
    <xf numFmtId="5" fontId="14" fillId="0" borderId="0" xfId="0" applyNumberFormat="1" applyFont="1" applyFill="1"/>
    <xf numFmtId="166" fontId="50" fillId="0" borderId="0" xfId="1" applyNumberFormat="1" applyFont="1" applyFill="1"/>
    <xf numFmtId="0" fontId="13" fillId="0" borderId="0" xfId="0" applyFont="1" applyFill="1" applyAlignment="1"/>
    <xf numFmtId="170" fontId="0" fillId="0" borderId="1" xfId="0" applyNumberFormat="1" applyBorder="1"/>
    <xf numFmtId="37" fontId="26" fillId="0" borderId="0" xfId="0" applyNumberFormat="1" applyFont="1" applyFill="1" applyBorder="1"/>
    <xf numFmtId="37" fontId="13" fillId="0" borderId="0" xfId="0" applyNumberFormat="1" applyFont="1" applyFill="1" applyBorder="1"/>
    <xf numFmtId="37" fontId="23" fillId="0" borderId="0" xfId="0" applyNumberFormat="1" applyFont="1" applyFill="1"/>
    <xf numFmtId="37" fontId="48" fillId="0" borderId="0" xfId="0" applyNumberFormat="1" applyFont="1" applyFill="1" applyBorder="1"/>
    <xf numFmtId="37" fontId="17" fillId="0" borderId="0" xfId="0" applyNumberFormat="1" applyFont="1" applyFill="1"/>
    <xf numFmtId="179" fontId="39" fillId="0" borderId="0" xfId="0" applyNumberFormat="1" applyFont="1" applyFill="1"/>
    <xf numFmtId="0" fontId="22" fillId="0" borderId="0" xfId="0" applyFont="1" applyBorder="1" applyAlignment="1">
      <alignment horizontal="center"/>
    </xf>
    <xf numFmtId="0" fontId="19" fillId="0" borderId="0" xfId="0" applyFont="1" applyBorder="1"/>
    <xf numFmtId="41" fontId="48" fillId="0" borderId="0" xfId="2" applyNumberFormat="1" applyFont="1" applyFill="1"/>
    <xf numFmtId="166" fontId="19" fillId="0" borderId="0" xfId="1" applyNumberFormat="1" applyFont="1"/>
    <xf numFmtId="10" fontId="13" fillId="0" borderId="0" xfId="0" applyNumberFormat="1" applyFont="1"/>
    <xf numFmtId="191" fontId="0" fillId="0" borderId="0" xfId="0" applyNumberFormat="1" applyFill="1"/>
    <xf numFmtId="192" fontId="0" fillId="0" borderId="0" xfId="2" applyNumberFormat="1" applyFont="1"/>
    <xf numFmtId="0" fontId="0" fillId="0" borderId="9" xfId="0" applyFill="1" applyBorder="1"/>
    <xf numFmtId="0" fontId="0" fillId="0" borderId="7" xfId="0" applyFill="1" applyBorder="1"/>
    <xf numFmtId="0" fontId="0" fillId="0" borderId="11" xfId="0" applyFill="1" applyBorder="1"/>
    <xf numFmtId="176" fontId="0" fillId="0" borderId="0" xfId="0" applyNumberFormat="1" applyFill="1" applyBorder="1"/>
    <xf numFmtId="176" fontId="0" fillId="0" borderId="11" xfId="0" applyNumberFormat="1" applyFill="1" applyBorder="1"/>
    <xf numFmtId="192" fontId="0" fillId="0" borderId="0" xfId="2" applyNumberFormat="1" applyFont="1" applyFill="1" applyBorder="1"/>
    <xf numFmtId="192" fontId="0" fillId="0" borderId="11" xfId="2" applyNumberFormat="1" applyFont="1" applyFill="1" applyBorder="1"/>
    <xf numFmtId="0" fontId="0" fillId="0" borderId="3" xfId="0" applyFill="1" applyBorder="1"/>
    <xf numFmtId="174" fontId="0" fillId="0" borderId="1" xfId="0" applyNumberFormat="1" applyFill="1" applyBorder="1"/>
    <xf numFmtId="174" fontId="0" fillId="0" borderId="10" xfId="0" applyNumberFormat="1" applyFill="1" applyBorder="1"/>
    <xf numFmtId="0" fontId="0" fillId="0" borderId="6" xfId="0" applyFill="1" applyBorder="1" applyAlignment="1">
      <alignment horizontal="center"/>
    </xf>
    <xf numFmtId="0" fontId="48" fillId="0" borderId="7" xfId="0" applyFont="1" applyFill="1" applyBorder="1"/>
    <xf numFmtId="176" fontId="0" fillId="0" borderId="7" xfId="0" applyNumberFormat="1" applyFill="1" applyBorder="1"/>
    <xf numFmtId="192" fontId="0" fillId="0" borderId="7" xfId="2" applyNumberFormat="1" applyFont="1" applyFill="1" applyBorder="1"/>
    <xf numFmtId="174" fontId="0" fillId="0" borderId="8" xfId="0" applyNumberFormat="1" applyFill="1" applyBorder="1"/>
    <xf numFmtId="0" fontId="0" fillId="0" borderId="9" xfId="0" applyFill="1" applyBorder="1" applyAlignment="1">
      <alignment horizontal="center"/>
    </xf>
    <xf numFmtId="193" fontId="38" fillId="0" borderId="0" xfId="0" applyNumberFormat="1" applyFont="1" applyAlignment="1">
      <alignment horizontal="center"/>
    </xf>
    <xf numFmtId="193" fontId="48" fillId="0" borderId="0" xfId="0" applyNumberFormat="1" applyFont="1" applyAlignment="1">
      <alignment horizontal="center"/>
    </xf>
    <xf numFmtId="193" fontId="40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10" fontId="0" fillId="0" borderId="0" xfId="3" applyNumberFormat="1" applyFont="1" applyBorder="1"/>
    <xf numFmtId="0" fontId="13" fillId="0" borderId="0" xfId="0" applyFont="1" applyAlignment="1">
      <alignment horizontal="centerContinuous"/>
    </xf>
    <xf numFmtId="5" fontId="13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"/>
    </xf>
    <xf numFmtId="5" fontId="13" fillId="0" borderId="0" xfId="0" applyNumberFormat="1" applyFont="1" applyAlignment="1">
      <alignment horizontal="center"/>
    </xf>
    <xf numFmtId="0" fontId="13" fillId="0" borderId="0" xfId="0" applyFont="1" applyBorder="1" applyAlignment="1">
      <alignment horizontal="center"/>
    </xf>
    <xf numFmtId="5" fontId="13" fillId="0" borderId="0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5" fontId="13" fillId="0" borderId="1" xfId="0" applyNumberFormat="1" applyFont="1" applyBorder="1" applyAlignment="1">
      <alignment horizontal="center"/>
    </xf>
    <xf numFmtId="5" fontId="19" fillId="0" borderId="0" xfId="0" applyNumberFormat="1" applyFont="1"/>
    <xf numFmtId="5" fontId="13" fillId="0" borderId="0" xfId="0" applyNumberFormat="1" applyFont="1"/>
    <xf numFmtId="0" fontId="13" fillId="0" borderId="0" xfId="0" quotePrefix="1" applyFont="1" applyAlignment="1">
      <alignment horizontal="center"/>
    </xf>
    <xf numFmtId="3" fontId="13" fillId="0" borderId="0" xfId="0" applyNumberFormat="1" applyFo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left" indent="3"/>
    </xf>
    <xf numFmtId="173" fontId="13" fillId="0" borderId="0" xfId="0" applyNumberFormat="1" applyFont="1"/>
    <xf numFmtId="37" fontId="13" fillId="0" borderId="0" xfId="0" applyNumberFormat="1" applyFont="1"/>
    <xf numFmtId="190" fontId="13" fillId="0" borderId="0" xfId="2" applyNumberFormat="1" applyFont="1"/>
    <xf numFmtId="0" fontId="13" fillId="0" borderId="0" xfId="0" applyFont="1" applyBorder="1"/>
    <xf numFmtId="175" fontId="13" fillId="0" borderId="0" xfId="0" applyNumberFormat="1" applyFont="1"/>
    <xf numFmtId="172" fontId="13" fillId="0" borderId="0" xfId="0" applyNumberFormat="1" applyFont="1"/>
    <xf numFmtId="185" fontId="13" fillId="0" borderId="0" xfId="0" applyNumberFormat="1" applyFont="1"/>
    <xf numFmtId="4" fontId="13" fillId="0" borderId="0" xfId="0" applyNumberFormat="1" applyFont="1"/>
    <xf numFmtId="188" fontId="13" fillId="0" borderId="0" xfId="0" applyNumberFormat="1" applyFont="1"/>
    <xf numFmtId="0" fontId="13" fillId="0" borderId="0" xfId="0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10" fontId="13" fillId="0" borderId="0" xfId="0" applyNumberFormat="1" applyFont="1" applyAlignment="1">
      <alignment horizontal="center"/>
    </xf>
    <xf numFmtId="175" fontId="13" fillId="0" borderId="0" xfId="0" applyNumberFormat="1" applyFont="1" applyAlignment="1">
      <alignment horizontal="center"/>
    </xf>
    <xf numFmtId="0" fontId="48" fillId="0" borderId="0" xfId="0" applyFont="1"/>
    <xf numFmtId="0" fontId="48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5" fontId="48" fillId="0" borderId="0" xfId="0" applyNumberFormat="1" applyFont="1"/>
    <xf numFmtId="184" fontId="48" fillId="0" borderId="0" xfId="0" applyNumberFormat="1" applyFont="1" applyFill="1"/>
    <xf numFmtId="3" fontId="19" fillId="0" borderId="0" xfId="0" applyNumberFormat="1" applyFont="1" applyFill="1" applyBorder="1"/>
    <xf numFmtId="0" fontId="19" fillId="0" borderId="8" xfId="0" applyFont="1" applyFill="1" applyBorder="1"/>
    <xf numFmtId="0" fontId="0" fillId="0" borderId="0" xfId="0" applyFill="1"/>
    <xf numFmtId="179" fontId="29" fillId="0" borderId="0" xfId="0" applyNumberFormat="1" applyFont="1"/>
    <xf numFmtId="179" fontId="0" fillId="0" borderId="0" xfId="0" applyNumberFormat="1"/>
    <xf numFmtId="174" fontId="0" fillId="0" borderId="0" xfId="0" applyNumberFormat="1"/>
    <xf numFmtId="192" fontId="0" fillId="0" borderId="7" xfId="2" applyNumberFormat="1" applyFont="1" applyFill="1" applyBorder="1"/>
    <xf numFmtId="0" fontId="23" fillId="0" borderId="0" xfId="0" applyFont="1" applyFill="1" applyBorder="1"/>
    <xf numFmtId="166" fontId="0" fillId="0" borderId="0" xfId="1" applyNumberFormat="1" applyFont="1" applyFill="1"/>
    <xf numFmtId="0" fontId="23" fillId="0" borderId="0" xfId="0" applyFont="1" applyFill="1" applyBorder="1" applyAlignment="1">
      <alignment horizontal="center"/>
    </xf>
    <xf numFmtId="3" fontId="19" fillId="0" borderId="1" xfId="0" applyNumberFormat="1" applyFont="1" applyFill="1" applyBorder="1"/>
    <xf numFmtId="190" fontId="13" fillId="0" borderId="0" xfId="2" applyNumberFormat="1" applyFont="1" applyAlignment="1">
      <alignment horizontal="center"/>
    </xf>
    <xf numFmtId="190" fontId="19" fillId="0" borderId="0" xfId="2" applyNumberFormat="1" applyFont="1"/>
    <xf numFmtId="9" fontId="0" fillId="0" borderId="0" xfId="3" applyFont="1"/>
    <xf numFmtId="44" fontId="0" fillId="0" borderId="0" xfId="0" applyNumberFormat="1"/>
    <xf numFmtId="0" fontId="0" fillId="0" borderId="13" xfId="0" applyBorder="1"/>
    <xf numFmtId="44" fontId="0" fillId="0" borderId="14" xfId="2" applyFont="1" applyBorder="1"/>
    <xf numFmtId="44" fontId="0" fillId="0" borderId="15" xfId="0" applyNumberFormat="1" applyBorder="1"/>
    <xf numFmtId="44" fontId="63" fillId="0" borderId="0" xfId="2" applyFont="1"/>
    <xf numFmtId="192" fontId="63" fillId="0" borderId="0" xfId="2" applyNumberFormat="1" applyFont="1"/>
    <xf numFmtId="44" fontId="0" fillId="0" borderId="0" xfId="2" applyFont="1" applyBorder="1"/>
    <xf numFmtId="44" fontId="0" fillId="0" borderId="0" xfId="0" applyNumberFormat="1" applyBorder="1"/>
    <xf numFmtId="44" fontId="19" fillId="0" borderId="0" xfId="0" applyNumberFormat="1" applyFont="1"/>
    <xf numFmtId="175" fontId="19" fillId="0" borderId="0" xfId="3" applyNumberFormat="1" applyFont="1"/>
    <xf numFmtId="44" fontId="19" fillId="0" borderId="0" xfId="0" applyNumberFormat="1" applyFont="1" applyBorder="1"/>
    <xf numFmtId="175" fontId="19" fillId="0" borderId="0" xfId="3" applyNumberFormat="1" applyFont="1" applyBorder="1"/>
    <xf numFmtId="44" fontId="0" fillId="0" borderId="14" xfId="0" applyNumberFormat="1" applyBorder="1"/>
    <xf numFmtId="0" fontId="0" fillId="0" borderId="14" xfId="0" applyBorder="1"/>
    <xf numFmtId="9" fontId="13" fillId="0" borderId="0" xfId="3" applyNumberFormat="1" applyFont="1" applyFill="1"/>
    <xf numFmtId="192" fontId="0" fillId="0" borderId="7" xfId="0" applyNumberFormat="1" applyFill="1" applyBorder="1"/>
    <xf numFmtId="10" fontId="13" fillId="0" borderId="0" xfId="3" applyNumberFormat="1" applyFont="1"/>
    <xf numFmtId="0" fontId="19" fillId="0" borderId="0" xfId="0" applyFont="1" applyAlignment="1">
      <alignment horizontal="left"/>
    </xf>
    <xf numFmtId="0" fontId="64" fillId="0" borderId="0" xfId="0" applyFont="1" applyBorder="1" applyAlignment="1">
      <alignment horizontal="left"/>
    </xf>
    <xf numFmtId="0" fontId="13" fillId="0" borderId="0" xfId="0" applyFont="1" applyAlignment="1"/>
    <xf numFmtId="166" fontId="66" fillId="0" borderId="0" xfId="48" applyNumberFormat="1" applyFont="1" applyBorder="1" applyAlignment="1">
      <alignment horizontal="right" vertical="top"/>
    </xf>
    <xf numFmtId="166" fontId="66" fillId="0" borderId="0" xfId="48" applyNumberFormat="1" applyFont="1" applyBorder="1" applyAlignment="1">
      <alignment vertical="top"/>
    </xf>
    <xf numFmtId="166" fontId="66" fillId="0" borderId="0" xfId="48" applyNumberFormat="1" applyFont="1" applyBorder="1"/>
    <xf numFmtId="170" fontId="21" fillId="0" borderId="1" xfId="0" applyNumberFormat="1" applyFont="1" applyBorder="1"/>
    <xf numFmtId="170" fontId="48" fillId="0" borderId="1" xfId="0" applyNumberFormat="1" applyFont="1" applyBorder="1"/>
    <xf numFmtId="0" fontId="0" fillId="0" borderId="6" xfId="0" applyFill="1" applyBorder="1"/>
    <xf numFmtId="0" fontId="48" fillId="0" borderId="11" xfId="0" applyFont="1" applyFill="1" applyBorder="1"/>
    <xf numFmtId="0" fontId="67" fillId="0" borderId="0" xfId="0" applyFont="1"/>
    <xf numFmtId="166" fontId="0" fillId="0" borderId="0" xfId="17" applyNumberFormat="1" applyFont="1"/>
    <xf numFmtId="166" fontId="0" fillId="11" borderId="0" xfId="17" applyNumberFormat="1" applyFont="1" applyFill="1"/>
    <xf numFmtId="166" fontId="0" fillId="0" borderId="3" xfId="17" applyNumberFormat="1" applyFont="1" applyBorder="1"/>
    <xf numFmtId="166" fontId="13" fillId="11" borderId="0" xfId="1" applyNumberFormat="1" applyFill="1"/>
    <xf numFmtId="166" fontId="0" fillId="0" borderId="0" xfId="0" applyNumberFormat="1"/>
    <xf numFmtId="166" fontId="0" fillId="0" borderId="0" xfId="17" applyNumberFormat="1" applyFont="1" applyFill="1"/>
    <xf numFmtId="175" fontId="0" fillId="0" borderId="0" xfId="32" applyNumberFormat="1" applyFont="1"/>
    <xf numFmtId="166" fontId="0" fillId="0" borderId="0" xfId="1" applyNumberFormat="1" applyFont="1"/>
    <xf numFmtId="166" fontId="0" fillId="0" borderId="1" xfId="1" applyNumberFormat="1" applyFont="1" applyBorder="1"/>
    <xf numFmtId="166" fontId="0" fillId="11" borderId="0" xfId="17" applyNumberFormat="1" applyFont="1" applyFill="1" applyBorder="1"/>
    <xf numFmtId="166" fontId="0" fillId="0" borderId="0" xfId="0" applyNumberFormat="1" applyFill="1"/>
    <xf numFmtId="166" fontId="13" fillId="0" borderId="0" xfId="1" applyNumberFormat="1" applyFont="1" applyFill="1"/>
    <xf numFmtId="0" fontId="0" fillId="0" borderId="0" xfId="0" applyAlignment="1">
      <alignment horizontal="left"/>
    </xf>
    <xf numFmtId="10" fontId="14" fillId="0" borderId="0" xfId="3" applyNumberFormat="1" applyFont="1"/>
    <xf numFmtId="175" fontId="13" fillId="0" borderId="0" xfId="3" applyNumberFormat="1" applyFont="1" applyAlignment="1">
      <alignment horizontal="center"/>
    </xf>
    <xf numFmtId="44" fontId="19" fillId="0" borderId="14" xfId="0" applyNumberFormat="1" applyFont="1" applyBorder="1"/>
    <xf numFmtId="174" fontId="0" fillId="0" borderId="4" xfId="0" applyNumberFormat="1" applyBorder="1"/>
    <xf numFmtId="175" fontId="19" fillId="0" borderId="15" xfId="3" applyNumberFormat="1" applyFont="1" applyBorder="1"/>
    <xf numFmtId="190" fontId="13" fillId="0" borderId="0" xfId="2" applyNumberFormat="1" applyFont="1"/>
    <xf numFmtId="44" fontId="13" fillId="0" borderId="0" xfId="2" applyFont="1"/>
    <xf numFmtId="44" fontId="14" fillId="0" borderId="0" xfId="2" applyFont="1"/>
    <xf numFmtId="44" fontId="14" fillId="0" borderId="0" xfId="0" applyNumberFormat="1" applyFont="1"/>
    <xf numFmtId="5" fontId="0" fillId="0" borderId="0" xfId="0" applyNumberFormat="1"/>
    <xf numFmtId="190" fontId="0" fillId="0" borderId="0" xfId="2" applyNumberFormat="1" applyFont="1"/>
    <xf numFmtId="175" fontId="0" fillId="0" borderId="0" xfId="3" applyNumberFormat="1" applyFont="1"/>
    <xf numFmtId="3" fontId="13" fillId="0" borderId="0" xfId="0" applyNumberFormat="1" applyFont="1" applyAlignment="1">
      <alignment horizontal="center"/>
    </xf>
    <xf numFmtId="0" fontId="13" fillId="0" borderId="0" xfId="731" applyAlignment="1">
      <alignment horizontal="left" indent="2"/>
    </xf>
    <xf numFmtId="194" fontId="19" fillId="0" borderId="0" xfId="3" applyNumberFormat="1" applyFont="1"/>
    <xf numFmtId="3" fontId="13" fillId="0" borderId="0" xfId="4" applyNumberFormat="1" applyFont="1" applyBorder="1"/>
    <xf numFmtId="43" fontId="19" fillId="0" borderId="0" xfId="1" applyNumberFormat="1" applyFont="1"/>
    <xf numFmtId="0" fontId="13" fillId="0" borderId="0" xfId="731" applyAlignment="1">
      <alignment horizontal="left" indent="1"/>
    </xf>
    <xf numFmtId="3" fontId="13" fillId="0" borderId="1" xfId="719" applyNumberFormat="1" applyFont="1" applyFill="1" applyBorder="1"/>
    <xf numFmtId="0" fontId="13" fillId="0" borderId="0" xfId="719"/>
    <xf numFmtId="166" fontId="13" fillId="0" borderId="0" xfId="1" applyNumberFormat="1" applyFont="1" applyFill="1" applyBorder="1"/>
    <xf numFmtId="0" fontId="13" fillId="0" borderId="0" xfId="719" applyFont="1"/>
    <xf numFmtId="0" fontId="19" fillId="0" borderId="0" xfId="719" applyFont="1"/>
    <xf numFmtId="3" fontId="13" fillId="0" borderId="0" xfId="719" applyNumberFormat="1" applyFont="1"/>
    <xf numFmtId="3" fontId="13" fillId="0" borderId="0" xfId="719" applyNumberFormat="1" applyFont="1" applyBorder="1"/>
    <xf numFmtId="0" fontId="13" fillId="0" borderId="0" xfId="719" applyFont="1" applyFill="1" applyBorder="1" applyAlignment="1"/>
    <xf numFmtId="3" fontId="13" fillId="0" borderId="0" xfId="719" applyNumberFormat="1" applyFont="1" applyFill="1" applyBorder="1"/>
    <xf numFmtId="3" fontId="13" fillId="0" borderId="3" xfId="719" applyNumberFormat="1" applyFont="1" applyFill="1" applyBorder="1"/>
    <xf numFmtId="3" fontId="13" fillId="0" borderId="0" xfId="4" applyNumberFormat="1" applyFont="1" applyFill="1" applyBorder="1"/>
    <xf numFmtId="3" fontId="13" fillId="0" borderId="0" xfId="4" applyNumberFormat="1" applyFont="1"/>
    <xf numFmtId="43" fontId="19" fillId="0" borderId="0" xfId="1" applyFont="1"/>
    <xf numFmtId="43" fontId="19" fillId="0" borderId="0" xfId="3" applyNumberFormat="1" applyFont="1"/>
    <xf numFmtId="9" fontId="13" fillId="0" borderId="0" xfId="3" applyFont="1"/>
    <xf numFmtId="9" fontId="13" fillId="0" borderId="0" xfId="3" applyFont="1" applyFill="1" applyBorder="1"/>
    <xf numFmtId="0" fontId="86" fillId="0" borderId="0" xfId="8" applyFont="1" applyBorder="1" applyAlignment="1">
      <alignment vertical="top"/>
    </xf>
    <xf numFmtId="0" fontId="87" fillId="0" borderId="0" xfId="8" applyFont="1" applyBorder="1" applyAlignment="1">
      <alignment vertical="top" wrapText="1"/>
    </xf>
    <xf numFmtId="166" fontId="88" fillId="0" borderId="0" xfId="1111" applyNumberFormat="1" applyFont="1" applyBorder="1"/>
    <xf numFmtId="166" fontId="88" fillId="0" borderId="0" xfId="1112" applyNumberFormat="1" applyFont="1" applyBorder="1"/>
    <xf numFmtId="166" fontId="88" fillId="0" borderId="0" xfId="1115" applyNumberFormat="1" applyFont="1" applyBorder="1"/>
    <xf numFmtId="166" fontId="88" fillId="0" borderId="0" xfId="1116" applyNumberFormat="1" applyFont="1" applyBorder="1"/>
    <xf numFmtId="166" fontId="88" fillId="0" borderId="0" xfId="1110" applyNumberFormat="1" applyFont="1" applyBorder="1"/>
    <xf numFmtId="0" fontId="13" fillId="0" borderId="0" xfId="0" applyFont="1" applyAlignment="1">
      <alignment horizontal="left" vertical="top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top"/>
    </xf>
    <xf numFmtId="43" fontId="13" fillId="0" borderId="0" xfId="1" applyFont="1"/>
    <xf numFmtId="190" fontId="13" fillId="0" borderId="1" xfId="2" applyNumberFormat="1" applyFont="1" applyBorder="1"/>
    <xf numFmtId="190" fontId="13" fillId="0" borderId="0" xfId="2" applyNumberFormat="1" applyFont="1" applyBorder="1"/>
    <xf numFmtId="172" fontId="13" fillId="0" borderId="0" xfId="1" applyNumberFormat="1" applyFont="1"/>
    <xf numFmtId="3" fontId="23" fillId="0" borderId="0" xfId="0" applyNumberFormat="1" applyFont="1" applyAlignment="1">
      <alignment horizontal="center"/>
    </xf>
    <xf numFmtId="195" fontId="29" fillId="0" borderId="0" xfId="0" applyNumberFormat="1" applyFont="1"/>
    <xf numFmtId="5" fontId="13" fillId="0" borderId="0" xfId="0" applyNumberFormat="1" applyFont="1" applyFill="1" applyAlignment="1">
      <alignment horizontal="center"/>
    </xf>
    <xf numFmtId="3" fontId="13" fillId="0" borderId="1" xfId="744" applyNumberFormat="1" applyBorder="1"/>
    <xf numFmtId="190" fontId="0" fillId="0" borderId="0" xfId="0" applyNumberFormat="1"/>
    <xf numFmtId="3" fontId="13" fillId="0" borderId="0" xfId="744" applyNumberFormat="1" applyBorder="1"/>
    <xf numFmtId="10" fontId="13" fillId="0" borderId="0" xfId="3" applyNumberFormat="1" applyFont="1" applyBorder="1"/>
    <xf numFmtId="0" fontId="23" fillId="0" borderId="0" xfId="0" applyFont="1" applyBorder="1" applyAlignment="1">
      <alignment horizontal="center"/>
    </xf>
    <xf numFmtId="190" fontId="13" fillId="0" borderId="4" xfId="2" applyNumberFormat="1" applyFont="1" applyBorder="1"/>
    <xf numFmtId="179" fontId="13" fillId="0" borderId="0" xfId="0" applyNumberFormat="1" applyFont="1"/>
    <xf numFmtId="0" fontId="13" fillId="0" borderId="0" xfId="0" applyFont="1"/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indent="1"/>
    </xf>
    <xf numFmtId="3" fontId="13" fillId="0" borderId="0" xfId="0" applyNumberFormat="1" applyFont="1" applyFill="1"/>
    <xf numFmtId="0" fontId="48" fillId="0" borderId="0" xfId="0" applyFont="1"/>
    <xf numFmtId="44" fontId="13" fillId="0" borderId="0" xfId="0" applyNumberFormat="1" applyFont="1" applyBorder="1"/>
    <xf numFmtId="44" fontId="13" fillId="0" borderId="0" xfId="2" applyFont="1" applyBorder="1"/>
    <xf numFmtId="0" fontId="19" fillId="0" borderId="0" xfId="0" applyFont="1" applyFill="1" applyBorder="1" applyAlignment="1">
      <alignment horizontal="center"/>
    </xf>
    <xf numFmtId="190" fontId="13" fillId="0" borderId="0" xfId="2" applyNumberFormat="1" applyFont="1"/>
    <xf numFmtId="175" fontId="13" fillId="0" borderId="0" xfId="3" applyNumberFormat="1" applyFont="1"/>
    <xf numFmtId="0" fontId="29" fillId="0" borderId="0" xfId="0" applyFont="1" applyFill="1"/>
    <xf numFmtId="0" fontId="90" fillId="0" borderId="0" xfId="8" applyFont="1" applyBorder="1" applyAlignment="1">
      <alignment vertical="top"/>
    </xf>
    <xf numFmtId="3" fontId="20" fillId="0" borderId="0" xfId="0" applyNumberFormat="1" applyFont="1" applyFill="1"/>
    <xf numFmtId="170" fontId="13" fillId="0" borderId="0" xfId="0" applyNumberFormat="1" applyFont="1" applyFill="1"/>
    <xf numFmtId="170" fontId="19" fillId="0" borderId="0" xfId="0" applyNumberFormat="1" applyFont="1" applyFill="1"/>
    <xf numFmtId="166" fontId="66" fillId="0" borderId="0" xfId="1096" applyNumberFormat="1" applyFont="1" applyFill="1" applyBorder="1" applyAlignment="1"/>
    <xf numFmtId="170" fontId="19" fillId="0" borderId="0" xfId="0" applyNumberFormat="1" applyFont="1"/>
    <xf numFmtId="166" fontId="88" fillId="0" borderId="0" xfId="1291" applyNumberFormat="1" applyFont="1" applyBorder="1"/>
    <xf numFmtId="166" fontId="88" fillId="0" borderId="0" xfId="1291" applyNumberFormat="1" applyFont="1" applyFill="1" applyBorder="1"/>
    <xf numFmtId="0" fontId="87" fillId="0" borderId="0" xfId="8" applyFont="1" applyBorder="1" applyAlignment="1">
      <alignment vertical="top"/>
    </xf>
    <xf numFmtId="1" fontId="0" fillId="0" borderId="0" xfId="0" applyNumberFormat="1"/>
    <xf numFmtId="179" fontId="0" fillId="0" borderId="0" xfId="0" applyNumberFormat="1" applyFill="1"/>
    <xf numFmtId="0" fontId="20" fillId="0" borderId="0" xfId="0" applyFont="1" applyFill="1"/>
    <xf numFmtId="0" fontId="17" fillId="0" borderId="0" xfId="0" applyFont="1" applyFill="1"/>
    <xf numFmtId="190" fontId="0" fillId="0" borderId="0" xfId="2" applyNumberFormat="1" applyFont="1" applyBorder="1"/>
    <xf numFmtId="193" fontId="38" fillId="0" borderId="0" xfId="0" applyNumberFormat="1" applyFont="1" applyBorder="1" applyAlignment="1">
      <alignment horizontal="center"/>
    </xf>
    <xf numFmtId="0" fontId="19" fillId="0" borderId="0" xfId="719" applyFont="1" applyFill="1"/>
    <xf numFmtId="43" fontId="19" fillId="0" borderId="0" xfId="1" applyNumberFormat="1" applyFont="1" applyFill="1"/>
    <xf numFmtId="0" fontId="13" fillId="0" borderId="0" xfId="719" applyFont="1" applyFill="1"/>
    <xf numFmtId="43" fontId="19" fillId="0" borderId="0" xfId="3" applyNumberFormat="1" applyFont="1" applyFill="1"/>
    <xf numFmtId="3" fontId="13" fillId="0" borderId="3" xfId="744" applyNumberFormat="1" applyFont="1" applyFill="1" applyBorder="1"/>
    <xf numFmtId="3" fontId="13" fillId="0" borderId="0" xfId="744" applyNumberFormat="1" applyFont="1" applyFill="1"/>
    <xf numFmtId="3" fontId="13" fillId="0" borderId="0" xfId="744" applyNumberFormat="1" applyFont="1" applyFill="1"/>
    <xf numFmtId="3" fontId="13" fillId="0" borderId="3" xfId="744" applyNumberFormat="1" applyFont="1" applyFill="1" applyBorder="1"/>
    <xf numFmtId="3" fontId="13" fillId="0" borderId="0" xfId="744" applyNumberFormat="1" applyFont="1" applyFill="1"/>
    <xf numFmtId="0" fontId="92" fillId="0" borderId="0" xfId="8" applyFont="1" applyBorder="1" applyAlignment="1">
      <alignment vertical="top"/>
    </xf>
    <xf numFmtId="0" fontId="91" fillId="0" borderId="0" xfId="0" applyFont="1"/>
    <xf numFmtId="0" fontId="64" fillId="0" borderId="0" xfId="0" applyFont="1" applyAlignment="1">
      <alignment horizontal="left"/>
    </xf>
    <xf numFmtId="7" fontId="13" fillId="0" borderId="0" xfId="0" applyNumberFormat="1" applyFont="1" applyAlignment="1">
      <alignment horizontal="center"/>
    </xf>
    <xf numFmtId="172" fontId="48" fillId="0" borderId="0" xfId="0" applyNumberFormat="1" applyFont="1"/>
    <xf numFmtId="0" fontId="90" fillId="0" borderId="0" xfId="8" applyFont="1" applyFill="1" applyBorder="1" applyAlignment="1">
      <alignment vertical="top"/>
    </xf>
    <xf numFmtId="166" fontId="88" fillId="0" borderId="0" xfId="1384" applyNumberFormat="1" applyFont="1" applyFill="1" applyBorder="1" applyAlignment="1"/>
    <xf numFmtId="166" fontId="88" fillId="0" borderId="1" xfId="1384" applyNumberFormat="1" applyFont="1" applyFill="1" applyBorder="1" applyAlignment="1"/>
    <xf numFmtId="170" fontId="13" fillId="0" borderId="0" xfId="0" applyNumberFormat="1" applyFont="1"/>
    <xf numFmtId="0" fontId="88" fillId="0" borderId="0" xfId="8" applyFont="1" applyFill="1" applyBorder="1" applyAlignment="1">
      <alignment vertical="top"/>
    </xf>
    <xf numFmtId="166" fontId="88" fillId="0" borderId="0" xfId="1384" applyNumberFormat="1" applyFont="1" applyFill="1" applyBorder="1"/>
    <xf numFmtId="166" fontId="88" fillId="0" borderId="1" xfId="1384" applyNumberFormat="1" applyFont="1" applyFill="1" applyBorder="1"/>
    <xf numFmtId="173" fontId="13" fillId="0" borderId="0" xfId="0" applyNumberFormat="1" applyFont="1" applyFill="1" applyBorder="1"/>
    <xf numFmtId="166" fontId="93" fillId="0" borderId="0" xfId="1" applyNumberFormat="1" applyFont="1" applyFill="1"/>
    <xf numFmtId="170" fontId="13" fillId="0" borderId="1" xfId="0" applyNumberFormat="1" applyFont="1" applyFill="1" applyBorder="1"/>
    <xf numFmtId="168" fontId="20" fillId="0" borderId="0" xfId="0" applyNumberFormat="1" applyFont="1" applyFill="1" applyBorder="1"/>
    <xf numFmtId="37" fontId="50" fillId="0" borderId="0" xfId="0" applyNumberFormat="1" applyFont="1" applyFill="1"/>
    <xf numFmtId="5" fontId="23" fillId="0" borderId="0" xfId="0" applyNumberFormat="1" applyFont="1" applyFill="1" applyBorder="1" applyAlignment="1">
      <alignment horizontal="center"/>
    </xf>
    <xf numFmtId="190" fontId="48" fillId="0" borderId="0" xfId="2" applyNumberFormat="1" applyFont="1"/>
    <xf numFmtId="0" fontId="94" fillId="0" borderId="0" xfId="0" applyFont="1" applyAlignment="1">
      <alignment horizontal="left"/>
    </xf>
    <xf numFmtId="5" fontId="23" fillId="0" borderId="0" xfId="0" applyNumberFormat="1" applyFont="1" applyFill="1" applyAlignment="1">
      <alignment horizontal="center"/>
    </xf>
    <xf numFmtId="9" fontId="13" fillId="0" borderId="0" xfId="3" applyFont="1" applyAlignment="1">
      <alignment horizontal="center"/>
    </xf>
    <xf numFmtId="175" fontId="19" fillId="0" borderId="0" xfId="3" applyNumberFormat="1" applyFont="1" applyAlignment="1">
      <alignment horizontal="center"/>
    </xf>
    <xf numFmtId="7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186" fontId="24" fillId="0" borderId="0" xfId="0" applyNumberFormat="1" applyFont="1" applyFill="1"/>
    <xf numFmtId="166" fontId="13" fillId="0" borderId="0" xfId="1" applyNumberFormat="1" applyFont="1" applyFill="1" applyAlignment="1">
      <alignment horizontal="center"/>
    </xf>
    <xf numFmtId="166" fontId="23" fillId="0" borderId="0" xfId="1" applyNumberFormat="1" applyFont="1" applyFill="1" applyBorder="1" applyAlignment="1">
      <alignment horizontal="center"/>
    </xf>
    <xf numFmtId="196" fontId="19" fillId="0" borderId="0" xfId="1" applyNumberFormat="1" applyFont="1" applyAlignment="1">
      <alignment horizontal="center"/>
    </xf>
    <xf numFmtId="175" fontId="19" fillId="0" borderId="0" xfId="0" applyNumberFormat="1" applyFont="1" applyBorder="1" applyAlignment="1">
      <alignment horizontal="center"/>
    </xf>
    <xf numFmtId="173" fontId="13" fillId="0" borderId="0" xfId="0" applyNumberFormat="1" applyFont="1" applyBorder="1"/>
    <xf numFmtId="166" fontId="13" fillId="0" borderId="0" xfId="0" applyNumberFormat="1" applyFont="1" applyAlignment="1">
      <alignment horizontal="center"/>
    </xf>
    <xf numFmtId="166" fontId="13" fillId="0" borderId="0" xfId="1" applyNumberFormat="1" applyFont="1" applyAlignment="1">
      <alignment horizontal="center"/>
    </xf>
    <xf numFmtId="5" fontId="19" fillId="0" borderId="0" xfId="0" applyNumberFormat="1" applyFont="1" applyBorder="1" applyAlignment="1">
      <alignment horizontal="center"/>
    </xf>
    <xf numFmtId="166" fontId="96" fillId="0" borderId="0" xfId="0" applyNumberFormat="1" applyFont="1" applyAlignment="1">
      <alignment horizontal="center"/>
    </xf>
    <xf numFmtId="0" fontId="0" fillId="0" borderId="0" xfId="0" quotePrefix="1"/>
    <xf numFmtId="184" fontId="48" fillId="0" borderId="0" xfId="0" applyNumberFormat="1" applyFont="1"/>
    <xf numFmtId="166" fontId="13" fillId="0" borderId="0" xfId="1" applyNumberFormat="1" applyFont="1"/>
    <xf numFmtId="192" fontId="48" fillId="0" borderId="0" xfId="2" applyNumberFormat="1" applyFont="1"/>
    <xf numFmtId="192" fontId="13" fillId="0" borderId="0" xfId="2" applyNumberFormat="1" applyFont="1"/>
    <xf numFmtId="190" fontId="13" fillId="0" borderId="0" xfId="0" applyNumberFormat="1" applyFont="1"/>
    <xf numFmtId="37" fontId="37" fillId="0" borderId="0" xfId="0" applyNumberFormat="1" applyFont="1" applyFill="1"/>
    <xf numFmtId="0" fontId="14" fillId="0" borderId="0" xfId="0" applyNumberFormat="1" applyFont="1"/>
    <xf numFmtId="0" fontId="13" fillId="0" borderId="0" xfId="0" applyFont="1" applyAlignment="1">
      <alignment horizontal="left" vertical="top" wrapText="1"/>
    </xf>
    <xf numFmtId="175" fontId="14" fillId="0" borderId="0" xfId="3" applyNumberFormat="1" applyFont="1"/>
    <xf numFmtId="0" fontId="13" fillId="0" borderId="0" xfId="0" applyFont="1" applyFill="1" applyAlignment="1">
      <alignment horizontal="left" indent="1"/>
    </xf>
    <xf numFmtId="37" fontId="14" fillId="0" borderId="0" xfId="0" applyNumberFormat="1" applyFont="1" applyFill="1"/>
    <xf numFmtId="0" fontId="97" fillId="0" borderId="0" xfId="8" applyFont="1" applyFill="1" applyBorder="1" applyAlignment="1">
      <alignment vertical="top"/>
    </xf>
    <xf numFmtId="0" fontId="95" fillId="0" borderId="0" xfId="8" applyFont="1" applyFill="1" applyBorder="1" applyAlignment="1">
      <alignment vertical="top"/>
    </xf>
    <xf numFmtId="166" fontId="98" fillId="0" borderId="0" xfId="48" applyNumberFormat="1" applyFont="1" applyBorder="1" applyAlignment="1">
      <alignment vertical="top"/>
    </xf>
    <xf numFmtId="0" fontId="91" fillId="0" borderId="0" xfId="0" applyFont="1" applyFill="1"/>
    <xf numFmtId="0" fontId="35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23" fillId="0" borderId="0" xfId="0" applyFont="1" applyBorder="1" applyAlignment="1">
      <alignment horizontal="center"/>
    </xf>
    <xf numFmtId="7" fontId="13" fillId="0" borderId="0" xfId="0" applyNumberFormat="1" applyFont="1" applyAlignment="1">
      <alignment horizontal="center"/>
    </xf>
    <xf numFmtId="5" fontId="19" fillId="0" borderId="0" xfId="0" applyNumberFormat="1" applyFont="1" applyAlignment="1">
      <alignment horizontal="center"/>
    </xf>
  </cellXfs>
  <cellStyles count="1386">
    <cellStyle name="20% - Accent1" xfId="89" builtinId="30" customBuiltin="1"/>
    <cellStyle name="20% - Accent1 10" xfId="586" xr:uid="{00000000-0005-0000-0000-000001000000}"/>
    <cellStyle name="20% - Accent1 10 2" xfId="973" xr:uid="{00000000-0005-0000-0000-000002000000}"/>
    <cellStyle name="20% - Accent1 11" xfId="614" xr:uid="{00000000-0005-0000-0000-000003000000}"/>
    <cellStyle name="20% - Accent1 11 2" xfId="991" xr:uid="{00000000-0005-0000-0000-000004000000}"/>
    <cellStyle name="20% - Accent1 12" xfId="640" xr:uid="{00000000-0005-0000-0000-000005000000}"/>
    <cellStyle name="20% - Accent1 12 2" xfId="1007" xr:uid="{00000000-0005-0000-0000-000006000000}"/>
    <cellStyle name="20% - Accent1 13" xfId="665" xr:uid="{00000000-0005-0000-0000-000007000000}"/>
    <cellStyle name="20% - Accent1 13 2" xfId="1023" xr:uid="{00000000-0005-0000-0000-000008000000}"/>
    <cellStyle name="20% - Accent1 14" xfId="687" xr:uid="{00000000-0005-0000-0000-000009000000}"/>
    <cellStyle name="20% - Accent1 14 2" xfId="1039" xr:uid="{00000000-0005-0000-0000-00000A000000}"/>
    <cellStyle name="20% - Accent1 15" xfId="703" xr:uid="{00000000-0005-0000-0000-00000B000000}"/>
    <cellStyle name="20% - Accent1 15 2" xfId="1055" xr:uid="{00000000-0005-0000-0000-00000C000000}"/>
    <cellStyle name="20% - Accent1 16" xfId="732" xr:uid="{00000000-0005-0000-0000-00000D000000}"/>
    <cellStyle name="20% - Accent1 17" xfId="832" xr:uid="{00000000-0005-0000-0000-00000E000000}"/>
    <cellStyle name="20% - Accent1 18" xfId="1122" xr:uid="{00000000-0005-0000-0000-00000F000000}"/>
    <cellStyle name="20% - Accent1 19" xfId="1168" xr:uid="{00000000-0005-0000-0000-000010000000}"/>
    <cellStyle name="20% - Accent1 2" xfId="358" xr:uid="{00000000-0005-0000-0000-000011000000}"/>
    <cellStyle name="20% - Accent1 2 2" xfId="833" xr:uid="{00000000-0005-0000-0000-000012000000}"/>
    <cellStyle name="20% - Accent1 2 2 2" xfId="1156" xr:uid="{00000000-0005-0000-0000-000013000000}"/>
    <cellStyle name="20% - Accent1 2 2 3" xfId="1200" xr:uid="{00000000-0005-0000-0000-000014000000}"/>
    <cellStyle name="20% - Accent1 2 2 4" xfId="1244" xr:uid="{00000000-0005-0000-0000-000015000000}"/>
    <cellStyle name="20% - Accent1 2 2 5" xfId="1342" xr:uid="{00000000-0005-0000-0000-000016000000}"/>
    <cellStyle name="20% - Accent1 2 3" xfId="1138" xr:uid="{00000000-0005-0000-0000-000017000000}"/>
    <cellStyle name="20% - Accent1 2 3 2" xfId="1272" xr:uid="{00000000-0005-0000-0000-000018000000}"/>
    <cellStyle name="20% - Accent1 2 3 3" xfId="1370" xr:uid="{00000000-0005-0000-0000-000019000000}"/>
    <cellStyle name="20% - Accent1 2 4" xfId="1184" xr:uid="{00000000-0005-0000-0000-00001A000000}"/>
    <cellStyle name="20% - Accent1 2 5" xfId="1228" xr:uid="{00000000-0005-0000-0000-00001B000000}"/>
    <cellStyle name="20% - Accent1 2 6" xfId="1326" xr:uid="{00000000-0005-0000-0000-00001C000000}"/>
    <cellStyle name="20% - Accent1 20" xfId="1212" xr:uid="{00000000-0005-0000-0000-00001D000000}"/>
    <cellStyle name="20% - Accent1 21" xfId="1310" xr:uid="{00000000-0005-0000-0000-00001E000000}"/>
    <cellStyle name="20% - Accent1 3" xfId="389" xr:uid="{00000000-0005-0000-0000-00001F000000}"/>
    <cellStyle name="20% - Accent1 3 2" xfId="850" xr:uid="{00000000-0005-0000-0000-000020000000}"/>
    <cellStyle name="20% - Accent1 3 3" xfId="1256" xr:uid="{00000000-0005-0000-0000-000021000000}"/>
    <cellStyle name="20% - Accent1 3 4" xfId="1354" xr:uid="{00000000-0005-0000-0000-000022000000}"/>
    <cellStyle name="20% - Accent1 4" xfId="417" xr:uid="{00000000-0005-0000-0000-000023000000}"/>
    <cellStyle name="20% - Accent1 4 2" xfId="866" xr:uid="{00000000-0005-0000-0000-000024000000}"/>
    <cellStyle name="20% - Accent1 5" xfId="444" xr:uid="{00000000-0005-0000-0000-000025000000}"/>
    <cellStyle name="20% - Accent1 5 2" xfId="883" xr:uid="{00000000-0005-0000-0000-000026000000}"/>
    <cellStyle name="20% - Accent1 6" xfId="471" xr:uid="{00000000-0005-0000-0000-000027000000}"/>
    <cellStyle name="20% - Accent1 6 2" xfId="899" xr:uid="{00000000-0005-0000-0000-000028000000}"/>
    <cellStyle name="20% - Accent1 7" xfId="495" xr:uid="{00000000-0005-0000-0000-000029000000}"/>
    <cellStyle name="20% - Accent1 7 2" xfId="917" xr:uid="{00000000-0005-0000-0000-00002A000000}"/>
    <cellStyle name="20% - Accent1 8" xfId="519" xr:uid="{00000000-0005-0000-0000-00002B000000}"/>
    <cellStyle name="20% - Accent1 8 2" xfId="934" xr:uid="{00000000-0005-0000-0000-00002C000000}"/>
    <cellStyle name="20% - Accent1 9" xfId="557" xr:uid="{00000000-0005-0000-0000-00002D000000}"/>
    <cellStyle name="20% - Accent1 9 2" xfId="957" xr:uid="{00000000-0005-0000-0000-00002E000000}"/>
    <cellStyle name="20% - Accent2" xfId="93" builtinId="34" customBuiltin="1"/>
    <cellStyle name="20% - Accent2 10" xfId="589" xr:uid="{00000000-0005-0000-0000-000030000000}"/>
    <cellStyle name="20% - Accent2 10 2" xfId="975" xr:uid="{00000000-0005-0000-0000-000031000000}"/>
    <cellStyle name="20% - Accent2 11" xfId="617" xr:uid="{00000000-0005-0000-0000-000032000000}"/>
    <cellStyle name="20% - Accent2 11 2" xfId="993" xr:uid="{00000000-0005-0000-0000-000033000000}"/>
    <cellStyle name="20% - Accent2 12" xfId="643" xr:uid="{00000000-0005-0000-0000-000034000000}"/>
    <cellStyle name="20% - Accent2 12 2" xfId="1009" xr:uid="{00000000-0005-0000-0000-000035000000}"/>
    <cellStyle name="20% - Accent2 13" xfId="667" xr:uid="{00000000-0005-0000-0000-000036000000}"/>
    <cellStyle name="20% - Accent2 13 2" xfId="1025" xr:uid="{00000000-0005-0000-0000-000037000000}"/>
    <cellStyle name="20% - Accent2 14" xfId="689" xr:uid="{00000000-0005-0000-0000-000038000000}"/>
    <cellStyle name="20% - Accent2 14 2" xfId="1041" xr:uid="{00000000-0005-0000-0000-000039000000}"/>
    <cellStyle name="20% - Accent2 15" xfId="705" xr:uid="{00000000-0005-0000-0000-00003A000000}"/>
    <cellStyle name="20% - Accent2 15 2" xfId="1057" xr:uid="{00000000-0005-0000-0000-00003B000000}"/>
    <cellStyle name="20% - Accent2 16" xfId="734" xr:uid="{00000000-0005-0000-0000-00003C000000}"/>
    <cellStyle name="20% - Accent2 17" xfId="730" xr:uid="{00000000-0005-0000-0000-00003D000000}"/>
    <cellStyle name="20% - Accent2 18" xfId="1124" xr:uid="{00000000-0005-0000-0000-00003E000000}"/>
    <cellStyle name="20% - Accent2 19" xfId="1170" xr:uid="{00000000-0005-0000-0000-00003F000000}"/>
    <cellStyle name="20% - Accent2 2" xfId="362" xr:uid="{00000000-0005-0000-0000-000040000000}"/>
    <cellStyle name="20% - Accent2 2 2" xfId="835" xr:uid="{00000000-0005-0000-0000-000041000000}"/>
    <cellStyle name="20% - Accent2 2 2 2" xfId="1158" xr:uid="{00000000-0005-0000-0000-000042000000}"/>
    <cellStyle name="20% - Accent2 2 2 3" xfId="1202" xr:uid="{00000000-0005-0000-0000-000043000000}"/>
    <cellStyle name="20% - Accent2 2 2 4" xfId="1246" xr:uid="{00000000-0005-0000-0000-000044000000}"/>
    <cellStyle name="20% - Accent2 2 2 5" xfId="1344" xr:uid="{00000000-0005-0000-0000-000045000000}"/>
    <cellStyle name="20% - Accent2 2 3" xfId="1140" xr:uid="{00000000-0005-0000-0000-000046000000}"/>
    <cellStyle name="20% - Accent2 2 3 2" xfId="1274" xr:uid="{00000000-0005-0000-0000-000047000000}"/>
    <cellStyle name="20% - Accent2 2 3 3" xfId="1372" xr:uid="{00000000-0005-0000-0000-000048000000}"/>
    <cellStyle name="20% - Accent2 2 4" xfId="1186" xr:uid="{00000000-0005-0000-0000-000049000000}"/>
    <cellStyle name="20% - Accent2 2 5" xfId="1230" xr:uid="{00000000-0005-0000-0000-00004A000000}"/>
    <cellStyle name="20% - Accent2 2 6" xfId="1328" xr:uid="{00000000-0005-0000-0000-00004B000000}"/>
    <cellStyle name="20% - Accent2 20" xfId="1214" xr:uid="{00000000-0005-0000-0000-00004C000000}"/>
    <cellStyle name="20% - Accent2 21" xfId="1312" xr:uid="{00000000-0005-0000-0000-00004D000000}"/>
    <cellStyle name="20% - Accent2 3" xfId="392" xr:uid="{00000000-0005-0000-0000-00004E000000}"/>
    <cellStyle name="20% - Accent2 3 2" xfId="852" xr:uid="{00000000-0005-0000-0000-00004F000000}"/>
    <cellStyle name="20% - Accent2 3 3" xfId="1258" xr:uid="{00000000-0005-0000-0000-000050000000}"/>
    <cellStyle name="20% - Accent2 3 4" xfId="1356" xr:uid="{00000000-0005-0000-0000-000051000000}"/>
    <cellStyle name="20% - Accent2 4" xfId="420" xr:uid="{00000000-0005-0000-0000-000052000000}"/>
    <cellStyle name="20% - Accent2 4 2" xfId="868" xr:uid="{00000000-0005-0000-0000-000053000000}"/>
    <cellStyle name="20% - Accent2 5" xfId="447" xr:uid="{00000000-0005-0000-0000-000054000000}"/>
    <cellStyle name="20% - Accent2 5 2" xfId="885" xr:uid="{00000000-0005-0000-0000-000055000000}"/>
    <cellStyle name="20% - Accent2 6" xfId="474" xr:uid="{00000000-0005-0000-0000-000056000000}"/>
    <cellStyle name="20% - Accent2 6 2" xfId="902" xr:uid="{00000000-0005-0000-0000-000057000000}"/>
    <cellStyle name="20% - Accent2 7" xfId="498" xr:uid="{00000000-0005-0000-0000-000058000000}"/>
    <cellStyle name="20% - Accent2 7 2" xfId="919" xr:uid="{00000000-0005-0000-0000-000059000000}"/>
    <cellStyle name="20% - Accent2 8" xfId="522" xr:uid="{00000000-0005-0000-0000-00005A000000}"/>
    <cellStyle name="20% - Accent2 8 2" xfId="936" xr:uid="{00000000-0005-0000-0000-00005B000000}"/>
    <cellStyle name="20% - Accent2 9" xfId="561" xr:uid="{00000000-0005-0000-0000-00005C000000}"/>
    <cellStyle name="20% - Accent2 9 2" xfId="959" xr:uid="{00000000-0005-0000-0000-00005D000000}"/>
    <cellStyle name="20% - Accent3" xfId="97" builtinId="38" customBuiltin="1"/>
    <cellStyle name="20% - Accent3 10" xfId="593" xr:uid="{00000000-0005-0000-0000-00005F000000}"/>
    <cellStyle name="20% - Accent3 10 2" xfId="978" xr:uid="{00000000-0005-0000-0000-000060000000}"/>
    <cellStyle name="20% - Accent3 11" xfId="620" xr:uid="{00000000-0005-0000-0000-000061000000}"/>
    <cellStyle name="20% - Accent3 11 2" xfId="995" xr:uid="{00000000-0005-0000-0000-000062000000}"/>
    <cellStyle name="20% - Accent3 12" xfId="646" xr:uid="{00000000-0005-0000-0000-000063000000}"/>
    <cellStyle name="20% - Accent3 12 2" xfId="1011" xr:uid="{00000000-0005-0000-0000-000064000000}"/>
    <cellStyle name="20% - Accent3 13" xfId="670" xr:uid="{00000000-0005-0000-0000-000065000000}"/>
    <cellStyle name="20% - Accent3 13 2" xfId="1027" xr:uid="{00000000-0005-0000-0000-000066000000}"/>
    <cellStyle name="20% - Accent3 14" xfId="691" xr:uid="{00000000-0005-0000-0000-000067000000}"/>
    <cellStyle name="20% - Accent3 14 2" xfId="1043" xr:uid="{00000000-0005-0000-0000-000068000000}"/>
    <cellStyle name="20% - Accent3 15" xfId="707" xr:uid="{00000000-0005-0000-0000-000069000000}"/>
    <cellStyle name="20% - Accent3 15 2" xfId="1059" xr:uid="{00000000-0005-0000-0000-00006A000000}"/>
    <cellStyle name="20% - Accent3 16" xfId="736" xr:uid="{00000000-0005-0000-0000-00006B000000}"/>
    <cellStyle name="20% - Accent3 17" xfId="831" xr:uid="{00000000-0005-0000-0000-00006C000000}"/>
    <cellStyle name="20% - Accent3 18" xfId="1126" xr:uid="{00000000-0005-0000-0000-00006D000000}"/>
    <cellStyle name="20% - Accent3 19" xfId="1172" xr:uid="{00000000-0005-0000-0000-00006E000000}"/>
    <cellStyle name="20% - Accent3 2" xfId="366" xr:uid="{00000000-0005-0000-0000-00006F000000}"/>
    <cellStyle name="20% - Accent3 2 2" xfId="837" xr:uid="{00000000-0005-0000-0000-000070000000}"/>
    <cellStyle name="20% - Accent3 2 2 2" xfId="1160" xr:uid="{00000000-0005-0000-0000-000071000000}"/>
    <cellStyle name="20% - Accent3 2 2 3" xfId="1204" xr:uid="{00000000-0005-0000-0000-000072000000}"/>
    <cellStyle name="20% - Accent3 2 2 4" xfId="1248" xr:uid="{00000000-0005-0000-0000-000073000000}"/>
    <cellStyle name="20% - Accent3 2 2 5" xfId="1346" xr:uid="{00000000-0005-0000-0000-000074000000}"/>
    <cellStyle name="20% - Accent3 2 3" xfId="1142" xr:uid="{00000000-0005-0000-0000-000075000000}"/>
    <cellStyle name="20% - Accent3 2 3 2" xfId="1276" xr:uid="{00000000-0005-0000-0000-000076000000}"/>
    <cellStyle name="20% - Accent3 2 3 3" xfId="1374" xr:uid="{00000000-0005-0000-0000-000077000000}"/>
    <cellStyle name="20% - Accent3 2 4" xfId="1188" xr:uid="{00000000-0005-0000-0000-000078000000}"/>
    <cellStyle name="20% - Accent3 2 5" xfId="1232" xr:uid="{00000000-0005-0000-0000-000079000000}"/>
    <cellStyle name="20% - Accent3 2 6" xfId="1330" xr:uid="{00000000-0005-0000-0000-00007A000000}"/>
    <cellStyle name="20% - Accent3 20" xfId="1216" xr:uid="{00000000-0005-0000-0000-00007B000000}"/>
    <cellStyle name="20% - Accent3 21" xfId="1314" xr:uid="{00000000-0005-0000-0000-00007C000000}"/>
    <cellStyle name="20% - Accent3 3" xfId="396" xr:uid="{00000000-0005-0000-0000-00007D000000}"/>
    <cellStyle name="20% - Accent3 3 2" xfId="854" xr:uid="{00000000-0005-0000-0000-00007E000000}"/>
    <cellStyle name="20% - Accent3 3 3" xfId="1260" xr:uid="{00000000-0005-0000-0000-00007F000000}"/>
    <cellStyle name="20% - Accent3 3 4" xfId="1358" xr:uid="{00000000-0005-0000-0000-000080000000}"/>
    <cellStyle name="20% - Accent3 4" xfId="423" xr:uid="{00000000-0005-0000-0000-000081000000}"/>
    <cellStyle name="20% - Accent3 4 2" xfId="870" xr:uid="{00000000-0005-0000-0000-000082000000}"/>
    <cellStyle name="20% - Accent3 5" xfId="451" xr:uid="{00000000-0005-0000-0000-000083000000}"/>
    <cellStyle name="20% - Accent3 5 2" xfId="887" xr:uid="{00000000-0005-0000-0000-000084000000}"/>
    <cellStyle name="20% - Accent3 6" xfId="477" xr:uid="{00000000-0005-0000-0000-000085000000}"/>
    <cellStyle name="20% - Accent3 6 2" xfId="905" xr:uid="{00000000-0005-0000-0000-000086000000}"/>
    <cellStyle name="20% - Accent3 7" xfId="501" xr:uid="{00000000-0005-0000-0000-000087000000}"/>
    <cellStyle name="20% - Accent3 7 2" xfId="921" xr:uid="{00000000-0005-0000-0000-000088000000}"/>
    <cellStyle name="20% - Accent3 8" xfId="526" xr:uid="{00000000-0005-0000-0000-000089000000}"/>
    <cellStyle name="20% - Accent3 8 2" xfId="939" xr:uid="{00000000-0005-0000-0000-00008A000000}"/>
    <cellStyle name="20% - Accent3 9" xfId="565" xr:uid="{00000000-0005-0000-0000-00008B000000}"/>
    <cellStyle name="20% - Accent3 9 2" xfId="961" xr:uid="{00000000-0005-0000-0000-00008C000000}"/>
    <cellStyle name="20% - Accent4" xfId="101" builtinId="42" customBuiltin="1"/>
    <cellStyle name="20% - Accent4 10" xfId="597" xr:uid="{00000000-0005-0000-0000-00008E000000}"/>
    <cellStyle name="20% - Accent4 10 2" xfId="980" xr:uid="{00000000-0005-0000-0000-00008F000000}"/>
    <cellStyle name="20% - Accent4 11" xfId="624" xr:uid="{00000000-0005-0000-0000-000090000000}"/>
    <cellStyle name="20% - Accent4 11 2" xfId="997" xr:uid="{00000000-0005-0000-0000-000091000000}"/>
    <cellStyle name="20% - Accent4 12" xfId="650" xr:uid="{00000000-0005-0000-0000-000092000000}"/>
    <cellStyle name="20% - Accent4 12 2" xfId="1013" xr:uid="{00000000-0005-0000-0000-000093000000}"/>
    <cellStyle name="20% - Accent4 13" xfId="674" xr:uid="{00000000-0005-0000-0000-000094000000}"/>
    <cellStyle name="20% - Accent4 13 2" xfId="1029" xr:uid="{00000000-0005-0000-0000-000095000000}"/>
    <cellStyle name="20% - Accent4 14" xfId="693" xr:uid="{00000000-0005-0000-0000-000096000000}"/>
    <cellStyle name="20% - Accent4 14 2" xfId="1045" xr:uid="{00000000-0005-0000-0000-000097000000}"/>
    <cellStyle name="20% - Accent4 15" xfId="709" xr:uid="{00000000-0005-0000-0000-000098000000}"/>
    <cellStyle name="20% - Accent4 15 2" xfId="1061" xr:uid="{00000000-0005-0000-0000-000099000000}"/>
    <cellStyle name="20% - Accent4 16" xfId="738" xr:uid="{00000000-0005-0000-0000-00009A000000}"/>
    <cellStyle name="20% - Accent4 17" xfId="805" xr:uid="{00000000-0005-0000-0000-00009B000000}"/>
    <cellStyle name="20% - Accent4 18" xfId="1128" xr:uid="{00000000-0005-0000-0000-00009C000000}"/>
    <cellStyle name="20% - Accent4 19" xfId="1174" xr:uid="{00000000-0005-0000-0000-00009D000000}"/>
    <cellStyle name="20% - Accent4 2" xfId="370" xr:uid="{00000000-0005-0000-0000-00009E000000}"/>
    <cellStyle name="20% - Accent4 2 2" xfId="839" xr:uid="{00000000-0005-0000-0000-00009F000000}"/>
    <cellStyle name="20% - Accent4 2 2 2" xfId="1162" xr:uid="{00000000-0005-0000-0000-0000A0000000}"/>
    <cellStyle name="20% - Accent4 2 2 3" xfId="1206" xr:uid="{00000000-0005-0000-0000-0000A1000000}"/>
    <cellStyle name="20% - Accent4 2 2 4" xfId="1250" xr:uid="{00000000-0005-0000-0000-0000A2000000}"/>
    <cellStyle name="20% - Accent4 2 2 5" xfId="1348" xr:uid="{00000000-0005-0000-0000-0000A3000000}"/>
    <cellStyle name="20% - Accent4 2 3" xfId="1144" xr:uid="{00000000-0005-0000-0000-0000A4000000}"/>
    <cellStyle name="20% - Accent4 2 3 2" xfId="1278" xr:uid="{00000000-0005-0000-0000-0000A5000000}"/>
    <cellStyle name="20% - Accent4 2 3 3" xfId="1376" xr:uid="{00000000-0005-0000-0000-0000A6000000}"/>
    <cellStyle name="20% - Accent4 2 4" xfId="1190" xr:uid="{00000000-0005-0000-0000-0000A7000000}"/>
    <cellStyle name="20% - Accent4 2 5" xfId="1234" xr:uid="{00000000-0005-0000-0000-0000A8000000}"/>
    <cellStyle name="20% - Accent4 2 6" xfId="1332" xr:uid="{00000000-0005-0000-0000-0000A9000000}"/>
    <cellStyle name="20% - Accent4 20" xfId="1218" xr:uid="{00000000-0005-0000-0000-0000AA000000}"/>
    <cellStyle name="20% - Accent4 21" xfId="1316" xr:uid="{00000000-0005-0000-0000-0000AB000000}"/>
    <cellStyle name="20% - Accent4 3" xfId="400" xr:uid="{00000000-0005-0000-0000-0000AC000000}"/>
    <cellStyle name="20% - Accent4 3 2" xfId="856" xr:uid="{00000000-0005-0000-0000-0000AD000000}"/>
    <cellStyle name="20% - Accent4 3 3" xfId="1262" xr:uid="{00000000-0005-0000-0000-0000AE000000}"/>
    <cellStyle name="20% - Accent4 3 4" xfId="1360" xr:uid="{00000000-0005-0000-0000-0000AF000000}"/>
    <cellStyle name="20% - Accent4 4" xfId="427" xr:uid="{00000000-0005-0000-0000-0000B0000000}"/>
    <cellStyle name="20% - Accent4 4 2" xfId="872" xr:uid="{00000000-0005-0000-0000-0000B1000000}"/>
    <cellStyle name="20% - Accent4 5" xfId="455" xr:uid="{00000000-0005-0000-0000-0000B2000000}"/>
    <cellStyle name="20% - Accent4 5 2" xfId="889" xr:uid="{00000000-0005-0000-0000-0000B3000000}"/>
    <cellStyle name="20% - Accent4 6" xfId="480" xr:uid="{00000000-0005-0000-0000-0000B4000000}"/>
    <cellStyle name="20% - Accent4 6 2" xfId="907" xr:uid="{00000000-0005-0000-0000-0000B5000000}"/>
    <cellStyle name="20% - Accent4 7" xfId="505" xr:uid="{00000000-0005-0000-0000-0000B6000000}"/>
    <cellStyle name="20% - Accent4 7 2" xfId="923" xr:uid="{00000000-0005-0000-0000-0000B7000000}"/>
    <cellStyle name="20% - Accent4 8" xfId="530" xr:uid="{00000000-0005-0000-0000-0000B8000000}"/>
    <cellStyle name="20% - Accent4 8 2" xfId="943" xr:uid="{00000000-0005-0000-0000-0000B9000000}"/>
    <cellStyle name="20% - Accent4 9" xfId="569" xr:uid="{00000000-0005-0000-0000-0000BA000000}"/>
    <cellStyle name="20% - Accent4 9 2" xfId="963" xr:uid="{00000000-0005-0000-0000-0000BB000000}"/>
    <cellStyle name="20% - Accent5" xfId="105" builtinId="46" customBuiltin="1"/>
    <cellStyle name="20% - Accent5 10" xfId="601" xr:uid="{00000000-0005-0000-0000-0000BD000000}"/>
    <cellStyle name="20% - Accent5 10 2" xfId="982" xr:uid="{00000000-0005-0000-0000-0000BE000000}"/>
    <cellStyle name="20% - Accent5 11" xfId="627" xr:uid="{00000000-0005-0000-0000-0000BF000000}"/>
    <cellStyle name="20% - Accent5 11 2" xfId="999" xr:uid="{00000000-0005-0000-0000-0000C0000000}"/>
    <cellStyle name="20% - Accent5 12" xfId="653" xr:uid="{00000000-0005-0000-0000-0000C1000000}"/>
    <cellStyle name="20% - Accent5 12 2" xfId="1015" xr:uid="{00000000-0005-0000-0000-0000C2000000}"/>
    <cellStyle name="20% - Accent5 13" xfId="677" xr:uid="{00000000-0005-0000-0000-0000C3000000}"/>
    <cellStyle name="20% - Accent5 13 2" xfId="1031" xr:uid="{00000000-0005-0000-0000-0000C4000000}"/>
    <cellStyle name="20% - Accent5 14" xfId="695" xr:uid="{00000000-0005-0000-0000-0000C5000000}"/>
    <cellStyle name="20% - Accent5 14 2" xfId="1047" xr:uid="{00000000-0005-0000-0000-0000C6000000}"/>
    <cellStyle name="20% - Accent5 15" xfId="711" xr:uid="{00000000-0005-0000-0000-0000C7000000}"/>
    <cellStyle name="20% - Accent5 15 2" xfId="1063" xr:uid="{00000000-0005-0000-0000-0000C8000000}"/>
    <cellStyle name="20% - Accent5 16" xfId="740" xr:uid="{00000000-0005-0000-0000-0000C9000000}"/>
    <cellStyle name="20% - Accent5 17" xfId="794" xr:uid="{00000000-0005-0000-0000-0000CA000000}"/>
    <cellStyle name="20% - Accent5 18" xfId="1130" xr:uid="{00000000-0005-0000-0000-0000CB000000}"/>
    <cellStyle name="20% - Accent5 19" xfId="1176" xr:uid="{00000000-0005-0000-0000-0000CC000000}"/>
    <cellStyle name="20% - Accent5 2" xfId="374" xr:uid="{00000000-0005-0000-0000-0000CD000000}"/>
    <cellStyle name="20% - Accent5 2 2" xfId="841" xr:uid="{00000000-0005-0000-0000-0000CE000000}"/>
    <cellStyle name="20% - Accent5 2 2 2" xfId="1164" xr:uid="{00000000-0005-0000-0000-0000CF000000}"/>
    <cellStyle name="20% - Accent5 2 2 3" xfId="1208" xr:uid="{00000000-0005-0000-0000-0000D0000000}"/>
    <cellStyle name="20% - Accent5 2 2 4" xfId="1252" xr:uid="{00000000-0005-0000-0000-0000D1000000}"/>
    <cellStyle name="20% - Accent5 2 2 5" xfId="1350" xr:uid="{00000000-0005-0000-0000-0000D2000000}"/>
    <cellStyle name="20% - Accent5 2 3" xfId="1146" xr:uid="{00000000-0005-0000-0000-0000D3000000}"/>
    <cellStyle name="20% - Accent5 2 3 2" xfId="1280" xr:uid="{00000000-0005-0000-0000-0000D4000000}"/>
    <cellStyle name="20% - Accent5 2 3 3" xfId="1378" xr:uid="{00000000-0005-0000-0000-0000D5000000}"/>
    <cellStyle name="20% - Accent5 2 4" xfId="1192" xr:uid="{00000000-0005-0000-0000-0000D6000000}"/>
    <cellStyle name="20% - Accent5 2 5" xfId="1236" xr:uid="{00000000-0005-0000-0000-0000D7000000}"/>
    <cellStyle name="20% - Accent5 2 6" xfId="1334" xr:uid="{00000000-0005-0000-0000-0000D8000000}"/>
    <cellStyle name="20% - Accent5 20" xfId="1220" xr:uid="{00000000-0005-0000-0000-0000D9000000}"/>
    <cellStyle name="20% - Accent5 21" xfId="1318" xr:uid="{00000000-0005-0000-0000-0000DA000000}"/>
    <cellStyle name="20% - Accent5 3" xfId="404" xr:uid="{00000000-0005-0000-0000-0000DB000000}"/>
    <cellStyle name="20% - Accent5 3 2" xfId="858" xr:uid="{00000000-0005-0000-0000-0000DC000000}"/>
    <cellStyle name="20% - Accent5 3 3" xfId="1264" xr:uid="{00000000-0005-0000-0000-0000DD000000}"/>
    <cellStyle name="20% - Accent5 3 4" xfId="1362" xr:uid="{00000000-0005-0000-0000-0000DE000000}"/>
    <cellStyle name="20% - Accent5 4" xfId="431" xr:uid="{00000000-0005-0000-0000-0000DF000000}"/>
    <cellStyle name="20% - Accent5 4 2" xfId="874" xr:uid="{00000000-0005-0000-0000-0000E0000000}"/>
    <cellStyle name="20% - Accent5 5" xfId="458" xr:uid="{00000000-0005-0000-0000-0000E1000000}"/>
    <cellStyle name="20% - Accent5 5 2" xfId="891" xr:uid="{00000000-0005-0000-0000-0000E2000000}"/>
    <cellStyle name="20% - Accent5 6" xfId="484" xr:uid="{00000000-0005-0000-0000-0000E3000000}"/>
    <cellStyle name="20% - Accent5 6 2" xfId="909" xr:uid="{00000000-0005-0000-0000-0000E4000000}"/>
    <cellStyle name="20% - Accent5 7" xfId="508" xr:uid="{00000000-0005-0000-0000-0000E5000000}"/>
    <cellStyle name="20% - Accent5 7 2" xfId="925" xr:uid="{00000000-0005-0000-0000-0000E6000000}"/>
    <cellStyle name="20% - Accent5 8" xfId="533" xr:uid="{00000000-0005-0000-0000-0000E7000000}"/>
    <cellStyle name="20% - Accent5 8 2" xfId="945" xr:uid="{00000000-0005-0000-0000-0000E8000000}"/>
    <cellStyle name="20% - Accent5 9" xfId="573" xr:uid="{00000000-0005-0000-0000-0000E9000000}"/>
    <cellStyle name="20% - Accent5 9 2" xfId="965" xr:uid="{00000000-0005-0000-0000-0000EA000000}"/>
    <cellStyle name="20% - Accent6" xfId="109" builtinId="50" customBuiltin="1"/>
    <cellStyle name="20% - Accent6 10" xfId="605" xr:uid="{00000000-0005-0000-0000-0000EC000000}"/>
    <cellStyle name="20% - Accent6 10 2" xfId="984" xr:uid="{00000000-0005-0000-0000-0000ED000000}"/>
    <cellStyle name="20% - Accent6 11" xfId="631" xr:uid="{00000000-0005-0000-0000-0000EE000000}"/>
    <cellStyle name="20% - Accent6 11 2" xfId="1001" xr:uid="{00000000-0005-0000-0000-0000EF000000}"/>
    <cellStyle name="20% - Accent6 12" xfId="656" xr:uid="{00000000-0005-0000-0000-0000F0000000}"/>
    <cellStyle name="20% - Accent6 12 2" xfId="1017" xr:uid="{00000000-0005-0000-0000-0000F1000000}"/>
    <cellStyle name="20% - Accent6 13" xfId="680" xr:uid="{00000000-0005-0000-0000-0000F2000000}"/>
    <cellStyle name="20% - Accent6 13 2" xfId="1033" xr:uid="{00000000-0005-0000-0000-0000F3000000}"/>
    <cellStyle name="20% - Accent6 14" xfId="697" xr:uid="{00000000-0005-0000-0000-0000F4000000}"/>
    <cellStyle name="20% - Accent6 14 2" xfId="1049" xr:uid="{00000000-0005-0000-0000-0000F5000000}"/>
    <cellStyle name="20% - Accent6 15" xfId="713" xr:uid="{00000000-0005-0000-0000-0000F6000000}"/>
    <cellStyle name="20% - Accent6 15 2" xfId="1065" xr:uid="{00000000-0005-0000-0000-0000F7000000}"/>
    <cellStyle name="20% - Accent6 16" xfId="742" xr:uid="{00000000-0005-0000-0000-0000F8000000}"/>
    <cellStyle name="20% - Accent6 17" xfId="755" xr:uid="{00000000-0005-0000-0000-0000F9000000}"/>
    <cellStyle name="20% - Accent6 18" xfId="1132" xr:uid="{00000000-0005-0000-0000-0000FA000000}"/>
    <cellStyle name="20% - Accent6 19" xfId="1178" xr:uid="{00000000-0005-0000-0000-0000FB000000}"/>
    <cellStyle name="20% - Accent6 2" xfId="378" xr:uid="{00000000-0005-0000-0000-0000FC000000}"/>
    <cellStyle name="20% - Accent6 2 2" xfId="843" xr:uid="{00000000-0005-0000-0000-0000FD000000}"/>
    <cellStyle name="20% - Accent6 2 2 2" xfId="1166" xr:uid="{00000000-0005-0000-0000-0000FE000000}"/>
    <cellStyle name="20% - Accent6 2 2 3" xfId="1210" xr:uid="{00000000-0005-0000-0000-0000FF000000}"/>
    <cellStyle name="20% - Accent6 2 2 4" xfId="1254" xr:uid="{00000000-0005-0000-0000-000000010000}"/>
    <cellStyle name="20% - Accent6 2 2 5" xfId="1352" xr:uid="{00000000-0005-0000-0000-000001010000}"/>
    <cellStyle name="20% - Accent6 2 3" xfId="1148" xr:uid="{00000000-0005-0000-0000-000002010000}"/>
    <cellStyle name="20% - Accent6 2 3 2" xfId="1282" xr:uid="{00000000-0005-0000-0000-000003010000}"/>
    <cellStyle name="20% - Accent6 2 3 3" xfId="1380" xr:uid="{00000000-0005-0000-0000-000004010000}"/>
    <cellStyle name="20% - Accent6 2 4" xfId="1194" xr:uid="{00000000-0005-0000-0000-000005010000}"/>
    <cellStyle name="20% - Accent6 2 5" xfId="1238" xr:uid="{00000000-0005-0000-0000-000006010000}"/>
    <cellStyle name="20% - Accent6 2 6" xfId="1336" xr:uid="{00000000-0005-0000-0000-000007010000}"/>
    <cellStyle name="20% - Accent6 20" xfId="1222" xr:uid="{00000000-0005-0000-0000-000008010000}"/>
    <cellStyle name="20% - Accent6 21" xfId="1320" xr:uid="{00000000-0005-0000-0000-000009010000}"/>
    <cellStyle name="20% - Accent6 3" xfId="408" xr:uid="{00000000-0005-0000-0000-00000A010000}"/>
    <cellStyle name="20% - Accent6 3 2" xfId="860" xr:uid="{00000000-0005-0000-0000-00000B010000}"/>
    <cellStyle name="20% - Accent6 3 3" xfId="1266" xr:uid="{00000000-0005-0000-0000-00000C010000}"/>
    <cellStyle name="20% - Accent6 3 4" xfId="1364" xr:uid="{00000000-0005-0000-0000-00000D010000}"/>
    <cellStyle name="20% - Accent6 4" xfId="435" xr:uid="{00000000-0005-0000-0000-00000E010000}"/>
    <cellStyle name="20% - Accent6 4 2" xfId="877" xr:uid="{00000000-0005-0000-0000-00000F010000}"/>
    <cellStyle name="20% - Accent6 5" xfId="461" xr:uid="{00000000-0005-0000-0000-000010010000}"/>
    <cellStyle name="20% - Accent6 5 2" xfId="893" xr:uid="{00000000-0005-0000-0000-000011010000}"/>
    <cellStyle name="20% - Accent6 6" xfId="488" xr:uid="{00000000-0005-0000-0000-000012010000}"/>
    <cellStyle name="20% - Accent6 6 2" xfId="911" xr:uid="{00000000-0005-0000-0000-000013010000}"/>
    <cellStyle name="20% - Accent6 7" xfId="512" xr:uid="{00000000-0005-0000-0000-000014010000}"/>
    <cellStyle name="20% - Accent6 7 2" xfId="927" xr:uid="{00000000-0005-0000-0000-000015010000}"/>
    <cellStyle name="20% - Accent6 8" xfId="537" xr:uid="{00000000-0005-0000-0000-000016010000}"/>
    <cellStyle name="20% - Accent6 8 2" xfId="947" xr:uid="{00000000-0005-0000-0000-000017010000}"/>
    <cellStyle name="20% - Accent6 9" xfId="577" xr:uid="{00000000-0005-0000-0000-000018010000}"/>
    <cellStyle name="20% - Accent6 9 2" xfId="967" xr:uid="{00000000-0005-0000-0000-000019010000}"/>
    <cellStyle name="40% - Accent1" xfId="90" builtinId="31" customBuiltin="1"/>
    <cellStyle name="40% - Accent1 10" xfId="587" xr:uid="{00000000-0005-0000-0000-00001B010000}"/>
    <cellStyle name="40% - Accent1 10 2" xfId="974" xr:uid="{00000000-0005-0000-0000-00001C010000}"/>
    <cellStyle name="40% - Accent1 11" xfId="615" xr:uid="{00000000-0005-0000-0000-00001D010000}"/>
    <cellStyle name="40% - Accent1 11 2" xfId="992" xr:uid="{00000000-0005-0000-0000-00001E010000}"/>
    <cellStyle name="40% - Accent1 12" xfId="641" xr:uid="{00000000-0005-0000-0000-00001F010000}"/>
    <cellStyle name="40% - Accent1 12 2" xfId="1008" xr:uid="{00000000-0005-0000-0000-000020010000}"/>
    <cellStyle name="40% - Accent1 13" xfId="666" xr:uid="{00000000-0005-0000-0000-000021010000}"/>
    <cellStyle name="40% - Accent1 13 2" xfId="1024" xr:uid="{00000000-0005-0000-0000-000022010000}"/>
    <cellStyle name="40% - Accent1 14" xfId="688" xr:uid="{00000000-0005-0000-0000-000023010000}"/>
    <cellStyle name="40% - Accent1 14 2" xfId="1040" xr:uid="{00000000-0005-0000-0000-000024010000}"/>
    <cellStyle name="40% - Accent1 15" xfId="704" xr:uid="{00000000-0005-0000-0000-000025010000}"/>
    <cellStyle name="40% - Accent1 15 2" xfId="1056" xr:uid="{00000000-0005-0000-0000-000026010000}"/>
    <cellStyle name="40% - Accent1 16" xfId="733" xr:uid="{00000000-0005-0000-0000-000027010000}"/>
    <cellStyle name="40% - Accent1 17" xfId="876" xr:uid="{00000000-0005-0000-0000-000028010000}"/>
    <cellStyle name="40% - Accent1 18" xfId="1123" xr:uid="{00000000-0005-0000-0000-000029010000}"/>
    <cellStyle name="40% - Accent1 19" xfId="1169" xr:uid="{00000000-0005-0000-0000-00002A010000}"/>
    <cellStyle name="40% - Accent1 2" xfId="359" xr:uid="{00000000-0005-0000-0000-00002B010000}"/>
    <cellStyle name="40% - Accent1 2 2" xfId="834" xr:uid="{00000000-0005-0000-0000-00002C010000}"/>
    <cellStyle name="40% - Accent1 2 2 2" xfId="1157" xr:uid="{00000000-0005-0000-0000-00002D010000}"/>
    <cellStyle name="40% - Accent1 2 2 3" xfId="1201" xr:uid="{00000000-0005-0000-0000-00002E010000}"/>
    <cellStyle name="40% - Accent1 2 2 4" xfId="1245" xr:uid="{00000000-0005-0000-0000-00002F010000}"/>
    <cellStyle name="40% - Accent1 2 2 5" xfId="1343" xr:uid="{00000000-0005-0000-0000-000030010000}"/>
    <cellStyle name="40% - Accent1 2 3" xfId="1139" xr:uid="{00000000-0005-0000-0000-000031010000}"/>
    <cellStyle name="40% - Accent1 2 3 2" xfId="1273" xr:uid="{00000000-0005-0000-0000-000032010000}"/>
    <cellStyle name="40% - Accent1 2 3 3" xfId="1371" xr:uid="{00000000-0005-0000-0000-000033010000}"/>
    <cellStyle name="40% - Accent1 2 4" xfId="1185" xr:uid="{00000000-0005-0000-0000-000034010000}"/>
    <cellStyle name="40% - Accent1 2 5" xfId="1229" xr:uid="{00000000-0005-0000-0000-000035010000}"/>
    <cellStyle name="40% - Accent1 2 6" xfId="1327" xr:uid="{00000000-0005-0000-0000-000036010000}"/>
    <cellStyle name="40% - Accent1 20" xfId="1213" xr:uid="{00000000-0005-0000-0000-000037010000}"/>
    <cellStyle name="40% - Accent1 21" xfId="1311" xr:uid="{00000000-0005-0000-0000-000038010000}"/>
    <cellStyle name="40% - Accent1 3" xfId="390" xr:uid="{00000000-0005-0000-0000-000039010000}"/>
    <cellStyle name="40% - Accent1 3 2" xfId="851" xr:uid="{00000000-0005-0000-0000-00003A010000}"/>
    <cellStyle name="40% - Accent1 3 3" xfId="1257" xr:uid="{00000000-0005-0000-0000-00003B010000}"/>
    <cellStyle name="40% - Accent1 3 4" xfId="1355" xr:uid="{00000000-0005-0000-0000-00003C010000}"/>
    <cellStyle name="40% - Accent1 4" xfId="418" xr:uid="{00000000-0005-0000-0000-00003D010000}"/>
    <cellStyle name="40% - Accent1 4 2" xfId="867" xr:uid="{00000000-0005-0000-0000-00003E010000}"/>
    <cellStyle name="40% - Accent1 5" xfId="445" xr:uid="{00000000-0005-0000-0000-00003F010000}"/>
    <cellStyle name="40% - Accent1 5 2" xfId="884" xr:uid="{00000000-0005-0000-0000-000040010000}"/>
    <cellStyle name="40% - Accent1 6" xfId="472" xr:uid="{00000000-0005-0000-0000-000041010000}"/>
    <cellStyle name="40% - Accent1 6 2" xfId="900" xr:uid="{00000000-0005-0000-0000-000042010000}"/>
    <cellStyle name="40% - Accent1 7" xfId="496" xr:uid="{00000000-0005-0000-0000-000043010000}"/>
    <cellStyle name="40% - Accent1 7 2" xfId="918" xr:uid="{00000000-0005-0000-0000-000044010000}"/>
    <cellStyle name="40% - Accent1 8" xfId="520" xr:uid="{00000000-0005-0000-0000-000045010000}"/>
    <cellStyle name="40% - Accent1 8 2" xfId="935" xr:uid="{00000000-0005-0000-0000-000046010000}"/>
    <cellStyle name="40% - Accent1 9" xfId="558" xr:uid="{00000000-0005-0000-0000-000047010000}"/>
    <cellStyle name="40% - Accent1 9 2" xfId="958" xr:uid="{00000000-0005-0000-0000-000048010000}"/>
    <cellStyle name="40% - Accent2" xfId="94" builtinId="35" customBuiltin="1"/>
    <cellStyle name="40% - Accent2 10" xfId="590" xr:uid="{00000000-0005-0000-0000-00004A010000}"/>
    <cellStyle name="40% - Accent2 10 2" xfId="976" xr:uid="{00000000-0005-0000-0000-00004B010000}"/>
    <cellStyle name="40% - Accent2 11" xfId="618" xr:uid="{00000000-0005-0000-0000-00004C010000}"/>
    <cellStyle name="40% - Accent2 11 2" xfId="994" xr:uid="{00000000-0005-0000-0000-00004D010000}"/>
    <cellStyle name="40% - Accent2 12" xfId="644" xr:uid="{00000000-0005-0000-0000-00004E010000}"/>
    <cellStyle name="40% - Accent2 12 2" xfId="1010" xr:uid="{00000000-0005-0000-0000-00004F010000}"/>
    <cellStyle name="40% - Accent2 13" xfId="668" xr:uid="{00000000-0005-0000-0000-000050010000}"/>
    <cellStyle name="40% - Accent2 13 2" xfId="1026" xr:uid="{00000000-0005-0000-0000-000051010000}"/>
    <cellStyle name="40% - Accent2 14" xfId="690" xr:uid="{00000000-0005-0000-0000-000052010000}"/>
    <cellStyle name="40% - Accent2 14 2" xfId="1042" xr:uid="{00000000-0005-0000-0000-000053010000}"/>
    <cellStyle name="40% - Accent2 15" xfId="706" xr:uid="{00000000-0005-0000-0000-000054010000}"/>
    <cellStyle name="40% - Accent2 15 2" xfId="1058" xr:uid="{00000000-0005-0000-0000-000055010000}"/>
    <cellStyle name="40% - Accent2 16" xfId="735" xr:uid="{00000000-0005-0000-0000-000056010000}"/>
    <cellStyle name="40% - Accent2 17" xfId="849" xr:uid="{00000000-0005-0000-0000-000057010000}"/>
    <cellStyle name="40% - Accent2 18" xfId="1125" xr:uid="{00000000-0005-0000-0000-000058010000}"/>
    <cellStyle name="40% - Accent2 19" xfId="1171" xr:uid="{00000000-0005-0000-0000-000059010000}"/>
    <cellStyle name="40% - Accent2 2" xfId="363" xr:uid="{00000000-0005-0000-0000-00005A010000}"/>
    <cellStyle name="40% - Accent2 2 2" xfId="836" xr:uid="{00000000-0005-0000-0000-00005B010000}"/>
    <cellStyle name="40% - Accent2 2 2 2" xfId="1159" xr:uid="{00000000-0005-0000-0000-00005C010000}"/>
    <cellStyle name="40% - Accent2 2 2 3" xfId="1203" xr:uid="{00000000-0005-0000-0000-00005D010000}"/>
    <cellStyle name="40% - Accent2 2 2 4" xfId="1247" xr:uid="{00000000-0005-0000-0000-00005E010000}"/>
    <cellStyle name="40% - Accent2 2 2 5" xfId="1345" xr:uid="{00000000-0005-0000-0000-00005F010000}"/>
    <cellStyle name="40% - Accent2 2 3" xfId="1141" xr:uid="{00000000-0005-0000-0000-000060010000}"/>
    <cellStyle name="40% - Accent2 2 3 2" xfId="1275" xr:uid="{00000000-0005-0000-0000-000061010000}"/>
    <cellStyle name="40% - Accent2 2 3 3" xfId="1373" xr:uid="{00000000-0005-0000-0000-000062010000}"/>
    <cellStyle name="40% - Accent2 2 4" xfId="1187" xr:uid="{00000000-0005-0000-0000-000063010000}"/>
    <cellStyle name="40% - Accent2 2 5" xfId="1231" xr:uid="{00000000-0005-0000-0000-000064010000}"/>
    <cellStyle name="40% - Accent2 2 6" xfId="1329" xr:uid="{00000000-0005-0000-0000-000065010000}"/>
    <cellStyle name="40% - Accent2 20" xfId="1215" xr:uid="{00000000-0005-0000-0000-000066010000}"/>
    <cellStyle name="40% - Accent2 21" xfId="1313" xr:uid="{00000000-0005-0000-0000-000067010000}"/>
    <cellStyle name="40% - Accent2 3" xfId="393" xr:uid="{00000000-0005-0000-0000-000068010000}"/>
    <cellStyle name="40% - Accent2 3 2" xfId="853" xr:uid="{00000000-0005-0000-0000-000069010000}"/>
    <cellStyle name="40% - Accent2 3 3" xfId="1259" xr:uid="{00000000-0005-0000-0000-00006A010000}"/>
    <cellStyle name="40% - Accent2 3 4" xfId="1357" xr:uid="{00000000-0005-0000-0000-00006B010000}"/>
    <cellStyle name="40% - Accent2 4" xfId="421" xr:uid="{00000000-0005-0000-0000-00006C010000}"/>
    <cellStyle name="40% - Accent2 4 2" xfId="869" xr:uid="{00000000-0005-0000-0000-00006D010000}"/>
    <cellStyle name="40% - Accent2 5" xfId="448" xr:uid="{00000000-0005-0000-0000-00006E010000}"/>
    <cellStyle name="40% - Accent2 5 2" xfId="886" xr:uid="{00000000-0005-0000-0000-00006F010000}"/>
    <cellStyle name="40% - Accent2 6" xfId="475" xr:uid="{00000000-0005-0000-0000-000070010000}"/>
    <cellStyle name="40% - Accent2 6 2" xfId="903" xr:uid="{00000000-0005-0000-0000-000071010000}"/>
    <cellStyle name="40% - Accent2 7" xfId="499" xr:uid="{00000000-0005-0000-0000-000072010000}"/>
    <cellStyle name="40% - Accent2 7 2" xfId="920" xr:uid="{00000000-0005-0000-0000-000073010000}"/>
    <cellStyle name="40% - Accent2 8" xfId="523" xr:uid="{00000000-0005-0000-0000-000074010000}"/>
    <cellStyle name="40% - Accent2 8 2" xfId="937" xr:uid="{00000000-0005-0000-0000-000075010000}"/>
    <cellStyle name="40% - Accent2 9" xfId="562" xr:uid="{00000000-0005-0000-0000-000076010000}"/>
    <cellStyle name="40% - Accent2 9 2" xfId="960" xr:uid="{00000000-0005-0000-0000-000077010000}"/>
    <cellStyle name="40% - Accent3" xfId="98" builtinId="39" customBuiltin="1"/>
    <cellStyle name="40% - Accent3 10" xfId="594" xr:uid="{00000000-0005-0000-0000-000079010000}"/>
    <cellStyle name="40% - Accent3 10 2" xfId="979" xr:uid="{00000000-0005-0000-0000-00007A010000}"/>
    <cellStyle name="40% - Accent3 11" xfId="621" xr:uid="{00000000-0005-0000-0000-00007B010000}"/>
    <cellStyle name="40% - Accent3 11 2" xfId="996" xr:uid="{00000000-0005-0000-0000-00007C010000}"/>
    <cellStyle name="40% - Accent3 12" xfId="647" xr:uid="{00000000-0005-0000-0000-00007D010000}"/>
    <cellStyle name="40% - Accent3 12 2" xfId="1012" xr:uid="{00000000-0005-0000-0000-00007E010000}"/>
    <cellStyle name="40% - Accent3 13" xfId="671" xr:uid="{00000000-0005-0000-0000-00007F010000}"/>
    <cellStyle name="40% - Accent3 13 2" xfId="1028" xr:uid="{00000000-0005-0000-0000-000080010000}"/>
    <cellStyle name="40% - Accent3 14" xfId="692" xr:uid="{00000000-0005-0000-0000-000081010000}"/>
    <cellStyle name="40% - Accent3 14 2" xfId="1044" xr:uid="{00000000-0005-0000-0000-000082010000}"/>
    <cellStyle name="40% - Accent3 15" xfId="708" xr:uid="{00000000-0005-0000-0000-000083010000}"/>
    <cellStyle name="40% - Accent3 15 2" xfId="1060" xr:uid="{00000000-0005-0000-0000-000084010000}"/>
    <cellStyle name="40% - Accent3 16" xfId="737" xr:uid="{00000000-0005-0000-0000-000085010000}"/>
    <cellStyle name="40% - Accent3 17" xfId="809" xr:uid="{00000000-0005-0000-0000-000086010000}"/>
    <cellStyle name="40% - Accent3 18" xfId="1127" xr:uid="{00000000-0005-0000-0000-000087010000}"/>
    <cellStyle name="40% - Accent3 19" xfId="1173" xr:uid="{00000000-0005-0000-0000-000088010000}"/>
    <cellStyle name="40% - Accent3 2" xfId="367" xr:uid="{00000000-0005-0000-0000-000089010000}"/>
    <cellStyle name="40% - Accent3 2 2" xfId="838" xr:uid="{00000000-0005-0000-0000-00008A010000}"/>
    <cellStyle name="40% - Accent3 2 2 2" xfId="1161" xr:uid="{00000000-0005-0000-0000-00008B010000}"/>
    <cellStyle name="40% - Accent3 2 2 3" xfId="1205" xr:uid="{00000000-0005-0000-0000-00008C010000}"/>
    <cellStyle name="40% - Accent3 2 2 4" xfId="1249" xr:uid="{00000000-0005-0000-0000-00008D010000}"/>
    <cellStyle name="40% - Accent3 2 2 5" xfId="1347" xr:uid="{00000000-0005-0000-0000-00008E010000}"/>
    <cellStyle name="40% - Accent3 2 3" xfId="1143" xr:uid="{00000000-0005-0000-0000-00008F010000}"/>
    <cellStyle name="40% - Accent3 2 3 2" xfId="1277" xr:uid="{00000000-0005-0000-0000-000090010000}"/>
    <cellStyle name="40% - Accent3 2 3 3" xfId="1375" xr:uid="{00000000-0005-0000-0000-000091010000}"/>
    <cellStyle name="40% - Accent3 2 4" xfId="1189" xr:uid="{00000000-0005-0000-0000-000092010000}"/>
    <cellStyle name="40% - Accent3 2 5" xfId="1233" xr:uid="{00000000-0005-0000-0000-000093010000}"/>
    <cellStyle name="40% - Accent3 2 6" xfId="1331" xr:uid="{00000000-0005-0000-0000-000094010000}"/>
    <cellStyle name="40% - Accent3 20" xfId="1217" xr:uid="{00000000-0005-0000-0000-000095010000}"/>
    <cellStyle name="40% - Accent3 21" xfId="1315" xr:uid="{00000000-0005-0000-0000-000096010000}"/>
    <cellStyle name="40% - Accent3 3" xfId="397" xr:uid="{00000000-0005-0000-0000-000097010000}"/>
    <cellStyle name="40% - Accent3 3 2" xfId="855" xr:uid="{00000000-0005-0000-0000-000098010000}"/>
    <cellStyle name="40% - Accent3 3 3" xfId="1261" xr:uid="{00000000-0005-0000-0000-000099010000}"/>
    <cellStyle name="40% - Accent3 3 4" xfId="1359" xr:uid="{00000000-0005-0000-0000-00009A010000}"/>
    <cellStyle name="40% - Accent3 4" xfId="424" xr:uid="{00000000-0005-0000-0000-00009B010000}"/>
    <cellStyle name="40% - Accent3 4 2" xfId="871" xr:uid="{00000000-0005-0000-0000-00009C010000}"/>
    <cellStyle name="40% - Accent3 5" xfId="452" xr:uid="{00000000-0005-0000-0000-00009D010000}"/>
    <cellStyle name="40% - Accent3 5 2" xfId="888" xr:uid="{00000000-0005-0000-0000-00009E010000}"/>
    <cellStyle name="40% - Accent3 6" xfId="478" xr:uid="{00000000-0005-0000-0000-00009F010000}"/>
    <cellStyle name="40% - Accent3 6 2" xfId="906" xr:uid="{00000000-0005-0000-0000-0000A0010000}"/>
    <cellStyle name="40% - Accent3 7" xfId="502" xr:uid="{00000000-0005-0000-0000-0000A1010000}"/>
    <cellStyle name="40% - Accent3 7 2" xfId="922" xr:uid="{00000000-0005-0000-0000-0000A2010000}"/>
    <cellStyle name="40% - Accent3 8" xfId="527" xr:uid="{00000000-0005-0000-0000-0000A3010000}"/>
    <cellStyle name="40% - Accent3 8 2" xfId="940" xr:uid="{00000000-0005-0000-0000-0000A4010000}"/>
    <cellStyle name="40% - Accent3 9" xfId="566" xr:uid="{00000000-0005-0000-0000-0000A5010000}"/>
    <cellStyle name="40% - Accent3 9 2" xfId="962" xr:uid="{00000000-0005-0000-0000-0000A6010000}"/>
    <cellStyle name="40% - Accent4" xfId="102" builtinId="43" customBuiltin="1"/>
    <cellStyle name="40% - Accent4 10" xfId="598" xr:uid="{00000000-0005-0000-0000-0000A8010000}"/>
    <cellStyle name="40% - Accent4 10 2" xfId="981" xr:uid="{00000000-0005-0000-0000-0000A9010000}"/>
    <cellStyle name="40% - Accent4 11" xfId="625" xr:uid="{00000000-0005-0000-0000-0000AA010000}"/>
    <cellStyle name="40% - Accent4 11 2" xfId="998" xr:uid="{00000000-0005-0000-0000-0000AB010000}"/>
    <cellStyle name="40% - Accent4 12" xfId="651" xr:uid="{00000000-0005-0000-0000-0000AC010000}"/>
    <cellStyle name="40% - Accent4 12 2" xfId="1014" xr:uid="{00000000-0005-0000-0000-0000AD010000}"/>
    <cellStyle name="40% - Accent4 13" xfId="675" xr:uid="{00000000-0005-0000-0000-0000AE010000}"/>
    <cellStyle name="40% - Accent4 13 2" xfId="1030" xr:uid="{00000000-0005-0000-0000-0000AF010000}"/>
    <cellStyle name="40% - Accent4 14" xfId="694" xr:uid="{00000000-0005-0000-0000-0000B0010000}"/>
    <cellStyle name="40% - Accent4 14 2" xfId="1046" xr:uid="{00000000-0005-0000-0000-0000B1010000}"/>
    <cellStyle name="40% - Accent4 15" xfId="710" xr:uid="{00000000-0005-0000-0000-0000B2010000}"/>
    <cellStyle name="40% - Accent4 15 2" xfId="1062" xr:uid="{00000000-0005-0000-0000-0000B3010000}"/>
    <cellStyle name="40% - Accent4 16" xfId="739" xr:uid="{00000000-0005-0000-0000-0000B4010000}"/>
    <cellStyle name="40% - Accent4 17" xfId="801" xr:uid="{00000000-0005-0000-0000-0000B5010000}"/>
    <cellStyle name="40% - Accent4 18" xfId="1129" xr:uid="{00000000-0005-0000-0000-0000B6010000}"/>
    <cellStyle name="40% - Accent4 19" xfId="1175" xr:uid="{00000000-0005-0000-0000-0000B7010000}"/>
    <cellStyle name="40% - Accent4 2" xfId="371" xr:uid="{00000000-0005-0000-0000-0000B8010000}"/>
    <cellStyle name="40% - Accent4 2 2" xfId="840" xr:uid="{00000000-0005-0000-0000-0000B9010000}"/>
    <cellStyle name="40% - Accent4 2 2 2" xfId="1163" xr:uid="{00000000-0005-0000-0000-0000BA010000}"/>
    <cellStyle name="40% - Accent4 2 2 3" xfId="1207" xr:uid="{00000000-0005-0000-0000-0000BB010000}"/>
    <cellStyle name="40% - Accent4 2 2 4" xfId="1251" xr:uid="{00000000-0005-0000-0000-0000BC010000}"/>
    <cellStyle name="40% - Accent4 2 2 5" xfId="1349" xr:uid="{00000000-0005-0000-0000-0000BD010000}"/>
    <cellStyle name="40% - Accent4 2 3" xfId="1145" xr:uid="{00000000-0005-0000-0000-0000BE010000}"/>
    <cellStyle name="40% - Accent4 2 3 2" xfId="1279" xr:uid="{00000000-0005-0000-0000-0000BF010000}"/>
    <cellStyle name="40% - Accent4 2 3 3" xfId="1377" xr:uid="{00000000-0005-0000-0000-0000C0010000}"/>
    <cellStyle name="40% - Accent4 2 4" xfId="1191" xr:uid="{00000000-0005-0000-0000-0000C1010000}"/>
    <cellStyle name="40% - Accent4 2 5" xfId="1235" xr:uid="{00000000-0005-0000-0000-0000C2010000}"/>
    <cellStyle name="40% - Accent4 2 6" xfId="1333" xr:uid="{00000000-0005-0000-0000-0000C3010000}"/>
    <cellStyle name="40% - Accent4 20" xfId="1219" xr:uid="{00000000-0005-0000-0000-0000C4010000}"/>
    <cellStyle name="40% - Accent4 21" xfId="1317" xr:uid="{00000000-0005-0000-0000-0000C5010000}"/>
    <cellStyle name="40% - Accent4 3" xfId="401" xr:uid="{00000000-0005-0000-0000-0000C6010000}"/>
    <cellStyle name="40% - Accent4 3 2" xfId="857" xr:uid="{00000000-0005-0000-0000-0000C7010000}"/>
    <cellStyle name="40% - Accent4 3 3" xfId="1263" xr:uid="{00000000-0005-0000-0000-0000C8010000}"/>
    <cellStyle name="40% - Accent4 3 4" xfId="1361" xr:uid="{00000000-0005-0000-0000-0000C9010000}"/>
    <cellStyle name="40% - Accent4 4" xfId="428" xr:uid="{00000000-0005-0000-0000-0000CA010000}"/>
    <cellStyle name="40% - Accent4 4 2" xfId="873" xr:uid="{00000000-0005-0000-0000-0000CB010000}"/>
    <cellStyle name="40% - Accent4 5" xfId="456" xr:uid="{00000000-0005-0000-0000-0000CC010000}"/>
    <cellStyle name="40% - Accent4 5 2" xfId="890" xr:uid="{00000000-0005-0000-0000-0000CD010000}"/>
    <cellStyle name="40% - Accent4 6" xfId="481" xr:uid="{00000000-0005-0000-0000-0000CE010000}"/>
    <cellStyle name="40% - Accent4 6 2" xfId="908" xr:uid="{00000000-0005-0000-0000-0000CF010000}"/>
    <cellStyle name="40% - Accent4 7" xfId="506" xr:uid="{00000000-0005-0000-0000-0000D0010000}"/>
    <cellStyle name="40% - Accent4 7 2" xfId="924" xr:uid="{00000000-0005-0000-0000-0000D1010000}"/>
    <cellStyle name="40% - Accent4 8" xfId="531" xr:uid="{00000000-0005-0000-0000-0000D2010000}"/>
    <cellStyle name="40% - Accent4 8 2" xfId="944" xr:uid="{00000000-0005-0000-0000-0000D3010000}"/>
    <cellStyle name="40% - Accent4 9" xfId="570" xr:uid="{00000000-0005-0000-0000-0000D4010000}"/>
    <cellStyle name="40% - Accent4 9 2" xfId="964" xr:uid="{00000000-0005-0000-0000-0000D5010000}"/>
    <cellStyle name="40% - Accent5" xfId="106" builtinId="47" customBuiltin="1"/>
    <cellStyle name="40% - Accent5 10" xfId="602" xr:uid="{00000000-0005-0000-0000-0000D7010000}"/>
    <cellStyle name="40% - Accent5 10 2" xfId="983" xr:uid="{00000000-0005-0000-0000-0000D8010000}"/>
    <cellStyle name="40% - Accent5 11" xfId="628" xr:uid="{00000000-0005-0000-0000-0000D9010000}"/>
    <cellStyle name="40% - Accent5 11 2" xfId="1000" xr:uid="{00000000-0005-0000-0000-0000DA010000}"/>
    <cellStyle name="40% - Accent5 12" xfId="654" xr:uid="{00000000-0005-0000-0000-0000DB010000}"/>
    <cellStyle name="40% - Accent5 12 2" xfId="1016" xr:uid="{00000000-0005-0000-0000-0000DC010000}"/>
    <cellStyle name="40% - Accent5 13" xfId="678" xr:uid="{00000000-0005-0000-0000-0000DD010000}"/>
    <cellStyle name="40% - Accent5 13 2" xfId="1032" xr:uid="{00000000-0005-0000-0000-0000DE010000}"/>
    <cellStyle name="40% - Accent5 14" xfId="696" xr:uid="{00000000-0005-0000-0000-0000DF010000}"/>
    <cellStyle name="40% - Accent5 14 2" xfId="1048" xr:uid="{00000000-0005-0000-0000-0000E0010000}"/>
    <cellStyle name="40% - Accent5 15" xfId="712" xr:uid="{00000000-0005-0000-0000-0000E1010000}"/>
    <cellStyle name="40% - Accent5 15 2" xfId="1064" xr:uid="{00000000-0005-0000-0000-0000E2010000}"/>
    <cellStyle name="40% - Accent5 16" xfId="741" xr:uid="{00000000-0005-0000-0000-0000E3010000}"/>
    <cellStyle name="40% - Accent5 17" xfId="779" xr:uid="{00000000-0005-0000-0000-0000E4010000}"/>
    <cellStyle name="40% - Accent5 18" xfId="1131" xr:uid="{00000000-0005-0000-0000-0000E5010000}"/>
    <cellStyle name="40% - Accent5 19" xfId="1177" xr:uid="{00000000-0005-0000-0000-0000E6010000}"/>
    <cellStyle name="40% - Accent5 2" xfId="375" xr:uid="{00000000-0005-0000-0000-0000E7010000}"/>
    <cellStyle name="40% - Accent5 2 2" xfId="842" xr:uid="{00000000-0005-0000-0000-0000E8010000}"/>
    <cellStyle name="40% - Accent5 2 2 2" xfId="1165" xr:uid="{00000000-0005-0000-0000-0000E9010000}"/>
    <cellStyle name="40% - Accent5 2 2 3" xfId="1209" xr:uid="{00000000-0005-0000-0000-0000EA010000}"/>
    <cellStyle name="40% - Accent5 2 2 4" xfId="1253" xr:uid="{00000000-0005-0000-0000-0000EB010000}"/>
    <cellStyle name="40% - Accent5 2 2 5" xfId="1351" xr:uid="{00000000-0005-0000-0000-0000EC010000}"/>
    <cellStyle name="40% - Accent5 2 3" xfId="1147" xr:uid="{00000000-0005-0000-0000-0000ED010000}"/>
    <cellStyle name="40% - Accent5 2 3 2" xfId="1281" xr:uid="{00000000-0005-0000-0000-0000EE010000}"/>
    <cellStyle name="40% - Accent5 2 3 3" xfId="1379" xr:uid="{00000000-0005-0000-0000-0000EF010000}"/>
    <cellStyle name="40% - Accent5 2 4" xfId="1193" xr:uid="{00000000-0005-0000-0000-0000F0010000}"/>
    <cellStyle name="40% - Accent5 2 5" xfId="1237" xr:uid="{00000000-0005-0000-0000-0000F1010000}"/>
    <cellStyle name="40% - Accent5 2 6" xfId="1335" xr:uid="{00000000-0005-0000-0000-0000F2010000}"/>
    <cellStyle name="40% - Accent5 20" xfId="1221" xr:uid="{00000000-0005-0000-0000-0000F3010000}"/>
    <cellStyle name="40% - Accent5 21" xfId="1319" xr:uid="{00000000-0005-0000-0000-0000F4010000}"/>
    <cellStyle name="40% - Accent5 3" xfId="405" xr:uid="{00000000-0005-0000-0000-0000F5010000}"/>
    <cellStyle name="40% - Accent5 3 2" xfId="859" xr:uid="{00000000-0005-0000-0000-0000F6010000}"/>
    <cellStyle name="40% - Accent5 3 3" xfId="1265" xr:uid="{00000000-0005-0000-0000-0000F7010000}"/>
    <cellStyle name="40% - Accent5 3 4" xfId="1363" xr:uid="{00000000-0005-0000-0000-0000F8010000}"/>
    <cellStyle name="40% - Accent5 4" xfId="432" xr:uid="{00000000-0005-0000-0000-0000F9010000}"/>
    <cellStyle name="40% - Accent5 4 2" xfId="875" xr:uid="{00000000-0005-0000-0000-0000FA010000}"/>
    <cellStyle name="40% - Accent5 5" xfId="459" xr:uid="{00000000-0005-0000-0000-0000FB010000}"/>
    <cellStyle name="40% - Accent5 5 2" xfId="892" xr:uid="{00000000-0005-0000-0000-0000FC010000}"/>
    <cellStyle name="40% - Accent5 6" xfId="485" xr:uid="{00000000-0005-0000-0000-0000FD010000}"/>
    <cellStyle name="40% - Accent5 6 2" xfId="910" xr:uid="{00000000-0005-0000-0000-0000FE010000}"/>
    <cellStyle name="40% - Accent5 7" xfId="509" xr:uid="{00000000-0005-0000-0000-0000FF010000}"/>
    <cellStyle name="40% - Accent5 7 2" xfId="926" xr:uid="{00000000-0005-0000-0000-000000020000}"/>
    <cellStyle name="40% - Accent5 8" xfId="534" xr:uid="{00000000-0005-0000-0000-000001020000}"/>
    <cellStyle name="40% - Accent5 8 2" xfId="946" xr:uid="{00000000-0005-0000-0000-000002020000}"/>
    <cellStyle name="40% - Accent5 9" xfId="574" xr:uid="{00000000-0005-0000-0000-000003020000}"/>
    <cellStyle name="40% - Accent5 9 2" xfId="966" xr:uid="{00000000-0005-0000-0000-000004020000}"/>
    <cellStyle name="40% - Accent6" xfId="110" builtinId="51" customBuiltin="1"/>
    <cellStyle name="40% - Accent6 10" xfId="606" xr:uid="{00000000-0005-0000-0000-000006020000}"/>
    <cellStyle name="40% - Accent6 10 2" xfId="985" xr:uid="{00000000-0005-0000-0000-000007020000}"/>
    <cellStyle name="40% - Accent6 11" xfId="632" xr:uid="{00000000-0005-0000-0000-000008020000}"/>
    <cellStyle name="40% - Accent6 11 2" xfId="1002" xr:uid="{00000000-0005-0000-0000-000009020000}"/>
    <cellStyle name="40% - Accent6 12" xfId="657" xr:uid="{00000000-0005-0000-0000-00000A020000}"/>
    <cellStyle name="40% - Accent6 12 2" xfId="1018" xr:uid="{00000000-0005-0000-0000-00000B020000}"/>
    <cellStyle name="40% - Accent6 13" xfId="681" xr:uid="{00000000-0005-0000-0000-00000C020000}"/>
    <cellStyle name="40% - Accent6 13 2" xfId="1034" xr:uid="{00000000-0005-0000-0000-00000D020000}"/>
    <cellStyle name="40% - Accent6 14" xfId="698" xr:uid="{00000000-0005-0000-0000-00000E020000}"/>
    <cellStyle name="40% - Accent6 14 2" xfId="1050" xr:uid="{00000000-0005-0000-0000-00000F020000}"/>
    <cellStyle name="40% - Accent6 15" xfId="714" xr:uid="{00000000-0005-0000-0000-000010020000}"/>
    <cellStyle name="40% - Accent6 15 2" xfId="1066" xr:uid="{00000000-0005-0000-0000-000011020000}"/>
    <cellStyle name="40% - Accent6 16" xfId="743" xr:uid="{00000000-0005-0000-0000-000012020000}"/>
    <cellStyle name="40% - Accent6 17" xfId="990" xr:uid="{00000000-0005-0000-0000-000013020000}"/>
    <cellStyle name="40% - Accent6 18" xfId="1133" xr:uid="{00000000-0005-0000-0000-000014020000}"/>
    <cellStyle name="40% - Accent6 19" xfId="1179" xr:uid="{00000000-0005-0000-0000-000015020000}"/>
    <cellStyle name="40% - Accent6 2" xfId="379" xr:uid="{00000000-0005-0000-0000-000016020000}"/>
    <cellStyle name="40% - Accent6 2 2" xfId="844" xr:uid="{00000000-0005-0000-0000-000017020000}"/>
    <cellStyle name="40% - Accent6 2 2 2" xfId="1167" xr:uid="{00000000-0005-0000-0000-000018020000}"/>
    <cellStyle name="40% - Accent6 2 2 3" xfId="1211" xr:uid="{00000000-0005-0000-0000-000019020000}"/>
    <cellStyle name="40% - Accent6 2 2 4" xfId="1255" xr:uid="{00000000-0005-0000-0000-00001A020000}"/>
    <cellStyle name="40% - Accent6 2 2 5" xfId="1353" xr:uid="{00000000-0005-0000-0000-00001B020000}"/>
    <cellStyle name="40% - Accent6 2 3" xfId="1149" xr:uid="{00000000-0005-0000-0000-00001C020000}"/>
    <cellStyle name="40% - Accent6 2 3 2" xfId="1283" xr:uid="{00000000-0005-0000-0000-00001D020000}"/>
    <cellStyle name="40% - Accent6 2 3 3" xfId="1381" xr:uid="{00000000-0005-0000-0000-00001E020000}"/>
    <cellStyle name="40% - Accent6 2 4" xfId="1195" xr:uid="{00000000-0005-0000-0000-00001F020000}"/>
    <cellStyle name="40% - Accent6 2 5" xfId="1239" xr:uid="{00000000-0005-0000-0000-000020020000}"/>
    <cellStyle name="40% - Accent6 2 6" xfId="1337" xr:uid="{00000000-0005-0000-0000-000021020000}"/>
    <cellStyle name="40% - Accent6 20" xfId="1223" xr:uid="{00000000-0005-0000-0000-000022020000}"/>
    <cellStyle name="40% - Accent6 21" xfId="1321" xr:uid="{00000000-0005-0000-0000-000023020000}"/>
    <cellStyle name="40% - Accent6 3" xfId="409" xr:uid="{00000000-0005-0000-0000-000024020000}"/>
    <cellStyle name="40% - Accent6 3 2" xfId="861" xr:uid="{00000000-0005-0000-0000-000025020000}"/>
    <cellStyle name="40% - Accent6 3 3" xfId="1267" xr:uid="{00000000-0005-0000-0000-000026020000}"/>
    <cellStyle name="40% - Accent6 3 4" xfId="1365" xr:uid="{00000000-0005-0000-0000-000027020000}"/>
    <cellStyle name="40% - Accent6 4" xfId="436" xr:uid="{00000000-0005-0000-0000-000028020000}"/>
    <cellStyle name="40% - Accent6 4 2" xfId="878" xr:uid="{00000000-0005-0000-0000-000029020000}"/>
    <cellStyle name="40% - Accent6 5" xfId="462" xr:uid="{00000000-0005-0000-0000-00002A020000}"/>
    <cellStyle name="40% - Accent6 5 2" xfId="894" xr:uid="{00000000-0005-0000-0000-00002B020000}"/>
    <cellStyle name="40% - Accent6 6" xfId="489" xr:uid="{00000000-0005-0000-0000-00002C020000}"/>
    <cellStyle name="40% - Accent6 6 2" xfId="912" xr:uid="{00000000-0005-0000-0000-00002D020000}"/>
    <cellStyle name="40% - Accent6 7" xfId="513" xr:uid="{00000000-0005-0000-0000-00002E020000}"/>
    <cellStyle name="40% - Accent6 7 2" xfId="928" xr:uid="{00000000-0005-0000-0000-00002F020000}"/>
    <cellStyle name="40% - Accent6 8" xfId="538" xr:uid="{00000000-0005-0000-0000-000030020000}"/>
    <cellStyle name="40% - Accent6 8 2" xfId="948" xr:uid="{00000000-0005-0000-0000-000031020000}"/>
    <cellStyle name="40% - Accent6 9" xfId="578" xr:uid="{00000000-0005-0000-0000-000032020000}"/>
    <cellStyle name="40% - Accent6 9 2" xfId="968" xr:uid="{00000000-0005-0000-0000-000033020000}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8" builtinId="27" customBuiltin="1"/>
    <cellStyle name="Calculation" xfId="82" builtinId="22" customBuiltin="1"/>
    <cellStyle name="Check Cell" xfId="84" builtinId="23" customBuiltin="1"/>
    <cellStyle name="Comma" xfId="1" builtinId="3"/>
    <cellStyle name="Comma [0] 2" xfId="16" xr:uid="{00000000-0005-0000-0000-000044020000}"/>
    <cellStyle name="Comma 10" xfId="57" xr:uid="{00000000-0005-0000-0000-000045020000}"/>
    <cellStyle name="Comma 10 2" xfId="760" xr:uid="{00000000-0005-0000-0000-000046020000}"/>
    <cellStyle name="Comma 11" xfId="59" xr:uid="{00000000-0005-0000-0000-000047020000}"/>
    <cellStyle name="Comma 11 2" xfId="762" xr:uid="{00000000-0005-0000-0000-000048020000}"/>
    <cellStyle name="Comma 12" xfId="61" xr:uid="{00000000-0005-0000-0000-000049020000}"/>
    <cellStyle name="Comma 12 2" xfId="764" xr:uid="{00000000-0005-0000-0000-00004A020000}"/>
    <cellStyle name="Comma 13" xfId="62" xr:uid="{00000000-0005-0000-0000-00004B020000}"/>
    <cellStyle name="Comma 13 2" xfId="765" xr:uid="{00000000-0005-0000-0000-00004C020000}"/>
    <cellStyle name="Comma 14" xfId="60" xr:uid="{00000000-0005-0000-0000-00004D020000}"/>
    <cellStyle name="Comma 14 2" xfId="763" xr:uid="{00000000-0005-0000-0000-00004E020000}"/>
    <cellStyle name="Comma 15" xfId="63" xr:uid="{00000000-0005-0000-0000-00004F020000}"/>
    <cellStyle name="Comma 15 2" xfId="766" xr:uid="{00000000-0005-0000-0000-000050020000}"/>
    <cellStyle name="Comma 16" xfId="64" xr:uid="{00000000-0005-0000-0000-000051020000}"/>
    <cellStyle name="Comma 16 2" xfId="767" xr:uid="{00000000-0005-0000-0000-000052020000}"/>
    <cellStyle name="Comma 17" xfId="65" xr:uid="{00000000-0005-0000-0000-000053020000}"/>
    <cellStyle name="Comma 17 2" xfId="768" xr:uid="{00000000-0005-0000-0000-000054020000}"/>
    <cellStyle name="Comma 18" xfId="67" xr:uid="{00000000-0005-0000-0000-000055020000}"/>
    <cellStyle name="Comma 18 2" xfId="770" xr:uid="{00000000-0005-0000-0000-000056020000}"/>
    <cellStyle name="Comma 19" xfId="68" xr:uid="{00000000-0005-0000-0000-000057020000}"/>
    <cellStyle name="Comma 19 2" xfId="771" xr:uid="{00000000-0005-0000-0000-000058020000}"/>
    <cellStyle name="Comma 2" xfId="6" xr:uid="{00000000-0005-0000-0000-000059020000}"/>
    <cellStyle name="Comma 2 10" xfId="180" xr:uid="{00000000-0005-0000-0000-00005A020000}"/>
    <cellStyle name="Comma 2 11" xfId="227" xr:uid="{00000000-0005-0000-0000-00005B020000}"/>
    <cellStyle name="Comma 2 12" xfId="242" xr:uid="{00000000-0005-0000-0000-00005C020000}"/>
    <cellStyle name="Comma 2 13" xfId="257" xr:uid="{00000000-0005-0000-0000-00005D020000}"/>
    <cellStyle name="Comma 2 14" xfId="272" xr:uid="{00000000-0005-0000-0000-00005E020000}"/>
    <cellStyle name="Comma 2 15" xfId="284" xr:uid="{00000000-0005-0000-0000-00005F020000}"/>
    <cellStyle name="Comma 2 16" xfId="290" xr:uid="{00000000-0005-0000-0000-000060020000}"/>
    <cellStyle name="Comma 2 17" xfId="325" xr:uid="{00000000-0005-0000-0000-000061020000}"/>
    <cellStyle name="Comma 2 18" xfId="353" xr:uid="{00000000-0005-0000-0000-000062020000}"/>
    <cellStyle name="Comma 2 19" xfId="322" xr:uid="{00000000-0005-0000-0000-000063020000}"/>
    <cellStyle name="Comma 2 2" xfId="13" xr:uid="{00000000-0005-0000-0000-000064020000}"/>
    <cellStyle name="Comma 2 20" xfId="351" xr:uid="{00000000-0005-0000-0000-000065020000}"/>
    <cellStyle name="Comma 2 21" xfId="364" xr:uid="{00000000-0005-0000-0000-000066020000}"/>
    <cellStyle name="Comma 2 22" xfId="406" xr:uid="{00000000-0005-0000-0000-000067020000}"/>
    <cellStyle name="Comma 2 23" xfId="415" xr:uid="{00000000-0005-0000-0000-000068020000}"/>
    <cellStyle name="Comma 2 24" xfId="497" xr:uid="{00000000-0005-0000-0000-000069020000}"/>
    <cellStyle name="Comma 2 25" xfId="549" xr:uid="{00000000-0005-0000-0000-00006A020000}"/>
    <cellStyle name="Comma 2 26" xfId="551" xr:uid="{00000000-0005-0000-0000-00006B020000}"/>
    <cellStyle name="Comma 2 27" xfId="449" xr:uid="{00000000-0005-0000-0000-00006C020000}"/>
    <cellStyle name="Comma 2 28" xfId="571" xr:uid="{00000000-0005-0000-0000-00006D020000}"/>
    <cellStyle name="Comma 2 29" xfId="603" xr:uid="{00000000-0005-0000-0000-00006E020000}"/>
    <cellStyle name="Comma 2 3" xfId="10" xr:uid="{00000000-0005-0000-0000-00006F020000}"/>
    <cellStyle name="Comma 2 3 2" xfId="746" xr:uid="{00000000-0005-0000-0000-000070020000}"/>
    <cellStyle name="Comma 2 30" xfId="629" xr:uid="{00000000-0005-0000-0000-000071020000}"/>
    <cellStyle name="Comma 2 31" xfId="721" xr:uid="{00000000-0005-0000-0000-000072020000}"/>
    <cellStyle name="Comma 2 32" xfId="784" xr:uid="{00000000-0005-0000-0000-000073020000}"/>
    <cellStyle name="Comma 2 4" xfId="116" xr:uid="{00000000-0005-0000-0000-000074020000}"/>
    <cellStyle name="Comma 2 5" xfId="144" xr:uid="{00000000-0005-0000-0000-000075020000}"/>
    <cellStyle name="Comma 2 6" xfId="136" xr:uid="{00000000-0005-0000-0000-000076020000}"/>
    <cellStyle name="Comma 2 7" xfId="159" xr:uid="{00000000-0005-0000-0000-000077020000}"/>
    <cellStyle name="Comma 2 8" xfId="164" xr:uid="{00000000-0005-0000-0000-000078020000}"/>
    <cellStyle name="Comma 2 9" xfId="158" xr:uid="{00000000-0005-0000-0000-000079020000}"/>
    <cellStyle name="Comma 20" xfId="69" xr:uid="{00000000-0005-0000-0000-00007A020000}"/>
    <cellStyle name="Comma 20 2" xfId="772" xr:uid="{00000000-0005-0000-0000-00007B020000}"/>
    <cellStyle name="Comma 21" xfId="70" xr:uid="{00000000-0005-0000-0000-00007C020000}"/>
    <cellStyle name="Comma 21 2" xfId="773" xr:uid="{00000000-0005-0000-0000-00007D020000}"/>
    <cellStyle name="Comma 22" xfId="66" xr:uid="{00000000-0005-0000-0000-00007E020000}"/>
    <cellStyle name="Comma 22 2" xfId="769" xr:uid="{00000000-0005-0000-0000-00007F020000}"/>
    <cellStyle name="Comma 23" xfId="71" xr:uid="{00000000-0005-0000-0000-000080020000}"/>
    <cellStyle name="Comma 23 2" xfId="774" xr:uid="{00000000-0005-0000-0000-000081020000}"/>
    <cellStyle name="Comma 24" xfId="1077" xr:uid="{00000000-0005-0000-0000-000082020000}"/>
    <cellStyle name="Comma 25" xfId="1096" xr:uid="{00000000-0005-0000-0000-000083020000}"/>
    <cellStyle name="Comma 26" xfId="1111" xr:uid="{00000000-0005-0000-0000-000084020000}"/>
    <cellStyle name="Comma 27" xfId="1117" xr:uid="{00000000-0005-0000-0000-000085020000}"/>
    <cellStyle name="Comma 28" xfId="1078" xr:uid="{00000000-0005-0000-0000-000086020000}"/>
    <cellStyle name="Comma 29" xfId="1113" xr:uid="{00000000-0005-0000-0000-000087020000}"/>
    <cellStyle name="Comma 3" xfId="17" xr:uid="{00000000-0005-0000-0000-000088020000}"/>
    <cellStyle name="Comma 3 10" xfId="258" xr:uid="{00000000-0005-0000-0000-000089020000}"/>
    <cellStyle name="Comma 3 11" xfId="273" xr:uid="{00000000-0005-0000-0000-00008A020000}"/>
    <cellStyle name="Comma 3 12" xfId="285" xr:uid="{00000000-0005-0000-0000-00008B020000}"/>
    <cellStyle name="Comma 3 13" xfId="297" xr:uid="{00000000-0005-0000-0000-00008C020000}"/>
    <cellStyle name="Comma 3 14" xfId="309" xr:uid="{00000000-0005-0000-0000-00008D020000}"/>
    <cellStyle name="Comma 3 15" xfId="330" xr:uid="{00000000-0005-0000-0000-00008E020000}"/>
    <cellStyle name="Comma 3 16" xfId="347" xr:uid="{00000000-0005-0000-0000-00008F020000}"/>
    <cellStyle name="Comma 3 17" xfId="361" xr:uid="{00000000-0005-0000-0000-000090020000}"/>
    <cellStyle name="Comma 3 18" xfId="403" xr:uid="{00000000-0005-0000-0000-000091020000}"/>
    <cellStyle name="Comma 3 19" xfId="430" xr:uid="{00000000-0005-0000-0000-000092020000}"/>
    <cellStyle name="Comma 3 2" xfId="121" xr:uid="{00000000-0005-0000-0000-000093020000}"/>
    <cellStyle name="Comma 3 2 2" xfId="726" xr:uid="{00000000-0005-0000-0000-000094020000}"/>
    <cellStyle name="Comma 3 2 2 2" xfId="776" xr:uid="{00000000-0005-0000-0000-000095020000}"/>
    <cellStyle name="Comma 3 20" xfId="457" xr:uid="{00000000-0005-0000-0000-000096020000}"/>
    <cellStyle name="Comma 3 21" xfId="479" xr:uid="{00000000-0005-0000-0000-000097020000}"/>
    <cellStyle name="Comma 3 22" xfId="510" xr:uid="{00000000-0005-0000-0000-000098020000}"/>
    <cellStyle name="Comma 3 23" xfId="544" xr:uid="{00000000-0005-0000-0000-000099020000}"/>
    <cellStyle name="Comma 3 24" xfId="568" xr:uid="{00000000-0005-0000-0000-00009A020000}"/>
    <cellStyle name="Comma 3 25" xfId="600" xr:uid="{00000000-0005-0000-0000-00009B020000}"/>
    <cellStyle name="Comma 3 26" xfId="626" xr:uid="{00000000-0005-0000-0000-00009C020000}"/>
    <cellStyle name="Comma 3 27" xfId="652" xr:uid="{00000000-0005-0000-0000-00009D020000}"/>
    <cellStyle name="Comma 3 28" xfId="676" xr:uid="{00000000-0005-0000-0000-00009E020000}"/>
    <cellStyle name="Comma 3 29" xfId="723" xr:uid="{00000000-0005-0000-0000-00009F020000}"/>
    <cellStyle name="Comma 3 29 2" xfId="1073" xr:uid="{00000000-0005-0000-0000-0000A0020000}"/>
    <cellStyle name="Comma 3 3" xfId="146" xr:uid="{00000000-0005-0000-0000-0000A1020000}"/>
    <cellStyle name="Comma 3 3 2" xfId="749" xr:uid="{00000000-0005-0000-0000-0000A2020000}"/>
    <cellStyle name="Comma 3 3 2 2" xfId="781" xr:uid="{00000000-0005-0000-0000-0000A3020000}"/>
    <cellStyle name="Comma 3 30" xfId="955" xr:uid="{00000000-0005-0000-0000-0000A4020000}"/>
    <cellStyle name="Comma 3 4" xfId="153" xr:uid="{00000000-0005-0000-0000-0000A5020000}"/>
    <cellStyle name="Comma 3 5" xfId="166" xr:uid="{00000000-0005-0000-0000-0000A6020000}"/>
    <cellStyle name="Comma 3 6" xfId="174" xr:uid="{00000000-0005-0000-0000-0000A7020000}"/>
    <cellStyle name="Comma 3 7" xfId="209" xr:uid="{00000000-0005-0000-0000-0000A8020000}"/>
    <cellStyle name="Comma 3 8" xfId="228" xr:uid="{00000000-0005-0000-0000-0000A9020000}"/>
    <cellStyle name="Comma 3 9" xfId="243" xr:uid="{00000000-0005-0000-0000-0000AA020000}"/>
    <cellStyle name="Comma 30" xfId="1089" xr:uid="{00000000-0005-0000-0000-0000AB020000}"/>
    <cellStyle name="Comma 31" xfId="1114" xr:uid="{00000000-0005-0000-0000-0000AC020000}"/>
    <cellStyle name="Comma 32" xfId="1119" xr:uid="{00000000-0005-0000-0000-0000AD020000}"/>
    <cellStyle name="Comma 33" xfId="1080" xr:uid="{00000000-0005-0000-0000-0000AE020000}"/>
    <cellStyle name="Comma 34" xfId="1112" xr:uid="{00000000-0005-0000-0000-0000AF020000}"/>
    <cellStyle name="Comma 35" xfId="1120" xr:uid="{00000000-0005-0000-0000-0000B0020000}"/>
    <cellStyle name="Comma 36" xfId="1115" xr:uid="{00000000-0005-0000-0000-0000B1020000}"/>
    <cellStyle name="Comma 37" xfId="1103" xr:uid="{00000000-0005-0000-0000-0000B2020000}"/>
    <cellStyle name="Comma 38" xfId="1121" xr:uid="{00000000-0005-0000-0000-0000B3020000}"/>
    <cellStyle name="Comma 39" xfId="1116" xr:uid="{00000000-0005-0000-0000-0000B4020000}"/>
    <cellStyle name="Comma 4" xfId="46" xr:uid="{00000000-0005-0000-0000-0000B5020000}"/>
    <cellStyle name="Comma 4 10" xfId="245" xr:uid="{00000000-0005-0000-0000-0000B6020000}"/>
    <cellStyle name="Comma 4 11" xfId="261" xr:uid="{00000000-0005-0000-0000-0000B7020000}"/>
    <cellStyle name="Comma 4 12" xfId="275" xr:uid="{00000000-0005-0000-0000-0000B8020000}"/>
    <cellStyle name="Comma 4 13" xfId="287" xr:uid="{00000000-0005-0000-0000-0000B9020000}"/>
    <cellStyle name="Comma 4 14" xfId="306" xr:uid="{00000000-0005-0000-0000-0000BA020000}"/>
    <cellStyle name="Comma 4 15" xfId="333" xr:uid="{00000000-0005-0000-0000-0000BB020000}"/>
    <cellStyle name="Comma 4 16" xfId="337" xr:uid="{00000000-0005-0000-0000-0000BC020000}"/>
    <cellStyle name="Comma 4 17" xfId="380" xr:uid="{00000000-0005-0000-0000-0000BD020000}"/>
    <cellStyle name="Comma 4 18" xfId="395" xr:uid="{00000000-0005-0000-0000-0000BE020000}"/>
    <cellStyle name="Comma 4 19" xfId="422" xr:uid="{00000000-0005-0000-0000-0000BF020000}"/>
    <cellStyle name="Comma 4 2" xfId="124" xr:uid="{00000000-0005-0000-0000-0000C0020000}"/>
    <cellStyle name="Comma 4 20" xfId="450" xr:uid="{00000000-0005-0000-0000-0000C1020000}"/>
    <cellStyle name="Comma 4 21" xfId="446" xr:uid="{00000000-0005-0000-0000-0000C2020000}"/>
    <cellStyle name="Comma 4 22" xfId="532" xr:uid="{00000000-0005-0000-0000-0000C3020000}"/>
    <cellStyle name="Comma 4 23" xfId="539" xr:uid="{00000000-0005-0000-0000-0000C4020000}"/>
    <cellStyle name="Comma 4 24" xfId="560" xr:uid="{00000000-0005-0000-0000-0000C5020000}"/>
    <cellStyle name="Comma 4 25" xfId="592" xr:uid="{00000000-0005-0000-0000-0000C6020000}"/>
    <cellStyle name="Comma 4 26" xfId="619" xr:uid="{00000000-0005-0000-0000-0000C7020000}"/>
    <cellStyle name="Comma 4 27" xfId="645" xr:uid="{00000000-0005-0000-0000-0000C8020000}"/>
    <cellStyle name="Comma 4 28" xfId="669" xr:uid="{00000000-0005-0000-0000-0000C9020000}"/>
    <cellStyle name="Comma 4 29" xfId="753" xr:uid="{00000000-0005-0000-0000-0000CA020000}"/>
    <cellStyle name="Comma 4 3" xfId="145" xr:uid="{00000000-0005-0000-0000-0000CB020000}"/>
    <cellStyle name="Comma 4 30" xfId="942" xr:uid="{00000000-0005-0000-0000-0000CC020000}"/>
    <cellStyle name="Comma 4 4" xfId="163" xr:uid="{00000000-0005-0000-0000-0000CD020000}"/>
    <cellStyle name="Comma 4 5" xfId="165" xr:uid="{00000000-0005-0000-0000-0000CE020000}"/>
    <cellStyle name="Comma 4 6" xfId="197" xr:uid="{00000000-0005-0000-0000-0000CF020000}"/>
    <cellStyle name="Comma 4 7" xfId="194" xr:uid="{00000000-0005-0000-0000-0000D0020000}"/>
    <cellStyle name="Comma 4 8" xfId="211" xr:uid="{00000000-0005-0000-0000-0000D1020000}"/>
    <cellStyle name="Comma 4 9" xfId="230" xr:uid="{00000000-0005-0000-0000-0000D2020000}"/>
    <cellStyle name="Comma 40" xfId="1118" xr:uid="{00000000-0005-0000-0000-0000D3020000}"/>
    <cellStyle name="Comma 41" xfId="1079" xr:uid="{00000000-0005-0000-0000-0000D4020000}"/>
    <cellStyle name="Comma 42" xfId="1081" xr:uid="{00000000-0005-0000-0000-0000D5020000}"/>
    <cellStyle name="Comma 43" xfId="1110" xr:uid="{00000000-0005-0000-0000-0000D6020000}"/>
    <cellStyle name="Comma 44" xfId="1289" xr:uid="{00000000-0005-0000-0000-0000D7020000}"/>
    <cellStyle name="Comma 45" xfId="1295" xr:uid="{00000000-0005-0000-0000-0000D8020000}"/>
    <cellStyle name="Comma 46" xfId="1293" xr:uid="{00000000-0005-0000-0000-0000D9020000}"/>
    <cellStyle name="Comma 47" xfId="1292" xr:uid="{00000000-0005-0000-0000-0000DA020000}"/>
    <cellStyle name="Comma 48" xfId="1299" xr:uid="{00000000-0005-0000-0000-0000DB020000}"/>
    <cellStyle name="Comma 49" xfId="1300" xr:uid="{00000000-0005-0000-0000-0000DC020000}"/>
    <cellStyle name="Comma 5" xfId="48" xr:uid="{00000000-0005-0000-0000-0000DD020000}"/>
    <cellStyle name="Comma 5 10" xfId="293" xr:uid="{00000000-0005-0000-0000-0000DE020000}"/>
    <cellStyle name="Comma 5 10 2" xfId="817" xr:uid="{00000000-0005-0000-0000-0000DF020000}"/>
    <cellStyle name="Comma 5 11" xfId="304" xr:uid="{00000000-0005-0000-0000-0000E0020000}"/>
    <cellStyle name="Comma 5 11 2" xfId="820" xr:uid="{00000000-0005-0000-0000-0000E1020000}"/>
    <cellStyle name="Comma 5 12" xfId="312" xr:uid="{00000000-0005-0000-0000-0000E2020000}"/>
    <cellStyle name="Comma 5 12 2" xfId="823" xr:uid="{00000000-0005-0000-0000-0000E3020000}"/>
    <cellStyle name="Comma 5 13" xfId="315" xr:uid="{00000000-0005-0000-0000-0000E4020000}"/>
    <cellStyle name="Comma 5 13 2" xfId="826" xr:uid="{00000000-0005-0000-0000-0000E5020000}"/>
    <cellStyle name="Comma 5 14" xfId="318" xr:uid="{00000000-0005-0000-0000-0000E6020000}"/>
    <cellStyle name="Comma 5 14 2" xfId="829" xr:uid="{00000000-0005-0000-0000-0000E7020000}"/>
    <cellStyle name="Comma 5 15" xfId="383" xr:uid="{00000000-0005-0000-0000-0000E8020000}"/>
    <cellStyle name="Comma 5 15 2" xfId="847" xr:uid="{00000000-0005-0000-0000-0000E9020000}"/>
    <cellStyle name="Comma 5 16" xfId="413" xr:uid="{00000000-0005-0000-0000-0000EA020000}"/>
    <cellStyle name="Comma 5 16 2" xfId="864" xr:uid="{00000000-0005-0000-0000-0000EB020000}"/>
    <cellStyle name="Comma 5 17" xfId="440" xr:uid="{00000000-0005-0000-0000-0000EC020000}"/>
    <cellStyle name="Comma 5 17 2" xfId="881" xr:uid="{00000000-0005-0000-0000-0000ED020000}"/>
    <cellStyle name="Comma 5 18" xfId="466" xr:uid="{00000000-0005-0000-0000-0000EE020000}"/>
    <cellStyle name="Comma 5 18 2" xfId="897" xr:uid="{00000000-0005-0000-0000-0000EF020000}"/>
    <cellStyle name="Comma 5 19" xfId="492" xr:uid="{00000000-0005-0000-0000-0000F0020000}"/>
    <cellStyle name="Comma 5 19 2" xfId="915" xr:uid="{00000000-0005-0000-0000-0000F1020000}"/>
    <cellStyle name="Comma 5 2" xfId="169" xr:uid="{00000000-0005-0000-0000-0000F2020000}"/>
    <cellStyle name="Comma 5 2 2" xfId="787" xr:uid="{00000000-0005-0000-0000-0000F3020000}"/>
    <cellStyle name="Comma 5 2 2 2" xfId="1286" xr:uid="{00000000-0005-0000-0000-0000F4020000}"/>
    <cellStyle name="Comma 5 2 2 3" xfId="1384" xr:uid="{00000000-0005-0000-0000-0000F5020000}"/>
    <cellStyle name="Comma 5 2 3" xfId="1152" xr:uid="{00000000-0005-0000-0000-0000F6020000}"/>
    <cellStyle name="Comma 5 2 4" xfId="1198" xr:uid="{00000000-0005-0000-0000-0000F7020000}"/>
    <cellStyle name="Comma 5 2 5" xfId="1242" xr:uid="{00000000-0005-0000-0000-0000F8020000}"/>
    <cellStyle name="Comma 5 2 6" xfId="1340" xr:uid="{00000000-0005-0000-0000-0000F9020000}"/>
    <cellStyle name="Comma 5 20" xfId="516" xr:uid="{00000000-0005-0000-0000-0000FA020000}"/>
    <cellStyle name="Comma 5 20 2" xfId="931" xr:uid="{00000000-0005-0000-0000-0000FB020000}"/>
    <cellStyle name="Comma 5 21" xfId="542" xr:uid="{00000000-0005-0000-0000-0000FC020000}"/>
    <cellStyle name="Comma 5 21 2" xfId="951" xr:uid="{00000000-0005-0000-0000-0000FD020000}"/>
    <cellStyle name="Comma 5 22" xfId="582" xr:uid="{00000000-0005-0000-0000-0000FE020000}"/>
    <cellStyle name="Comma 5 22 2" xfId="971" xr:uid="{00000000-0005-0000-0000-0000FF020000}"/>
    <cellStyle name="Comma 5 23" xfId="610" xr:uid="{00000000-0005-0000-0000-000000030000}"/>
    <cellStyle name="Comma 5 23 2" xfId="988" xr:uid="{00000000-0005-0000-0000-000001030000}"/>
    <cellStyle name="Comma 5 24" xfId="636" xr:uid="{00000000-0005-0000-0000-000002030000}"/>
    <cellStyle name="Comma 5 24 2" xfId="1005" xr:uid="{00000000-0005-0000-0000-000003030000}"/>
    <cellStyle name="Comma 5 25" xfId="661" xr:uid="{00000000-0005-0000-0000-000004030000}"/>
    <cellStyle name="Comma 5 25 2" xfId="1021" xr:uid="{00000000-0005-0000-0000-000005030000}"/>
    <cellStyle name="Comma 5 26" xfId="685" xr:uid="{00000000-0005-0000-0000-000006030000}"/>
    <cellStyle name="Comma 5 26 2" xfId="1037" xr:uid="{00000000-0005-0000-0000-000007030000}"/>
    <cellStyle name="Comma 5 27" xfId="701" xr:uid="{00000000-0005-0000-0000-000008030000}"/>
    <cellStyle name="Comma 5 27 2" xfId="1053" xr:uid="{00000000-0005-0000-0000-000009030000}"/>
    <cellStyle name="Comma 5 28" xfId="717" xr:uid="{00000000-0005-0000-0000-00000A030000}"/>
    <cellStyle name="Comma 5 28 2" xfId="1069" xr:uid="{00000000-0005-0000-0000-00000B030000}"/>
    <cellStyle name="Comma 5 29" xfId="754" xr:uid="{00000000-0005-0000-0000-00000C030000}"/>
    <cellStyle name="Comma 5 3" xfId="192" xr:uid="{00000000-0005-0000-0000-00000D030000}"/>
    <cellStyle name="Comma 5 3 2" xfId="790" xr:uid="{00000000-0005-0000-0000-00000E030000}"/>
    <cellStyle name="Comma 5 3 3" xfId="1270" xr:uid="{00000000-0005-0000-0000-00000F030000}"/>
    <cellStyle name="Comma 5 3 4" xfId="1368" xr:uid="{00000000-0005-0000-0000-000010030000}"/>
    <cellStyle name="Comma 5 30" xfId="953" xr:uid="{00000000-0005-0000-0000-000011030000}"/>
    <cellStyle name="Comma 5 31" xfId="1136" xr:uid="{00000000-0005-0000-0000-000012030000}"/>
    <cellStyle name="Comma 5 32" xfId="1182" xr:uid="{00000000-0005-0000-0000-000013030000}"/>
    <cellStyle name="Comma 5 33" xfId="1226" xr:uid="{00000000-0005-0000-0000-000014030000}"/>
    <cellStyle name="Comma 5 34" xfId="1324" xr:uid="{00000000-0005-0000-0000-000015030000}"/>
    <cellStyle name="Comma 5 4" xfId="207" xr:uid="{00000000-0005-0000-0000-000016030000}"/>
    <cellStyle name="Comma 5 4 2" xfId="795" xr:uid="{00000000-0005-0000-0000-000017030000}"/>
    <cellStyle name="Comma 5 5" xfId="221" xr:uid="{00000000-0005-0000-0000-000018030000}"/>
    <cellStyle name="Comma 5 5 2" xfId="798" xr:uid="{00000000-0005-0000-0000-000019030000}"/>
    <cellStyle name="Comma 5 6" xfId="237" xr:uid="{00000000-0005-0000-0000-00001A030000}"/>
    <cellStyle name="Comma 5 6 2" xfId="803" xr:uid="{00000000-0005-0000-0000-00001B030000}"/>
    <cellStyle name="Comma 5 7" xfId="252" xr:uid="{00000000-0005-0000-0000-00001C030000}"/>
    <cellStyle name="Comma 5 7 2" xfId="807" xr:uid="{00000000-0005-0000-0000-00001D030000}"/>
    <cellStyle name="Comma 5 8" xfId="268" xr:uid="{00000000-0005-0000-0000-00001E030000}"/>
    <cellStyle name="Comma 5 8 2" xfId="811" xr:uid="{00000000-0005-0000-0000-00001F030000}"/>
    <cellStyle name="Comma 5 9" xfId="281" xr:uid="{00000000-0005-0000-0000-000020030000}"/>
    <cellStyle name="Comma 5 9 2" xfId="814" xr:uid="{00000000-0005-0000-0000-000021030000}"/>
    <cellStyle name="Comma 50" xfId="1296" xr:uid="{00000000-0005-0000-0000-000022030000}"/>
    <cellStyle name="Comma 51" xfId="1291" xr:uid="{00000000-0005-0000-0000-000023030000}"/>
    <cellStyle name="Comma 52" xfId="1301" xr:uid="{00000000-0005-0000-0000-000024030000}"/>
    <cellStyle name="Comma 53" xfId="1303" xr:uid="{00000000-0005-0000-0000-000025030000}"/>
    <cellStyle name="Comma 54" xfId="1298" xr:uid="{00000000-0005-0000-0000-000026030000}"/>
    <cellStyle name="Comma 55" xfId="1305" xr:uid="{00000000-0005-0000-0000-000027030000}"/>
    <cellStyle name="Comma 56" xfId="1304" xr:uid="{00000000-0005-0000-0000-000028030000}"/>
    <cellStyle name="Comma 57" xfId="1308" xr:uid="{00000000-0005-0000-0000-000029030000}"/>
    <cellStyle name="Comma 58" xfId="1307" xr:uid="{00000000-0005-0000-0000-00002A030000}"/>
    <cellStyle name="Comma 59" xfId="1302" xr:uid="{00000000-0005-0000-0000-00002B030000}"/>
    <cellStyle name="Comma 6" xfId="54" xr:uid="{00000000-0005-0000-0000-00002C030000}"/>
    <cellStyle name="Comma 6 2" xfId="757" xr:uid="{00000000-0005-0000-0000-00002D030000}"/>
    <cellStyle name="Comma 60" xfId="1306" xr:uid="{00000000-0005-0000-0000-00002E030000}"/>
    <cellStyle name="Comma 61" xfId="1309" xr:uid="{00000000-0005-0000-0000-00002F030000}"/>
    <cellStyle name="Comma 62" xfId="1290" xr:uid="{00000000-0005-0000-0000-000030030000}"/>
    <cellStyle name="Comma 63" xfId="1294" xr:uid="{00000000-0005-0000-0000-000031030000}"/>
    <cellStyle name="Comma 64" xfId="1297" xr:uid="{00000000-0005-0000-0000-000032030000}"/>
    <cellStyle name="Comma 7" xfId="55" xr:uid="{00000000-0005-0000-0000-000033030000}"/>
    <cellStyle name="Comma 7 2" xfId="758" xr:uid="{00000000-0005-0000-0000-000034030000}"/>
    <cellStyle name="Comma 8" xfId="56" xr:uid="{00000000-0005-0000-0000-000035030000}"/>
    <cellStyle name="Comma 8 2" xfId="759" xr:uid="{00000000-0005-0000-0000-000036030000}"/>
    <cellStyle name="Comma 9" xfId="58" xr:uid="{00000000-0005-0000-0000-000037030000}"/>
    <cellStyle name="Comma 9 2" xfId="761" xr:uid="{00000000-0005-0000-0000-000038030000}"/>
    <cellStyle name="Comma0" xfId="126" xr:uid="{00000000-0005-0000-0000-000039030000}"/>
    <cellStyle name="Currency" xfId="2" builtinId="4"/>
    <cellStyle name="Currency 2" xfId="18" xr:uid="{00000000-0005-0000-0000-00003B030000}"/>
    <cellStyle name="Currency 2 10" xfId="204" xr:uid="{00000000-0005-0000-0000-00003C030000}"/>
    <cellStyle name="Currency 2 11" xfId="198" xr:uid="{00000000-0005-0000-0000-00003D030000}"/>
    <cellStyle name="Currency 2 12" xfId="224" xr:uid="{00000000-0005-0000-0000-00003E030000}"/>
    <cellStyle name="Currency 2 13" xfId="239" xr:uid="{00000000-0005-0000-0000-00003F030000}"/>
    <cellStyle name="Currency 2 14" xfId="254" xr:uid="{00000000-0005-0000-0000-000040030000}"/>
    <cellStyle name="Currency 2 15" xfId="270" xr:uid="{00000000-0005-0000-0000-000041030000}"/>
    <cellStyle name="Currency 2 16" xfId="308" xr:uid="{00000000-0005-0000-0000-000042030000}"/>
    <cellStyle name="Currency 2 17" xfId="329" xr:uid="{00000000-0005-0000-0000-000043030000}"/>
    <cellStyle name="Currency 2 18" xfId="343" xr:uid="{00000000-0005-0000-0000-000044030000}"/>
    <cellStyle name="Currency 2 19" xfId="357" xr:uid="{00000000-0005-0000-0000-000045030000}"/>
    <cellStyle name="Currency 2 2" xfId="14" xr:uid="{00000000-0005-0000-0000-000046030000}"/>
    <cellStyle name="Currency 2 20" xfId="399" xr:uid="{00000000-0005-0000-0000-000047030000}"/>
    <cellStyle name="Currency 2 21" xfId="426" xr:uid="{00000000-0005-0000-0000-000048030000}"/>
    <cellStyle name="Currency 2 22" xfId="454" xr:uid="{00000000-0005-0000-0000-000049030000}"/>
    <cellStyle name="Currency 2 23" xfId="429" xr:uid="{00000000-0005-0000-0000-00004A030000}"/>
    <cellStyle name="Currency 2 24" xfId="503" xr:uid="{00000000-0005-0000-0000-00004B030000}"/>
    <cellStyle name="Currency 2 25" xfId="545" xr:uid="{00000000-0005-0000-0000-00004C030000}"/>
    <cellStyle name="Currency 2 26" xfId="564" xr:uid="{00000000-0005-0000-0000-00004D030000}"/>
    <cellStyle name="Currency 2 27" xfId="596" xr:uid="{00000000-0005-0000-0000-00004E030000}"/>
    <cellStyle name="Currency 2 28" xfId="623" xr:uid="{00000000-0005-0000-0000-00004F030000}"/>
    <cellStyle name="Currency 2 29" xfId="649" xr:uid="{00000000-0005-0000-0000-000050030000}"/>
    <cellStyle name="Currency 2 3" xfId="19" xr:uid="{00000000-0005-0000-0000-000051030000}"/>
    <cellStyle name="Currency 2 30" xfId="673" xr:uid="{00000000-0005-0000-0000-000052030000}"/>
    <cellStyle name="Currency 2 31" xfId="954" xr:uid="{00000000-0005-0000-0000-000053030000}"/>
    <cellStyle name="Currency 2 4" xfId="120" xr:uid="{00000000-0005-0000-0000-000054030000}"/>
    <cellStyle name="Currency 2 5" xfId="138" xr:uid="{00000000-0005-0000-0000-000055030000}"/>
    <cellStyle name="Currency 2 6" xfId="133" xr:uid="{00000000-0005-0000-0000-000056030000}"/>
    <cellStyle name="Currency 2 7" xfId="151" xr:uid="{00000000-0005-0000-0000-000057030000}"/>
    <cellStyle name="Currency 2 8" xfId="201" xr:uid="{00000000-0005-0000-0000-000058030000}"/>
    <cellStyle name="Currency 2 9" xfId="155" xr:uid="{00000000-0005-0000-0000-000059030000}"/>
    <cellStyle name="Currency 3" xfId="20" xr:uid="{00000000-0005-0000-0000-00005A030000}"/>
    <cellStyle name="Currency 3 10" xfId="199" xr:uid="{00000000-0005-0000-0000-00005B030000}"/>
    <cellStyle name="Currency 3 11" xfId="213" xr:uid="{00000000-0005-0000-0000-00005C030000}"/>
    <cellStyle name="Currency 3 12" xfId="232" xr:uid="{00000000-0005-0000-0000-00005D030000}"/>
    <cellStyle name="Currency 3 13" xfId="247" xr:uid="{00000000-0005-0000-0000-00005E030000}"/>
    <cellStyle name="Currency 3 14" xfId="299" xr:uid="{00000000-0005-0000-0000-00005F030000}"/>
    <cellStyle name="Currency 3 15" xfId="332" xr:uid="{00000000-0005-0000-0000-000060030000}"/>
    <cellStyle name="Currency 3 16" xfId="355" xr:uid="{00000000-0005-0000-0000-000061030000}"/>
    <cellStyle name="Currency 3 17" xfId="369" xr:uid="{00000000-0005-0000-0000-000062030000}"/>
    <cellStyle name="Currency 3 18" xfId="376" xr:uid="{00000000-0005-0000-0000-000063030000}"/>
    <cellStyle name="Currency 3 19" xfId="391" xr:uid="{00000000-0005-0000-0000-000064030000}"/>
    <cellStyle name="Currency 3 2" xfId="123" xr:uid="{00000000-0005-0000-0000-000065030000}"/>
    <cellStyle name="Currency 3 2 2" xfId="727" xr:uid="{00000000-0005-0000-0000-000066030000}"/>
    <cellStyle name="Currency 3 2 2 2" xfId="777" xr:uid="{00000000-0005-0000-0000-000067030000}"/>
    <cellStyle name="Currency 3 20" xfId="419" xr:uid="{00000000-0005-0000-0000-000068030000}"/>
    <cellStyle name="Currency 3 21" xfId="487" xr:uid="{00000000-0005-0000-0000-000069030000}"/>
    <cellStyle name="Currency 3 22" xfId="536" xr:uid="{00000000-0005-0000-0000-00006A030000}"/>
    <cellStyle name="Currency 3 23" xfId="547" xr:uid="{00000000-0005-0000-0000-00006B030000}"/>
    <cellStyle name="Currency 3 24" xfId="576" xr:uid="{00000000-0005-0000-0000-00006C030000}"/>
    <cellStyle name="Currency 3 25" xfId="556" xr:uid="{00000000-0005-0000-0000-00006D030000}"/>
    <cellStyle name="Currency 3 26" xfId="588" xr:uid="{00000000-0005-0000-0000-00006E030000}"/>
    <cellStyle name="Currency 3 27" xfId="616" xr:uid="{00000000-0005-0000-0000-00006F030000}"/>
    <cellStyle name="Currency 3 28" xfId="642" xr:uid="{00000000-0005-0000-0000-000070030000}"/>
    <cellStyle name="Currency 3 29" xfId="725" xr:uid="{00000000-0005-0000-0000-000071030000}"/>
    <cellStyle name="Currency 3 29 2" xfId="1074" xr:uid="{00000000-0005-0000-0000-000072030000}"/>
    <cellStyle name="Currency 3 3" xfId="132" xr:uid="{00000000-0005-0000-0000-000073030000}"/>
    <cellStyle name="Currency 3 3 2" xfId="750" xr:uid="{00000000-0005-0000-0000-000074030000}"/>
    <cellStyle name="Currency 3 3 2 2" xfId="778" xr:uid="{00000000-0005-0000-0000-000075030000}"/>
    <cellStyle name="Currency 3 30" xfId="956" xr:uid="{00000000-0005-0000-0000-000076030000}"/>
    <cellStyle name="Currency 3 4" xfId="160" xr:uid="{00000000-0005-0000-0000-000077030000}"/>
    <cellStyle name="Currency 3 5" xfId="186" xr:uid="{00000000-0005-0000-0000-000078030000}"/>
    <cellStyle name="Currency 3 6" xfId="177" xr:uid="{00000000-0005-0000-0000-000079030000}"/>
    <cellStyle name="Currency 3 7" xfId="215" xr:uid="{00000000-0005-0000-0000-00007A030000}"/>
    <cellStyle name="Currency 3 8" xfId="183" xr:uid="{00000000-0005-0000-0000-00007B030000}"/>
    <cellStyle name="Currency 3 9" xfId="176" xr:uid="{00000000-0005-0000-0000-00007C030000}"/>
    <cellStyle name="Currency 4" xfId="21" xr:uid="{00000000-0005-0000-0000-00007D030000}"/>
    <cellStyle name="Currency 4 2" xfId="1155" xr:uid="{00000000-0005-0000-0000-00007E030000}"/>
    <cellStyle name="Currency 5" xfId="22" xr:uid="{00000000-0005-0000-0000-00007F030000}"/>
    <cellStyle name="Currency0" xfId="127" xr:uid="{00000000-0005-0000-0000-000080030000}"/>
    <cellStyle name="Date" xfId="128" xr:uid="{00000000-0005-0000-0000-000081030000}"/>
    <cellStyle name="Explanatory Text" xfId="86" builtinId="53" customBuiltin="1"/>
    <cellStyle name="Fixed" xfId="129" xr:uid="{00000000-0005-0000-0000-000083030000}"/>
    <cellStyle name="Good" xfId="77" builtinId="26" customBuiltin="1"/>
    <cellStyle name="Heading 1" xfId="73" builtinId="16" customBuiltin="1"/>
    <cellStyle name="Heading 2" xfId="74" builtinId="17" customBuiltin="1"/>
    <cellStyle name="Heading 3" xfId="75" builtinId="18" customBuiltin="1"/>
    <cellStyle name="Heading 4" xfId="76" builtinId="19" customBuiltin="1"/>
    <cellStyle name="Input" xfId="80" builtinId="20" customBuiltin="1"/>
    <cellStyle name="Input Cells_EXTERNAL" xfId="130" xr:uid="{00000000-0005-0000-0000-00008A030000}"/>
    <cellStyle name="Linked Cell" xfId="83" builtinId="24" customBuiltin="1"/>
    <cellStyle name="Manual-Input" xfId="53" xr:uid="{00000000-0005-0000-0000-00008C030000}"/>
    <cellStyle name="Neutral" xfId="79" builtinId="28" customBuiltin="1"/>
    <cellStyle name="Normal" xfId="0" builtinId="0"/>
    <cellStyle name="Normal 10" xfId="45" xr:uid="{00000000-0005-0000-0000-00008F030000}"/>
    <cellStyle name="Normal 10 2" xfId="744" xr:uid="{00000000-0005-0000-0000-000090030000}"/>
    <cellStyle name="Normal 10 2 2" xfId="752" xr:uid="{00000000-0005-0000-0000-000091030000}"/>
    <cellStyle name="Normal 11" xfId="320" xr:uid="{00000000-0005-0000-0000-000092030000}"/>
    <cellStyle name="Normal 12" xfId="147" xr:uid="{00000000-0005-0000-0000-000093030000}"/>
    <cellStyle name="Normal 13" xfId="356" xr:uid="{00000000-0005-0000-0000-000094030000}"/>
    <cellStyle name="Normal 14" xfId="719" xr:uid="{00000000-0005-0000-0000-000095030000}"/>
    <cellStyle name="Normal 14 2" xfId="1071" xr:uid="{00000000-0005-0000-0000-000096030000}"/>
    <cellStyle name="Normal 15" xfId="1072" xr:uid="{00000000-0005-0000-0000-000097030000}"/>
    <cellStyle name="Normal 16" xfId="731" xr:uid="{00000000-0005-0000-0000-000098030000}"/>
    <cellStyle name="Normal 17" xfId="233" xr:uid="{00000000-0005-0000-0000-000099030000}"/>
    <cellStyle name="Normal 18" xfId="248" xr:uid="{00000000-0005-0000-0000-00009A030000}"/>
    <cellStyle name="Normal 19" xfId="264" xr:uid="{00000000-0005-0000-0000-00009B030000}"/>
    <cellStyle name="Normal 2" xfId="4" xr:uid="{00000000-0005-0000-0000-00009C030000}"/>
    <cellStyle name="Normal 2 10" xfId="1104" xr:uid="{00000000-0005-0000-0000-00009D030000}"/>
    <cellStyle name="Normal 2 11" xfId="1107" xr:uid="{00000000-0005-0000-0000-00009E030000}"/>
    <cellStyle name="Normal 2 2" xfId="8" xr:uid="{00000000-0005-0000-0000-00009F030000}"/>
    <cellStyle name="Normal 2 2 10" xfId="202" xr:uid="{00000000-0005-0000-0000-0000A0030000}"/>
    <cellStyle name="Normal 2 2 11" xfId="223" xr:uid="{00000000-0005-0000-0000-0000A1030000}"/>
    <cellStyle name="Normal 2 2 12" xfId="187" xr:uid="{00000000-0005-0000-0000-0000A2030000}"/>
    <cellStyle name="Normal 2 2 13" xfId="226" xr:uid="{00000000-0005-0000-0000-0000A3030000}"/>
    <cellStyle name="Normal 2 2 14" xfId="241" xr:uid="{00000000-0005-0000-0000-0000A4030000}"/>
    <cellStyle name="Normal 2 2 15" xfId="307" xr:uid="{00000000-0005-0000-0000-0000A5030000}"/>
    <cellStyle name="Normal 2 2 16" xfId="327" xr:uid="{00000000-0005-0000-0000-0000A6030000}"/>
    <cellStyle name="Normal 2 2 17" xfId="350" xr:uid="{00000000-0005-0000-0000-0000A7030000}"/>
    <cellStyle name="Normal 2 2 18" xfId="385" xr:uid="{00000000-0005-0000-0000-0000A8030000}"/>
    <cellStyle name="Normal 2 2 19" xfId="398" xr:uid="{00000000-0005-0000-0000-0000A9030000}"/>
    <cellStyle name="Normal 2 2 2" xfId="52" xr:uid="{00000000-0005-0000-0000-0000AA030000}"/>
    <cellStyle name="Normal 2 2 2 2" xfId="748" xr:uid="{00000000-0005-0000-0000-0000AB030000}"/>
    <cellStyle name="Normal 2 2 2 2 2" xfId="756" xr:uid="{00000000-0005-0000-0000-0000AC030000}"/>
    <cellStyle name="Normal 2 2 20" xfId="425" xr:uid="{00000000-0005-0000-0000-0000AD030000}"/>
    <cellStyle name="Normal 2 2 21" xfId="453" xr:uid="{00000000-0005-0000-0000-0000AE030000}"/>
    <cellStyle name="Normal 2 2 22" xfId="470" xr:uid="{00000000-0005-0000-0000-0000AF030000}"/>
    <cellStyle name="Normal 2 2 23" xfId="494" xr:uid="{00000000-0005-0000-0000-0000B0030000}"/>
    <cellStyle name="Normal 2 2 24" xfId="535" xr:uid="{00000000-0005-0000-0000-0000B1030000}"/>
    <cellStyle name="Normal 2 2 25" xfId="563" xr:uid="{00000000-0005-0000-0000-0000B2030000}"/>
    <cellStyle name="Normal 2 2 26" xfId="595" xr:uid="{00000000-0005-0000-0000-0000B3030000}"/>
    <cellStyle name="Normal 2 2 27" xfId="622" xr:uid="{00000000-0005-0000-0000-0000B4030000}"/>
    <cellStyle name="Normal 2 2 28" xfId="648" xr:uid="{00000000-0005-0000-0000-0000B5030000}"/>
    <cellStyle name="Normal 2 2 29" xfId="672" xr:uid="{00000000-0005-0000-0000-0000B6030000}"/>
    <cellStyle name="Normal 2 2 3" xfId="118" xr:uid="{00000000-0005-0000-0000-0000B7030000}"/>
    <cellStyle name="Normal 2 2 30" xfId="728" xr:uid="{00000000-0005-0000-0000-0000B8030000}"/>
    <cellStyle name="Normal 2 2 31" xfId="782" xr:uid="{00000000-0005-0000-0000-0000B9030000}"/>
    <cellStyle name="Normal 2 2 4" xfId="137" xr:uid="{00000000-0005-0000-0000-0000BA030000}"/>
    <cellStyle name="Normal 2 2 5" xfId="162" xr:uid="{00000000-0005-0000-0000-0000BB030000}"/>
    <cellStyle name="Normal 2 2 6" xfId="142" xr:uid="{00000000-0005-0000-0000-0000BC030000}"/>
    <cellStyle name="Normal 2 2 7" xfId="200" xr:uid="{00000000-0005-0000-0000-0000BD030000}"/>
    <cellStyle name="Normal 2 2 8" xfId="203" xr:uid="{00000000-0005-0000-0000-0000BE030000}"/>
    <cellStyle name="Normal 2 2 9" xfId="216" xr:uid="{00000000-0005-0000-0000-0000BF030000}"/>
    <cellStyle name="Normal 2 3" xfId="50" xr:uid="{00000000-0005-0000-0000-0000C0030000}"/>
    <cellStyle name="Normal 2 4" xfId="1083" xr:uid="{00000000-0005-0000-0000-0000C1030000}"/>
    <cellStyle name="Normal 2 5" xfId="1086" xr:uid="{00000000-0005-0000-0000-0000C2030000}"/>
    <cellStyle name="Normal 2 6" xfId="1091" xr:uid="{00000000-0005-0000-0000-0000C3030000}"/>
    <cellStyle name="Normal 2 7" xfId="1093" xr:uid="{00000000-0005-0000-0000-0000C4030000}"/>
    <cellStyle name="Normal 2 8" xfId="1097" xr:uid="{00000000-0005-0000-0000-0000C5030000}"/>
    <cellStyle name="Normal 2 9" xfId="1100" xr:uid="{00000000-0005-0000-0000-0000C6030000}"/>
    <cellStyle name="Normal 20" xfId="277" xr:uid="{00000000-0005-0000-0000-0000C7030000}"/>
    <cellStyle name="Normal 21" xfId="289" xr:uid="{00000000-0005-0000-0000-0000C8030000}"/>
    <cellStyle name="Normal 22" xfId="301" xr:uid="{00000000-0005-0000-0000-0000C9030000}"/>
    <cellStyle name="Normal 23" xfId="469" xr:uid="{00000000-0005-0000-0000-0000CA030000}"/>
    <cellStyle name="Normal 24" xfId="1076" xr:uid="{00000000-0005-0000-0000-0000CB030000}"/>
    <cellStyle name="Normal 25" xfId="507" xr:uid="{00000000-0005-0000-0000-0000CC030000}"/>
    <cellStyle name="Normal 26" xfId="524" xr:uid="{00000000-0005-0000-0000-0000CD030000}"/>
    <cellStyle name="Normal 27" xfId="1288" xr:uid="{00000000-0005-0000-0000-0000CE030000}"/>
    <cellStyle name="Normal 29" xfId="638" xr:uid="{00000000-0005-0000-0000-0000CF030000}"/>
    <cellStyle name="Normal 3" xfId="5" xr:uid="{00000000-0005-0000-0000-0000D0030000}"/>
    <cellStyle name="Normal 3 10" xfId="236" xr:uid="{00000000-0005-0000-0000-0000D1030000}"/>
    <cellStyle name="Normal 3 11" xfId="251" xr:uid="{00000000-0005-0000-0000-0000D2030000}"/>
    <cellStyle name="Normal 3 12" xfId="267" xr:uid="{00000000-0005-0000-0000-0000D3030000}"/>
    <cellStyle name="Normal 3 13" xfId="280" xr:uid="{00000000-0005-0000-0000-0000D4030000}"/>
    <cellStyle name="Normal 3 14" xfId="292" xr:uid="{00000000-0005-0000-0000-0000D5030000}"/>
    <cellStyle name="Normal 3 15" xfId="303" xr:uid="{00000000-0005-0000-0000-0000D6030000}"/>
    <cellStyle name="Normal 3 16" xfId="311" xr:uid="{00000000-0005-0000-0000-0000D7030000}"/>
    <cellStyle name="Normal 3 17" xfId="286" xr:uid="{00000000-0005-0000-0000-0000D8030000}"/>
    <cellStyle name="Normal 3 18" xfId="323" xr:uid="{00000000-0005-0000-0000-0000D9030000}"/>
    <cellStyle name="Normal 3 19" xfId="321" xr:uid="{00000000-0005-0000-0000-0000DA030000}"/>
    <cellStyle name="Normal 3 2" xfId="12" xr:uid="{00000000-0005-0000-0000-0000DB030000}"/>
    <cellStyle name="Normal 3 2 2" xfId="1084" xr:uid="{00000000-0005-0000-0000-0000DC030000}"/>
    <cellStyle name="Normal 3 20" xfId="344" xr:uid="{00000000-0005-0000-0000-0000DD030000}"/>
    <cellStyle name="Normal 3 21" xfId="342" xr:uid="{00000000-0005-0000-0000-0000DE030000}"/>
    <cellStyle name="Normal 3 22" xfId="373" xr:uid="{00000000-0005-0000-0000-0000DF030000}"/>
    <cellStyle name="Normal 3 23" xfId="360" xr:uid="{00000000-0005-0000-0000-0000E0030000}"/>
    <cellStyle name="Normal 3 24" xfId="486" xr:uid="{00000000-0005-0000-0000-0000E1030000}"/>
    <cellStyle name="Normal 3 25" xfId="504" xr:uid="{00000000-0005-0000-0000-0000E2030000}"/>
    <cellStyle name="Normal 3 26" xfId="468" xr:uid="{00000000-0005-0000-0000-0000E3030000}"/>
    <cellStyle name="Normal 3 27" xfId="546" xr:uid="{00000000-0005-0000-0000-0000E4030000}"/>
    <cellStyle name="Normal 3 28" xfId="482" xr:uid="{00000000-0005-0000-0000-0000E5030000}"/>
    <cellStyle name="Normal 3 29" xfId="548" xr:uid="{00000000-0005-0000-0000-0000E6030000}"/>
    <cellStyle name="Normal 3 3" xfId="9" xr:uid="{00000000-0005-0000-0000-0000E7030000}"/>
    <cellStyle name="Normal 3 3 2" xfId="745" xr:uid="{00000000-0005-0000-0000-0000E8030000}"/>
    <cellStyle name="Normal 3 3 3" xfId="1087" xr:uid="{00000000-0005-0000-0000-0000E9030000}"/>
    <cellStyle name="Normal 3 30" xfId="567" xr:uid="{00000000-0005-0000-0000-0000EA030000}"/>
    <cellStyle name="Normal 3 31" xfId="599" xr:uid="{00000000-0005-0000-0000-0000EB030000}"/>
    <cellStyle name="Normal 3 32" xfId="720" xr:uid="{00000000-0005-0000-0000-0000EC030000}"/>
    <cellStyle name="Normal 3 33" xfId="800" xr:uid="{00000000-0005-0000-0000-0000ED030000}"/>
    <cellStyle name="Normal 3 4" xfId="51" xr:uid="{00000000-0005-0000-0000-0000EE030000}"/>
    <cellStyle name="Normal 3 5" xfId="114" xr:uid="{00000000-0005-0000-0000-0000EF030000}"/>
    <cellStyle name="Normal 3 5 2" xfId="1094" xr:uid="{00000000-0005-0000-0000-0000F0030000}"/>
    <cellStyle name="Normal 3 6" xfId="112" xr:uid="{00000000-0005-0000-0000-0000F1030000}"/>
    <cellStyle name="Normal 3 6 2" xfId="1098" xr:uid="{00000000-0005-0000-0000-0000F2030000}"/>
    <cellStyle name="Normal 3 7" xfId="191" xr:uid="{00000000-0005-0000-0000-0000F3030000}"/>
    <cellStyle name="Normal 3 7 2" xfId="1101" xr:uid="{00000000-0005-0000-0000-0000F4030000}"/>
    <cellStyle name="Normal 3 8" xfId="189" xr:uid="{00000000-0005-0000-0000-0000F5030000}"/>
    <cellStyle name="Normal 3 8 2" xfId="1105" xr:uid="{00000000-0005-0000-0000-0000F6030000}"/>
    <cellStyle name="Normal 3 9" xfId="150" xr:uid="{00000000-0005-0000-0000-0000F7030000}"/>
    <cellStyle name="Normal 3 9 2" xfId="1108" xr:uid="{00000000-0005-0000-0000-0000F8030000}"/>
    <cellStyle name="Normal 3_GRCW" xfId="23" xr:uid="{00000000-0005-0000-0000-0000F9030000}"/>
    <cellStyle name="Normal 30" xfId="663" xr:uid="{00000000-0005-0000-0000-0000FA030000}"/>
    <cellStyle name="Normal 4" xfId="24" xr:uid="{00000000-0005-0000-0000-0000FB030000}"/>
    <cellStyle name="Normal 4 10" xfId="246" xr:uid="{00000000-0005-0000-0000-0000FC030000}"/>
    <cellStyle name="Normal 4 11" xfId="262" xr:uid="{00000000-0005-0000-0000-0000FD030000}"/>
    <cellStyle name="Normal 4 12" xfId="276" xr:uid="{00000000-0005-0000-0000-0000FE030000}"/>
    <cellStyle name="Normal 4 13" xfId="288" xr:uid="{00000000-0005-0000-0000-0000FF030000}"/>
    <cellStyle name="Normal 4 14" xfId="300" xr:uid="{00000000-0005-0000-0000-000000040000}"/>
    <cellStyle name="Normal 4 15" xfId="263" xr:uid="{00000000-0005-0000-0000-000001040000}"/>
    <cellStyle name="Normal 4 16" xfId="331" xr:uid="{00000000-0005-0000-0000-000002040000}"/>
    <cellStyle name="Normal 4 17" xfId="338" xr:uid="{00000000-0005-0000-0000-000003040000}"/>
    <cellStyle name="Normal 4 18" xfId="365" xr:uid="{00000000-0005-0000-0000-000004040000}"/>
    <cellStyle name="Normal 4 19" xfId="407" xr:uid="{00000000-0005-0000-0000-000005040000}"/>
    <cellStyle name="Normal 4 2" xfId="47" xr:uid="{00000000-0005-0000-0000-000006040000}"/>
    <cellStyle name="Normal 4 20" xfId="434" xr:uid="{00000000-0005-0000-0000-000007040000}"/>
    <cellStyle name="Normal 4 21" xfId="460" xr:uid="{00000000-0005-0000-0000-000008040000}"/>
    <cellStyle name="Normal 4 22" xfId="483" xr:uid="{00000000-0005-0000-0000-000009040000}"/>
    <cellStyle name="Normal 4 23" xfId="500" xr:uid="{00000000-0005-0000-0000-00000A040000}"/>
    <cellStyle name="Normal 4 24" xfId="521" xr:uid="{00000000-0005-0000-0000-00000B040000}"/>
    <cellStyle name="Normal 4 25" xfId="572" xr:uid="{00000000-0005-0000-0000-00000C040000}"/>
    <cellStyle name="Normal 4 26" xfId="604" xr:uid="{00000000-0005-0000-0000-00000D040000}"/>
    <cellStyle name="Normal 4 27" xfId="630" xr:uid="{00000000-0005-0000-0000-00000E040000}"/>
    <cellStyle name="Normal 4 28" xfId="655" xr:uid="{00000000-0005-0000-0000-00000F040000}"/>
    <cellStyle name="Normal 4 29" xfId="679" xr:uid="{00000000-0005-0000-0000-000010040000}"/>
    <cellStyle name="Normal 4 3" xfId="122" xr:uid="{00000000-0005-0000-0000-000011040000}"/>
    <cellStyle name="Normal 4 30" xfId="938" xr:uid="{00000000-0005-0000-0000-000012040000}"/>
    <cellStyle name="Normal 4 4" xfId="131" xr:uid="{00000000-0005-0000-0000-000013040000}"/>
    <cellStyle name="Normal 4 5" xfId="156" xr:uid="{00000000-0005-0000-0000-000014040000}"/>
    <cellStyle name="Normal 4 6" xfId="182" xr:uid="{00000000-0005-0000-0000-000015040000}"/>
    <cellStyle name="Normal 4 7" xfId="185" xr:uid="{00000000-0005-0000-0000-000016040000}"/>
    <cellStyle name="Normal 4 8" xfId="212" xr:uid="{00000000-0005-0000-0000-000017040000}"/>
    <cellStyle name="Normal 4 9" xfId="231" xr:uid="{00000000-0005-0000-0000-000018040000}"/>
    <cellStyle name="Normal 5" xfId="25" xr:uid="{00000000-0005-0000-0000-000019040000}"/>
    <cellStyle name="Normal 5 10" xfId="279" xr:uid="{00000000-0005-0000-0000-00001A040000}"/>
    <cellStyle name="Normal 5 10 2" xfId="813" xr:uid="{00000000-0005-0000-0000-00001B040000}"/>
    <cellStyle name="Normal 5 11" xfId="291" xr:uid="{00000000-0005-0000-0000-00001C040000}"/>
    <cellStyle name="Normal 5 11 2" xfId="816" xr:uid="{00000000-0005-0000-0000-00001D040000}"/>
    <cellStyle name="Normal 5 12" xfId="302" xr:uid="{00000000-0005-0000-0000-00001E040000}"/>
    <cellStyle name="Normal 5 12 2" xfId="819" xr:uid="{00000000-0005-0000-0000-00001F040000}"/>
    <cellStyle name="Normal 5 13" xfId="310" xr:uid="{00000000-0005-0000-0000-000020040000}"/>
    <cellStyle name="Normal 5 13 2" xfId="822" xr:uid="{00000000-0005-0000-0000-000021040000}"/>
    <cellStyle name="Normal 5 14" xfId="314" xr:uid="{00000000-0005-0000-0000-000022040000}"/>
    <cellStyle name="Normal 5 14 2" xfId="825" xr:uid="{00000000-0005-0000-0000-000023040000}"/>
    <cellStyle name="Normal 5 15" xfId="317" xr:uid="{00000000-0005-0000-0000-000024040000}"/>
    <cellStyle name="Normal 5 15 2" xfId="828" xr:uid="{00000000-0005-0000-0000-000025040000}"/>
    <cellStyle name="Normal 5 16" xfId="381" xr:uid="{00000000-0005-0000-0000-000026040000}"/>
    <cellStyle name="Normal 5 16 2" xfId="845" xr:uid="{00000000-0005-0000-0000-000027040000}"/>
    <cellStyle name="Normal 5 17" xfId="411" xr:uid="{00000000-0005-0000-0000-000028040000}"/>
    <cellStyle name="Normal 5 17 2" xfId="862" xr:uid="{00000000-0005-0000-0000-000029040000}"/>
    <cellStyle name="Normal 5 18" xfId="438" xr:uid="{00000000-0005-0000-0000-00002A040000}"/>
    <cellStyle name="Normal 5 18 2" xfId="879" xr:uid="{00000000-0005-0000-0000-00002B040000}"/>
    <cellStyle name="Normal 5 19" xfId="464" xr:uid="{00000000-0005-0000-0000-00002C040000}"/>
    <cellStyle name="Normal 5 19 2" xfId="895" xr:uid="{00000000-0005-0000-0000-00002D040000}"/>
    <cellStyle name="Normal 5 2" xfId="26" xr:uid="{00000000-0005-0000-0000-00002E040000}"/>
    <cellStyle name="Normal 5 2 2" xfId="1085" xr:uid="{00000000-0005-0000-0000-00002F040000}"/>
    <cellStyle name="Normal 5 2 2 2" xfId="1284" xr:uid="{00000000-0005-0000-0000-000030040000}"/>
    <cellStyle name="Normal 5 2 2 3" xfId="1382" xr:uid="{00000000-0005-0000-0000-000031040000}"/>
    <cellStyle name="Normal 5 2 3" xfId="1150" xr:uid="{00000000-0005-0000-0000-000032040000}"/>
    <cellStyle name="Normal 5 2 4" xfId="1196" xr:uid="{00000000-0005-0000-0000-000033040000}"/>
    <cellStyle name="Normal 5 2 5" xfId="1240" xr:uid="{00000000-0005-0000-0000-000034040000}"/>
    <cellStyle name="Normal 5 2 6" xfId="1338" xr:uid="{00000000-0005-0000-0000-000035040000}"/>
    <cellStyle name="Normal 5 20" xfId="490" xr:uid="{00000000-0005-0000-0000-000036040000}"/>
    <cellStyle name="Normal 5 20 2" xfId="913" xr:uid="{00000000-0005-0000-0000-000037040000}"/>
    <cellStyle name="Normal 5 21" xfId="514" xr:uid="{00000000-0005-0000-0000-000038040000}"/>
    <cellStyle name="Normal 5 21 2" xfId="929" xr:uid="{00000000-0005-0000-0000-000039040000}"/>
    <cellStyle name="Normal 5 22" xfId="540" xr:uid="{00000000-0005-0000-0000-00003A040000}"/>
    <cellStyle name="Normal 5 22 2" xfId="949" xr:uid="{00000000-0005-0000-0000-00003B040000}"/>
    <cellStyle name="Normal 5 23" xfId="580" xr:uid="{00000000-0005-0000-0000-00003C040000}"/>
    <cellStyle name="Normal 5 23 2" xfId="969" xr:uid="{00000000-0005-0000-0000-00003D040000}"/>
    <cellStyle name="Normal 5 24" xfId="608" xr:uid="{00000000-0005-0000-0000-00003E040000}"/>
    <cellStyle name="Normal 5 24 2" xfId="986" xr:uid="{00000000-0005-0000-0000-00003F040000}"/>
    <cellStyle name="Normal 5 25" xfId="634" xr:uid="{00000000-0005-0000-0000-000040040000}"/>
    <cellStyle name="Normal 5 25 2" xfId="1003" xr:uid="{00000000-0005-0000-0000-000041040000}"/>
    <cellStyle name="Normal 5 26" xfId="659" xr:uid="{00000000-0005-0000-0000-000042040000}"/>
    <cellStyle name="Normal 5 26 2" xfId="1019" xr:uid="{00000000-0005-0000-0000-000043040000}"/>
    <cellStyle name="Normal 5 27" xfId="683" xr:uid="{00000000-0005-0000-0000-000044040000}"/>
    <cellStyle name="Normal 5 27 2" xfId="1035" xr:uid="{00000000-0005-0000-0000-000045040000}"/>
    <cellStyle name="Normal 5 28" xfId="699" xr:uid="{00000000-0005-0000-0000-000046040000}"/>
    <cellStyle name="Normal 5 28 2" xfId="1051" xr:uid="{00000000-0005-0000-0000-000047040000}"/>
    <cellStyle name="Normal 5 29" xfId="715" xr:uid="{00000000-0005-0000-0000-000048040000}"/>
    <cellStyle name="Normal 5 29 2" xfId="1067" xr:uid="{00000000-0005-0000-0000-000049040000}"/>
    <cellStyle name="Normal 5 3" xfId="167" xr:uid="{00000000-0005-0000-0000-00004A040000}"/>
    <cellStyle name="Normal 5 3 2" xfId="785" xr:uid="{00000000-0005-0000-0000-00004B040000}"/>
    <cellStyle name="Normal 5 3 3" xfId="1088" xr:uid="{00000000-0005-0000-0000-00004C040000}"/>
    <cellStyle name="Normal 5 3 4" xfId="1268" xr:uid="{00000000-0005-0000-0000-00004D040000}"/>
    <cellStyle name="Normal 5 3 5" xfId="1366" xr:uid="{00000000-0005-0000-0000-00004E040000}"/>
    <cellStyle name="Normal 5 30" xfId="933" xr:uid="{00000000-0005-0000-0000-00004F040000}"/>
    <cellStyle name="Normal 5 31" xfId="1082" xr:uid="{00000000-0005-0000-0000-000050040000}"/>
    <cellStyle name="Normal 5 32" xfId="1134" xr:uid="{00000000-0005-0000-0000-000051040000}"/>
    <cellStyle name="Normal 5 33" xfId="1180" xr:uid="{00000000-0005-0000-0000-000052040000}"/>
    <cellStyle name="Normal 5 34" xfId="1224" xr:uid="{00000000-0005-0000-0000-000053040000}"/>
    <cellStyle name="Normal 5 35" xfId="1322" xr:uid="{00000000-0005-0000-0000-000054040000}"/>
    <cellStyle name="Normal 5 4" xfId="190" xr:uid="{00000000-0005-0000-0000-000055040000}"/>
    <cellStyle name="Normal 5 4 2" xfId="789" xr:uid="{00000000-0005-0000-0000-000056040000}"/>
    <cellStyle name="Normal 5 4 3" xfId="1092" xr:uid="{00000000-0005-0000-0000-000057040000}"/>
    <cellStyle name="Normal 5 5" xfId="205" xr:uid="{00000000-0005-0000-0000-000058040000}"/>
    <cellStyle name="Normal 5 5 2" xfId="793" xr:uid="{00000000-0005-0000-0000-000059040000}"/>
    <cellStyle name="Normal 5 5 3" xfId="1095" xr:uid="{00000000-0005-0000-0000-00005A040000}"/>
    <cellStyle name="Normal 5 6" xfId="219" xr:uid="{00000000-0005-0000-0000-00005B040000}"/>
    <cellStyle name="Normal 5 6 2" xfId="797" xr:uid="{00000000-0005-0000-0000-00005C040000}"/>
    <cellStyle name="Normal 5 6 3" xfId="1099" xr:uid="{00000000-0005-0000-0000-00005D040000}"/>
    <cellStyle name="Normal 5 7" xfId="235" xr:uid="{00000000-0005-0000-0000-00005E040000}"/>
    <cellStyle name="Normal 5 7 2" xfId="802" xr:uid="{00000000-0005-0000-0000-00005F040000}"/>
    <cellStyle name="Normal 5 7 3" xfId="1102" xr:uid="{00000000-0005-0000-0000-000060040000}"/>
    <cellStyle name="Normal 5 8" xfId="250" xr:uid="{00000000-0005-0000-0000-000061040000}"/>
    <cellStyle name="Normal 5 8 2" xfId="806" xr:uid="{00000000-0005-0000-0000-000062040000}"/>
    <cellStyle name="Normal 5 8 3" xfId="1106" xr:uid="{00000000-0005-0000-0000-000063040000}"/>
    <cellStyle name="Normal 5 9" xfId="266" xr:uid="{00000000-0005-0000-0000-000064040000}"/>
    <cellStyle name="Normal 5 9 2" xfId="810" xr:uid="{00000000-0005-0000-0000-000065040000}"/>
    <cellStyle name="Normal 5 9 3" xfId="1109" xr:uid="{00000000-0005-0000-0000-000066040000}"/>
    <cellStyle name="Normal 5_GRCW" xfId="27" xr:uid="{00000000-0005-0000-0000-000067040000}"/>
    <cellStyle name="Normal 6" xfId="28" xr:uid="{00000000-0005-0000-0000-000068040000}"/>
    <cellStyle name="Normal 6 2" xfId="1154" xr:uid="{00000000-0005-0000-0000-000069040000}"/>
    <cellStyle name="Normal 7" xfId="29" xr:uid="{00000000-0005-0000-0000-00006A040000}"/>
    <cellStyle name="Normal 8" xfId="30" xr:uid="{00000000-0005-0000-0000-00006B040000}"/>
    <cellStyle name="Normal 8 2" xfId="1090" xr:uid="{00000000-0005-0000-0000-00006C040000}"/>
    <cellStyle name="Normal 9" xfId="31" xr:uid="{00000000-0005-0000-0000-00006D040000}"/>
    <cellStyle name="Note 2" xfId="168" xr:uid="{00000000-0005-0000-0000-00006E040000}"/>
    <cellStyle name="Note 2 10" xfId="609" xr:uid="{00000000-0005-0000-0000-00006F040000}"/>
    <cellStyle name="Note 2 10 2" xfId="987" xr:uid="{00000000-0005-0000-0000-000070040000}"/>
    <cellStyle name="Note 2 11" xfId="635" xr:uid="{00000000-0005-0000-0000-000071040000}"/>
    <cellStyle name="Note 2 11 2" xfId="1004" xr:uid="{00000000-0005-0000-0000-000072040000}"/>
    <cellStyle name="Note 2 12" xfId="660" xr:uid="{00000000-0005-0000-0000-000073040000}"/>
    <cellStyle name="Note 2 12 2" xfId="1020" xr:uid="{00000000-0005-0000-0000-000074040000}"/>
    <cellStyle name="Note 2 13" xfId="684" xr:uid="{00000000-0005-0000-0000-000075040000}"/>
    <cellStyle name="Note 2 13 2" xfId="1036" xr:uid="{00000000-0005-0000-0000-000076040000}"/>
    <cellStyle name="Note 2 14" xfId="700" xr:uid="{00000000-0005-0000-0000-000077040000}"/>
    <cellStyle name="Note 2 14 2" xfId="1052" xr:uid="{00000000-0005-0000-0000-000078040000}"/>
    <cellStyle name="Note 2 15" xfId="716" xr:uid="{00000000-0005-0000-0000-000079040000}"/>
    <cellStyle name="Note 2 15 2" xfId="1068" xr:uid="{00000000-0005-0000-0000-00007A040000}"/>
    <cellStyle name="Note 2 16" xfId="786" xr:uid="{00000000-0005-0000-0000-00007B040000}"/>
    <cellStyle name="Note 2 17" xfId="941" xr:uid="{00000000-0005-0000-0000-00007C040000}"/>
    <cellStyle name="Note 2 18" xfId="1135" xr:uid="{00000000-0005-0000-0000-00007D040000}"/>
    <cellStyle name="Note 2 19" xfId="1181" xr:uid="{00000000-0005-0000-0000-00007E040000}"/>
    <cellStyle name="Note 2 2" xfId="382" xr:uid="{00000000-0005-0000-0000-00007F040000}"/>
    <cellStyle name="Note 2 2 2" xfId="846" xr:uid="{00000000-0005-0000-0000-000080040000}"/>
    <cellStyle name="Note 2 2 2 2" xfId="1285" xr:uid="{00000000-0005-0000-0000-000081040000}"/>
    <cellStyle name="Note 2 2 2 3" xfId="1383" xr:uid="{00000000-0005-0000-0000-000082040000}"/>
    <cellStyle name="Note 2 2 3" xfId="1151" xr:uid="{00000000-0005-0000-0000-000083040000}"/>
    <cellStyle name="Note 2 2 4" xfId="1197" xr:uid="{00000000-0005-0000-0000-000084040000}"/>
    <cellStyle name="Note 2 2 5" xfId="1241" xr:uid="{00000000-0005-0000-0000-000085040000}"/>
    <cellStyle name="Note 2 2 6" xfId="1339" xr:uid="{00000000-0005-0000-0000-000086040000}"/>
    <cellStyle name="Note 2 20" xfId="1225" xr:uid="{00000000-0005-0000-0000-000087040000}"/>
    <cellStyle name="Note 2 21" xfId="1323" xr:uid="{00000000-0005-0000-0000-000088040000}"/>
    <cellStyle name="Note 2 3" xfId="412" xr:uid="{00000000-0005-0000-0000-000089040000}"/>
    <cellStyle name="Note 2 3 2" xfId="863" xr:uid="{00000000-0005-0000-0000-00008A040000}"/>
    <cellStyle name="Note 2 3 3" xfId="1269" xr:uid="{00000000-0005-0000-0000-00008B040000}"/>
    <cellStyle name="Note 2 3 4" xfId="1367" xr:uid="{00000000-0005-0000-0000-00008C040000}"/>
    <cellStyle name="Note 2 4" xfId="439" xr:uid="{00000000-0005-0000-0000-00008D040000}"/>
    <cellStyle name="Note 2 4 2" xfId="880" xr:uid="{00000000-0005-0000-0000-00008E040000}"/>
    <cellStyle name="Note 2 5" xfId="465" xr:uid="{00000000-0005-0000-0000-00008F040000}"/>
    <cellStyle name="Note 2 5 2" xfId="896" xr:uid="{00000000-0005-0000-0000-000090040000}"/>
    <cellStyle name="Note 2 6" xfId="491" xr:uid="{00000000-0005-0000-0000-000091040000}"/>
    <cellStyle name="Note 2 6 2" xfId="914" xr:uid="{00000000-0005-0000-0000-000092040000}"/>
    <cellStyle name="Note 2 7" xfId="515" xr:uid="{00000000-0005-0000-0000-000093040000}"/>
    <cellStyle name="Note 2 7 2" xfId="930" xr:uid="{00000000-0005-0000-0000-000094040000}"/>
    <cellStyle name="Note 2 8" xfId="541" xr:uid="{00000000-0005-0000-0000-000095040000}"/>
    <cellStyle name="Note 2 8 2" xfId="950" xr:uid="{00000000-0005-0000-0000-000096040000}"/>
    <cellStyle name="Note 2 9" xfId="581" xr:uid="{00000000-0005-0000-0000-000097040000}"/>
    <cellStyle name="Note 2 9 2" xfId="970" xr:uid="{00000000-0005-0000-0000-000098040000}"/>
    <cellStyle name="Output" xfId="81" builtinId="21" customBuiltin="1"/>
    <cellStyle name="Percent" xfId="3" builtinId="5"/>
    <cellStyle name="Percent 2" xfId="7" xr:uid="{00000000-0005-0000-0000-00009B040000}"/>
    <cellStyle name="Percent 2 10" xfId="188" xr:uid="{00000000-0005-0000-0000-00009C040000}"/>
    <cellStyle name="Percent 2 11" xfId="218" xr:uid="{00000000-0005-0000-0000-00009D040000}"/>
    <cellStyle name="Percent 2 12" xfId="210" xr:uid="{00000000-0005-0000-0000-00009E040000}"/>
    <cellStyle name="Percent 2 13" xfId="229" xr:uid="{00000000-0005-0000-0000-00009F040000}"/>
    <cellStyle name="Percent 2 14" xfId="244" xr:uid="{00000000-0005-0000-0000-0000A0040000}"/>
    <cellStyle name="Percent 2 15" xfId="260" xr:uid="{00000000-0005-0000-0000-0000A1040000}"/>
    <cellStyle name="Percent 2 16" xfId="274" xr:uid="{00000000-0005-0000-0000-0000A2040000}"/>
    <cellStyle name="Percent 2 17" xfId="296" xr:uid="{00000000-0005-0000-0000-0000A3040000}"/>
    <cellStyle name="Percent 2 18" xfId="324" xr:uid="{00000000-0005-0000-0000-0000A4040000}"/>
    <cellStyle name="Percent 2 19" xfId="349" xr:uid="{00000000-0005-0000-0000-0000A5040000}"/>
    <cellStyle name="Percent 2 2" xfId="15" xr:uid="{00000000-0005-0000-0000-0000A6040000}"/>
    <cellStyle name="Percent 2 2 10" xfId="139" xr:uid="{00000000-0005-0000-0000-0000A7040000}"/>
    <cellStyle name="Percent 2 2 11" xfId="172" xr:uid="{00000000-0005-0000-0000-0000A8040000}"/>
    <cellStyle name="Percent 2 2 12" xfId="217" xr:uid="{00000000-0005-0000-0000-0000A9040000}"/>
    <cellStyle name="Percent 2 2 13" xfId="196" xr:uid="{00000000-0005-0000-0000-0000AA040000}"/>
    <cellStyle name="Percent 2 2 14" xfId="298" xr:uid="{00000000-0005-0000-0000-0000AB040000}"/>
    <cellStyle name="Percent 2 2 15" xfId="328" xr:uid="{00000000-0005-0000-0000-0000AC040000}"/>
    <cellStyle name="Percent 2 2 16" xfId="345" xr:uid="{00000000-0005-0000-0000-0000AD040000}"/>
    <cellStyle name="Percent 2 2 17" xfId="368" xr:uid="{00000000-0005-0000-0000-0000AE040000}"/>
    <cellStyle name="Percent 2 2 18" xfId="410" xr:uid="{00000000-0005-0000-0000-0000AF040000}"/>
    <cellStyle name="Percent 2 2 19" xfId="437" xr:uid="{00000000-0005-0000-0000-0000B0040000}"/>
    <cellStyle name="Percent 2 2 2" xfId="119" xr:uid="{00000000-0005-0000-0000-0000B1040000}"/>
    <cellStyle name="Percent 2 2 20" xfId="463" xr:uid="{00000000-0005-0000-0000-0000B2040000}"/>
    <cellStyle name="Percent 2 2 21" xfId="442" xr:uid="{00000000-0005-0000-0000-0000B3040000}"/>
    <cellStyle name="Percent 2 2 22" xfId="394" xr:uid="{00000000-0005-0000-0000-0000B4040000}"/>
    <cellStyle name="Percent 2 2 23" xfId="511" xr:uid="{00000000-0005-0000-0000-0000B5040000}"/>
    <cellStyle name="Percent 2 2 24" xfId="575" xr:uid="{00000000-0005-0000-0000-0000B6040000}"/>
    <cellStyle name="Percent 2 2 25" xfId="607" xr:uid="{00000000-0005-0000-0000-0000B7040000}"/>
    <cellStyle name="Percent 2 2 26" xfId="633" xr:uid="{00000000-0005-0000-0000-0000B8040000}"/>
    <cellStyle name="Percent 2 2 27" xfId="658" xr:uid="{00000000-0005-0000-0000-0000B9040000}"/>
    <cellStyle name="Percent 2 2 28" xfId="682" xr:uid="{00000000-0005-0000-0000-0000BA040000}"/>
    <cellStyle name="Percent 2 2 29" xfId="977" xr:uid="{00000000-0005-0000-0000-0000BB040000}"/>
    <cellStyle name="Percent 2 2 3" xfId="135" xr:uid="{00000000-0005-0000-0000-0000BC040000}"/>
    <cellStyle name="Percent 2 2 4" xfId="154" xr:uid="{00000000-0005-0000-0000-0000BD040000}"/>
    <cellStyle name="Percent 2 2 5" xfId="181" xr:uid="{00000000-0005-0000-0000-0000BE040000}"/>
    <cellStyle name="Percent 2 2 6" xfId="171" xr:uid="{00000000-0005-0000-0000-0000BF040000}"/>
    <cellStyle name="Percent 2 2 7" xfId="178" xr:uid="{00000000-0005-0000-0000-0000C0040000}"/>
    <cellStyle name="Percent 2 2 8" xfId="157" xr:uid="{00000000-0005-0000-0000-0000C1040000}"/>
    <cellStyle name="Percent 2 2 9" xfId="179" xr:uid="{00000000-0005-0000-0000-0000C2040000}"/>
    <cellStyle name="Percent 2 20" xfId="346" xr:uid="{00000000-0005-0000-0000-0000C3040000}"/>
    <cellStyle name="Percent 2 21" xfId="352" xr:uid="{00000000-0005-0000-0000-0000C4040000}"/>
    <cellStyle name="Percent 2 22" xfId="340" xr:uid="{00000000-0005-0000-0000-0000C5040000}"/>
    <cellStyle name="Percent 2 23" xfId="387" xr:uid="{00000000-0005-0000-0000-0000C6040000}"/>
    <cellStyle name="Percent 2 24" xfId="402" xr:uid="{00000000-0005-0000-0000-0000C7040000}"/>
    <cellStyle name="Percent 2 25" xfId="335" xr:uid="{00000000-0005-0000-0000-0000C8040000}"/>
    <cellStyle name="Percent 2 26" xfId="473" xr:uid="{00000000-0005-0000-0000-0000C9040000}"/>
    <cellStyle name="Percent 2 27" xfId="550" xr:uid="{00000000-0005-0000-0000-0000CA040000}"/>
    <cellStyle name="Percent 2 28" xfId="528" xr:uid="{00000000-0005-0000-0000-0000CB040000}"/>
    <cellStyle name="Percent 2 29" xfId="518" xr:uid="{00000000-0005-0000-0000-0000CC040000}"/>
    <cellStyle name="Percent 2 3" xfId="11" xr:uid="{00000000-0005-0000-0000-0000CD040000}"/>
    <cellStyle name="Percent 2 3 2" xfId="747" xr:uid="{00000000-0005-0000-0000-0000CE040000}"/>
    <cellStyle name="Percent 2 30" xfId="584" xr:uid="{00000000-0005-0000-0000-0000CF040000}"/>
    <cellStyle name="Percent 2 31" xfId="612" xr:uid="{00000000-0005-0000-0000-0000D0040000}"/>
    <cellStyle name="Percent 2 32" xfId="722" xr:uid="{00000000-0005-0000-0000-0000D1040000}"/>
    <cellStyle name="Percent 2 33" xfId="792" xr:uid="{00000000-0005-0000-0000-0000D2040000}"/>
    <cellStyle name="Percent 2 4" xfId="49" xr:uid="{00000000-0005-0000-0000-0000D3040000}"/>
    <cellStyle name="Percent 2 5" xfId="115" xr:uid="{00000000-0005-0000-0000-0000D4040000}"/>
    <cellStyle name="Percent 2 6" xfId="140" xr:uid="{00000000-0005-0000-0000-0000D5040000}"/>
    <cellStyle name="Percent 2 7" xfId="134" xr:uid="{00000000-0005-0000-0000-0000D6040000}"/>
    <cellStyle name="Percent 2 8" xfId="206" xr:uid="{00000000-0005-0000-0000-0000D7040000}"/>
    <cellStyle name="Percent 2 9" xfId="173" xr:uid="{00000000-0005-0000-0000-0000D8040000}"/>
    <cellStyle name="Percent 3" xfId="32" xr:uid="{00000000-0005-0000-0000-0000D9040000}"/>
    <cellStyle name="Percent 3 10" xfId="214" xr:uid="{00000000-0005-0000-0000-0000DA040000}"/>
    <cellStyle name="Percent 3 11" xfId="234" xr:uid="{00000000-0005-0000-0000-0000DB040000}"/>
    <cellStyle name="Percent 3 12" xfId="249" xr:uid="{00000000-0005-0000-0000-0000DC040000}"/>
    <cellStyle name="Percent 3 13" xfId="265" xr:uid="{00000000-0005-0000-0000-0000DD040000}"/>
    <cellStyle name="Percent 3 14" xfId="278" xr:uid="{00000000-0005-0000-0000-0000DE040000}"/>
    <cellStyle name="Percent 3 15" xfId="256" xr:uid="{00000000-0005-0000-0000-0000DF040000}"/>
    <cellStyle name="Percent 3 16" xfId="326" xr:uid="{00000000-0005-0000-0000-0000E0040000}"/>
    <cellStyle name="Percent 3 17" xfId="339" xr:uid="{00000000-0005-0000-0000-0000E1040000}"/>
    <cellStyle name="Percent 3 18" xfId="372" xr:uid="{00000000-0005-0000-0000-0000E2040000}"/>
    <cellStyle name="Percent 3 19" xfId="388" xr:uid="{00000000-0005-0000-0000-0000E3040000}"/>
    <cellStyle name="Percent 3 2" xfId="33" xr:uid="{00000000-0005-0000-0000-0000E4040000}"/>
    <cellStyle name="Percent 3 20" xfId="416" xr:uid="{00000000-0005-0000-0000-0000E5040000}"/>
    <cellStyle name="Percent 3 21" xfId="443" xr:uid="{00000000-0005-0000-0000-0000E6040000}"/>
    <cellStyle name="Percent 3 22" xfId="433" xr:uid="{00000000-0005-0000-0000-0000E7040000}"/>
    <cellStyle name="Percent 3 23" xfId="341" xr:uid="{00000000-0005-0000-0000-0000E8040000}"/>
    <cellStyle name="Percent 3 24" xfId="553" xr:uid="{00000000-0005-0000-0000-0000E9040000}"/>
    <cellStyle name="Percent 3 25" xfId="579" xr:uid="{00000000-0005-0000-0000-0000EA040000}"/>
    <cellStyle name="Percent 3 26" xfId="585" xr:uid="{00000000-0005-0000-0000-0000EB040000}"/>
    <cellStyle name="Percent 3 27" xfId="613" xr:uid="{00000000-0005-0000-0000-0000EC040000}"/>
    <cellStyle name="Percent 3 28" xfId="639" xr:uid="{00000000-0005-0000-0000-0000ED040000}"/>
    <cellStyle name="Percent 3 29" xfId="664" xr:uid="{00000000-0005-0000-0000-0000EE040000}"/>
    <cellStyle name="Percent 3 3" xfId="117" xr:uid="{00000000-0005-0000-0000-0000EF040000}"/>
    <cellStyle name="Percent 3 3 2" xfId="729" xr:uid="{00000000-0005-0000-0000-0000F0040000}"/>
    <cellStyle name="Percent 3 3 2 2" xfId="775" xr:uid="{00000000-0005-0000-0000-0000F1040000}"/>
    <cellStyle name="Percent 3 30" xfId="724" xr:uid="{00000000-0005-0000-0000-0000F2040000}"/>
    <cellStyle name="Percent 3 30 2" xfId="1075" xr:uid="{00000000-0005-0000-0000-0000F3040000}"/>
    <cellStyle name="Percent 3 31" xfId="783" xr:uid="{00000000-0005-0000-0000-0000F4040000}"/>
    <cellStyle name="Percent 3 4" xfId="141" xr:uid="{00000000-0005-0000-0000-0000F5040000}"/>
    <cellStyle name="Percent 3 4 2" xfId="751" xr:uid="{00000000-0005-0000-0000-0000F6040000}"/>
    <cellStyle name="Percent 3 4 2 2" xfId="780" xr:uid="{00000000-0005-0000-0000-0000F7040000}"/>
    <cellStyle name="Percent 3 5" xfId="113" xr:uid="{00000000-0005-0000-0000-0000F8040000}"/>
    <cellStyle name="Percent 3 6" xfId="148" xr:uid="{00000000-0005-0000-0000-0000F9040000}"/>
    <cellStyle name="Percent 3 7" xfId="175" xr:uid="{00000000-0005-0000-0000-0000FA040000}"/>
    <cellStyle name="Percent 3 8" xfId="184" xr:uid="{00000000-0005-0000-0000-0000FB040000}"/>
    <cellStyle name="Percent 3 9" xfId="220" xr:uid="{00000000-0005-0000-0000-0000FC040000}"/>
    <cellStyle name="Percent 4" xfId="34" xr:uid="{00000000-0005-0000-0000-0000FD040000}"/>
    <cellStyle name="Percent 4 10" xfId="255" xr:uid="{00000000-0005-0000-0000-0000FE040000}"/>
    <cellStyle name="Percent 4 11" xfId="271" xr:uid="{00000000-0005-0000-0000-0000FF040000}"/>
    <cellStyle name="Percent 4 12" xfId="283" xr:uid="{00000000-0005-0000-0000-000000050000}"/>
    <cellStyle name="Percent 4 13" xfId="295" xr:uid="{00000000-0005-0000-0000-000001050000}"/>
    <cellStyle name="Percent 4 14" xfId="259" xr:uid="{00000000-0005-0000-0000-000002050000}"/>
    <cellStyle name="Percent 4 15" xfId="334" xr:uid="{00000000-0005-0000-0000-000003050000}"/>
    <cellStyle name="Percent 4 16" xfId="336" xr:uid="{00000000-0005-0000-0000-000004050000}"/>
    <cellStyle name="Percent 4 17" xfId="354" xr:uid="{00000000-0005-0000-0000-000005050000}"/>
    <cellStyle name="Percent 4 18" xfId="348" xr:uid="{00000000-0005-0000-0000-000006050000}"/>
    <cellStyle name="Percent 4 19" xfId="377" xr:uid="{00000000-0005-0000-0000-000007050000}"/>
    <cellStyle name="Percent 4 2" xfId="125" xr:uid="{00000000-0005-0000-0000-000008050000}"/>
    <cellStyle name="Percent 4 20" xfId="386" xr:uid="{00000000-0005-0000-0000-000009050000}"/>
    <cellStyle name="Percent 4 21" xfId="476" xr:uid="{00000000-0005-0000-0000-00000A050000}"/>
    <cellStyle name="Percent 4 22" xfId="529" xr:uid="{00000000-0005-0000-0000-00000B050000}"/>
    <cellStyle name="Percent 4 23" xfId="555" xr:uid="{00000000-0005-0000-0000-00000C050000}"/>
    <cellStyle name="Percent 4 24" xfId="525" xr:uid="{00000000-0005-0000-0000-00000D050000}"/>
    <cellStyle name="Percent 4 25" xfId="554" xr:uid="{00000000-0005-0000-0000-00000E050000}"/>
    <cellStyle name="Percent 4 26" xfId="552" xr:uid="{00000000-0005-0000-0000-00000F050000}"/>
    <cellStyle name="Percent 4 27" xfId="559" xr:uid="{00000000-0005-0000-0000-000010050000}"/>
    <cellStyle name="Percent 4 28" xfId="591" xr:uid="{00000000-0005-0000-0000-000011050000}"/>
    <cellStyle name="Percent 4 29" xfId="904" xr:uid="{00000000-0005-0000-0000-000012050000}"/>
    <cellStyle name="Percent 4 3" xfId="143" xr:uid="{00000000-0005-0000-0000-000013050000}"/>
    <cellStyle name="Percent 4 4" xfId="149" xr:uid="{00000000-0005-0000-0000-000014050000}"/>
    <cellStyle name="Percent 4 5" xfId="152" xr:uid="{00000000-0005-0000-0000-000015050000}"/>
    <cellStyle name="Percent 4 6" xfId="161" xr:uid="{00000000-0005-0000-0000-000016050000}"/>
    <cellStyle name="Percent 4 7" xfId="195" xr:uid="{00000000-0005-0000-0000-000017050000}"/>
    <cellStyle name="Percent 4 8" xfId="225" xr:uid="{00000000-0005-0000-0000-000018050000}"/>
    <cellStyle name="Percent 4 9" xfId="240" xr:uid="{00000000-0005-0000-0000-000019050000}"/>
    <cellStyle name="Percent 5" xfId="35" xr:uid="{00000000-0005-0000-0000-00001A050000}"/>
    <cellStyle name="Percent 5 10" xfId="294" xr:uid="{00000000-0005-0000-0000-00001B050000}"/>
    <cellStyle name="Percent 5 10 2" xfId="818" xr:uid="{00000000-0005-0000-0000-00001C050000}"/>
    <cellStyle name="Percent 5 11" xfId="305" xr:uid="{00000000-0005-0000-0000-00001D050000}"/>
    <cellStyle name="Percent 5 11 2" xfId="821" xr:uid="{00000000-0005-0000-0000-00001E050000}"/>
    <cellStyle name="Percent 5 12" xfId="313" xr:uid="{00000000-0005-0000-0000-00001F050000}"/>
    <cellStyle name="Percent 5 12 2" xfId="824" xr:uid="{00000000-0005-0000-0000-000020050000}"/>
    <cellStyle name="Percent 5 13" xfId="316" xr:uid="{00000000-0005-0000-0000-000021050000}"/>
    <cellStyle name="Percent 5 13 2" xfId="827" xr:uid="{00000000-0005-0000-0000-000022050000}"/>
    <cellStyle name="Percent 5 14" xfId="319" xr:uid="{00000000-0005-0000-0000-000023050000}"/>
    <cellStyle name="Percent 5 14 2" xfId="830" xr:uid="{00000000-0005-0000-0000-000024050000}"/>
    <cellStyle name="Percent 5 15" xfId="384" xr:uid="{00000000-0005-0000-0000-000025050000}"/>
    <cellStyle name="Percent 5 15 2" xfId="848" xr:uid="{00000000-0005-0000-0000-000026050000}"/>
    <cellStyle name="Percent 5 16" xfId="414" xr:uid="{00000000-0005-0000-0000-000027050000}"/>
    <cellStyle name="Percent 5 16 2" xfId="865" xr:uid="{00000000-0005-0000-0000-000028050000}"/>
    <cellStyle name="Percent 5 17" xfId="441" xr:uid="{00000000-0005-0000-0000-000029050000}"/>
    <cellStyle name="Percent 5 17 2" xfId="882" xr:uid="{00000000-0005-0000-0000-00002A050000}"/>
    <cellStyle name="Percent 5 18" xfId="467" xr:uid="{00000000-0005-0000-0000-00002B050000}"/>
    <cellStyle name="Percent 5 18 2" xfId="898" xr:uid="{00000000-0005-0000-0000-00002C050000}"/>
    <cellStyle name="Percent 5 19" xfId="493" xr:uid="{00000000-0005-0000-0000-00002D050000}"/>
    <cellStyle name="Percent 5 19 2" xfId="916" xr:uid="{00000000-0005-0000-0000-00002E050000}"/>
    <cellStyle name="Percent 5 2" xfId="170" xr:uid="{00000000-0005-0000-0000-00002F050000}"/>
    <cellStyle name="Percent 5 2 2" xfId="788" xr:uid="{00000000-0005-0000-0000-000030050000}"/>
    <cellStyle name="Percent 5 2 2 2" xfId="1287" xr:uid="{00000000-0005-0000-0000-000031050000}"/>
    <cellStyle name="Percent 5 2 2 3" xfId="1385" xr:uid="{00000000-0005-0000-0000-000032050000}"/>
    <cellStyle name="Percent 5 2 3" xfId="1153" xr:uid="{00000000-0005-0000-0000-000033050000}"/>
    <cellStyle name="Percent 5 2 4" xfId="1199" xr:uid="{00000000-0005-0000-0000-000034050000}"/>
    <cellStyle name="Percent 5 2 5" xfId="1243" xr:uid="{00000000-0005-0000-0000-000035050000}"/>
    <cellStyle name="Percent 5 2 6" xfId="1341" xr:uid="{00000000-0005-0000-0000-000036050000}"/>
    <cellStyle name="Percent 5 20" xfId="517" xr:uid="{00000000-0005-0000-0000-000037050000}"/>
    <cellStyle name="Percent 5 20 2" xfId="932" xr:uid="{00000000-0005-0000-0000-000038050000}"/>
    <cellStyle name="Percent 5 21" xfId="543" xr:uid="{00000000-0005-0000-0000-000039050000}"/>
    <cellStyle name="Percent 5 21 2" xfId="952" xr:uid="{00000000-0005-0000-0000-00003A050000}"/>
    <cellStyle name="Percent 5 22" xfId="583" xr:uid="{00000000-0005-0000-0000-00003B050000}"/>
    <cellStyle name="Percent 5 22 2" xfId="972" xr:uid="{00000000-0005-0000-0000-00003C050000}"/>
    <cellStyle name="Percent 5 23" xfId="611" xr:uid="{00000000-0005-0000-0000-00003D050000}"/>
    <cellStyle name="Percent 5 23 2" xfId="989" xr:uid="{00000000-0005-0000-0000-00003E050000}"/>
    <cellStyle name="Percent 5 24" xfId="637" xr:uid="{00000000-0005-0000-0000-00003F050000}"/>
    <cellStyle name="Percent 5 24 2" xfId="1006" xr:uid="{00000000-0005-0000-0000-000040050000}"/>
    <cellStyle name="Percent 5 25" xfId="662" xr:uid="{00000000-0005-0000-0000-000041050000}"/>
    <cellStyle name="Percent 5 25 2" xfId="1022" xr:uid="{00000000-0005-0000-0000-000042050000}"/>
    <cellStyle name="Percent 5 26" xfId="686" xr:uid="{00000000-0005-0000-0000-000043050000}"/>
    <cellStyle name="Percent 5 26 2" xfId="1038" xr:uid="{00000000-0005-0000-0000-000044050000}"/>
    <cellStyle name="Percent 5 27" xfId="702" xr:uid="{00000000-0005-0000-0000-000045050000}"/>
    <cellStyle name="Percent 5 27 2" xfId="1054" xr:uid="{00000000-0005-0000-0000-000046050000}"/>
    <cellStyle name="Percent 5 28" xfId="718" xr:uid="{00000000-0005-0000-0000-000047050000}"/>
    <cellStyle name="Percent 5 28 2" xfId="1070" xr:uid="{00000000-0005-0000-0000-000048050000}"/>
    <cellStyle name="Percent 5 29" xfId="901" xr:uid="{00000000-0005-0000-0000-000049050000}"/>
    <cellStyle name="Percent 5 3" xfId="193" xr:uid="{00000000-0005-0000-0000-00004A050000}"/>
    <cellStyle name="Percent 5 3 2" xfId="791" xr:uid="{00000000-0005-0000-0000-00004B050000}"/>
    <cellStyle name="Percent 5 3 3" xfId="1271" xr:uid="{00000000-0005-0000-0000-00004C050000}"/>
    <cellStyle name="Percent 5 3 4" xfId="1369" xr:uid="{00000000-0005-0000-0000-00004D050000}"/>
    <cellStyle name="Percent 5 30" xfId="1137" xr:uid="{00000000-0005-0000-0000-00004E050000}"/>
    <cellStyle name="Percent 5 31" xfId="1183" xr:uid="{00000000-0005-0000-0000-00004F050000}"/>
    <cellStyle name="Percent 5 32" xfId="1227" xr:uid="{00000000-0005-0000-0000-000050050000}"/>
    <cellStyle name="Percent 5 33" xfId="1325" xr:uid="{00000000-0005-0000-0000-000051050000}"/>
    <cellStyle name="Percent 5 4" xfId="208" xr:uid="{00000000-0005-0000-0000-000052050000}"/>
    <cellStyle name="Percent 5 4 2" xfId="796" xr:uid="{00000000-0005-0000-0000-000053050000}"/>
    <cellStyle name="Percent 5 5" xfId="222" xr:uid="{00000000-0005-0000-0000-000054050000}"/>
    <cellStyle name="Percent 5 5 2" xfId="799" xr:uid="{00000000-0005-0000-0000-000055050000}"/>
    <cellStyle name="Percent 5 6" xfId="238" xr:uid="{00000000-0005-0000-0000-000056050000}"/>
    <cellStyle name="Percent 5 6 2" xfId="804" xr:uid="{00000000-0005-0000-0000-000057050000}"/>
    <cellStyle name="Percent 5 7" xfId="253" xr:uid="{00000000-0005-0000-0000-000058050000}"/>
    <cellStyle name="Percent 5 7 2" xfId="808" xr:uid="{00000000-0005-0000-0000-000059050000}"/>
    <cellStyle name="Percent 5 8" xfId="269" xr:uid="{00000000-0005-0000-0000-00005A050000}"/>
    <cellStyle name="Percent 5 8 2" xfId="812" xr:uid="{00000000-0005-0000-0000-00005B050000}"/>
    <cellStyle name="Percent 5 9" xfId="282" xr:uid="{00000000-0005-0000-0000-00005C050000}"/>
    <cellStyle name="Percent 5 9 2" xfId="815" xr:uid="{00000000-0005-0000-0000-00005D050000}"/>
    <cellStyle name="PS_Comma" xfId="36" xr:uid="{00000000-0005-0000-0000-00005E050000}"/>
    <cellStyle name="PSChar" xfId="37" xr:uid="{00000000-0005-0000-0000-00005F050000}"/>
    <cellStyle name="PSDate" xfId="38" xr:uid="{00000000-0005-0000-0000-000060050000}"/>
    <cellStyle name="PSDec" xfId="39" xr:uid="{00000000-0005-0000-0000-000061050000}"/>
    <cellStyle name="PSHeading" xfId="40" xr:uid="{00000000-0005-0000-0000-000062050000}"/>
    <cellStyle name="PSInt" xfId="41" xr:uid="{00000000-0005-0000-0000-000063050000}"/>
    <cellStyle name="PSSpacer" xfId="42" xr:uid="{00000000-0005-0000-0000-000064050000}"/>
    <cellStyle name="Title" xfId="72" builtinId="15" customBuiltin="1"/>
    <cellStyle name="Total" xfId="87" builtinId="25" customBuiltin="1"/>
    <cellStyle name="Warning Text" xfId="85" builtinId="11" customBuiltin="1"/>
    <cellStyle name="WM_STANDARD" xfId="43" xr:uid="{00000000-0005-0000-0000-000068050000}"/>
    <cellStyle name="WMI_Standard" xfId="44" xr:uid="{00000000-0005-0000-0000-000069050000}"/>
  </cellStyles>
  <dxfs count="19"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6</xdr:row>
      <xdr:rowOff>28575</xdr:rowOff>
    </xdr:from>
    <xdr:to>
      <xdr:col>13</xdr:col>
      <xdr:colOff>209550</xdr:colOff>
      <xdr:row>8</xdr:row>
      <xdr:rowOff>133350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/>
        </xdr:cNvSpPr>
      </xdr:nvSpPr>
      <xdr:spPr bwMode="auto">
        <a:xfrm>
          <a:off x="10382250" y="904875"/>
          <a:ext cx="200025" cy="39052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S288"/>
  <sheetViews>
    <sheetView showGridLines="0" tabSelected="1" view="pageBreakPreview" zoomScaleNormal="100" zoomScaleSheetLayoutView="100" workbookViewId="0">
      <pane ySplit="5" topLeftCell="A133" activePane="bottomLeft" state="frozen"/>
      <selection pane="bottomLeft" activeCell="G136" sqref="G136"/>
    </sheetView>
  </sheetViews>
  <sheetFormatPr defaultColWidth="10.7109375" defaultRowHeight="11.25"/>
  <cols>
    <col min="1" max="1" width="9.140625" style="3" customWidth="1"/>
    <col min="2" max="2" width="26" style="4" customWidth="1"/>
    <col min="3" max="3" width="11" style="4" customWidth="1"/>
    <col min="4" max="4" width="11.85546875" style="4" bestFit="1" customWidth="1"/>
    <col min="5" max="6" width="14.140625" style="4" bestFit="1" customWidth="1"/>
    <col min="7" max="8" width="11.42578125" style="4" customWidth="1"/>
    <col min="9" max="9" width="12" style="4" customWidth="1"/>
    <col min="10" max="10" width="12.5703125" style="4" customWidth="1"/>
    <col min="11" max="11" width="10.7109375" style="4" customWidth="1"/>
    <col min="12" max="12" width="3.7109375" style="4" customWidth="1"/>
    <col min="13" max="13" width="13.28515625" style="4" customWidth="1"/>
    <col min="14" max="14" width="3.7109375" style="4" customWidth="1"/>
    <col min="15" max="16" width="10.7109375" style="4" customWidth="1"/>
    <col min="17" max="17" width="35.7109375" style="4" customWidth="1"/>
    <col min="18" max="16384" width="10.7109375" style="4"/>
  </cols>
  <sheetData>
    <row r="2" spans="1:19" ht="18">
      <c r="A2" s="498"/>
    </row>
    <row r="3" spans="1:19">
      <c r="J3" s="1" t="s">
        <v>5</v>
      </c>
    </row>
    <row r="4" spans="1:19" s="1" customFormat="1">
      <c r="A4" s="138" t="s">
        <v>191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5</v>
      </c>
      <c r="J4" s="27" t="s">
        <v>526</v>
      </c>
    </row>
    <row r="5" spans="1:19" s="1" customFormat="1">
      <c r="A5" s="138" t="s">
        <v>192</v>
      </c>
      <c r="B5" s="2"/>
      <c r="C5" s="2" t="s">
        <v>6</v>
      </c>
      <c r="D5" s="2" t="s">
        <v>591</v>
      </c>
      <c r="E5" s="2" t="s">
        <v>605</v>
      </c>
      <c r="F5" s="2" t="s">
        <v>604</v>
      </c>
      <c r="G5" s="2" t="s">
        <v>10</v>
      </c>
      <c r="H5" s="2" t="s">
        <v>11</v>
      </c>
      <c r="I5" s="2" t="s">
        <v>54</v>
      </c>
      <c r="J5" s="2" t="s">
        <v>57</v>
      </c>
      <c r="L5" s="122"/>
      <c r="M5" s="122"/>
      <c r="N5" s="122"/>
      <c r="O5" s="122"/>
      <c r="P5" s="122"/>
      <c r="Q5" s="123" t="s">
        <v>170</v>
      </c>
      <c r="R5" s="122"/>
      <c r="S5" s="122"/>
    </row>
    <row r="6" spans="1:19" ht="12.75" customHeight="1">
      <c r="B6" s="68" t="s">
        <v>116</v>
      </c>
      <c r="L6" s="122"/>
      <c r="M6" s="124" t="s">
        <v>171</v>
      </c>
      <c r="N6" s="122"/>
      <c r="O6" s="122"/>
      <c r="P6" s="125"/>
      <c r="Q6" s="547" t="str">
        <f>"AVISTA UTILITIES
WASHINGTON NATURAL GAS
PRO FORMA REVENUE UNDER PRESENT AND PROPOSED "&amp;O9&amp;" RATES
12 MONTHS ENDED DECEMBER 31, 2019"</f>
        <v>AVISTA UTILITIES
WASHINGTON NATURAL GAS
PRO FORMA REVENUE UNDER PRESENT AND PROPOSED BASE TARIFF RATES
12 MONTHS ENDED DECEMBER 31, 2019</v>
      </c>
      <c r="R6" s="547"/>
      <c r="S6" s="547"/>
    </row>
    <row r="7" spans="1:19">
      <c r="B7" s="5" t="s">
        <v>12</v>
      </c>
      <c r="L7" s="126" t="s">
        <v>172</v>
      </c>
      <c r="M7" s="125" t="s">
        <v>284</v>
      </c>
      <c r="N7" s="122"/>
      <c r="O7" s="122"/>
      <c r="P7" s="125"/>
      <c r="Q7" s="547"/>
      <c r="R7" s="547"/>
      <c r="S7" s="547"/>
    </row>
    <row r="8" spans="1:19">
      <c r="A8" s="3" t="s">
        <v>619</v>
      </c>
      <c r="B8" s="4" t="s">
        <v>13</v>
      </c>
      <c r="C8" s="143"/>
      <c r="D8" s="143">
        <f>'Bill Determ'!E7</f>
        <v>83030622.512147844</v>
      </c>
      <c r="E8" s="143">
        <f>'Bill Determ'!B24</f>
        <v>6558198.1454840573</v>
      </c>
      <c r="F8" s="143"/>
      <c r="G8" s="143">
        <f>'Bill Determ'!B37</f>
        <v>220000</v>
      </c>
      <c r="H8" s="143">
        <f>'Bill Determ'!B41</f>
        <v>8146142</v>
      </c>
      <c r="I8" s="143">
        <f>'Bill Determ'!B47</f>
        <v>24245810</v>
      </c>
      <c r="J8" s="143">
        <f>'Bill Determ'!B53</f>
        <v>10933465</v>
      </c>
      <c r="L8" s="125"/>
      <c r="M8" s="122" t="s">
        <v>174</v>
      </c>
      <c r="N8" s="125"/>
      <c r="O8" s="225">
        <v>1</v>
      </c>
      <c r="P8" s="125"/>
      <c r="Q8" s="547"/>
      <c r="R8" s="547"/>
      <c r="S8" s="547"/>
    </row>
    <row r="9" spans="1:19">
      <c r="A9" s="3" t="s">
        <v>619</v>
      </c>
      <c r="B9" s="4" t="s">
        <v>14</v>
      </c>
      <c r="C9" s="143"/>
      <c r="D9" s="143">
        <f>'Bill Determ'!F7</f>
        <v>54532868.440382153</v>
      </c>
      <c r="E9" s="143">
        <f>'Bill Determ'!C24</f>
        <v>17521409.971404865</v>
      </c>
      <c r="F9" s="143"/>
      <c r="G9" s="143">
        <f>'Bill Determ'!C37</f>
        <v>285403.25800000003</v>
      </c>
      <c r="H9" s="143">
        <f>'Bill Determ'!C41</f>
        <v>8282125</v>
      </c>
      <c r="I9" s="143">
        <f>'Bill Determ'!B48</f>
        <v>6193304</v>
      </c>
      <c r="J9" s="143"/>
      <c r="L9" s="126" t="s">
        <v>175</v>
      </c>
      <c r="M9" s="125" t="s">
        <v>285</v>
      </c>
      <c r="N9" s="125"/>
      <c r="O9" s="125" t="str">
        <f>CHOOSE(Base1_Billing2,M7,M9)</f>
        <v>BASE TARIFF</v>
      </c>
      <c r="P9" s="125"/>
      <c r="Q9" s="547"/>
      <c r="R9" s="547"/>
      <c r="S9" s="547"/>
    </row>
    <row r="10" spans="1:19">
      <c r="A10" s="3" t="s">
        <v>619</v>
      </c>
      <c r="B10" s="4" t="s">
        <v>15</v>
      </c>
      <c r="C10" s="143"/>
      <c r="D10" s="143"/>
      <c r="E10" s="143">
        <f>'Bill Determ'!D24</f>
        <v>35476526.201671071</v>
      </c>
      <c r="F10" s="143"/>
      <c r="G10" s="143">
        <f>'Bill Determ'!D37</f>
        <v>317689.05499999993</v>
      </c>
      <c r="H10" s="143">
        <f>'Bill Determ'!D41</f>
        <v>14410467</v>
      </c>
      <c r="I10" s="143">
        <f>'Bill Determ'!B49</f>
        <v>2132147</v>
      </c>
      <c r="J10" s="143"/>
      <c r="L10" s="125"/>
      <c r="M10" s="125"/>
      <c r="N10" s="125"/>
      <c r="O10" s="125" t="str">
        <f>CHOOSE(Base1_Billing2,"Base","Billing")</f>
        <v>Base</v>
      </c>
      <c r="P10" s="125"/>
      <c r="Q10" s="547"/>
      <c r="R10" s="547"/>
      <c r="S10" s="547"/>
    </row>
    <row r="11" spans="1:19">
      <c r="A11" s="3" t="s">
        <v>619</v>
      </c>
      <c r="B11" s="4" t="s">
        <v>16</v>
      </c>
      <c r="C11" s="143"/>
      <c r="D11" s="143"/>
      <c r="E11" s="143">
        <f>'Bill Determ'!E24</f>
        <v>738873.23558999994</v>
      </c>
      <c r="F11" s="143"/>
      <c r="G11" s="143">
        <f>'Bill Determ'!E37</f>
        <v>170107.97699999809</v>
      </c>
      <c r="H11" s="143">
        <f>'Bill Determ'!E41</f>
        <v>2975780.8679999998</v>
      </c>
      <c r="I11" s="143">
        <f>'Bill Determ'!B50</f>
        <v>5419126</v>
      </c>
      <c r="J11" s="143"/>
      <c r="L11" s="125"/>
      <c r="M11" s="125"/>
      <c r="N11" s="125"/>
      <c r="O11" s="125"/>
      <c r="P11" s="125"/>
      <c r="Q11" s="547"/>
      <c r="R11" s="547"/>
      <c r="S11" s="547"/>
    </row>
    <row r="12" spans="1:19">
      <c r="A12" s="3" t="s">
        <v>619</v>
      </c>
      <c r="B12" s="4" t="s">
        <v>55</v>
      </c>
      <c r="C12" s="144"/>
      <c r="D12" s="144"/>
      <c r="E12" s="143">
        <f>'Bill Determ'!F24</f>
        <v>1342153.2106699697</v>
      </c>
      <c r="F12" s="144"/>
      <c r="G12" s="144"/>
      <c r="H12" s="144">
        <f>'Bill Determ'!F41</f>
        <v>3355717</v>
      </c>
      <c r="I12" s="144">
        <f>'Bill Determ'!B44</f>
        <v>7907179</v>
      </c>
      <c r="J12" s="144"/>
      <c r="L12" s="125"/>
      <c r="M12" s="125"/>
      <c r="N12" s="125"/>
      <c r="O12" s="125"/>
      <c r="P12" s="125"/>
      <c r="Q12" s="125"/>
      <c r="R12" s="125"/>
      <c r="S12" s="125"/>
    </row>
    <row r="13" spans="1:19">
      <c r="C13" s="145"/>
      <c r="D13" s="145"/>
      <c r="E13" s="145"/>
      <c r="F13" s="145"/>
      <c r="G13" s="145"/>
      <c r="H13" s="145"/>
      <c r="I13" s="145"/>
      <c r="J13" s="145"/>
    </row>
    <row r="14" spans="1:19">
      <c r="B14" s="4" t="s">
        <v>17</v>
      </c>
      <c r="C14" s="143">
        <f>SUM(D14:J14)</f>
        <v>294195114.87534994</v>
      </c>
      <c r="D14" s="143">
        <f t="shared" ref="D14:J14" si="0">SUM(D8:D12)</f>
        <v>137563490.95253</v>
      </c>
      <c r="E14" s="143">
        <f t="shared" si="0"/>
        <v>61637160.764819965</v>
      </c>
      <c r="F14" s="143">
        <f t="shared" si="0"/>
        <v>0</v>
      </c>
      <c r="G14" s="143">
        <f t="shared" si="0"/>
        <v>993200.28999999806</v>
      </c>
      <c r="H14" s="143">
        <f>SUM(H8:H12)</f>
        <v>37170231.868000001</v>
      </c>
      <c r="I14" s="143">
        <f>SUM(I8:I12)</f>
        <v>45897566</v>
      </c>
      <c r="J14" s="143">
        <f t="shared" si="0"/>
        <v>10933465</v>
      </c>
    </row>
    <row r="15" spans="1:19">
      <c r="B15" s="4" t="s">
        <v>359</v>
      </c>
      <c r="C15" s="146"/>
      <c r="D15" s="146"/>
      <c r="E15" s="146"/>
      <c r="F15" s="146"/>
      <c r="G15" s="146"/>
      <c r="H15" s="146"/>
      <c r="I15" s="146"/>
      <c r="J15" s="146"/>
    </row>
    <row r="16" spans="1:19">
      <c r="C16" s="143"/>
      <c r="D16" s="143"/>
      <c r="E16" s="143"/>
      <c r="F16" s="143"/>
      <c r="G16" s="143"/>
      <c r="H16" s="143"/>
      <c r="I16" s="143"/>
      <c r="J16" s="143"/>
    </row>
    <row r="17" spans="1:10">
      <c r="B17" s="4" t="s">
        <v>17</v>
      </c>
      <c r="C17" s="143">
        <f>SUM(D17:J17)</f>
        <v>294195114.87534994</v>
      </c>
      <c r="D17" s="143">
        <f t="shared" ref="D17:J17" si="1">D14+D15</f>
        <v>137563490.95253</v>
      </c>
      <c r="E17" s="143">
        <f t="shared" si="1"/>
        <v>61637160.764819965</v>
      </c>
      <c r="F17" s="143">
        <f t="shared" si="1"/>
        <v>0</v>
      </c>
      <c r="G17" s="143">
        <f t="shared" si="1"/>
        <v>993200.28999999806</v>
      </c>
      <c r="H17" s="143">
        <f>H14+H15</f>
        <v>37170231.868000001</v>
      </c>
      <c r="I17" s="143">
        <f t="shared" si="1"/>
        <v>45897566</v>
      </c>
      <c r="J17" s="143">
        <f t="shared" si="1"/>
        <v>10933465</v>
      </c>
    </row>
    <row r="18" spans="1:10">
      <c r="B18" s="4" t="s">
        <v>19</v>
      </c>
      <c r="C18" s="146">
        <f>SUM(D18:J18)</f>
        <v>0</v>
      </c>
      <c r="D18" s="146">
        <f>'Bill Determ'!G9</f>
        <v>0</v>
      </c>
      <c r="E18" s="146">
        <f>'Bill Determ'!E17</f>
        <v>0</v>
      </c>
      <c r="F18" s="146"/>
      <c r="G18" s="146"/>
      <c r="H18" s="146"/>
      <c r="I18" s="146"/>
      <c r="J18" s="146"/>
    </row>
    <row r="19" spans="1:10">
      <c r="C19" s="143"/>
      <c r="D19" s="143"/>
      <c r="E19" s="143"/>
      <c r="F19" s="143"/>
      <c r="G19" s="143"/>
      <c r="H19" s="143"/>
      <c r="I19" s="143"/>
      <c r="J19" s="143"/>
    </row>
    <row r="20" spans="1:10">
      <c r="B20" s="4" t="s">
        <v>20</v>
      </c>
      <c r="C20" s="143">
        <f>SUM(D20:J20)</f>
        <v>294195114.87534994</v>
      </c>
      <c r="D20" s="143">
        <f t="shared" ref="D20:J20" si="2">D17+D18</f>
        <v>137563490.95253</v>
      </c>
      <c r="E20" s="143">
        <f t="shared" si="2"/>
        <v>61637160.764819965</v>
      </c>
      <c r="F20" s="143">
        <f t="shared" si="2"/>
        <v>0</v>
      </c>
      <c r="G20" s="143">
        <f t="shared" si="2"/>
        <v>993200.28999999806</v>
      </c>
      <c r="H20" s="143">
        <f>H17+I18</f>
        <v>37170231.868000001</v>
      </c>
      <c r="I20" s="143">
        <f>I17+I18</f>
        <v>45897566</v>
      </c>
      <c r="J20" s="143">
        <f t="shared" si="2"/>
        <v>10933465</v>
      </c>
    </row>
    <row r="21" spans="1:10">
      <c r="A21" s="3" t="s">
        <v>620</v>
      </c>
      <c r="B21" s="4" t="s">
        <v>21</v>
      </c>
      <c r="C21" s="146">
        <f>SUM(D21:J21)</f>
        <v>-6779126</v>
      </c>
      <c r="D21" s="146">
        <f>D134+D137</f>
        <v>-5467887</v>
      </c>
      <c r="E21" s="146">
        <f>E134+E137</f>
        <v>-1311239</v>
      </c>
      <c r="F21" s="146">
        <f t="shared" ref="F21:J21" si="3">F134+F137</f>
        <v>0</v>
      </c>
      <c r="G21" s="146">
        <f t="shared" si="3"/>
        <v>0</v>
      </c>
      <c r="H21" s="146">
        <f>H134+H137</f>
        <v>0</v>
      </c>
      <c r="I21" s="146">
        <f t="shared" si="3"/>
        <v>0</v>
      </c>
      <c r="J21" s="146">
        <f t="shared" si="3"/>
        <v>0</v>
      </c>
    </row>
    <row r="22" spans="1:10">
      <c r="C22" s="143"/>
      <c r="D22" s="143"/>
      <c r="E22" s="143"/>
      <c r="F22" s="143"/>
      <c r="G22" s="143"/>
      <c r="H22" s="143"/>
      <c r="I22" s="143"/>
      <c r="J22" s="143"/>
    </row>
    <row r="23" spans="1:10">
      <c r="B23" s="4" t="s">
        <v>22</v>
      </c>
      <c r="C23" s="143">
        <f>IF(ROUND(SUM(C20:C21),3)&lt;&gt;ROUND(SUM(D23:J23),3),#VALUE!,SUM(D23:J23))</f>
        <v>287415988.87534994</v>
      </c>
      <c r="D23" s="143">
        <f t="shared" ref="D23:J23" si="4">SUM(D20:D21)</f>
        <v>132095603.95253</v>
      </c>
      <c r="E23" s="143">
        <f t="shared" si="4"/>
        <v>60325921.764819965</v>
      </c>
      <c r="F23" s="143">
        <f t="shared" si="4"/>
        <v>0</v>
      </c>
      <c r="G23" s="143">
        <f t="shared" si="4"/>
        <v>993200.28999999806</v>
      </c>
      <c r="H23" s="143">
        <f>SUM(H20:H21)</f>
        <v>37170231.868000001</v>
      </c>
      <c r="I23" s="143">
        <f t="shared" si="4"/>
        <v>45897566</v>
      </c>
      <c r="J23" s="143">
        <f t="shared" si="4"/>
        <v>10933465</v>
      </c>
    </row>
    <row r="24" spans="1:10">
      <c r="C24" s="143"/>
      <c r="D24" s="143"/>
      <c r="E24" s="143"/>
      <c r="F24" s="143"/>
      <c r="G24" s="143"/>
      <c r="H24" s="143"/>
      <c r="I24" s="143"/>
      <c r="J24" s="143"/>
    </row>
    <row r="25" spans="1:10">
      <c r="A25" s="3" t="s">
        <v>619</v>
      </c>
      <c r="B25" s="4" t="s">
        <v>23</v>
      </c>
      <c r="C25" s="143"/>
      <c r="D25" s="143">
        <f>'Bill Determ'!C7</f>
        <v>1984339</v>
      </c>
      <c r="E25" s="143"/>
      <c r="F25" s="143"/>
      <c r="G25" s="143">
        <f>'Bill Determ'!G37</f>
        <v>24</v>
      </c>
      <c r="H25" s="143">
        <f>'Bill Determ'!H41</f>
        <v>456</v>
      </c>
      <c r="I25" s="143">
        <f>'Bill Determ'!C51</f>
        <v>48</v>
      </c>
      <c r="J25" s="143">
        <f>'Bill Determ'!C53</f>
        <v>12</v>
      </c>
    </row>
    <row r="26" spans="1:10">
      <c r="A26" s="3" t="s">
        <v>619</v>
      </c>
      <c r="B26" s="4" t="s">
        <v>161</v>
      </c>
      <c r="C26" s="143"/>
      <c r="D26" s="143"/>
      <c r="E26" s="143">
        <f>'Bill Determ'!H24</f>
        <v>37254</v>
      </c>
      <c r="F26" s="143"/>
      <c r="G26" s="143"/>
      <c r="H26" s="143"/>
      <c r="I26" s="143"/>
      <c r="J26" s="143"/>
    </row>
    <row r="27" spans="1:10">
      <c r="C27" s="143"/>
      <c r="D27" s="143"/>
      <c r="E27" s="143"/>
      <c r="F27" s="143"/>
      <c r="G27" s="143"/>
      <c r="H27" s="143"/>
      <c r="I27" s="143"/>
      <c r="J27" s="143"/>
    </row>
    <row r="28" spans="1:10" s="1" customFormat="1">
      <c r="A28" s="3" t="s">
        <v>0</v>
      </c>
      <c r="C28" s="147"/>
      <c r="D28" s="147"/>
      <c r="E28" s="147"/>
      <c r="F28" s="147"/>
      <c r="G28" s="147"/>
      <c r="H28" s="147"/>
      <c r="I28" s="147"/>
      <c r="J28" s="147"/>
    </row>
    <row r="29" spans="1:10" ht="12.75">
      <c r="B29" s="68" t="s">
        <v>117</v>
      </c>
      <c r="C29" s="143"/>
      <c r="D29" s="143"/>
      <c r="E29" s="143"/>
      <c r="F29" s="143"/>
      <c r="G29" s="143"/>
      <c r="H29" s="143"/>
      <c r="I29" s="143"/>
      <c r="J29" s="143"/>
    </row>
    <row r="30" spans="1:10">
      <c r="B30" s="5" t="s">
        <v>12</v>
      </c>
      <c r="C30" s="143"/>
      <c r="D30" s="143"/>
      <c r="E30" s="143"/>
      <c r="F30" s="143"/>
      <c r="G30" s="143"/>
      <c r="H30" s="143"/>
      <c r="I30" s="143"/>
      <c r="J30" s="143"/>
    </row>
    <row r="31" spans="1:10">
      <c r="B31" s="4" t="s">
        <v>13</v>
      </c>
      <c r="C31" s="143"/>
      <c r="D31" s="143">
        <f>'Bill Determ'!E7</f>
        <v>83030622.512147844</v>
      </c>
      <c r="E31" s="143">
        <f>'Bill Determ'!B24</f>
        <v>6558198.1454840573</v>
      </c>
      <c r="F31" s="143" t="s">
        <v>654</v>
      </c>
      <c r="G31" s="143">
        <f t="shared" ref="G31:J31" si="5">G8</f>
        <v>220000</v>
      </c>
      <c r="H31" s="143">
        <f t="shared" si="5"/>
        <v>8146142</v>
      </c>
      <c r="I31" s="143">
        <f t="shared" si="5"/>
        <v>24245810</v>
      </c>
      <c r="J31" s="143">
        <f t="shared" si="5"/>
        <v>10933465</v>
      </c>
    </row>
    <row r="32" spans="1:10">
      <c r="B32" s="4" t="s">
        <v>14</v>
      </c>
      <c r="C32" s="143"/>
      <c r="D32" s="143">
        <f>'Bill Determ'!F7</f>
        <v>54532868.440382153</v>
      </c>
      <c r="E32" s="143">
        <f>'Bill Determ'!C24</f>
        <v>17521409.971404865</v>
      </c>
      <c r="F32" s="143" t="s">
        <v>655</v>
      </c>
      <c r="G32" s="143">
        <f t="shared" ref="G32:J32" si="6">G9</f>
        <v>285403.25800000003</v>
      </c>
      <c r="H32" s="143">
        <f t="shared" si="6"/>
        <v>8282125</v>
      </c>
      <c r="I32" s="143">
        <f t="shared" si="6"/>
        <v>6193304</v>
      </c>
      <c r="J32" s="143">
        <f t="shared" si="6"/>
        <v>0</v>
      </c>
    </row>
    <row r="33" spans="2:10">
      <c r="B33" s="4" t="s">
        <v>15</v>
      </c>
      <c r="C33" s="143"/>
      <c r="D33" s="143">
        <f>D10</f>
        <v>0</v>
      </c>
      <c r="E33" s="143">
        <f>'Bill Determ'!D24</f>
        <v>35476526.201671071</v>
      </c>
      <c r="F33" s="143"/>
      <c r="G33" s="143">
        <f t="shared" ref="G33:J33" si="7">G10</f>
        <v>317689.05499999993</v>
      </c>
      <c r="H33" s="143">
        <f t="shared" si="7"/>
        <v>14410467</v>
      </c>
      <c r="I33" s="143">
        <f t="shared" si="7"/>
        <v>2132147</v>
      </c>
      <c r="J33" s="143">
        <f t="shared" si="7"/>
        <v>0</v>
      </c>
    </row>
    <row r="34" spans="2:10">
      <c r="B34" s="4" t="s">
        <v>16</v>
      </c>
      <c r="C34" s="143"/>
      <c r="D34" s="143">
        <f>D11</f>
        <v>0</v>
      </c>
      <c r="E34" s="143">
        <f>'Bill Determ'!E24</f>
        <v>738873.23558999994</v>
      </c>
      <c r="F34" s="143"/>
      <c r="G34" s="143">
        <f t="shared" ref="G34:J34" si="8">G11</f>
        <v>170107.97699999809</v>
      </c>
      <c r="H34" s="143">
        <f t="shared" si="8"/>
        <v>2975780.8679999998</v>
      </c>
      <c r="I34" s="143">
        <f t="shared" si="8"/>
        <v>5419126</v>
      </c>
      <c r="J34" s="143">
        <f t="shared" si="8"/>
        <v>0</v>
      </c>
    </row>
    <row r="35" spans="2:10">
      <c r="B35" s="4" t="s">
        <v>55</v>
      </c>
      <c r="C35" s="144"/>
      <c r="D35" s="143">
        <f>D12</f>
        <v>0</v>
      </c>
      <c r="E35" s="143">
        <f>'Bill Determ'!F24</f>
        <v>1342153.2106699697</v>
      </c>
      <c r="F35" s="143"/>
      <c r="G35" s="143">
        <f t="shared" ref="G35:J35" si="9">G12</f>
        <v>0</v>
      </c>
      <c r="H35" s="143">
        <f t="shared" si="9"/>
        <v>3355717</v>
      </c>
      <c r="I35" s="143">
        <f t="shared" si="9"/>
        <v>7907179</v>
      </c>
      <c r="J35" s="143">
        <f t="shared" si="9"/>
        <v>0</v>
      </c>
    </row>
    <row r="36" spans="2:10">
      <c r="C36" s="145"/>
      <c r="D36" s="145"/>
      <c r="E36" s="145"/>
      <c r="F36" s="145"/>
      <c r="G36" s="145"/>
      <c r="H36" s="145"/>
      <c r="I36" s="145"/>
      <c r="J36" s="145"/>
    </row>
    <row r="37" spans="2:10">
      <c r="B37" s="4" t="s">
        <v>17</v>
      </c>
      <c r="C37" s="143">
        <f>SUM(D37:J37)</f>
        <v>294195114.87534994</v>
      </c>
      <c r="D37" s="143">
        <f t="shared" ref="D37:J37" si="10">SUM(D31:D35)</f>
        <v>137563490.95253</v>
      </c>
      <c r="E37" s="143">
        <f>SUM(E31:E35)</f>
        <v>61637160.764819965</v>
      </c>
      <c r="F37" s="143">
        <f t="shared" si="10"/>
        <v>0</v>
      </c>
      <c r="G37" s="143">
        <f t="shared" si="10"/>
        <v>993200.28999999806</v>
      </c>
      <c r="H37" s="143">
        <f>SUM(H31:H35)</f>
        <v>37170231.868000001</v>
      </c>
      <c r="I37" s="143">
        <f>SUM(I31:I35)</f>
        <v>45897566</v>
      </c>
      <c r="J37" s="143">
        <f t="shared" si="10"/>
        <v>10933465</v>
      </c>
    </row>
    <row r="38" spans="2:10">
      <c r="B38" s="4" t="s">
        <v>18</v>
      </c>
      <c r="C38" s="146">
        <f>SUM(D38:J38)</f>
        <v>0</v>
      </c>
      <c r="D38" s="146">
        <f t="shared" ref="D38:J38" si="11">D15</f>
        <v>0</v>
      </c>
      <c r="E38" s="146">
        <f t="shared" si="11"/>
        <v>0</v>
      </c>
      <c r="F38" s="146">
        <f t="shared" si="11"/>
        <v>0</v>
      </c>
      <c r="G38" s="146">
        <f t="shared" si="11"/>
        <v>0</v>
      </c>
      <c r="H38" s="146">
        <f>H15</f>
        <v>0</v>
      </c>
      <c r="I38" s="146">
        <f t="shared" si="11"/>
        <v>0</v>
      </c>
      <c r="J38" s="146">
        <f t="shared" si="11"/>
        <v>0</v>
      </c>
    </row>
    <row r="39" spans="2:10">
      <c r="C39" s="143"/>
      <c r="D39" s="143"/>
      <c r="E39" s="143"/>
      <c r="F39" s="143"/>
      <c r="G39" s="143"/>
      <c r="H39" s="143"/>
      <c r="I39" s="143"/>
      <c r="J39" s="143"/>
    </row>
    <row r="40" spans="2:10">
      <c r="B40" s="4" t="s">
        <v>17</v>
      </c>
      <c r="C40" s="143">
        <f>SUM(D40:J40)</f>
        <v>294195114.87534994</v>
      </c>
      <c r="D40" s="143">
        <f t="shared" ref="D40:J40" si="12">D37+D38</f>
        <v>137563490.95253</v>
      </c>
      <c r="E40" s="143">
        <f t="shared" si="12"/>
        <v>61637160.764819965</v>
      </c>
      <c r="F40" s="143">
        <f t="shared" si="12"/>
        <v>0</v>
      </c>
      <c r="G40" s="143">
        <f t="shared" si="12"/>
        <v>993200.28999999806</v>
      </c>
      <c r="H40" s="143">
        <f>H37+H38</f>
        <v>37170231.868000001</v>
      </c>
      <c r="I40" s="143">
        <f t="shared" si="12"/>
        <v>45897566</v>
      </c>
      <c r="J40" s="143">
        <f t="shared" si="12"/>
        <v>10933465</v>
      </c>
    </row>
    <row r="41" spans="2:10">
      <c r="B41" s="4" t="s">
        <v>19</v>
      </c>
      <c r="C41" s="146">
        <f>SUM(D41:J41)</f>
        <v>0</v>
      </c>
      <c r="D41" s="146">
        <f t="shared" ref="D41:J41" si="13">D18</f>
        <v>0</v>
      </c>
      <c r="E41" s="146">
        <f t="shared" si="13"/>
        <v>0</v>
      </c>
      <c r="F41" s="146">
        <f t="shared" si="13"/>
        <v>0</v>
      </c>
      <c r="G41" s="146">
        <f t="shared" si="13"/>
        <v>0</v>
      </c>
      <c r="H41" s="146">
        <f t="shared" si="13"/>
        <v>0</v>
      </c>
      <c r="I41" s="146">
        <f t="shared" si="13"/>
        <v>0</v>
      </c>
      <c r="J41" s="146">
        <f t="shared" si="13"/>
        <v>0</v>
      </c>
    </row>
    <row r="42" spans="2:10">
      <c r="C42" s="143"/>
      <c r="D42" s="143"/>
      <c r="E42" s="143"/>
      <c r="F42" s="143"/>
      <c r="G42" s="143"/>
      <c r="H42" s="143"/>
      <c r="I42" s="143"/>
      <c r="J42" s="143"/>
    </row>
    <row r="43" spans="2:10">
      <c r="B43" s="4" t="s">
        <v>20</v>
      </c>
      <c r="C43" s="143">
        <f>SUM(D43:J43)</f>
        <v>294195114.87534994</v>
      </c>
      <c r="D43" s="143">
        <f t="shared" ref="D43:J43" si="14">D40+D41</f>
        <v>137563490.95253</v>
      </c>
      <c r="E43" s="143">
        <f t="shared" si="14"/>
        <v>61637160.764819965</v>
      </c>
      <c r="F43" s="143">
        <f t="shared" si="14"/>
        <v>0</v>
      </c>
      <c r="G43" s="143">
        <f t="shared" si="14"/>
        <v>993200.28999999806</v>
      </c>
      <c r="H43" s="143">
        <f>H40+H41</f>
        <v>37170231.868000001</v>
      </c>
      <c r="I43" s="143">
        <f>I40+I41</f>
        <v>45897566</v>
      </c>
      <c r="J43" s="143">
        <f t="shared" si="14"/>
        <v>10933465</v>
      </c>
    </row>
    <row r="44" spans="2:10">
      <c r="B44" s="4" t="s">
        <v>21</v>
      </c>
      <c r="C44" s="146">
        <f>SUM(D44:J44)</f>
        <v>-6779126</v>
      </c>
      <c r="D44" s="146">
        <f t="shared" ref="D44:J44" si="15">D21</f>
        <v>-5467887</v>
      </c>
      <c r="E44" s="146">
        <f>E21+F21</f>
        <v>-1311239</v>
      </c>
      <c r="F44" s="146"/>
      <c r="G44" s="146">
        <f t="shared" si="15"/>
        <v>0</v>
      </c>
      <c r="H44" s="146">
        <f>H21</f>
        <v>0</v>
      </c>
      <c r="I44" s="146">
        <f t="shared" si="15"/>
        <v>0</v>
      </c>
      <c r="J44" s="146">
        <f t="shared" si="15"/>
        <v>0</v>
      </c>
    </row>
    <row r="45" spans="2:10">
      <c r="C45" s="143"/>
      <c r="D45" s="143"/>
      <c r="E45" s="143"/>
      <c r="F45" s="143"/>
      <c r="G45" s="143"/>
      <c r="H45" s="143"/>
      <c r="I45" s="143"/>
      <c r="J45" s="143"/>
    </row>
    <row r="46" spans="2:10">
      <c r="B46" s="4" t="s">
        <v>22</v>
      </c>
      <c r="C46" s="143">
        <f>IF(ROUND(SUM(C43:C44),3)&lt;&gt;ROUND(SUM(D46:J46),3),#VALUE!,SUM(D46:J46))</f>
        <v>287415988.87534994</v>
      </c>
      <c r="D46" s="143">
        <f t="shared" ref="D46:J46" si="16">D43+D44</f>
        <v>132095603.95253</v>
      </c>
      <c r="E46" s="143">
        <f t="shared" si="16"/>
        <v>60325921.764819965</v>
      </c>
      <c r="F46" s="143">
        <f t="shared" si="16"/>
        <v>0</v>
      </c>
      <c r="G46" s="143">
        <f t="shared" si="16"/>
        <v>993200.28999999806</v>
      </c>
      <c r="H46" s="143">
        <f>H43+H44</f>
        <v>37170231.868000001</v>
      </c>
      <c r="I46" s="143">
        <f t="shared" si="16"/>
        <v>45897566</v>
      </c>
      <c r="J46" s="143">
        <f t="shared" si="16"/>
        <v>10933465</v>
      </c>
    </row>
    <row r="47" spans="2:10">
      <c r="C47" s="143"/>
      <c r="D47" s="143"/>
      <c r="E47" s="143"/>
      <c r="F47" s="143"/>
      <c r="G47" s="143"/>
      <c r="H47" s="143"/>
      <c r="I47" s="143"/>
      <c r="J47" s="143"/>
    </row>
    <row r="48" spans="2:10">
      <c r="B48" s="4" t="s">
        <v>23</v>
      </c>
      <c r="C48" s="143"/>
      <c r="D48" s="143">
        <f t="shared" ref="D48:F49" si="17">D25</f>
        <v>1984339</v>
      </c>
      <c r="E48" s="143">
        <f t="shared" si="17"/>
        <v>0</v>
      </c>
      <c r="F48" s="143">
        <f t="shared" si="17"/>
        <v>0</v>
      </c>
      <c r="G48" s="143">
        <f>G25</f>
        <v>24</v>
      </c>
      <c r="H48" s="143">
        <f>H25</f>
        <v>456</v>
      </c>
      <c r="I48" s="143">
        <f>I25</f>
        <v>48</v>
      </c>
      <c r="J48" s="143">
        <f>J25</f>
        <v>12</v>
      </c>
    </row>
    <row r="49" spans="1:15">
      <c r="B49" s="4" t="s">
        <v>161</v>
      </c>
      <c r="C49" s="143"/>
      <c r="D49" s="143">
        <f t="shared" si="17"/>
        <v>0</v>
      </c>
      <c r="E49" s="143">
        <f>'Bill Determ'!H24</f>
        <v>37254</v>
      </c>
      <c r="F49" s="143"/>
      <c r="G49" s="143"/>
      <c r="H49" s="143"/>
      <c r="I49" s="143"/>
      <c r="J49" s="143"/>
    </row>
    <row r="50" spans="1:15">
      <c r="C50" s="6"/>
      <c r="D50" s="56"/>
      <c r="E50" s="56">
        <v>2</v>
      </c>
      <c r="F50" s="56">
        <v>3</v>
      </c>
      <c r="G50" s="56">
        <v>4</v>
      </c>
      <c r="H50" s="56">
        <v>5</v>
      </c>
      <c r="I50" s="56">
        <v>6</v>
      </c>
      <c r="J50" s="56">
        <v>7</v>
      </c>
    </row>
    <row r="51" spans="1:15">
      <c r="C51" s="6"/>
      <c r="D51" s="252"/>
      <c r="E51" s="252"/>
      <c r="F51" s="252"/>
      <c r="G51" s="252"/>
      <c r="H51" s="252"/>
      <c r="I51" s="6"/>
    </row>
    <row r="52" spans="1:15">
      <c r="C52" s="6"/>
      <c r="J52" s="1" t="s">
        <v>5</v>
      </c>
    </row>
    <row r="53" spans="1:15" s="1" customFormat="1">
      <c r="A53" s="138" t="s">
        <v>191</v>
      </c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5</v>
      </c>
      <c r="J53" s="27" t="s">
        <v>526</v>
      </c>
      <c r="M53" s="125" t="str">
        <f ca="1">"selected in cell "&amp;CELL("address",Base1_Billing2)&amp;":"</f>
        <v>selected in cell $O$8:</v>
      </c>
    </row>
    <row r="54" spans="1:15" s="1" customFormat="1">
      <c r="A54" s="138" t="s">
        <v>192</v>
      </c>
      <c r="B54" s="2"/>
      <c r="C54" s="2" t="s">
        <v>6</v>
      </c>
      <c r="D54" s="2" t="s">
        <v>7</v>
      </c>
      <c r="E54" s="2" t="s">
        <v>24</v>
      </c>
      <c r="F54" s="2" t="s">
        <v>25</v>
      </c>
      <c r="G54" s="2" t="s">
        <v>26</v>
      </c>
      <c r="H54" s="2" t="s">
        <v>11</v>
      </c>
      <c r="I54" s="2" t="s">
        <v>54</v>
      </c>
      <c r="J54" s="2" t="s">
        <v>57</v>
      </c>
      <c r="M54" s="127" t="str">
        <f>O10</f>
        <v>Base</v>
      </c>
    </row>
    <row r="55" spans="1:15" ht="12.75">
      <c r="B55" s="68" t="s">
        <v>27</v>
      </c>
      <c r="I55" s="7">
        <v>-1</v>
      </c>
      <c r="J55" s="7">
        <v>-2</v>
      </c>
      <c r="M55" s="125" t="str">
        <f>"Rates_"&amp;$M$54&amp;"_Present"</f>
        <v>Rates_Base_Present</v>
      </c>
      <c r="O55" s="128" t="s">
        <v>176</v>
      </c>
    </row>
    <row r="56" spans="1:15" ht="11.25" customHeight="1">
      <c r="A56" s="235" t="s">
        <v>621</v>
      </c>
      <c r="B56" s="4" t="s">
        <v>28</v>
      </c>
      <c r="D56" s="77">
        <f ca="1">INDEX(INDIRECT($M$55),$K56,D$50)</f>
        <v>9.5</v>
      </c>
      <c r="E56" s="77">
        <f t="shared" ref="D56:H57" ca="1" si="18">INDEX(INDIRECT($M$55),$K56,E$50)</f>
        <v>0</v>
      </c>
      <c r="F56" s="77">
        <f t="shared" ca="1" si="18"/>
        <v>0</v>
      </c>
      <c r="G56" s="77">
        <f t="shared" ca="1" si="18"/>
        <v>0</v>
      </c>
      <c r="H56" s="77">
        <f t="shared" ca="1" si="18"/>
        <v>625</v>
      </c>
      <c r="I56" s="150">
        <v>200</v>
      </c>
      <c r="J56" s="150">
        <v>26332</v>
      </c>
      <c r="K56" s="129">
        <v>1</v>
      </c>
      <c r="M56" s="125" t="str">
        <f>"Rates_"&amp;$M$54&amp;"_Proposed"</f>
        <v>Rates_Base_Proposed</v>
      </c>
      <c r="O56" s="128" t="s">
        <v>177</v>
      </c>
    </row>
    <row r="57" spans="1:15" ht="11.25" customHeight="1">
      <c r="A57" s="235" t="s">
        <v>621</v>
      </c>
      <c r="B57" s="4" t="s">
        <v>479</v>
      </c>
      <c r="D57" s="77">
        <f t="shared" ca="1" si="18"/>
        <v>0</v>
      </c>
      <c r="E57" s="77">
        <f t="shared" ca="1" si="18"/>
        <v>107.56</v>
      </c>
      <c r="F57" s="77">
        <f t="shared" ca="1" si="18"/>
        <v>0</v>
      </c>
      <c r="G57" s="77">
        <f t="shared" ca="1" si="18"/>
        <v>0</v>
      </c>
      <c r="H57" s="451"/>
      <c r="I57" s="150">
        <v>0</v>
      </c>
      <c r="J57" s="150">
        <v>0</v>
      </c>
      <c r="K57" s="129">
        <v>2</v>
      </c>
    </row>
    <row r="58" spans="1:15" ht="11.25" customHeight="1">
      <c r="I58" s="129"/>
      <c r="J58" s="129"/>
    </row>
    <row r="59" spans="1:15" ht="11.25" customHeight="1">
      <c r="A59" s="235" t="s">
        <v>621</v>
      </c>
      <c r="B59" s="4" t="s">
        <v>30</v>
      </c>
      <c r="D59" s="78">
        <f t="shared" ref="D59:H63" ca="1" si="19">INDEX(INDIRECT($M$55),$K59,D$50)</f>
        <v>41.034999999999997</v>
      </c>
      <c r="E59" s="78">
        <f ca="1">INDEX(INDIRECT($M$55),$K59,E$50)</f>
        <v>0</v>
      </c>
      <c r="F59" s="78">
        <f t="shared" ca="1" si="19"/>
        <v>0</v>
      </c>
      <c r="G59" s="78">
        <f t="shared" ca="1" si="19"/>
        <v>27.007999999999999</v>
      </c>
      <c r="H59" s="78">
        <f t="shared" ca="1" si="19"/>
        <v>10.494</v>
      </c>
      <c r="I59" s="285">
        <v>2.8</v>
      </c>
      <c r="J59" s="151">
        <v>1</v>
      </c>
      <c r="K59" s="129">
        <v>3</v>
      </c>
    </row>
    <row r="60" spans="1:15" ht="11.25" customHeight="1">
      <c r="A60" s="235" t="s">
        <v>621</v>
      </c>
      <c r="B60" s="4" t="s">
        <v>31</v>
      </c>
      <c r="D60" s="78">
        <f t="shared" ca="1" si="19"/>
        <v>53.332999999999998</v>
      </c>
      <c r="E60" s="78">
        <f t="shared" ca="1" si="19"/>
        <v>36.158999999999999</v>
      </c>
      <c r="F60" s="78">
        <f t="shared" ca="1" si="19"/>
        <v>0</v>
      </c>
      <c r="G60" s="78">
        <f t="shared" ca="1" si="19"/>
        <v>21.681000000000001</v>
      </c>
      <c r="H60" s="78">
        <f t="shared" ca="1" si="19"/>
        <v>9.3360000000000003</v>
      </c>
      <c r="I60" s="285">
        <v>4.5</v>
      </c>
      <c r="J60" s="151">
        <v>0</v>
      </c>
      <c r="K60" s="129">
        <v>4</v>
      </c>
    </row>
    <row r="61" spans="1:15" ht="11.25" customHeight="1">
      <c r="A61" s="235" t="s">
        <v>621</v>
      </c>
      <c r="B61" s="4" t="s">
        <v>32</v>
      </c>
      <c r="D61" s="78">
        <f t="shared" ca="1" si="19"/>
        <v>0</v>
      </c>
      <c r="E61" s="78">
        <f t="shared" ca="1" si="19"/>
        <v>27.562000000000001</v>
      </c>
      <c r="F61" s="78">
        <f t="shared" ca="1" si="19"/>
        <v>0</v>
      </c>
      <c r="G61" s="78">
        <f t="shared" ca="1" si="19"/>
        <v>20.373000000000001</v>
      </c>
      <c r="H61" s="78">
        <f t="shared" ca="1" si="19"/>
        <v>8.4190000000000005</v>
      </c>
      <c r="I61" s="285">
        <v>3.1680000000000001</v>
      </c>
      <c r="J61" s="151">
        <v>0</v>
      </c>
      <c r="K61" s="129">
        <v>5</v>
      </c>
    </row>
    <row r="62" spans="1:15" ht="11.25" customHeight="1">
      <c r="A62" s="235" t="s">
        <v>621</v>
      </c>
      <c r="B62" s="4" t="s">
        <v>33</v>
      </c>
      <c r="D62" s="78">
        <f t="shared" ca="1" si="19"/>
        <v>0</v>
      </c>
      <c r="E62" s="78">
        <f t="shared" ca="1" si="19"/>
        <v>23.516999999999999</v>
      </c>
      <c r="F62" s="78">
        <f t="shared" ca="1" si="19"/>
        <v>0</v>
      </c>
      <c r="G62" s="78">
        <f t="shared" ca="1" si="19"/>
        <v>18.202999999999999</v>
      </c>
      <c r="H62" s="78">
        <f t="shared" ca="1" si="19"/>
        <v>7.7850000000000001</v>
      </c>
      <c r="I62" s="285">
        <v>2.5</v>
      </c>
      <c r="J62" s="151">
        <v>0</v>
      </c>
      <c r="K62" s="129">
        <v>6</v>
      </c>
    </row>
    <row r="63" spans="1:15" ht="11.25" customHeight="1">
      <c r="A63" s="235" t="s">
        <v>621</v>
      </c>
      <c r="B63" s="4" t="s">
        <v>56</v>
      </c>
      <c r="D63" s="78">
        <f t="shared" ca="1" si="19"/>
        <v>0</v>
      </c>
      <c r="E63" s="78">
        <f t="shared" ca="1" si="19"/>
        <v>16.497</v>
      </c>
      <c r="F63" s="78">
        <f t="shared" ca="1" si="19"/>
        <v>0</v>
      </c>
      <c r="G63" s="78">
        <f t="shared" ca="1" si="19"/>
        <v>0</v>
      </c>
      <c r="H63" s="78">
        <f t="shared" ca="1" si="19"/>
        <v>5.851</v>
      </c>
      <c r="I63" s="285">
        <v>2.0910000000000002</v>
      </c>
      <c r="J63" s="151">
        <v>0</v>
      </c>
      <c r="K63" s="129">
        <v>7</v>
      </c>
    </row>
    <row r="64" spans="1:15">
      <c r="D64" s="78"/>
      <c r="E64" s="78"/>
      <c r="F64" s="78"/>
      <c r="G64" s="78"/>
      <c r="H64" s="78"/>
      <c r="I64" s="78"/>
      <c r="J64" s="78"/>
    </row>
    <row r="65" spans="1:11">
      <c r="B65" s="4" t="s">
        <v>34</v>
      </c>
      <c r="D65" s="350">
        <f ca="1">(D118-D106-D107)/D17*100</f>
        <v>45.910168637544658</v>
      </c>
      <c r="E65" s="78">
        <f ca="1">(E118-E106-E107)/E17*100</f>
        <v>26.78381420421065</v>
      </c>
      <c r="F65" s="78"/>
      <c r="G65" s="78">
        <f ca="1">(G118-G106-G107)/G17*100</f>
        <v>21.846895554168679</v>
      </c>
      <c r="H65" s="350">
        <f ca="1">(H118-H106-H107)/H17*100</f>
        <v>8.7954794083879619</v>
      </c>
      <c r="I65" s="78"/>
      <c r="J65" s="78"/>
    </row>
    <row r="66" spans="1:11">
      <c r="D66" s="8"/>
      <c r="E66" s="8"/>
      <c r="F66" s="8"/>
      <c r="G66" s="8"/>
      <c r="H66" s="8"/>
      <c r="I66" s="8"/>
      <c r="J66" s="8"/>
    </row>
    <row r="67" spans="1:11">
      <c r="A67" s="4"/>
    </row>
    <row r="68" spans="1:11">
      <c r="A68" s="4"/>
    </row>
    <row r="69" spans="1:11">
      <c r="A69" s="4"/>
    </row>
    <row r="70" spans="1:11">
      <c r="D70" s="8"/>
      <c r="E70" s="8"/>
      <c r="F70" s="8"/>
      <c r="G70" s="8"/>
      <c r="H70" s="8"/>
      <c r="I70" s="8"/>
      <c r="J70" s="8"/>
    </row>
    <row r="71" spans="1:11">
      <c r="D71" s="8"/>
      <c r="E71" s="8"/>
      <c r="F71" s="8"/>
      <c r="G71" s="8"/>
      <c r="H71" s="8"/>
      <c r="I71" s="8"/>
      <c r="J71" s="8"/>
    </row>
    <row r="72" spans="1:11">
      <c r="D72" s="8"/>
      <c r="E72" s="8"/>
      <c r="F72" s="8"/>
      <c r="G72" s="8"/>
      <c r="H72" s="8"/>
      <c r="I72" s="8"/>
      <c r="J72" s="8"/>
    </row>
    <row r="73" spans="1:11" ht="12.75">
      <c r="B73" s="68" t="s">
        <v>35</v>
      </c>
    </row>
    <row r="74" spans="1:11">
      <c r="B74" s="4" t="s">
        <v>28</v>
      </c>
      <c r="D74" s="77">
        <f ca="1">INDEX(INDIRECT($M$56),$K74,D$50)</f>
        <v>9.5</v>
      </c>
      <c r="E74" s="77">
        <f t="shared" ref="D74:H75" ca="1" si="20">INDEX(INDIRECT($M$56),$K74,E$50)</f>
        <v>0</v>
      </c>
      <c r="F74" s="77">
        <f t="shared" ca="1" si="20"/>
        <v>0</v>
      </c>
      <c r="G74" s="77">
        <f t="shared" ca="1" si="20"/>
        <v>0</v>
      </c>
      <c r="H74" s="77">
        <f t="shared" ca="1" si="20"/>
        <v>625</v>
      </c>
      <c r="I74" s="150">
        <v>200</v>
      </c>
      <c r="J74" s="150">
        <v>26332</v>
      </c>
      <c r="K74" s="129">
        <v>1</v>
      </c>
    </row>
    <row r="75" spans="1:11">
      <c r="B75" s="4" t="s">
        <v>29</v>
      </c>
      <c r="D75" s="77">
        <f t="shared" ca="1" si="20"/>
        <v>0</v>
      </c>
      <c r="E75" s="77">
        <f t="shared" ca="1" si="20"/>
        <v>107.56</v>
      </c>
      <c r="F75" s="77">
        <f t="shared" ca="1" si="20"/>
        <v>0</v>
      </c>
      <c r="G75" s="77">
        <f t="shared" ca="1" si="20"/>
        <v>0</v>
      </c>
      <c r="H75" s="77">
        <f t="shared" ca="1" si="20"/>
        <v>0</v>
      </c>
      <c r="I75" s="150">
        <v>0</v>
      </c>
      <c r="J75" s="150">
        <v>0</v>
      </c>
      <c r="K75" s="129">
        <v>2</v>
      </c>
    </row>
    <row r="76" spans="1:11">
      <c r="I76" s="129"/>
      <c r="J76" s="129"/>
    </row>
    <row r="77" spans="1:11">
      <c r="B77" s="4" t="s">
        <v>30</v>
      </c>
      <c r="D77" s="78">
        <f ca="1">INDEX(INDIRECT($M$56),$K77,D$50)</f>
        <v>41.034999999999997</v>
      </c>
      <c r="E77" s="78">
        <f t="shared" ref="D77:H81" ca="1" si="21">INDEX(INDIRECT($M$56),$K77,E$50)</f>
        <v>0</v>
      </c>
      <c r="F77" s="78">
        <f t="shared" ca="1" si="21"/>
        <v>0</v>
      </c>
      <c r="G77" s="78">
        <f t="shared" ca="1" si="21"/>
        <v>27.007999999999999</v>
      </c>
      <c r="H77" s="78">
        <f t="shared" ca="1" si="21"/>
        <v>10.494</v>
      </c>
      <c r="I77" s="151">
        <v>2.8</v>
      </c>
      <c r="J77" s="151">
        <v>1</v>
      </c>
      <c r="K77" s="129">
        <v>3</v>
      </c>
    </row>
    <row r="78" spans="1:11">
      <c r="B78" s="4" t="s">
        <v>31</v>
      </c>
      <c r="D78" s="350">
        <f ca="1">INDEX(INDIRECT($M$56),$K78,D$50)</f>
        <v>53.332999999999998</v>
      </c>
      <c r="E78" s="78">
        <f t="shared" ca="1" si="21"/>
        <v>36.158999999999999</v>
      </c>
      <c r="F78" s="78">
        <f t="shared" ca="1" si="21"/>
        <v>0</v>
      </c>
      <c r="G78" s="78">
        <f t="shared" ca="1" si="21"/>
        <v>21.681000000000001</v>
      </c>
      <c r="H78" s="78">
        <f t="shared" ca="1" si="21"/>
        <v>9.3360000000000003</v>
      </c>
      <c r="I78" s="285">
        <v>4.5</v>
      </c>
      <c r="J78" s="151">
        <v>0</v>
      </c>
      <c r="K78" s="129">
        <v>4</v>
      </c>
    </row>
    <row r="79" spans="1:11">
      <c r="B79" s="4" t="s">
        <v>32</v>
      </c>
      <c r="D79" s="78">
        <f t="shared" ca="1" si="21"/>
        <v>0</v>
      </c>
      <c r="E79" s="78">
        <f t="shared" ca="1" si="21"/>
        <v>27.562000000000001</v>
      </c>
      <c r="F79" s="78">
        <f t="shared" ca="1" si="21"/>
        <v>0</v>
      </c>
      <c r="G79" s="78">
        <f t="shared" ca="1" si="21"/>
        <v>20.373000000000001</v>
      </c>
      <c r="H79" s="78">
        <f t="shared" ca="1" si="21"/>
        <v>8.4190000000000005</v>
      </c>
      <c r="I79" s="151">
        <v>3.1680000000000001</v>
      </c>
      <c r="J79" s="151">
        <v>0</v>
      </c>
      <c r="K79" s="129">
        <v>5</v>
      </c>
    </row>
    <row r="80" spans="1:11">
      <c r="B80" s="4" t="s">
        <v>33</v>
      </c>
      <c r="D80" s="78">
        <f t="shared" ca="1" si="21"/>
        <v>0</v>
      </c>
      <c r="E80" s="78">
        <f t="shared" ca="1" si="21"/>
        <v>23.516999999999999</v>
      </c>
      <c r="F80" s="78">
        <f t="shared" ca="1" si="21"/>
        <v>0</v>
      </c>
      <c r="G80" s="78">
        <f t="shared" ca="1" si="21"/>
        <v>18.202999999999999</v>
      </c>
      <c r="H80" s="78">
        <f t="shared" ca="1" si="21"/>
        <v>7.7850000000000001</v>
      </c>
      <c r="I80" s="151">
        <v>2.5</v>
      </c>
      <c r="J80" s="151">
        <v>0</v>
      </c>
      <c r="K80" s="129">
        <v>6</v>
      </c>
    </row>
    <row r="81" spans="1:11">
      <c r="B81" s="4" t="s">
        <v>56</v>
      </c>
      <c r="D81" s="78">
        <f t="shared" ca="1" si="21"/>
        <v>0</v>
      </c>
      <c r="E81" s="78">
        <f t="shared" ca="1" si="21"/>
        <v>16.497</v>
      </c>
      <c r="F81" s="78">
        <f t="shared" ca="1" si="21"/>
        <v>0</v>
      </c>
      <c r="G81" s="78">
        <f t="shared" ca="1" si="21"/>
        <v>0</v>
      </c>
      <c r="H81" s="78">
        <f t="shared" ca="1" si="21"/>
        <v>5.851</v>
      </c>
      <c r="I81" s="151">
        <v>2.0910000000000002</v>
      </c>
      <c r="J81" s="151">
        <v>0</v>
      </c>
      <c r="K81" s="129">
        <v>7</v>
      </c>
    </row>
    <row r="82" spans="1:11">
      <c r="D82" s="78"/>
      <c r="E82" s="78"/>
      <c r="F82" s="78"/>
      <c r="G82" s="78"/>
      <c r="H82" s="78"/>
      <c r="I82" s="78"/>
      <c r="J82" s="78"/>
    </row>
    <row r="83" spans="1:11">
      <c r="B83" s="4" t="s">
        <v>34</v>
      </c>
      <c r="D83" s="350">
        <f ca="1">(D167-D155-D156)/D40*100</f>
        <v>45.910168637544658</v>
      </c>
      <c r="E83" s="78">
        <f ca="1">(E167-E155-E156)/E40*100</f>
        <v>26.78381420421065</v>
      </c>
      <c r="F83" s="78"/>
      <c r="G83" s="78">
        <f ca="1">(G167-G155-G156)/G40*100</f>
        <v>21.846895554168679</v>
      </c>
      <c r="H83" s="350">
        <f ca="1">(H167-H155-H156)/H40*100</f>
        <v>8.7954794083879619</v>
      </c>
      <c r="I83" s="78"/>
      <c r="J83" s="78"/>
    </row>
    <row r="84" spans="1:11">
      <c r="D84" s="8"/>
      <c r="E84" s="8"/>
      <c r="F84" s="8"/>
      <c r="G84" s="8"/>
      <c r="H84" s="8"/>
      <c r="I84" s="8"/>
      <c r="J84" s="8"/>
    </row>
    <row r="85" spans="1:11">
      <c r="A85" s="4"/>
    </row>
    <row r="86" spans="1:11">
      <c r="A86" s="4"/>
      <c r="B86" s="9"/>
    </row>
    <row r="87" spans="1:11">
      <c r="B87" s="4" t="s">
        <v>639</v>
      </c>
      <c r="D87" s="8"/>
      <c r="E87" s="8"/>
      <c r="F87" s="8"/>
      <c r="G87" s="8"/>
      <c r="H87" s="8"/>
      <c r="I87" s="8"/>
      <c r="J87" s="8"/>
    </row>
    <row r="88" spans="1:11">
      <c r="B88" s="258" t="s">
        <v>640</v>
      </c>
      <c r="D88" s="8"/>
      <c r="E88" s="8"/>
      <c r="F88" s="8"/>
      <c r="G88" s="8"/>
      <c r="H88" s="8"/>
      <c r="I88" s="8"/>
      <c r="J88" s="8"/>
    </row>
    <row r="89" spans="1:11">
      <c r="B89" s="4" t="s">
        <v>641</v>
      </c>
      <c r="D89" s="8"/>
      <c r="E89" s="8"/>
      <c r="F89" s="8"/>
      <c r="G89" s="8"/>
      <c r="H89" s="8"/>
      <c r="I89" s="8"/>
      <c r="J89" s="8"/>
    </row>
    <row r="90" spans="1:11">
      <c r="B90" s="4" t="s">
        <v>642</v>
      </c>
      <c r="D90" s="8"/>
      <c r="E90" s="8"/>
      <c r="F90" s="8"/>
      <c r="G90" s="8"/>
      <c r="H90" s="8"/>
      <c r="I90" s="8"/>
      <c r="J90" s="8"/>
    </row>
    <row r="91" spans="1:11">
      <c r="B91" s="4" t="s">
        <v>196</v>
      </c>
      <c r="D91" s="8"/>
      <c r="E91" s="8"/>
      <c r="F91" s="8"/>
      <c r="G91" s="8"/>
      <c r="H91" s="8"/>
      <c r="I91" s="8"/>
      <c r="J91" s="8"/>
    </row>
    <row r="92" spans="1:11">
      <c r="D92" s="8"/>
      <c r="E92" s="8"/>
      <c r="F92" s="8"/>
      <c r="G92" s="8"/>
      <c r="H92" s="8"/>
      <c r="I92" s="8"/>
      <c r="J92" s="8"/>
    </row>
    <row r="93" spans="1:11">
      <c r="B93" s="4" t="s">
        <v>643</v>
      </c>
      <c r="D93" s="8"/>
      <c r="E93" s="8"/>
      <c r="F93" s="8"/>
      <c r="G93" s="8"/>
      <c r="H93" s="8"/>
      <c r="I93" s="8"/>
      <c r="J93" s="8"/>
    </row>
    <row r="97" spans="1:10">
      <c r="B97" s="9" t="str">
        <f>"Note: Rates exclude Sch. 150 (Purch. Gas Cost Adj.)"&amp;IF(Base1_Billing2=2,"Sch. 150 (Purch. Gas Cost Adj.), Sch. 155 (Gas Rate Adj.), and Sch. 191 (Public Purp. Rider Adj.)","")</f>
        <v>Note: Rates exclude Sch. 150 (Purch. Gas Cost Adj.)</v>
      </c>
    </row>
    <row r="101" spans="1:10">
      <c r="J101" s="1" t="s">
        <v>5</v>
      </c>
    </row>
    <row r="102" spans="1:10" s="1" customFormat="1">
      <c r="A102" s="138" t="s">
        <v>191</v>
      </c>
      <c r="C102" s="1" t="s">
        <v>0</v>
      </c>
      <c r="D102" s="1" t="s">
        <v>1</v>
      </c>
      <c r="E102" s="1" t="s">
        <v>2</v>
      </c>
      <c r="F102" s="1" t="s">
        <v>3</v>
      </c>
      <c r="G102" s="1" t="s">
        <v>4</v>
      </c>
      <c r="H102" s="1" t="s">
        <v>5</v>
      </c>
      <c r="I102" s="1" t="s">
        <v>5</v>
      </c>
      <c r="J102" s="27" t="s">
        <v>526</v>
      </c>
    </row>
    <row r="103" spans="1:10" s="1" customFormat="1">
      <c r="A103" s="138" t="s">
        <v>192</v>
      </c>
      <c r="B103" s="2"/>
      <c r="C103" s="2" t="s">
        <v>6</v>
      </c>
      <c r="D103" s="2" t="s">
        <v>7</v>
      </c>
      <c r="E103" s="2" t="s">
        <v>24</v>
      </c>
      <c r="F103" s="2" t="s">
        <v>25</v>
      </c>
      <c r="G103" s="2" t="s">
        <v>26</v>
      </c>
      <c r="H103" s="2" t="s">
        <v>11</v>
      </c>
      <c r="I103" s="2" t="s">
        <v>54</v>
      </c>
      <c r="J103" s="2" t="s">
        <v>57</v>
      </c>
    </row>
    <row r="104" spans="1:10" ht="12.75">
      <c r="B104" s="68" t="s">
        <v>36</v>
      </c>
      <c r="C104" s="10"/>
      <c r="D104" s="10"/>
      <c r="E104" s="10"/>
      <c r="F104" s="10"/>
      <c r="G104" s="10"/>
      <c r="H104" s="10"/>
      <c r="I104" s="10"/>
      <c r="J104" s="10"/>
    </row>
    <row r="105" spans="1:10">
      <c r="B105" s="4" t="str">
        <f>UPPER(CHOOSE(Base1_Billing2,$O$9,$O$10))&amp;" REVENUE"</f>
        <v>BASE TARIFF REVENUE</v>
      </c>
      <c r="C105" s="10"/>
      <c r="D105" s="10"/>
      <c r="E105" s="10"/>
      <c r="F105" s="10"/>
      <c r="G105" s="10"/>
      <c r="H105" s="10"/>
      <c r="I105" s="10"/>
      <c r="J105" s="10"/>
    </row>
    <row r="106" spans="1:10">
      <c r="B106" s="133" t="s">
        <v>28</v>
      </c>
      <c r="C106" s="11">
        <f t="shared" ref="C106:C113" ca="1" si="22">SUM(D106:J106)</f>
        <v>19461804.5</v>
      </c>
      <c r="D106" s="139">
        <f t="shared" ref="D106:G106" ca="1" si="23">D25*D56</f>
        <v>18851220.5</v>
      </c>
      <c r="E106" s="139">
        <f t="shared" ca="1" si="23"/>
        <v>0</v>
      </c>
      <c r="F106" s="139">
        <f t="shared" ca="1" si="23"/>
        <v>0</v>
      </c>
      <c r="G106" s="139">
        <f t="shared" ca="1" si="23"/>
        <v>0</v>
      </c>
      <c r="H106" s="139">
        <f ca="1">H25*H56</f>
        <v>285000</v>
      </c>
      <c r="I106" s="139">
        <f>I25*I56</f>
        <v>9600</v>
      </c>
      <c r="J106" s="139">
        <f>J25*J56</f>
        <v>315984</v>
      </c>
    </row>
    <row r="107" spans="1:10">
      <c r="B107" s="133" t="s">
        <v>479</v>
      </c>
      <c r="C107" s="208">
        <f t="shared" ca="1" si="22"/>
        <v>4033600.7865600004</v>
      </c>
      <c r="D107" s="143">
        <f ca="1">D26*D57</f>
        <v>0</v>
      </c>
      <c r="E107" s="143">
        <f ca="1">E26*E57</f>
        <v>4007040.24</v>
      </c>
      <c r="F107" s="143">
        <f t="shared" ref="F107:J107" ca="1" si="24">F26*F57</f>
        <v>0</v>
      </c>
      <c r="G107" s="143">
        <f t="shared" ca="1" si="24"/>
        <v>0</v>
      </c>
      <c r="H107" s="143">
        <f>'Big Schedules'!W47</f>
        <v>26560.546560000003</v>
      </c>
      <c r="I107" s="143">
        <f t="shared" si="24"/>
        <v>0</v>
      </c>
      <c r="J107" s="143">
        <f t="shared" si="24"/>
        <v>0</v>
      </c>
    </row>
    <row r="108" spans="1:10">
      <c r="B108" s="133" t="s">
        <v>13</v>
      </c>
      <c r="C108" s="208">
        <f t="shared" ca="1" si="22"/>
        <v>35774107.020000003</v>
      </c>
      <c r="D108" s="143">
        <f ca="1">ROUND(D8*D59/100,2)</f>
        <v>34071615.950000003</v>
      </c>
      <c r="E108" s="143">
        <f t="shared" ref="D108:J110" ca="1" si="25">ROUND(E8*E59/100,2)</f>
        <v>0</v>
      </c>
      <c r="F108" s="143">
        <f t="shared" ca="1" si="25"/>
        <v>0</v>
      </c>
      <c r="G108" s="143">
        <f t="shared" ca="1" si="25"/>
        <v>59417.599999999999</v>
      </c>
      <c r="H108" s="143">
        <f t="shared" ca="1" si="25"/>
        <v>854856.14</v>
      </c>
      <c r="I108" s="143">
        <f>ROUND(I8*I59/100,2)</f>
        <v>678882.68</v>
      </c>
      <c r="J108" s="143">
        <f>ROUND(J8*J59/100,2)</f>
        <v>109334.65</v>
      </c>
    </row>
    <row r="109" spans="1:10">
      <c r="B109" s="133" t="s">
        <v>14</v>
      </c>
      <c r="C109" s="208">
        <f t="shared" ca="1" si="22"/>
        <v>36533377.509999998</v>
      </c>
      <c r="D109" s="143">
        <f t="shared" ca="1" si="25"/>
        <v>29084014.73</v>
      </c>
      <c r="E109" s="143">
        <f t="shared" ca="1" si="25"/>
        <v>6335566.6299999999</v>
      </c>
      <c r="F109" s="143">
        <f t="shared" ca="1" si="25"/>
        <v>0</v>
      </c>
      <c r="G109" s="143">
        <f t="shared" ca="1" si="25"/>
        <v>61878.28</v>
      </c>
      <c r="H109" s="143">
        <f t="shared" ca="1" si="25"/>
        <v>773219.19</v>
      </c>
      <c r="I109" s="143">
        <f t="shared" si="25"/>
        <v>278698.68</v>
      </c>
      <c r="J109" s="143">
        <f t="shared" si="25"/>
        <v>0</v>
      </c>
    </row>
    <row r="110" spans="1:10">
      <c r="B110" s="133" t="s">
        <v>15</v>
      </c>
      <c r="C110" s="208">
        <f t="shared" ca="1" si="22"/>
        <v>11123526.58</v>
      </c>
      <c r="D110" s="143">
        <f t="shared" ca="1" si="25"/>
        <v>0</v>
      </c>
      <c r="E110" s="143">
        <f t="shared" ca="1" si="25"/>
        <v>9778040.1500000004</v>
      </c>
      <c r="F110" s="143">
        <f t="shared" ca="1" si="25"/>
        <v>0</v>
      </c>
      <c r="G110" s="143">
        <f t="shared" ca="1" si="25"/>
        <v>64722.79</v>
      </c>
      <c r="H110" s="143">
        <f t="shared" ca="1" si="25"/>
        <v>1213217.22</v>
      </c>
      <c r="I110" s="143">
        <f>ROUND(I10*I61/100,2)</f>
        <v>67546.42</v>
      </c>
      <c r="J110" s="143">
        <f t="shared" si="25"/>
        <v>0</v>
      </c>
    </row>
    <row r="111" spans="1:10">
      <c r="B111" s="133" t="s">
        <v>16</v>
      </c>
      <c r="C111" s="208">
        <f t="shared" ca="1" si="22"/>
        <v>571868.27</v>
      </c>
      <c r="D111" s="143">
        <f t="shared" ref="D111:J111" ca="1" si="26">ROUND(D11*D62/100,2)</f>
        <v>0</v>
      </c>
      <c r="E111" s="143">
        <f t="shared" ca="1" si="26"/>
        <v>173760.82</v>
      </c>
      <c r="F111" s="143">
        <f t="shared" ca="1" si="26"/>
        <v>0</v>
      </c>
      <c r="G111" s="143">
        <f t="shared" ca="1" si="26"/>
        <v>30964.76</v>
      </c>
      <c r="H111" s="143">
        <f t="shared" ca="1" si="26"/>
        <v>231664.54</v>
      </c>
      <c r="I111" s="143">
        <f t="shared" si="26"/>
        <v>135478.15</v>
      </c>
      <c r="J111" s="143">
        <f t="shared" si="26"/>
        <v>0</v>
      </c>
    </row>
    <row r="112" spans="1:10">
      <c r="B112" s="133" t="s">
        <v>55</v>
      </c>
      <c r="C112" s="208">
        <f t="shared" ca="1" si="22"/>
        <v>583097.13</v>
      </c>
      <c r="D112" s="143">
        <f t="shared" ref="D112:J112" ca="1" si="27">ROUND(D12*D63/100,2)</f>
        <v>0</v>
      </c>
      <c r="E112" s="143">
        <f t="shared" ca="1" si="27"/>
        <v>221415.02</v>
      </c>
      <c r="F112" s="143">
        <f t="shared" ca="1" si="27"/>
        <v>0</v>
      </c>
      <c r="G112" s="143">
        <f t="shared" ca="1" si="27"/>
        <v>0</v>
      </c>
      <c r="H112" s="143">
        <f t="shared" ca="1" si="27"/>
        <v>196343</v>
      </c>
      <c r="I112" s="143">
        <f t="shared" si="27"/>
        <v>165339.10999999999</v>
      </c>
      <c r="J112" s="143">
        <f t="shared" si="27"/>
        <v>0</v>
      </c>
    </row>
    <row r="113" spans="1:10">
      <c r="B113" s="133" t="s">
        <v>178</v>
      </c>
      <c r="C113" s="208">
        <f t="shared" si="22"/>
        <v>0</v>
      </c>
      <c r="D113" s="143"/>
      <c r="E113" s="143"/>
      <c r="F113" s="143"/>
      <c r="G113" s="143"/>
      <c r="H113" s="143"/>
      <c r="I113" s="143"/>
      <c r="J113" s="247">
        <f>BFG!F11</f>
        <v>0</v>
      </c>
    </row>
    <row r="114" spans="1:10">
      <c r="A114" s="4"/>
      <c r="C114" s="132"/>
      <c r="D114" s="132"/>
      <c r="E114" s="132"/>
      <c r="F114" s="132"/>
      <c r="G114" s="132"/>
      <c r="H114" s="26"/>
      <c r="I114" s="132"/>
      <c r="J114" s="26"/>
    </row>
    <row r="115" spans="1:10">
      <c r="B115" s="4" t="s">
        <v>17</v>
      </c>
      <c r="C115" s="131">
        <f ca="1">IF(ROUND(SUM(D115:J115),3)&lt;&gt;ROUND(SUM(C106:C113),3),#VALUE!,SUM(D115:J115))</f>
        <v>108081381.79656002</v>
      </c>
      <c r="D115" s="19">
        <f t="shared" ref="D115:I115" ca="1" si="28">SUM(D106:D113)</f>
        <v>82006851.180000007</v>
      </c>
      <c r="E115" s="19">
        <f t="shared" ca="1" si="28"/>
        <v>20515822.860000003</v>
      </c>
      <c r="F115" s="19">
        <f t="shared" ca="1" si="28"/>
        <v>0</v>
      </c>
      <c r="G115" s="19">
        <f t="shared" ca="1" si="28"/>
        <v>216983.43000000002</v>
      </c>
      <c r="H115" s="19">
        <f ca="1">SUM(H106:H113)</f>
        <v>3580860.63656</v>
      </c>
      <c r="I115" s="19">
        <f t="shared" si="28"/>
        <v>1335545.04</v>
      </c>
      <c r="J115" s="19">
        <f>SUM(J106:J113)</f>
        <v>425318.65</v>
      </c>
    </row>
    <row r="116" spans="1:10">
      <c r="A116" s="4"/>
      <c r="B116" s="4" t="s">
        <v>18</v>
      </c>
      <c r="C116" s="203"/>
      <c r="D116" s="204"/>
      <c r="E116" s="204"/>
      <c r="F116" s="204"/>
      <c r="G116" s="204"/>
      <c r="H116" s="204"/>
      <c r="I116" s="204"/>
      <c r="J116" s="204"/>
    </row>
    <row r="117" spans="1:10">
      <c r="C117" s="11"/>
      <c r="D117" s="10"/>
      <c r="E117" s="10"/>
      <c r="F117" s="10"/>
      <c r="G117" s="10"/>
      <c r="H117" s="10"/>
      <c r="I117" s="10"/>
      <c r="J117" s="10"/>
    </row>
    <row r="118" spans="1:10">
      <c r="B118" s="4" t="s">
        <v>17</v>
      </c>
      <c r="C118" s="11">
        <f ca="1">SUM(D118:J118)</f>
        <v>108081381.79656002</v>
      </c>
      <c r="D118" s="10">
        <f t="shared" ref="D118:J118" ca="1" si="29">D115+D116</f>
        <v>82006851.180000007</v>
      </c>
      <c r="E118" s="10">
        <f t="shared" ca="1" si="29"/>
        <v>20515822.860000003</v>
      </c>
      <c r="F118" s="10">
        <f t="shared" ca="1" si="29"/>
        <v>0</v>
      </c>
      <c r="G118" s="10">
        <f t="shared" ca="1" si="29"/>
        <v>216983.43000000002</v>
      </c>
      <c r="H118" s="10">
        <f ca="1">H115+H116</f>
        <v>3580860.63656</v>
      </c>
      <c r="I118" s="10">
        <f t="shared" si="29"/>
        <v>1335545.04</v>
      </c>
      <c r="J118" s="10">
        <f t="shared" si="29"/>
        <v>425318.65</v>
      </c>
    </row>
    <row r="119" spans="1:10">
      <c r="B119" s="4" t="s">
        <v>37</v>
      </c>
      <c r="C119" s="205">
        <f ca="1">SUM(D119:J119)</f>
        <v>0</v>
      </c>
      <c r="D119" s="15">
        <f ca="1">ROUND(D18*D65/100,2)</f>
        <v>0</v>
      </c>
      <c r="E119" s="15">
        <f ca="1">ROUND(E18*E65/100,2)</f>
        <v>0</v>
      </c>
      <c r="F119" s="15"/>
      <c r="G119" s="15">
        <f t="shared" ref="G119:J119" ca="1" si="30">ROUND(G18*G65/100,2)</f>
        <v>0</v>
      </c>
      <c r="H119" s="15">
        <f t="shared" ca="1" si="30"/>
        <v>0</v>
      </c>
      <c r="I119" s="15">
        <f t="shared" si="30"/>
        <v>0</v>
      </c>
      <c r="J119" s="15">
        <f t="shared" si="30"/>
        <v>0</v>
      </c>
    </row>
    <row r="120" spans="1:10">
      <c r="C120" s="25"/>
      <c r="D120" s="26"/>
      <c r="E120" s="26"/>
      <c r="F120" s="26"/>
      <c r="G120" s="26"/>
      <c r="H120" s="26"/>
      <c r="I120" s="26"/>
      <c r="J120" s="26"/>
    </row>
    <row r="121" spans="1:10">
      <c r="B121" s="125" t="str">
        <f>"TOTAL "&amp;UPPER(CHOOSE(Base1_Billing2,$O$9,$O$10))&amp;" REVENUE"</f>
        <v>TOTAL BASE TARIFF REVENUE</v>
      </c>
      <c r="C121" s="11">
        <f ca="1">IF(ROUND(C118+C119,3)&lt;&gt;ROUND(SUM(D121:J121),3),#VALUE!,SUM(D121:J121))</f>
        <v>108081381.79656002</v>
      </c>
      <c r="D121" s="10">
        <f t="shared" ref="D121:J121" ca="1" si="31">D118+D119</f>
        <v>82006851.180000007</v>
      </c>
      <c r="E121" s="10">
        <f t="shared" ca="1" si="31"/>
        <v>20515822.860000003</v>
      </c>
      <c r="F121" s="10">
        <f t="shared" ca="1" si="31"/>
        <v>0</v>
      </c>
      <c r="G121" s="10">
        <f t="shared" ca="1" si="31"/>
        <v>216983.43000000002</v>
      </c>
      <c r="H121" s="10">
        <f ca="1">H118+H119</f>
        <v>3580860.63656</v>
      </c>
      <c r="I121" s="10">
        <f t="shared" si="31"/>
        <v>1335545.04</v>
      </c>
      <c r="J121" s="10">
        <f t="shared" si="31"/>
        <v>425318.65</v>
      </c>
    </row>
    <row r="124" spans="1:10">
      <c r="B124" s="125" t="s">
        <v>38</v>
      </c>
      <c r="C124" s="10"/>
      <c r="D124" s="10"/>
      <c r="E124" s="10"/>
      <c r="F124" s="10"/>
      <c r="G124" s="10"/>
      <c r="H124" s="10"/>
      <c r="I124" s="10"/>
      <c r="J124" s="10"/>
    </row>
    <row r="125" spans="1:10">
      <c r="B125" s="16" t="s">
        <v>39</v>
      </c>
      <c r="C125" s="10"/>
      <c r="D125" s="10"/>
      <c r="E125" s="10"/>
      <c r="F125" s="10"/>
      <c r="G125" s="276"/>
      <c r="H125" s="276"/>
      <c r="I125" s="10"/>
      <c r="J125" s="10"/>
    </row>
    <row r="126" spans="1:10" s="6" customFormat="1">
      <c r="A126" s="254" t="s">
        <v>622</v>
      </c>
      <c r="B126" s="134" t="s">
        <v>356</v>
      </c>
      <c r="C126" s="24">
        <f>SUM(D126:J126)</f>
        <v>-991272</v>
      </c>
      <c r="D126" s="509">
        <f>'12MEDEC19'!P204</f>
        <v>-1042511</v>
      </c>
      <c r="E126" s="509">
        <f>'12MEDEC19'!P205+'12MEDEC19'!P206</f>
        <v>51239</v>
      </c>
      <c r="F126" s="509"/>
      <c r="G126" s="277"/>
      <c r="H126" s="277"/>
    </row>
    <row r="127" spans="1:10" s="8" customFormat="1">
      <c r="A127" s="3" t="s">
        <v>623</v>
      </c>
      <c r="B127" s="135" t="s">
        <v>357</v>
      </c>
      <c r="C127" s="11"/>
      <c r="D127" s="8">
        <f ca="1">D65</f>
        <v>45.910168637544658</v>
      </c>
      <c r="E127" s="8">
        <f ca="1">E65</f>
        <v>26.78381420421065</v>
      </c>
      <c r="H127" s="8">
        <f ca="1">H65</f>
        <v>8.7954794083879619</v>
      </c>
    </row>
    <row r="128" spans="1:10" s="10" customFormat="1">
      <c r="A128" s="3"/>
      <c r="B128" s="136" t="s">
        <v>358</v>
      </c>
      <c r="C128" s="14">
        <f ca="1">SUM(D128:J128)</f>
        <v>-464894.8</v>
      </c>
      <c r="D128" s="26">
        <f ca="1">ROUND(D126*D127/100,2)</f>
        <v>-478618.56</v>
      </c>
      <c r="E128" s="26">
        <f ca="1">ROUND(E126*E127/100,2)</f>
        <v>13723.76</v>
      </c>
      <c r="F128" s="26">
        <f>ROUND(F126*F127/100,2)</f>
        <v>0</v>
      </c>
      <c r="G128" s="26"/>
      <c r="H128" s="26"/>
      <c r="I128" s="26"/>
      <c r="J128" s="26"/>
    </row>
    <row r="129" spans="1:10" s="10" customFormat="1" hidden="1">
      <c r="A129" s="3"/>
      <c r="B129" s="136"/>
      <c r="C129" s="14"/>
    </row>
    <row r="130" spans="1:10" s="6" customFormat="1" hidden="1">
      <c r="A130" s="254" t="s">
        <v>624</v>
      </c>
      <c r="B130" s="134" t="s">
        <v>182</v>
      </c>
      <c r="C130" s="24">
        <f>SUM(D130:J130)</f>
        <v>0</v>
      </c>
      <c r="D130" s="244">
        <v>0</v>
      </c>
      <c r="E130" s="244">
        <v>0</v>
      </c>
      <c r="F130" s="245"/>
    </row>
    <row r="131" spans="1:10" s="8" customFormat="1" hidden="1">
      <c r="A131" s="3" t="s">
        <v>625</v>
      </c>
      <c r="B131" s="135" t="s">
        <v>183</v>
      </c>
      <c r="C131" s="14"/>
      <c r="D131" s="8">
        <f ca="1">D59</f>
        <v>41.034999999999997</v>
      </c>
      <c r="E131" s="8">
        <f ca="1">I232</f>
        <v>28.188780885896659</v>
      </c>
      <c r="F131" s="246"/>
    </row>
    <row r="132" spans="1:10" s="10" customFormat="1" hidden="1">
      <c r="A132" s="3"/>
      <c r="B132" s="136" t="s">
        <v>184</v>
      </c>
      <c r="C132" s="14">
        <f ca="1">SUM(D132:J132)</f>
        <v>0</v>
      </c>
      <c r="D132" s="26">
        <f ca="1">ROUND(D130*D131/100,2)</f>
        <v>0</v>
      </c>
      <c r="E132" s="26">
        <f ca="1">ROUND(E130*E131/100,2)</f>
        <v>0</v>
      </c>
      <c r="F132" s="26"/>
      <c r="G132" s="26"/>
      <c r="H132" s="26"/>
      <c r="I132" s="132"/>
      <c r="J132" s="26"/>
    </row>
    <row r="133" spans="1:10" s="10" customFormat="1">
      <c r="A133" s="3"/>
      <c r="B133" s="136"/>
      <c r="C133" s="14"/>
      <c r="I133" s="4"/>
    </row>
    <row r="134" spans="1:10" s="6" customFormat="1">
      <c r="A134" s="3"/>
      <c r="B134" s="134" t="s">
        <v>185</v>
      </c>
      <c r="C134" s="24">
        <f>IF(ROUND(SUM(D134:J134),3)&lt;&gt;ROUND(C126+C130,3),#VALUE!,SUM(D134:J134))</f>
        <v>-991272</v>
      </c>
      <c r="D134" s="24">
        <f>D126+D130</f>
        <v>-1042511</v>
      </c>
      <c r="E134" s="24">
        <f>E126+E130</f>
        <v>51239</v>
      </c>
      <c r="F134" s="15">
        <f>F126+F130</f>
        <v>0</v>
      </c>
      <c r="G134" s="15"/>
      <c r="H134" s="15"/>
      <c r="I134" s="15"/>
      <c r="J134" s="15"/>
    </row>
    <row r="135" spans="1:10" s="10" customFormat="1">
      <c r="A135" s="3"/>
      <c r="B135" s="136" t="s">
        <v>186</v>
      </c>
      <c r="C135" s="14">
        <f ca="1">IF(ROUND(SUM(D135:J135),3)&lt;&gt;ROUND(C128+C132,3),#VALUE!,SUM(D135:J135))</f>
        <v>-464894.8</v>
      </c>
      <c r="D135" s="10">
        <f ca="1">D128+D132</f>
        <v>-478618.56</v>
      </c>
      <c r="E135" s="10">
        <f ca="1">E128+E132</f>
        <v>13723.76</v>
      </c>
    </row>
    <row r="136" spans="1:10">
      <c r="B136" s="16" t="s">
        <v>40</v>
      </c>
      <c r="C136" s="14"/>
      <c r="D136" s="10"/>
      <c r="E136" s="10"/>
      <c r="F136" s="10"/>
      <c r="G136" s="10"/>
      <c r="H136" s="10"/>
      <c r="I136" s="10"/>
      <c r="J136" s="10"/>
    </row>
    <row r="137" spans="1:10" s="6" customFormat="1">
      <c r="A137" s="254" t="s">
        <v>626</v>
      </c>
      <c r="B137" s="134" t="s">
        <v>182</v>
      </c>
      <c r="C137" s="24">
        <f>SUM(D137:J137)</f>
        <v>-5787854</v>
      </c>
      <c r="D137" s="512">
        <v>-4425376</v>
      </c>
      <c r="E137" s="512">
        <f>-1360628-1850</f>
        <v>-1362478</v>
      </c>
      <c r="F137" s="512"/>
      <c r="G137" s="140"/>
      <c r="H137" s="15"/>
    </row>
    <row r="138" spans="1:10" s="8" customFormat="1">
      <c r="A138" s="3" t="s">
        <v>623</v>
      </c>
      <c r="B138" s="135" t="s">
        <v>183</v>
      </c>
      <c r="C138" s="14"/>
      <c r="D138" s="8">
        <f ca="1">I208</f>
        <v>46.546150837838823</v>
      </c>
      <c r="E138" s="8">
        <f ca="1">I232</f>
        <v>28.188780885896659</v>
      </c>
      <c r="F138" s="246"/>
    </row>
    <row r="139" spans="1:10" s="10" customFormat="1">
      <c r="A139" s="3"/>
      <c r="B139" s="136" t="s">
        <v>184</v>
      </c>
      <c r="C139" s="14">
        <f ca="1">SUM(D139:J139)</f>
        <v>-2443908.13</v>
      </c>
      <c r="D139" s="26">
        <f ca="1">ROUND(D137*D138/100,2)</f>
        <v>-2059842.19</v>
      </c>
      <c r="E139" s="26">
        <f ca="1">ROUND(E137*E138/100,2)</f>
        <v>-384065.94</v>
      </c>
      <c r="F139" s="26">
        <f>ROUND(F137*F138/100,2)</f>
        <v>0</v>
      </c>
      <c r="G139" s="26"/>
      <c r="H139" s="26"/>
      <c r="I139" s="26"/>
      <c r="J139" s="26"/>
    </row>
    <row r="140" spans="1:10" s="10" customFormat="1">
      <c r="A140" s="3"/>
      <c r="B140" s="136" t="s">
        <v>41</v>
      </c>
      <c r="C140" s="13"/>
      <c r="D140" s="12"/>
      <c r="E140" s="12"/>
      <c r="F140" s="12"/>
      <c r="G140" s="12"/>
      <c r="H140" s="12"/>
      <c r="I140" s="12"/>
      <c r="J140" s="12"/>
    </row>
    <row r="141" spans="1:10">
      <c r="C141" s="14"/>
      <c r="D141" s="10"/>
      <c r="E141" s="10"/>
      <c r="F141" s="10"/>
      <c r="G141" s="10"/>
      <c r="H141" s="10"/>
      <c r="I141" s="10"/>
      <c r="J141" s="10"/>
    </row>
    <row r="142" spans="1:10">
      <c r="B142" s="4" t="s">
        <v>42</v>
      </c>
      <c r="C142" s="14">
        <f ca="1">IF(ROUND(SUM(D142:J142),3)&lt;&gt;ROUND(C135+C139+C140,3),#VALUE!,SUM(D142:J142))</f>
        <v>-2908802.93</v>
      </c>
      <c r="D142" s="10">
        <f ca="1">D135+D139+D140</f>
        <v>-2538460.75</v>
      </c>
      <c r="E142" s="10">
        <f t="shared" ref="E142:J142" ca="1" si="32">E135+E139+E140</f>
        <v>-370342.18</v>
      </c>
      <c r="F142" s="10"/>
      <c r="G142" s="10">
        <f t="shared" si="32"/>
        <v>0</v>
      </c>
      <c r="H142" s="10">
        <f t="shared" si="32"/>
        <v>0</v>
      </c>
      <c r="I142" s="10">
        <f t="shared" si="32"/>
        <v>0</v>
      </c>
      <c r="J142" s="10">
        <f t="shared" si="32"/>
        <v>0</v>
      </c>
    </row>
    <row r="143" spans="1:10">
      <c r="B143" s="4" t="str">
        <f>B121</f>
        <v>TOTAL BASE TARIFF REVENUE</v>
      </c>
      <c r="C143" s="203">
        <f ca="1">SUM(D143:J143)</f>
        <v>108081381.79656002</v>
      </c>
      <c r="D143" s="204">
        <f t="shared" ref="D143:J143" ca="1" si="33">D121</f>
        <v>82006851.180000007</v>
      </c>
      <c r="E143" s="204">
        <f t="shared" ca="1" si="33"/>
        <v>20515822.860000003</v>
      </c>
      <c r="F143" s="204"/>
      <c r="G143" s="204">
        <f t="shared" ca="1" si="33"/>
        <v>216983.43000000002</v>
      </c>
      <c r="H143" s="204">
        <f ca="1">H121</f>
        <v>3580860.63656</v>
      </c>
      <c r="I143" s="204">
        <f t="shared" si="33"/>
        <v>1335545.04</v>
      </c>
      <c r="J143" s="204">
        <f t="shared" si="33"/>
        <v>425318.65</v>
      </c>
    </row>
    <row r="144" spans="1:10">
      <c r="C144" s="11"/>
      <c r="D144" s="10"/>
      <c r="E144" s="10"/>
      <c r="F144" s="10"/>
      <c r="G144" s="10"/>
      <c r="H144" s="10"/>
      <c r="I144" s="10"/>
      <c r="J144" s="10"/>
    </row>
    <row r="145" spans="1:10">
      <c r="B145" s="4" t="s">
        <v>43</v>
      </c>
      <c r="C145" s="11">
        <f ca="1">IF(ROUND(SUM(D145:J145),3)&lt;&gt;ROUND(C142+C143,3),#VALUE!,SUM(D145:J145))</f>
        <v>105172578.86656003</v>
      </c>
      <c r="D145" s="10">
        <f t="shared" ref="D145:J145" ca="1" si="34">D142+D143</f>
        <v>79468390.430000007</v>
      </c>
      <c r="E145" s="10">
        <f t="shared" ca="1" si="34"/>
        <v>20145480.680000003</v>
      </c>
      <c r="F145" s="10"/>
      <c r="G145" s="10">
        <f t="shared" ca="1" si="34"/>
        <v>216983.43000000002</v>
      </c>
      <c r="H145" s="10">
        <f ca="1">H142+H143</f>
        <v>3580860.63656</v>
      </c>
      <c r="I145" s="10">
        <f t="shared" si="34"/>
        <v>1335545.04</v>
      </c>
      <c r="J145" s="10">
        <f t="shared" si="34"/>
        <v>425318.65</v>
      </c>
    </row>
    <row r="146" spans="1:10">
      <c r="C146" s="11"/>
      <c r="D146" s="10"/>
      <c r="E146" s="10"/>
      <c r="F146" s="10"/>
      <c r="G146" s="10"/>
      <c r="H146" s="10"/>
      <c r="I146" s="10"/>
      <c r="J146" s="10"/>
    </row>
    <row r="147" spans="1:10">
      <c r="C147" s="11"/>
      <c r="D147" s="10"/>
      <c r="E147" s="10"/>
      <c r="F147" s="10"/>
      <c r="G147" s="10"/>
      <c r="H147" s="10"/>
      <c r="I147" s="10"/>
      <c r="J147" s="10"/>
    </row>
    <row r="148" spans="1:10" s="1" customFormat="1">
      <c r="A148" s="3"/>
      <c r="C148" s="10"/>
      <c r="D148" s="10"/>
      <c r="E148" s="10"/>
      <c r="F148" s="10"/>
      <c r="G148" s="10"/>
      <c r="H148" s="10"/>
      <c r="I148" s="10"/>
      <c r="J148" s="10"/>
    </row>
    <row r="149" spans="1:10" s="1" customFormat="1">
      <c r="A149" s="3"/>
      <c r="C149" s="10"/>
      <c r="D149" s="10"/>
      <c r="E149" s="10"/>
      <c r="F149" s="10"/>
      <c r="G149" s="10"/>
      <c r="H149" s="10"/>
      <c r="I149" s="10"/>
    </row>
    <row r="150" spans="1:10" s="1" customFormat="1">
      <c r="A150" s="3"/>
      <c r="C150" s="10"/>
      <c r="D150" s="10"/>
      <c r="E150" s="10"/>
      <c r="F150" s="10"/>
      <c r="G150" s="10"/>
      <c r="H150" s="10"/>
      <c r="I150" s="10"/>
      <c r="J150" s="1" t="s">
        <v>5</v>
      </c>
    </row>
    <row r="151" spans="1:10" s="1" customFormat="1">
      <c r="A151" s="138" t="s">
        <v>191</v>
      </c>
      <c r="C151" s="1" t="s">
        <v>0</v>
      </c>
      <c r="D151" s="1" t="s">
        <v>1</v>
      </c>
      <c r="E151" s="1" t="s">
        <v>2</v>
      </c>
      <c r="F151" s="1" t="s">
        <v>3</v>
      </c>
      <c r="G151" s="1" t="s">
        <v>4</v>
      </c>
      <c r="H151" s="1" t="s">
        <v>5</v>
      </c>
      <c r="I151" s="1" t="s">
        <v>5</v>
      </c>
      <c r="J151" s="27" t="s">
        <v>526</v>
      </c>
    </row>
    <row r="152" spans="1:10" s="1" customFormat="1">
      <c r="A152" s="138" t="s">
        <v>192</v>
      </c>
      <c r="B152" s="2"/>
      <c r="C152" s="2" t="s">
        <v>6</v>
      </c>
      <c r="D152" s="2" t="s">
        <v>7</v>
      </c>
      <c r="E152" s="2" t="s">
        <v>24</v>
      </c>
      <c r="F152" s="2" t="s">
        <v>25</v>
      </c>
      <c r="G152" s="2" t="s">
        <v>26</v>
      </c>
      <c r="H152" s="2" t="s">
        <v>11</v>
      </c>
      <c r="I152" s="2" t="s">
        <v>54</v>
      </c>
      <c r="J152" s="2" t="s">
        <v>57</v>
      </c>
    </row>
    <row r="153" spans="1:10" ht="12.75">
      <c r="B153" s="68" t="s">
        <v>44</v>
      </c>
      <c r="C153" s="10"/>
      <c r="D153" s="10"/>
      <c r="E153" s="10"/>
      <c r="F153" s="10"/>
      <c r="G153" s="10"/>
      <c r="H153" s="10"/>
      <c r="I153" s="10"/>
      <c r="J153" s="10"/>
    </row>
    <row r="154" spans="1:10">
      <c r="B154" s="4" t="str">
        <f>UPPER(CHOOSE(Base1_Billing2,$O$9,$O$10))&amp;" REVENUE"</f>
        <v>BASE TARIFF REVENUE</v>
      </c>
      <c r="C154" s="10"/>
      <c r="D154" s="10"/>
      <c r="E154" s="10"/>
      <c r="F154" s="10"/>
      <c r="G154" s="10"/>
      <c r="H154" s="10"/>
      <c r="I154" s="10"/>
      <c r="J154" s="10"/>
    </row>
    <row r="155" spans="1:10">
      <c r="B155" s="133" t="s">
        <v>28</v>
      </c>
      <c r="C155" s="11">
        <f t="shared" ref="C155:C162" ca="1" si="35">SUM(D155:J155)</f>
        <v>19461804.5</v>
      </c>
      <c r="D155" s="139">
        <f ca="1">D48*D74</f>
        <v>18851220.5</v>
      </c>
      <c r="E155" s="139">
        <f t="shared" ref="E155:J156" ca="1" si="36">E48*E74</f>
        <v>0</v>
      </c>
      <c r="F155" s="139">
        <f t="shared" ca="1" si="36"/>
        <v>0</v>
      </c>
      <c r="G155" s="139">
        <f t="shared" ca="1" si="36"/>
        <v>0</v>
      </c>
      <c r="H155" s="139">
        <f t="shared" ca="1" si="36"/>
        <v>285000</v>
      </c>
      <c r="I155" s="139">
        <f t="shared" si="36"/>
        <v>9600</v>
      </c>
      <c r="J155" s="139">
        <f t="shared" si="36"/>
        <v>315984</v>
      </c>
    </row>
    <row r="156" spans="1:10">
      <c r="B156" s="133" t="s">
        <v>479</v>
      </c>
      <c r="C156" s="208">
        <f t="shared" ca="1" si="35"/>
        <v>4033600.7865600004</v>
      </c>
      <c r="D156" s="143">
        <f ca="1">D49*D75</f>
        <v>0</v>
      </c>
      <c r="E156" s="143">
        <f ca="1">E49*E75</f>
        <v>4007040.24</v>
      </c>
      <c r="F156" s="143">
        <f t="shared" ca="1" si="36"/>
        <v>0</v>
      </c>
      <c r="G156" s="143">
        <f t="shared" ca="1" si="36"/>
        <v>0</v>
      </c>
      <c r="H156" s="143">
        <f>'Big Schedules'!X47</f>
        <v>26560.546560000003</v>
      </c>
      <c r="I156" s="143">
        <f t="shared" si="36"/>
        <v>0</v>
      </c>
      <c r="J156" s="143">
        <f t="shared" si="36"/>
        <v>0</v>
      </c>
    </row>
    <row r="157" spans="1:10">
      <c r="B157" s="133" t="s">
        <v>13</v>
      </c>
      <c r="C157" s="208">
        <f t="shared" ca="1" si="35"/>
        <v>35774107.020000003</v>
      </c>
      <c r="D157" s="143">
        <f ca="1">ROUND(D31*D77/100,2)</f>
        <v>34071615.950000003</v>
      </c>
      <c r="E157" s="143">
        <f t="shared" ref="E157:J157" ca="1" si="37">ROUND(E31*E77/100,2)</f>
        <v>0</v>
      </c>
      <c r="F157" s="143"/>
      <c r="G157" s="143">
        <f t="shared" ca="1" si="37"/>
        <v>59417.599999999999</v>
      </c>
      <c r="H157" s="143">
        <f t="shared" ca="1" si="37"/>
        <v>854856.14</v>
      </c>
      <c r="I157" s="143">
        <f t="shared" si="37"/>
        <v>678882.68</v>
      </c>
      <c r="J157" s="143">
        <f t="shared" si="37"/>
        <v>109334.65</v>
      </c>
    </row>
    <row r="158" spans="1:10">
      <c r="B158" s="133" t="s">
        <v>14</v>
      </c>
      <c r="C158" s="208">
        <f t="shared" ca="1" si="35"/>
        <v>36533377.509999998</v>
      </c>
      <c r="D158" s="143">
        <f t="shared" ref="D158:J161" ca="1" si="38">ROUND(D32*D78/100,2)</f>
        <v>29084014.73</v>
      </c>
      <c r="E158" s="143">
        <f t="shared" ca="1" si="38"/>
        <v>6335566.6299999999</v>
      </c>
      <c r="F158" s="143"/>
      <c r="G158" s="143">
        <f t="shared" ca="1" si="38"/>
        <v>61878.28</v>
      </c>
      <c r="H158" s="143">
        <f t="shared" ca="1" si="38"/>
        <v>773219.19</v>
      </c>
      <c r="I158" s="143">
        <f t="shared" si="38"/>
        <v>278698.68</v>
      </c>
      <c r="J158" s="143">
        <f t="shared" si="38"/>
        <v>0</v>
      </c>
    </row>
    <row r="159" spans="1:10">
      <c r="B159" s="133" t="s">
        <v>15</v>
      </c>
      <c r="C159" s="208">
        <f t="shared" ca="1" si="35"/>
        <v>11123526.58</v>
      </c>
      <c r="D159" s="143">
        <f t="shared" ca="1" si="38"/>
        <v>0</v>
      </c>
      <c r="E159" s="143">
        <f t="shared" ca="1" si="38"/>
        <v>9778040.1500000004</v>
      </c>
      <c r="F159" s="143">
        <f t="shared" ca="1" si="38"/>
        <v>0</v>
      </c>
      <c r="G159" s="143">
        <f t="shared" ca="1" si="38"/>
        <v>64722.79</v>
      </c>
      <c r="H159" s="143">
        <f t="shared" ca="1" si="38"/>
        <v>1213217.22</v>
      </c>
      <c r="I159" s="143">
        <f t="shared" si="38"/>
        <v>67546.42</v>
      </c>
      <c r="J159" s="143">
        <f t="shared" si="38"/>
        <v>0</v>
      </c>
    </row>
    <row r="160" spans="1:10">
      <c r="B160" s="133" t="s">
        <v>16</v>
      </c>
      <c r="C160" s="208">
        <f t="shared" ca="1" si="35"/>
        <v>571868.27</v>
      </c>
      <c r="D160" s="143">
        <f t="shared" ca="1" si="38"/>
        <v>0</v>
      </c>
      <c r="E160" s="143">
        <f t="shared" ca="1" si="38"/>
        <v>173760.82</v>
      </c>
      <c r="F160" s="143">
        <f t="shared" ca="1" si="38"/>
        <v>0</v>
      </c>
      <c r="G160" s="143">
        <f t="shared" ca="1" si="38"/>
        <v>30964.76</v>
      </c>
      <c r="H160" s="143">
        <f t="shared" ca="1" si="38"/>
        <v>231664.54</v>
      </c>
      <c r="I160" s="143">
        <f t="shared" si="38"/>
        <v>135478.15</v>
      </c>
      <c r="J160" s="143">
        <f t="shared" si="38"/>
        <v>0</v>
      </c>
    </row>
    <row r="161" spans="1:10">
      <c r="B161" s="133" t="s">
        <v>55</v>
      </c>
      <c r="C161" s="208">
        <f t="shared" ca="1" si="35"/>
        <v>583097.13</v>
      </c>
      <c r="D161" s="143">
        <f t="shared" ca="1" si="38"/>
        <v>0</v>
      </c>
      <c r="E161" s="143">
        <f t="shared" ca="1" si="38"/>
        <v>221415.02</v>
      </c>
      <c r="F161" s="143">
        <f t="shared" ca="1" si="38"/>
        <v>0</v>
      </c>
      <c r="G161" s="143">
        <f t="shared" ca="1" si="38"/>
        <v>0</v>
      </c>
      <c r="H161" s="143">
        <f t="shared" ca="1" si="38"/>
        <v>196343</v>
      </c>
      <c r="I161" s="143">
        <f t="shared" si="38"/>
        <v>165339.10999999999</v>
      </c>
      <c r="J161" s="143">
        <f t="shared" si="38"/>
        <v>0</v>
      </c>
    </row>
    <row r="162" spans="1:10">
      <c r="B162" s="133" t="s">
        <v>178</v>
      </c>
      <c r="C162" s="208">
        <f t="shared" si="35"/>
        <v>0</v>
      </c>
      <c r="D162" s="143"/>
      <c r="E162" s="143"/>
      <c r="F162" s="143"/>
      <c r="G162" s="143"/>
      <c r="H162" s="143"/>
      <c r="I162" s="143"/>
      <c r="J162" s="247">
        <f>BFG!F11</f>
        <v>0</v>
      </c>
    </row>
    <row r="163" spans="1:10">
      <c r="A163" s="4"/>
      <c r="C163" s="25"/>
      <c r="D163" s="132"/>
      <c r="E163" s="132"/>
      <c r="F163" s="132"/>
      <c r="G163" s="132"/>
      <c r="H163" s="132"/>
      <c r="I163" s="132"/>
      <c r="J163" s="132"/>
    </row>
    <row r="164" spans="1:10">
      <c r="B164" s="4" t="s">
        <v>17</v>
      </c>
      <c r="C164" s="11">
        <f ca="1">IF(ROUND(SUM(D164:J164),3)&lt;&gt;ROUND(SUM(C155:C162),3),#VALUE!,SUM(D164:J164))</f>
        <v>108081381.79656002</v>
      </c>
      <c r="D164" s="10">
        <f t="shared" ref="D164:J164" ca="1" si="39">SUM(D155:D163)</f>
        <v>82006851.180000007</v>
      </c>
      <c r="E164" s="10">
        <f t="shared" ca="1" si="39"/>
        <v>20515822.860000003</v>
      </c>
      <c r="F164" s="10">
        <f t="shared" ca="1" si="39"/>
        <v>0</v>
      </c>
      <c r="G164" s="10">
        <f t="shared" ca="1" si="39"/>
        <v>216983.43000000002</v>
      </c>
      <c r="H164" s="10">
        <f ca="1">SUM(H155:H163)</f>
        <v>3580860.63656</v>
      </c>
      <c r="I164" s="10">
        <f t="shared" si="39"/>
        <v>1335545.04</v>
      </c>
      <c r="J164" s="10">
        <f t="shared" si="39"/>
        <v>425318.65</v>
      </c>
    </row>
    <row r="165" spans="1:10">
      <c r="A165" s="4"/>
      <c r="B165" s="4" t="s">
        <v>18</v>
      </c>
      <c r="C165" s="203"/>
      <c r="D165" s="204"/>
      <c r="E165" s="204"/>
      <c r="F165" s="204"/>
      <c r="G165" s="204"/>
      <c r="H165" s="204"/>
      <c r="I165" s="204"/>
      <c r="J165" s="204"/>
    </row>
    <row r="166" spans="1:10">
      <c r="C166" s="11"/>
      <c r="D166" s="10"/>
      <c r="E166" s="10"/>
      <c r="F166" s="10"/>
      <c r="G166" s="10"/>
      <c r="H166" s="10"/>
      <c r="I166" s="10"/>
      <c r="J166" s="10"/>
    </row>
    <row r="167" spans="1:10">
      <c r="B167" s="4" t="s">
        <v>17</v>
      </c>
      <c r="C167" s="11">
        <f ca="1">SUM(D167:J167)</f>
        <v>108081381.79656002</v>
      </c>
      <c r="D167" s="10">
        <f t="shared" ref="D167:J167" ca="1" si="40">D164+D165</f>
        <v>82006851.180000007</v>
      </c>
      <c r="E167" s="10">
        <f t="shared" ca="1" si="40"/>
        <v>20515822.860000003</v>
      </c>
      <c r="F167" s="10">
        <f t="shared" ca="1" si="40"/>
        <v>0</v>
      </c>
      <c r="G167" s="10">
        <f t="shared" ca="1" si="40"/>
        <v>216983.43000000002</v>
      </c>
      <c r="H167" s="10">
        <f ca="1">H164+H165</f>
        <v>3580860.63656</v>
      </c>
      <c r="I167" s="10">
        <f t="shared" si="40"/>
        <v>1335545.04</v>
      </c>
      <c r="J167" s="10">
        <f t="shared" si="40"/>
        <v>425318.65</v>
      </c>
    </row>
    <row r="168" spans="1:10">
      <c r="B168" s="4" t="s">
        <v>37</v>
      </c>
      <c r="C168" s="203">
        <f ca="1">SUM(D168:J168)</f>
        <v>0</v>
      </c>
      <c r="D168" s="204">
        <f ca="1">ROUND(D41*D83/100,2)</f>
        <v>0</v>
      </c>
      <c r="E168" s="204">
        <f t="shared" ref="E168:J168" ca="1" si="41">ROUND(E41*E83/100,2)</f>
        <v>0</v>
      </c>
      <c r="F168" s="204"/>
      <c r="G168" s="204">
        <f t="shared" ca="1" si="41"/>
        <v>0</v>
      </c>
      <c r="H168" s="204">
        <f t="shared" ca="1" si="41"/>
        <v>0</v>
      </c>
      <c r="I168" s="204">
        <f t="shared" si="41"/>
        <v>0</v>
      </c>
      <c r="J168" s="204">
        <f t="shared" si="41"/>
        <v>0</v>
      </c>
    </row>
    <row r="169" spans="1:10">
      <c r="C169" s="11"/>
      <c r="D169" s="10"/>
      <c r="E169" s="10"/>
      <c r="F169" s="10"/>
      <c r="G169" s="10"/>
      <c r="H169" s="10"/>
      <c r="I169" s="10"/>
      <c r="J169" s="10"/>
    </row>
    <row r="170" spans="1:10">
      <c r="B170" s="4" t="str">
        <f>"TOTAL "&amp;UPPER(CHOOSE(Base1_Billing2,$O$9,$O$10))&amp;" REVENUE"</f>
        <v>TOTAL BASE TARIFF REVENUE</v>
      </c>
      <c r="C170" s="11">
        <f ca="1">IF(ROUND(SUM(D170:J170),3)&lt;&gt;ROUND(C167+C168,3),#VALUE!,SUM(D170:J170))</f>
        <v>108081381.79656002</v>
      </c>
      <c r="D170" s="10">
        <f t="shared" ref="D170:J170" ca="1" si="42">D167+D168</f>
        <v>82006851.180000007</v>
      </c>
      <c r="E170" s="10">
        <f t="shared" ca="1" si="42"/>
        <v>20515822.860000003</v>
      </c>
      <c r="F170" s="10">
        <f t="shared" ca="1" si="42"/>
        <v>0</v>
      </c>
      <c r="G170" s="10">
        <f t="shared" ca="1" si="42"/>
        <v>216983.43000000002</v>
      </c>
      <c r="H170" s="10">
        <f ca="1">H167+H168</f>
        <v>3580860.63656</v>
      </c>
      <c r="I170" s="10">
        <f t="shared" si="42"/>
        <v>1335545.04</v>
      </c>
      <c r="J170" s="10">
        <f t="shared" si="42"/>
        <v>425318.65</v>
      </c>
    </row>
    <row r="171" spans="1:10">
      <c r="C171" s="11"/>
      <c r="D171" s="10"/>
      <c r="E171" s="10"/>
      <c r="F171" s="10"/>
      <c r="G171" s="10"/>
      <c r="H171" s="10"/>
      <c r="I171" s="10"/>
      <c r="J171" s="10"/>
    </row>
    <row r="172" spans="1:10">
      <c r="B172" s="125" t="s">
        <v>38</v>
      </c>
      <c r="C172" s="10"/>
      <c r="D172" s="10"/>
      <c r="E172" s="10"/>
      <c r="F172" s="10"/>
      <c r="G172" s="10"/>
      <c r="H172" s="10"/>
      <c r="I172" s="10"/>
      <c r="J172" s="10"/>
    </row>
    <row r="173" spans="1:10">
      <c r="B173" s="16" t="s">
        <v>39</v>
      </c>
      <c r="C173" s="15"/>
      <c r="D173" s="15"/>
      <c r="E173" s="15"/>
      <c r="F173" s="15"/>
      <c r="G173" s="10"/>
      <c r="H173" s="10"/>
      <c r="I173" s="10"/>
      <c r="J173" s="10"/>
    </row>
    <row r="174" spans="1:10" s="6" customFormat="1">
      <c r="B174" s="134" t="s">
        <v>179</v>
      </c>
      <c r="C174" s="15">
        <f>SUM(D174:J174)</f>
        <v>-991272</v>
      </c>
      <c r="D174" s="15">
        <f>D126</f>
        <v>-1042511</v>
      </c>
      <c r="E174" s="15">
        <f>E126+F126</f>
        <v>51239</v>
      </c>
      <c r="F174" s="15">
        <v>0</v>
      </c>
      <c r="I174" s="4"/>
    </row>
    <row r="175" spans="1:10" s="8" customFormat="1">
      <c r="A175" s="3" t="s">
        <v>623</v>
      </c>
      <c r="B175" s="135" t="s">
        <v>180</v>
      </c>
      <c r="D175" s="17">
        <f ca="1">D83</f>
        <v>45.910168637544658</v>
      </c>
      <c r="E175" s="17">
        <f ca="1">E83</f>
        <v>26.78381420421065</v>
      </c>
      <c r="F175" s="17"/>
      <c r="G175" s="17"/>
      <c r="H175" s="17">
        <f ca="1">H83</f>
        <v>8.7954794083879619</v>
      </c>
      <c r="I175" s="5"/>
      <c r="J175" s="18"/>
    </row>
    <row r="176" spans="1:10" s="10" customFormat="1">
      <c r="A176" s="3"/>
      <c r="B176" s="136" t="s">
        <v>181</v>
      </c>
      <c r="C176" s="10">
        <f ca="1">SUM(D176:J176)</f>
        <v>-464894.8</v>
      </c>
      <c r="D176" s="10">
        <f ca="1">ROUND(D174*D175/100,2)</f>
        <v>-478618.56</v>
      </c>
      <c r="E176" s="10">
        <f ca="1">ROUND(E174*E175/100,2)</f>
        <v>13723.76</v>
      </c>
      <c r="F176" s="10">
        <f>ROUND(F174*F175/100,2)</f>
        <v>0</v>
      </c>
      <c r="I176" s="4"/>
    </row>
    <row r="177" spans="1:10" s="10" customFormat="1">
      <c r="A177" s="3"/>
      <c r="B177" s="136"/>
      <c r="I177" s="4"/>
    </row>
    <row r="178" spans="1:10" s="6" customFormat="1" hidden="1">
      <c r="A178" s="3"/>
      <c r="B178" s="134" t="s">
        <v>182</v>
      </c>
      <c r="C178" s="15">
        <f>SUM(D178:J178)</f>
        <v>0</v>
      </c>
      <c r="D178" s="15">
        <f>D130</f>
        <v>0</v>
      </c>
      <c r="E178" s="15">
        <f>E130</f>
        <v>0</v>
      </c>
      <c r="F178" s="15">
        <f>F130</f>
        <v>0</v>
      </c>
      <c r="I178" s="4"/>
    </row>
    <row r="179" spans="1:10" s="8" customFormat="1" hidden="1">
      <c r="A179" s="3" t="s">
        <v>625</v>
      </c>
      <c r="B179" s="135" t="s">
        <v>183</v>
      </c>
      <c r="D179" s="17">
        <f ca="1">D77</f>
        <v>41.034999999999997</v>
      </c>
      <c r="E179" s="17">
        <f ca="1">I244</f>
        <v>28.188780885896659</v>
      </c>
      <c r="F179" s="17">
        <f>F83</f>
        <v>0</v>
      </c>
      <c r="G179" s="17"/>
      <c r="H179" s="17"/>
      <c r="I179" s="5"/>
      <c r="J179" s="17"/>
    </row>
    <row r="180" spans="1:10" s="10" customFormat="1" hidden="1">
      <c r="A180" s="3"/>
      <c r="B180" s="136" t="s">
        <v>184</v>
      </c>
      <c r="C180" s="10">
        <f ca="1">SUM(D180:J180)</f>
        <v>0</v>
      </c>
      <c r="D180" s="10">
        <f ca="1">ROUND(D178*D179/100,2)</f>
        <v>0</v>
      </c>
      <c r="E180" s="10">
        <f ca="1">ROUND(E178*E179/100,2)</f>
        <v>0</v>
      </c>
      <c r="F180" s="10">
        <f>ROUND(F178*F179/100,2)</f>
        <v>0</v>
      </c>
      <c r="I180" s="4"/>
    </row>
    <row r="181" spans="1:10" s="10" customFormat="1" hidden="1">
      <c r="A181" s="3"/>
      <c r="B181" s="136"/>
      <c r="I181" s="4"/>
    </row>
    <row r="182" spans="1:10" s="6" customFormat="1">
      <c r="A182" s="3"/>
      <c r="B182" s="134" t="s">
        <v>185</v>
      </c>
      <c r="C182" s="15">
        <f>C174+C178</f>
        <v>-991272</v>
      </c>
      <c r="D182" s="15">
        <f>D174+D178</f>
        <v>-1042511</v>
      </c>
      <c r="E182" s="15">
        <f>E174+E178</f>
        <v>51239</v>
      </c>
      <c r="F182" s="15">
        <f>F174+F178</f>
        <v>0</v>
      </c>
      <c r="I182" s="4"/>
    </row>
    <row r="183" spans="1:10" s="10" customFormat="1">
      <c r="A183" s="3"/>
      <c r="B183" s="136" t="s">
        <v>186</v>
      </c>
      <c r="C183" s="10">
        <f ca="1">C176+C180</f>
        <v>-464894.8</v>
      </c>
      <c r="D183" s="10">
        <f ca="1">D176+D180</f>
        <v>-478618.56</v>
      </c>
      <c r="E183" s="10">
        <f ca="1">E176+E180</f>
        <v>13723.76</v>
      </c>
      <c r="I183" s="4"/>
    </row>
    <row r="184" spans="1:10">
      <c r="B184" s="16" t="s">
        <v>40</v>
      </c>
      <c r="C184" s="10"/>
      <c r="D184" s="10"/>
      <c r="E184" s="10"/>
      <c r="F184" s="10"/>
      <c r="G184" s="10"/>
      <c r="H184" s="10"/>
      <c r="J184" s="10"/>
    </row>
    <row r="185" spans="1:10" s="6" customFormat="1">
      <c r="A185" s="3"/>
      <c r="B185" s="134" t="s">
        <v>182</v>
      </c>
      <c r="C185" s="15">
        <f>SUM(D185:J185)</f>
        <v>-5787854</v>
      </c>
      <c r="D185" s="15">
        <f>D137</f>
        <v>-4425376</v>
      </c>
      <c r="E185" s="15">
        <f>E137+F137</f>
        <v>-1362478</v>
      </c>
      <c r="F185" s="15">
        <v>0</v>
      </c>
      <c r="I185" s="4"/>
    </row>
    <row r="186" spans="1:10" s="8" customFormat="1">
      <c r="A186" s="3" t="s">
        <v>623</v>
      </c>
      <c r="B186" s="135" t="s">
        <v>183</v>
      </c>
      <c r="C186" s="19"/>
      <c r="D186" s="17">
        <f ca="1">I217</f>
        <v>46.546150837838823</v>
      </c>
      <c r="E186" s="17">
        <f ca="1">I244</f>
        <v>28.188780885896659</v>
      </c>
      <c r="F186" s="17"/>
      <c r="G186" s="17"/>
      <c r="H186" s="17"/>
      <c r="I186" s="5"/>
      <c r="J186" s="17"/>
    </row>
    <row r="187" spans="1:10" s="10" customFormat="1">
      <c r="A187" s="3"/>
      <c r="B187" s="136" t="s">
        <v>184</v>
      </c>
      <c r="C187" s="10">
        <f ca="1">SUM(D187:J187)</f>
        <v>-2443908.13</v>
      </c>
      <c r="D187" s="10">
        <f ca="1">ROUND(D185*D186/100,2)</f>
        <v>-2059842.19</v>
      </c>
      <c r="E187" s="10">
        <f ca="1">ROUND(E185*E186/100,2)</f>
        <v>-384065.94</v>
      </c>
      <c r="F187" s="10">
        <f>ROUND(F185*F186/100,2)</f>
        <v>0</v>
      </c>
    </row>
    <row r="188" spans="1:10" s="10" customFormat="1">
      <c r="A188" s="3"/>
      <c r="B188" s="136" t="s">
        <v>41</v>
      </c>
      <c r="C188" s="12"/>
      <c r="D188" s="12"/>
      <c r="E188" s="12"/>
      <c r="F188" s="12"/>
      <c r="G188" s="12"/>
      <c r="H188" s="12"/>
      <c r="I188" s="12"/>
      <c r="J188" s="12"/>
    </row>
    <row r="189" spans="1:10">
      <c r="C189" s="540"/>
      <c r="D189" s="10"/>
      <c r="E189" s="10"/>
      <c r="F189" s="10"/>
      <c r="G189" s="10"/>
      <c r="H189" s="10"/>
      <c r="I189" s="10"/>
      <c r="J189" s="10"/>
    </row>
    <row r="190" spans="1:10">
      <c r="B190" s="4" t="s">
        <v>42</v>
      </c>
      <c r="C190" s="10">
        <f ca="1">SUM(D190:J190)</f>
        <v>-2908802.93</v>
      </c>
      <c r="D190" s="10">
        <f t="shared" ref="D190:J190" ca="1" si="43">D187+D183</f>
        <v>-2538460.75</v>
      </c>
      <c r="E190" s="10">
        <f ca="1">E187+E183</f>
        <v>-370342.18</v>
      </c>
      <c r="F190" s="10">
        <f t="shared" si="43"/>
        <v>0</v>
      </c>
      <c r="G190" s="10">
        <f t="shared" si="43"/>
        <v>0</v>
      </c>
      <c r="H190" s="10">
        <f>H187+H183</f>
        <v>0</v>
      </c>
      <c r="I190" s="10">
        <f t="shared" si="43"/>
        <v>0</v>
      </c>
      <c r="J190" s="10">
        <f t="shared" si="43"/>
        <v>0</v>
      </c>
    </row>
    <row r="191" spans="1:10">
      <c r="B191" s="4" t="str">
        <f>B170</f>
        <v>TOTAL BASE TARIFF REVENUE</v>
      </c>
      <c r="C191" s="204">
        <f ca="1">SUM(D191:J191)</f>
        <v>108081381.79656002</v>
      </c>
      <c r="D191" s="204">
        <f t="shared" ref="D191:J191" ca="1" si="44">D170</f>
        <v>82006851.180000007</v>
      </c>
      <c r="E191" s="204">
        <f t="shared" ca="1" si="44"/>
        <v>20515822.860000003</v>
      </c>
      <c r="F191" s="204">
        <f t="shared" ca="1" si="44"/>
        <v>0</v>
      </c>
      <c r="G191" s="204">
        <f t="shared" ca="1" si="44"/>
        <v>216983.43000000002</v>
      </c>
      <c r="H191" s="204">
        <f ca="1">H170</f>
        <v>3580860.63656</v>
      </c>
      <c r="I191" s="204">
        <f t="shared" si="44"/>
        <v>1335545.04</v>
      </c>
      <c r="J191" s="204">
        <f t="shared" si="44"/>
        <v>425318.65</v>
      </c>
    </row>
    <row r="192" spans="1:10">
      <c r="B192" s="4" t="s">
        <v>45</v>
      </c>
      <c r="C192" s="10">
        <f ca="1">SUM(D192:J192)</f>
        <v>105172578.86656003</v>
      </c>
      <c r="D192" s="10">
        <f t="shared" ref="D192:J192" ca="1" si="45">D190+D191</f>
        <v>79468390.430000007</v>
      </c>
      <c r="E192" s="10">
        <f t="shared" ca="1" si="45"/>
        <v>20145480.680000003</v>
      </c>
      <c r="F192" s="10">
        <f t="shared" ca="1" si="45"/>
        <v>0</v>
      </c>
      <c r="G192" s="10">
        <f t="shared" ca="1" si="45"/>
        <v>216983.43000000002</v>
      </c>
      <c r="H192" s="10">
        <f ca="1">H190+H191</f>
        <v>3580860.63656</v>
      </c>
      <c r="I192" s="10">
        <f t="shared" si="45"/>
        <v>1335545.04</v>
      </c>
      <c r="J192" s="10">
        <f t="shared" si="45"/>
        <v>425318.65</v>
      </c>
    </row>
    <row r="193" spans="1:11">
      <c r="B193" s="4" t="s">
        <v>43</v>
      </c>
      <c r="C193" s="12">
        <f ca="1">SUM(D193:J193)</f>
        <v>105172578.86656003</v>
      </c>
      <c r="D193" s="12">
        <f t="shared" ref="D193:J193" ca="1" si="46">D145</f>
        <v>79468390.430000007</v>
      </c>
      <c r="E193" s="12">
        <f ca="1">E145</f>
        <v>20145480.680000003</v>
      </c>
      <c r="F193" s="12"/>
      <c r="G193" s="12">
        <f t="shared" ca="1" si="46"/>
        <v>216983.43000000002</v>
      </c>
      <c r="H193" s="12">
        <f ca="1">H145</f>
        <v>3580860.63656</v>
      </c>
      <c r="I193" s="12">
        <f t="shared" si="46"/>
        <v>1335545.04</v>
      </c>
      <c r="J193" s="12">
        <f t="shared" si="46"/>
        <v>425318.65</v>
      </c>
    </row>
    <row r="195" spans="1:11" s="9" customFormat="1">
      <c r="A195" s="20"/>
      <c r="B195" s="9" t="s">
        <v>46</v>
      </c>
      <c r="C195" s="21">
        <f ca="1">SUM(D195:J195)</f>
        <v>0</v>
      </c>
      <c r="D195" s="21">
        <f ca="1">D192-D193</f>
        <v>0</v>
      </c>
      <c r="E195" s="21">
        <f ca="1">E192-E193-F193</f>
        <v>0</v>
      </c>
      <c r="F195" s="21"/>
      <c r="G195" s="21">
        <f t="shared" ref="G195:J195" ca="1" si="47">G192-G193</f>
        <v>0</v>
      </c>
      <c r="H195" s="21">
        <f ca="1">H192-H193</f>
        <v>0</v>
      </c>
      <c r="I195" s="21">
        <f t="shared" si="47"/>
        <v>0</v>
      </c>
      <c r="J195" s="21">
        <f t="shared" si="47"/>
        <v>0</v>
      </c>
    </row>
    <row r="196" spans="1:11" s="9" customFormat="1">
      <c r="A196" s="20"/>
      <c r="B196" s="9" t="s">
        <v>47</v>
      </c>
      <c r="C196" s="22">
        <f ca="1">C195/C193</f>
        <v>0</v>
      </c>
      <c r="D196" s="22">
        <f t="shared" ref="D196:J196" ca="1" si="48">D195/D193</f>
        <v>0</v>
      </c>
      <c r="E196" s="22">
        <f t="shared" ca="1" si="48"/>
        <v>0</v>
      </c>
      <c r="F196" s="22"/>
      <c r="G196" s="22">
        <f t="shared" ca="1" si="48"/>
        <v>0</v>
      </c>
      <c r="H196" s="22">
        <f t="shared" ca="1" si="48"/>
        <v>0</v>
      </c>
      <c r="I196" s="22">
        <f t="shared" si="48"/>
        <v>0</v>
      </c>
      <c r="J196" s="22">
        <f t="shared" si="48"/>
        <v>0</v>
      </c>
    </row>
    <row r="197" spans="1:11" s="1" customFormat="1">
      <c r="A197" s="3"/>
      <c r="C197" s="23"/>
      <c r="D197" s="23"/>
      <c r="E197" s="234"/>
      <c r="F197" s="234"/>
      <c r="G197" s="234"/>
      <c r="H197" s="234"/>
      <c r="I197" s="234"/>
      <c r="J197" s="234"/>
    </row>
    <row r="198" spans="1:11" s="1" customFormat="1">
      <c r="A198" s="3"/>
      <c r="C198" s="23"/>
      <c r="D198" s="23"/>
      <c r="E198" s="23"/>
      <c r="F198" s="23"/>
      <c r="G198" s="23"/>
      <c r="H198" s="23"/>
      <c r="I198" s="23"/>
      <c r="J198" s="23"/>
    </row>
    <row r="199" spans="1:11" s="1" customFormat="1">
      <c r="A199" s="3"/>
      <c r="C199" s="23"/>
      <c r="D199" s="23"/>
      <c r="E199" s="23"/>
      <c r="F199" s="23"/>
      <c r="G199" s="23"/>
      <c r="H199" s="23"/>
      <c r="I199" s="23"/>
      <c r="J199" s="23"/>
    </row>
    <row r="200" spans="1:11" s="1" customFormat="1">
      <c r="A200" s="138" t="s">
        <v>191</v>
      </c>
      <c r="C200" s="1" t="s">
        <v>0</v>
      </c>
      <c r="D200" s="1" t="s">
        <v>6</v>
      </c>
      <c r="E200" s="1" t="s">
        <v>6</v>
      </c>
      <c r="F200" s="1" t="s">
        <v>48</v>
      </c>
      <c r="G200" s="1" t="s">
        <v>48</v>
      </c>
      <c r="H200" s="1" t="s">
        <v>49</v>
      </c>
      <c r="I200" s="1" t="s">
        <v>49</v>
      </c>
    </row>
    <row r="201" spans="1:11" s="1" customFormat="1">
      <c r="A201" s="138" t="s">
        <v>192</v>
      </c>
      <c r="C201" s="2" t="s">
        <v>50</v>
      </c>
      <c r="D201" s="2" t="s">
        <v>12</v>
      </c>
      <c r="E201" s="2" t="s">
        <v>51</v>
      </c>
      <c r="F201" s="2" t="s">
        <v>52</v>
      </c>
      <c r="G201" s="2" t="s">
        <v>51</v>
      </c>
      <c r="H201" s="2" t="s">
        <v>12</v>
      </c>
      <c r="I201" s="2" t="s">
        <v>51</v>
      </c>
    </row>
    <row r="202" spans="1:11">
      <c r="B202" s="137" t="s">
        <v>189</v>
      </c>
    </row>
    <row r="203" spans="1:11">
      <c r="B203" s="4" t="s">
        <v>7</v>
      </c>
    </row>
    <row r="204" spans="1:11">
      <c r="B204" s="133" t="s">
        <v>421</v>
      </c>
      <c r="C204" s="8">
        <f ca="1">D59</f>
        <v>41.034999999999997</v>
      </c>
      <c r="D204" s="6">
        <f>D8</f>
        <v>83030622.512147844</v>
      </c>
      <c r="E204" s="10">
        <f ca="1">C204*D204/100</f>
        <v>34071615.947859861</v>
      </c>
      <c r="F204" s="141">
        <f>MIN(D204,F207)</f>
        <v>15874712</v>
      </c>
      <c r="G204" s="10">
        <f ca="1">F204*C204/100</f>
        <v>6514188.0691999998</v>
      </c>
      <c r="H204" s="6">
        <f>D204-F204</f>
        <v>67155910.512147844</v>
      </c>
      <c r="I204" s="10">
        <f ca="1">H204*C204/100</f>
        <v>27557427.878659863</v>
      </c>
      <c r="K204" s="402">
        <f>H204/H207</f>
        <v>0.55186608897065959</v>
      </c>
    </row>
    <row r="205" spans="1:11">
      <c r="B205" s="133" t="s">
        <v>422</v>
      </c>
      <c r="C205" s="8">
        <f ca="1">D60</f>
        <v>53.332999999999998</v>
      </c>
      <c r="D205" s="6">
        <f>D9</f>
        <v>54532868.440382153</v>
      </c>
      <c r="E205" s="19">
        <f ca="1">C205*D205/100</f>
        <v>29084014.725309014</v>
      </c>
      <c r="F205" s="142">
        <f>MIN(F207-F204,D205)</f>
        <v>0</v>
      </c>
      <c r="G205" s="19">
        <f ca="1">F205*C205/100</f>
        <v>0</v>
      </c>
      <c r="H205" s="6">
        <f>D205-F205</f>
        <v>54532868.440382153</v>
      </c>
      <c r="I205" s="10">
        <f ca="1">H205*C205/100</f>
        <v>29084014.725309014</v>
      </c>
      <c r="K205" s="402">
        <f>H205/H207</f>
        <v>0.44813391102934041</v>
      </c>
    </row>
    <row r="206" spans="1:11">
      <c r="D206" s="132"/>
      <c r="E206" s="132"/>
      <c r="F206" s="132"/>
      <c r="G206" s="132"/>
      <c r="H206" s="132"/>
      <c r="I206" s="26"/>
    </row>
    <row r="207" spans="1:11">
      <c r="B207" s="4" t="s">
        <v>6</v>
      </c>
      <c r="D207" s="6">
        <f>D204+D205</f>
        <v>137563490.95253</v>
      </c>
      <c r="E207" s="10">
        <f ca="1">E204+E205</f>
        <v>63155630.673168875</v>
      </c>
      <c r="F207" s="537">
        <f>8*D25</f>
        <v>15874712</v>
      </c>
      <c r="G207" s="10">
        <f ca="1">G204+G205</f>
        <v>6514188.0691999998</v>
      </c>
      <c r="H207" s="6">
        <f>H204+H205</f>
        <v>121688778.95253</v>
      </c>
      <c r="I207" s="10">
        <f ca="1">I204+I205</f>
        <v>56641442.603968874</v>
      </c>
    </row>
    <row r="208" spans="1:11">
      <c r="B208" s="4" t="s">
        <v>53</v>
      </c>
      <c r="E208" s="8">
        <f t="shared" ref="E208" ca="1" si="49">E207/D207*100</f>
        <v>45.910168632578852</v>
      </c>
      <c r="F208" s="8"/>
      <c r="G208" s="8">
        <f ca="1">G207/F207*100</f>
        <v>41.034999999999997</v>
      </c>
      <c r="I208" s="8">
        <f ca="1">I207/H207*100</f>
        <v>46.546150837838823</v>
      </c>
    </row>
    <row r="211" spans="2:9">
      <c r="B211" s="137" t="s">
        <v>190</v>
      </c>
    </row>
    <row r="212" spans="2:9">
      <c r="B212" s="4" t="s">
        <v>7</v>
      </c>
    </row>
    <row r="213" spans="2:9">
      <c r="B213" s="133" t="s">
        <v>421</v>
      </c>
      <c r="C213" s="8">
        <f ca="1">D77</f>
        <v>41.034999999999997</v>
      </c>
      <c r="D213" s="6">
        <f>D8</f>
        <v>83030622.512147844</v>
      </c>
      <c r="E213" s="10">
        <f ca="1">C213*D213/100</f>
        <v>34071615.947859861</v>
      </c>
      <c r="F213" s="141">
        <f>MIN(D213,F216)</f>
        <v>15874712</v>
      </c>
      <c r="G213" s="10">
        <f ca="1">F213*C213/100</f>
        <v>6514188.0691999998</v>
      </c>
      <c r="H213" s="6">
        <f>D213-F213</f>
        <v>67155910.512147844</v>
      </c>
      <c r="I213" s="10">
        <f ca="1">H213*C213/100</f>
        <v>27557427.878659863</v>
      </c>
    </row>
    <row r="214" spans="2:9">
      <c r="B214" s="133" t="s">
        <v>422</v>
      </c>
      <c r="C214" s="8">
        <f ca="1">D78</f>
        <v>53.332999999999998</v>
      </c>
      <c r="D214" s="28">
        <f>D9</f>
        <v>54532868.440382153</v>
      </c>
      <c r="E214" s="19">
        <f ca="1">C214*D214/100</f>
        <v>29084014.725309014</v>
      </c>
      <c r="F214" s="142">
        <f>MIN(F216-F213,D214)</f>
        <v>0</v>
      </c>
      <c r="G214" s="19">
        <f ca="1">F214*C214/100</f>
        <v>0</v>
      </c>
      <c r="H214" s="6">
        <f>D214-F214</f>
        <v>54532868.440382153</v>
      </c>
      <c r="I214" s="10">
        <f ca="1">H214*C214/100</f>
        <v>29084014.725309014</v>
      </c>
    </row>
    <row r="215" spans="2:9">
      <c r="D215" s="132"/>
      <c r="E215" s="132"/>
      <c r="F215" s="132"/>
      <c r="G215" s="132"/>
      <c r="H215" s="132"/>
      <c r="I215" s="132"/>
    </row>
    <row r="216" spans="2:9">
      <c r="B216" s="4" t="s">
        <v>6</v>
      </c>
      <c r="D216" s="6">
        <f>D213+D214</f>
        <v>137563490.95253</v>
      </c>
      <c r="E216" s="10">
        <f ca="1">E213+E214</f>
        <v>63155630.673168875</v>
      </c>
      <c r="F216" s="15">
        <f>F207</f>
        <v>15874712</v>
      </c>
      <c r="G216" s="10">
        <f ca="1">G213+G214</f>
        <v>6514188.0691999998</v>
      </c>
      <c r="H216" s="6">
        <f>H213+H214</f>
        <v>121688778.95253</v>
      </c>
      <c r="I216" s="6">
        <f ca="1">I212+I213+I214</f>
        <v>56641442.603968874</v>
      </c>
    </row>
    <row r="217" spans="2:9">
      <c r="B217" s="4" t="s">
        <v>53</v>
      </c>
      <c r="E217" s="8">
        <f t="shared" ref="E217" ca="1" si="50">E216/D216*100</f>
        <v>45.910168632578852</v>
      </c>
      <c r="F217" s="8"/>
      <c r="G217" s="8">
        <f ca="1">G216/F216*100</f>
        <v>41.034999999999997</v>
      </c>
      <c r="I217" s="8">
        <f ca="1">I216/H216*100</f>
        <v>46.546150837838823</v>
      </c>
    </row>
    <row r="219" spans="2:9">
      <c r="E219" s="10"/>
    </row>
    <row r="220" spans="2:9">
      <c r="B220" s="258" t="s">
        <v>630</v>
      </c>
    </row>
    <row r="221" spans="2:9">
      <c r="B221" s="471" t="str">
        <f>"13 X "&amp;TEXT(D25,"#,##0")&amp;" = "&amp;TEXT(F207,"#,##0")</f>
        <v>13 X 1,984,339 = 15,874,712</v>
      </c>
    </row>
    <row r="223" spans="2:9">
      <c r="B223" s="137" t="s">
        <v>189</v>
      </c>
    </row>
    <row r="224" spans="2:9">
      <c r="B224" s="4" t="s">
        <v>24</v>
      </c>
    </row>
    <row r="225" spans="2:9">
      <c r="B225" s="133" t="s">
        <v>187</v>
      </c>
      <c r="C225" s="8">
        <f ca="1">E59</f>
        <v>0</v>
      </c>
      <c r="D225" s="6">
        <f>E8</f>
        <v>6558198.1454840573</v>
      </c>
      <c r="E225" s="10">
        <f ca="1">C225*D225/100</f>
        <v>0</v>
      </c>
      <c r="F225" s="141">
        <f>MIN(D225,F231)</f>
        <v>6558198.1454840573</v>
      </c>
      <c r="G225" s="10">
        <f ca="1">F225*C225/100</f>
        <v>0</v>
      </c>
      <c r="H225" s="6">
        <f>D225-F225</f>
        <v>0</v>
      </c>
      <c r="I225" s="10">
        <f ca="1">H225*C225/100</f>
        <v>0</v>
      </c>
    </row>
    <row r="226" spans="2:9">
      <c r="B226" s="133" t="s">
        <v>188</v>
      </c>
      <c r="C226" s="8">
        <f ca="1">E60</f>
        <v>36.158999999999999</v>
      </c>
      <c r="D226" s="6">
        <f>E9</f>
        <v>17521409.971404865</v>
      </c>
      <c r="E226" s="10">
        <f ca="1">C226*D226/100</f>
        <v>6335566.6315602846</v>
      </c>
      <c r="F226" s="141">
        <f>MIN(F231-F225,D226)</f>
        <v>12329579.854515944</v>
      </c>
      <c r="G226" s="10">
        <f ca="1">F226*C226/100</f>
        <v>4458252.7795944205</v>
      </c>
      <c r="H226" s="6">
        <f>D226-F226</f>
        <v>5191830.1168889217</v>
      </c>
      <c r="I226" s="10">
        <f ca="1">H226*C226/100</f>
        <v>1877313.8519658651</v>
      </c>
    </row>
    <row r="227" spans="2:9">
      <c r="B227" s="133" t="s">
        <v>362</v>
      </c>
      <c r="C227" s="8">
        <f t="shared" ref="C227:C229" ca="1" si="51">E61</f>
        <v>27.562000000000001</v>
      </c>
      <c r="D227" s="6">
        <f t="shared" ref="D227:D229" si="52">E10</f>
        <v>35476526.201671071</v>
      </c>
      <c r="E227" s="10">
        <f t="shared" ref="E227:E229" ca="1" si="53">C227*D227/100</f>
        <v>9778040.1517045815</v>
      </c>
      <c r="F227" s="142">
        <f>MIN(F231-F225-F226,D227)</f>
        <v>0</v>
      </c>
      <c r="G227" s="10">
        <f t="shared" ref="G227:G228" ca="1" si="54">F227*C227/100</f>
        <v>0</v>
      </c>
      <c r="H227" s="6">
        <f t="shared" ref="H227:H228" si="55">D227-F227</f>
        <v>35476526.201671071</v>
      </c>
      <c r="I227" s="10">
        <f t="shared" ref="I227:I228" ca="1" si="56">H227*C227/100</f>
        <v>9778040.1517045815</v>
      </c>
    </row>
    <row r="228" spans="2:9">
      <c r="B228" s="133" t="s">
        <v>363</v>
      </c>
      <c r="C228" s="8">
        <f t="shared" ca="1" si="51"/>
        <v>23.516999999999999</v>
      </c>
      <c r="D228" s="6">
        <f t="shared" si="52"/>
        <v>738873.23558999994</v>
      </c>
      <c r="E228" s="10">
        <f t="shared" ca="1" si="53"/>
        <v>173760.81881370026</v>
      </c>
      <c r="F228" s="142">
        <f>MIN(F231-F225-F226-F227,D228)</f>
        <v>0</v>
      </c>
      <c r="G228" s="10">
        <f t="shared" ca="1" si="54"/>
        <v>0</v>
      </c>
      <c r="H228" s="6">
        <f t="shared" si="55"/>
        <v>738873.23558999994</v>
      </c>
      <c r="I228" s="10">
        <f t="shared" ca="1" si="56"/>
        <v>173760.81881370026</v>
      </c>
    </row>
    <row r="229" spans="2:9">
      <c r="B229" s="133" t="s">
        <v>364</v>
      </c>
      <c r="C229" s="8">
        <f t="shared" ca="1" si="51"/>
        <v>16.497</v>
      </c>
      <c r="D229" s="6">
        <f t="shared" si="52"/>
        <v>1342153.2106699697</v>
      </c>
      <c r="E229" s="10">
        <f t="shared" ca="1" si="53"/>
        <v>221415.01516422487</v>
      </c>
      <c r="F229" s="142">
        <f>MIN(F231-F225-F226-F227-F228,D229)</f>
        <v>0</v>
      </c>
      <c r="G229" s="19">
        <f ca="1">F229*C229/100</f>
        <v>0</v>
      </c>
      <c r="H229" s="6">
        <f>D229-F229</f>
        <v>1342153.2106699697</v>
      </c>
      <c r="I229" s="10">
        <f ca="1">H229*C229/100</f>
        <v>221415.01516422487</v>
      </c>
    </row>
    <row r="230" spans="2:9">
      <c r="D230" s="132"/>
      <c r="E230" s="132"/>
      <c r="F230" s="132"/>
      <c r="G230" s="132"/>
      <c r="H230" s="132"/>
      <c r="I230" s="26"/>
    </row>
    <row r="231" spans="2:9">
      <c r="B231" s="4" t="s">
        <v>6</v>
      </c>
      <c r="D231" s="6">
        <f>D225+D226+D229+D227+D228</f>
        <v>61637160.764819965</v>
      </c>
      <c r="E231" s="10">
        <f ca="1">E225+E226+E229+E227+E228</f>
        <v>16508782.617242791</v>
      </c>
      <c r="F231" s="537">
        <f>507*E26</f>
        <v>18887778</v>
      </c>
      <c r="G231" s="10">
        <f ca="1">G225+G226+G229</f>
        <v>4458252.7795944205</v>
      </c>
      <c r="H231" s="6">
        <f>H225+H226+H229+H227+H228</f>
        <v>42749382.764819965</v>
      </c>
      <c r="I231" s="10">
        <f ca="1">I225+I226+I229+I227+I228</f>
        <v>12050529.837648371</v>
      </c>
    </row>
    <row r="232" spans="2:9">
      <c r="B232" s="4" t="s">
        <v>53</v>
      </c>
      <c r="E232" s="8">
        <f ca="1">E231/D231*100</f>
        <v>26.783814199737353</v>
      </c>
      <c r="F232" s="8"/>
      <c r="G232" s="8">
        <f ca="1">G231/F231*100</f>
        <v>23.603902902683526</v>
      </c>
      <c r="I232" s="8">
        <f ca="1">I231/H231*100</f>
        <v>28.188780885896659</v>
      </c>
    </row>
    <row r="235" spans="2:9">
      <c r="B235" s="137" t="s">
        <v>190</v>
      </c>
    </row>
    <row r="236" spans="2:9">
      <c r="B236" s="4" t="s">
        <v>24</v>
      </c>
    </row>
    <row r="237" spans="2:9">
      <c r="B237" s="133" t="s">
        <v>187</v>
      </c>
      <c r="C237" s="8">
        <f ca="1">E77</f>
        <v>0</v>
      </c>
      <c r="D237" s="6">
        <f>E31</f>
        <v>6558198.1454840573</v>
      </c>
      <c r="E237" s="10">
        <f ca="1">C237*D237/100</f>
        <v>0</v>
      </c>
      <c r="F237" s="141">
        <f>MIN(D237,F243)</f>
        <v>6558198.1454840573</v>
      </c>
      <c r="G237" s="10">
        <f ca="1">F237*C237/100</f>
        <v>0</v>
      </c>
      <c r="H237" s="6">
        <f>D237-F237</f>
        <v>0</v>
      </c>
      <c r="I237" s="10">
        <f ca="1">H237*C237/100</f>
        <v>0</v>
      </c>
    </row>
    <row r="238" spans="2:9">
      <c r="B238" s="133" t="s">
        <v>188</v>
      </c>
      <c r="C238" s="8">
        <f ca="1">E78</f>
        <v>36.158999999999999</v>
      </c>
      <c r="D238" s="6">
        <f>E32</f>
        <v>17521409.971404865</v>
      </c>
      <c r="E238" s="10">
        <f ca="1">C238*D238/100</f>
        <v>6335566.6315602846</v>
      </c>
      <c r="F238" s="141">
        <f>MIN(F243-F237,D238)</f>
        <v>12329579.854515944</v>
      </c>
      <c r="G238" s="10">
        <f ca="1">F238*C238/100</f>
        <v>4458252.7795944205</v>
      </c>
      <c r="H238" s="6">
        <f>D238-F238</f>
        <v>5191830.1168889217</v>
      </c>
      <c r="I238" s="10">
        <f ca="1">H238*C238/100</f>
        <v>1877313.8519658651</v>
      </c>
    </row>
    <row r="239" spans="2:9">
      <c r="B239" s="133" t="s">
        <v>362</v>
      </c>
      <c r="C239" s="8">
        <f ca="1">E79</f>
        <v>27.562000000000001</v>
      </c>
      <c r="D239" s="28">
        <f>E33</f>
        <v>35476526.201671071</v>
      </c>
      <c r="E239" s="19">
        <f ca="1">C239*D239/100</f>
        <v>9778040.1517045815</v>
      </c>
      <c r="F239" s="142">
        <f>MIN(F243-F237-F238,D239)</f>
        <v>0</v>
      </c>
      <c r="G239" s="19">
        <f ca="1">F239*C239/100</f>
        <v>0</v>
      </c>
      <c r="H239" s="6">
        <f>D239-F239</f>
        <v>35476526.201671071</v>
      </c>
      <c r="I239" s="10">
        <f ca="1">H239*C239/100</f>
        <v>9778040.1517045815</v>
      </c>
    </row>
    <row r="240" spans="2:9">
      <c r="B240" s="133" t="s">
        <v>363</v>
      </c>
      <c r="C240" s="8">
        <f ca="1">E80</f>
        <v>23.516999999999999</v>
      </c>
      <c r="D240" s="28">
        <f>E34</f>
        <v>738873.23558999994</v>
      </c>
      <c r="E240" s="19">
        <f t="shared" ref="E240:E241" ca="1" si="57">C240*D240/100</f>
        <v>173760.81881370026</v>
      </c>
      <c r="F240" s="142">
        <f>MIN(F243-F237-F238-F239,D240)</f>
        <v>0</v>
      </c>
      <c r="G240" s="19">
        <f ca="1">F240*C240/100</f>
        <v>0</v>
      </c>
      <c r="H240" s="6">
        <f>D240-F240</f>
        <v>738873.23558999994</v>
      </c>
      <c r="I240" s="10">
        <f ca="1">H240*C240/100</f>
        <v>173760.81881370026</v>
      </c>
    </row>
    <row r="241" spans="1:9">
      <c r="B241" s="133" t="s">
        <v>364</v>
      </c>
      <c r="C241" s="8">
        <f ca="1">E81</f>
        <v>16.497</v>
      </c>
      <c r="D241" s="28">
        <f>E35</f>
        <v>1342153.2106699697</v>
      </c>
      <c r="E241" s="19">
        <f t="shared" ca="1" si="57"/>
        <v>221415.01516422487</v>
      </c>
      <c r="F241" s="142">
        <f>MIN(F243-F237-F238-F239-F240,D241)</f>
        <v>0</v>
      </c>
      <c r="G241" s="19">
        <f t="shared" ref="G241" ca="1" si="58">F241*C241/100</f>
        <v>0</v>
      </c>
      <c r="H241" s="6">
        <f t="shared" ref="H241" si="59">D241-F241</f>
        <v>1342153.2106699697</v>
      </c>
      <c r="I241" s="10">
        <f t="shared" ref="I241" ca="1" si="60">H241*C241/100</f>
        <v>221415.01516422487</v>
      </c>
    </row>
    <row r="242" spans="1:9">
      <c r="D242" s="132"/>
      <c r="E242" s="132"/>
      <c r="F242" s="132"/>
      <c r="G242" s="132"/>
      <c r="H242" s="132"/>
      <c r="I242" s="132"/>
    </row>
    <row r="243" spans="1:9">
      <c r="B243" s="4" t="s">
        <v>6</v>
      </c>
      <c r="D243" s="6">
        <f>D237+D238+D239+D240+D241</f>
        <v>61637160.764819965</v>
      </c>
      <c r="E243" s="10">
        <f ca="1">E237+E238+E239+E240+E241</f>
        <v>16508782.617242791</v>
      </c>
      <c r="F243" s="542">
        <f>F231</f>
        <v>18887778</v>
      </c>
      <c r="G243" s="10">
        <f ca="1">G237+G238+G239</f>
        <v>4458252.7795944205</v>
      </c>
      <c r="H243" s="6">
        <f>H237+H238+H239+H240+H241</f>
        <v>42749382.764819965</v>
      </c>
      <c r="I243" s="6">
        <f ca="1">I236+I237+I238+I239+I240+I241</f>
        <v>12050529.837648371</v>
      </c>
    </row>
    <row r="244" spans="1:9">
      <c r="B244" s="4" t="s">
        <v>53</v>
      </c>
      <c r="E244" s="8">
        <f ca="1">E243/D243*100</f>
        <v>26.783814199737353</v>
      </c>
      <c r="F244" s="8"/>
      <c r="G244" s="8">
        <f ca="1">G243/F243*100</f>
        <v>23.603902902683526</v>
      </c>
      <c r="I244" s="8">
        <f ca="1">I243/H243*100</f>
        <v>28.188780885896659</v>
      </c>
    </row>
    <row r="245" spans="1:9">
      <c r="D245" s="6"/>
      <c r="E245" s="6"/>
    </row>
    <row r="247" spans="1:9">
      <c r="B247" s="258" t="s">
        <v>631</v>
      </c>
    </row>
    <row r="248" spans="1:9">
      <c r="B248" s="471" t="str">
        <f>"522 X "&amp;TEXT(E26,"#,##0")&amp;" = "&amp;TEXT(F231,"#,##0")</f>
        <v>522 X 37,254 = 18,887,778</v>
      </c>
    </row>
    <row r="250" spans="1:9">
      <c r="A250" s="138" t="s">
        <v>191</v>
      </c>
      <c r="B250" s="1"/>
      <c r="C250" s="1" t="s">
        <v>0</v>
      </c>
      <c r="D250" s="1" t="s">
        <v>6</v>
      </c>
      <c r="E250" s="1" t="s">
        <v>6</v>
      </c>
      <c r="F250" s="1" t="s">
        <v>48</v>
      </c>
      <c r="G250" s="1" t="s">
        <v>48</v>
      </c>
      <c r="H250" s="1" t="s">
        <v>49</v>
      </c>
      <c r="I250" s="1" t="s">
        <v>49</v>
      </c>
    </row>
    <row r="251" spans="1:9">
      <c r="A251" s="138" t="s">
        <v>192</v>
      </c>
      <c r="B251" s="1"/>
      <c r="C251" s="2" t="s">
        <v>50</v>
      </c>
      <c r="D251" s="2" t="s">
        <v>12</v>
      </c>
      <c r="E251" s="2" t="s">
        <v>51</v>
      </c>
      <c r="F251" s="2" t="s">
        <v>52</v>
      </c>
      <c r="G251" s="2" t="s">
        <v>51</v>
      </c>
      <c r="H251" s="2" t="s">
        <v>12</v>
      </c>
      <c r="I251" s="2" t="s">
        <v>51</v>
      </c>
    </row>
    <row r="253" spans="1:9">
      <c r="B253" s="137" t="s">
        <v>189</v>
      </c>
    </row>
    <row r="254" spans="1:9">
      <c r="B254" s="4" t="s">
        <v>25</v>
      </c>
    </row>
    <row r="255" spans="1:9">
      <c r="B255" s="133" t="s">
        <v>360</v>
      </c>
      <c r="C255" s="8">
        <f ca="1">F59</f>
        <v>0</v>
      </c>
      <c r="D255" s="6">
        <f>F8</f>
        <v>0</v>
      </c>
      <c r="E255" s="10">
        <f ca="1">C255*D255/100</f>
        <v>0</v>
      </c>
      <c r="F255" s="141">
        <f>MIN(D255,F261)</f>
        <v>0</v>
      </c>
      <c r="G255" s="10">
        <f ca="1">F255*C255/100</f>
        <v>0</v>
      </c>
      <c r="H255" s="6">
        <f>D255-F255</f>
        <v>0</v>
      </c>
      <c r="I255" s="10">
        <f ca="1">H255*C255/100</f>
        <v>0</v>
      </c>
    </row>
    <row r="256" spans="1:9">
      <c r="B256" s="133" t="s">
        <v>361</v>
      </c>
      <c r="C256" s="8">
        <f ca="1">F60</f>
        <v>0</v>
      </c>
      <c r="D256" s="6">
        <f>F9</f>
        <v>0</v>
      </c>
      <c r="E256" s="10">
        <f ca="1">C256*D256/100</f>
        <v>0</v>
      </c>
      <c r="F256" s="141">
        <f>MIN(F261-F255,D256)</f>
        <v>0</v>
      </c>
      <c r="G256" s="10">
        <f ca="1">F256*C256/100</f>
        <v>0</v>
      </c>
      <c r="H256" s="6">
        <f>D256-F256</f>
        <v>0</v>
      </c>
      <c r="I256" s="10">
        <f ca="1">H256*C256/100</f>
        <v>0</v>
      </c>
    </row>
    <row r="257" spans="2:9">
      <c r="B257" s="133" t="s">
        <v>362</v>
      </c>
      <c r="C257" s="8">
        <f ca="1">F61</f>
        <v>0</v>
      </c>
      <c r="D257" s="6">
        <f>F10</f>
        <v>0</v>
      </c>
      <c r="E257" s="19">
        <f ca="1">C257*D257/100</f>
        <v>0</v>
      </c>
      <c r="F257" s="142">
        <f>MIN(F261-F255-F256,D257)</f>
        <v>0</v>
      </c>
      <c r="G257" s="19">
        <f ca="1">F257*C257/100</f>
        <v>0</v>
      </c>
      <c r="H257" s="6">
        <f>D257-F257</f>
        <v>0</v>
      </c>
      <c r="I257" s="10">
        <f ca="1">H257*C257/100</f>
        <v>0</v>
      </c>
    </row>
    <row r="258" spans="2:9">
      <c r="B258" s="133" t="s">
        <v>363</v>
      </c>
      <c r="C258" s="8">
        <f ca="1">F62</f>
        <v>0</v>
      </c>
      <c r="D258" s="6">
        <f>F11</f>
        <v>0</v>
      </c>
      <c r="E258" s="19">
        <f t="shared" ref="E258:E259" ca="1" si="61">C258*D258/100</f>
        <v>0</v>
      </c>
      <c r="F258" s="142">
        <f>MIN(F261-F255-F256-F257,D258)</f>
        <v>0</v>
      </c>
      <c r="G258" s="19">
        <f t="shared" ref="G258:G259" ca="1" si="62">F258*C258/100</f>
        <v>0</v>
      </c>
      <c r="H258" s="6">
        <f t="shared" ref="H258:H259" si="63">D258-F258</f>
        <v>0</v>
      </c>
      <c r="I258" s="10">
        <f t="shared" ref="I258:I259" ca="1" si="64">H258*C258/100</f>
        <v>0</v>
      </c>
    </row>
    <row r="259" spans="2:9">
      <c r="B259" s="133" t="s">
        <v>364</v>
      </c>
      <c r="C259" s="8">
        <f ca="1">F63</f>
        <v>0</v>
      </c>
      <c r="D259" s="6">
        <f>F12</f>
        <v>0</v>
      </c>
      <c r="E259" s="19">
        <f t="shared" ca="1" si="61"/>
        <v>0</v>
      </c>
      <c r="F259" s="142">
        <f>MIN(F261-F255-F256-F257-F258,D259)</f>
        <v>0</v>
      </c>
      <c r="G259" s="19">
        <f t="shared" ca="1" si="62"/>
        <v>0</v>
      </c>
      <c r="H259" s="6">
        <f t="shared" si="63"/>
        <v>0</v>
      </c>
      <c r="I259" s="10">
        <f t="shared" ca="1" si="64"/>
        <v>0</v>
      </c>
    </row>
    <row r="260" spans="2:9">
      <c r="D260" s="132"/>
      <c r="E260" s="132"/>
      <c r="F260" s="132"/>
      <c r="G260" s="132"/>
      <c r="H260" s="132"/>
      <c r="I260" s="26"/>
    </row>
    <row r="261" spans="2:9">
      <c r="B261" s="4" t="s">
        <v>6</v>
      </c>
      <c r="D261" s="6">
        <f>D255+D256+D257+D258+D259</f>
        <v>0</v>
      </c>
      <c r="E261" s="10">
        <f ca="1">E255+E256+E257+E258+E259</f>
        <v>0</v>
      </c>
      <c r="F261" s="537">
        <f>507*F26</f>
        <v>0</v>
      </c>
      <c r="G261" s="10">
        <f ca="1">G255+G256+G257</f>
        <v>0</v>
      </c>
      <c r="H261" s="6">
        <f>H255+H256+H257+H258+H259</f>
        <v>0</v>
      </c>
      <c r="I261" s="10">
        <f ca="1">I255+I256+I257+I258+I259</f>
        <v>0</v>
      </c>
    </row>
    <row r="262" spans="2:9">
      <c r="B262" s="4" t="s">
        <v>53</v>
      </c>
      <c r="E262" s="8" t="e">
        <f t="shared" ref="E262" ca="1" si="65">E261/D261*100</f>
        <v>#DIV/0!</v>
      </c>
      <c r="F262" s="8"/>
      <c r="G262" s="8" t="e">
        <f ca="1">G261/F261*100</f>
        <v>#DIV/0!</v>
      </c>
      <c r="I262" s="8" t="e">
        <f ca="1">I261/H261*100</f>
        <v>#DIV/0!</v>
      </c>
    </row>
    <row r="265" spans="2:9">
      <c r="B265" s="137" t="s">
        <v>190</v>
      </c>
    </row>
    <row r="266" spans="2:9">
      <c r="B266" s="4" t="s">
        <v>25</v>
      </c>
    </row>
    <row r="267" spans="2:9">
      <c r="B267" s="133" t="s">
        <v>360</v>
      </c>
      <c r="C267" s="8">
        <f ca="1">F77</f>
        <v>0</v>
      </c>
      <c r="D267" s="6" t="str">
        <f>F31</f>
        <v>Sch 121/122 disc</v>
      </c>
      <c r="E267" s="10" t="e">
        <f ca="1">C267*D267/100</f>
        <v>#VALUE!</v>
      </c>
      <c r="F267" s="141">
        <f>MIN(D267,F273)</f>
        <v>0</v>
      </c>
      <c r="G267" s="10">
        <f ca="1">F267*C267/100</f>
        <v>0</v>
      </c>
      <c r="H267" s="6" t="e">
        <f>D267-F267</f>
        <v>#VALUE!</v>
      </c>
      <c r="I267" s="10" t="e">
        <f ca="1">H267*C267/100</f>
        <v>#VALUE!</v>
      </c>
    </row>
    <row r="268" spans="2:9">
      <c r="B268" s="133" t="s">
        <v>361</v>
      </c>
      <c r="C268" s="8">
        <f ca="1">F78</f>
        <v>0</v>
      </c>
      <c r="D268" s="6" t="str">
        <f>F32</f>
        <v>(UG-190334)</v>
      </c>
      <c r="E268" s="10" t="e">
        <f t="shared" ref="E268:E271" ca="1" si="66">C268*D268/100</f>
        <v>#VALUE!</v>
      </c>
      <c r="F268" s="141">
        <f>MIN(F273-F267,D268)</f>
        <v>0</v>
      </c>
      <c r="G268" s="10">
        <f ca="1">F268*C268/100</f>
        <v>0</v>
      </c>
      <c r="H268" s="6" t="e">
        <f t="shared" ref="H268:H271" si="67">D268-F268</f>
        <v>#VALUE!</v>
      </c>
      <c r="I268" s="10" t="e">
        <f t="shared" ref="I268:I271" ca="1" si="68">H268*C268/100</f>
        <v>#VALUE!</v>
      </c>
    </row>
    <row r="269" spans="2:9">
      <c r="B269" s="133" t="s">
        <v>362</v>
      </c>
      <c r="C269" s="8">
        <f ca="1">F79</f>
        <v>0</v>
      </c>
      <c r="D269" s="6">
        <f>F33</f>
        <v>0</v>
      </c>
      <c r="E269" s="10">
        <f t="shared" ca="1" si="66"/>
        <v>0</v>
      </c>
      <c r="F269" s="142">
        <f>MIN(F273-F267-F268,D269)</f>
        <v>0</v>
      </c>
      <c r="G269" s="19">
        <f ca="1">F269*C269/100</f>
        <v>0</v>
      </c>
      <c r="H269" s="6">
        <f t="shared" si="67"/>
        <v>0</v>
      </c>
      <c r="I269" s="10">
        <f t="shared" ca="1" si="68"/>
        <v>0</v>
      </c>
    </row>
    <row r="270" spans="2:9">
      <c r="B270" s="133" t="s">
        <v>363</v>
      </c>
      <c r="C270" s="8">
        <f ca="1">F80</f>
        <v>0</v>
      </c>
      <c r="D270" s="6">
        <f>F34</f>
        <v>0</v>
      </c>
      <c r="E270" s="10">
        <f t="shared" ca="1" si="66"/>
        <v>0</v>
      </c>
      <c r="F270" s="142">
        <f>MIN(F273-F267-F268-F269,D270)</f>
        <v>0</v>
      </c>
      <c r="G270" s="19">
        <f t="shared" ref="G270:G271" ca="1" si="69">F270*C270/100</f>
        <v>0</v>
      </c>
      <c r="H270" s="6">
        <f t="shared" si="67"/>
        <v>0</v>
      </c>
      <c r="I270" s="10">
        <f t="shared" ca="1" si="68"/>
        <v>0</v>
      </c>
    </row>
    <row r="271" spans="2:9">
      <c r="B271" s="133" t="s">
        <v>364</v>
      </c>
      <c r="C271" s="8">
        <f ca="1">F81</f>
        <v>0</v>
      </c>
      <c r="D271" s="6">
        <f>F35</f>
        <v>0</v>
      </c>
      <c r="E271" s="10">
        <f t="shared" ca="1" si="66"/>
        <v>0</v>
      </c>
      <c r="F271" s="142">
        <f>MIN(F273-F267-F268-F269-F270,D271)</f>
        <v>0</v>
      </c>
      <c r="G271" s="19">
        <f t="shared" ca="1" si="69"/>
        <v>0</v>
      </c>
      <c r="H271" s="6">
        <f t="shared" si="67"/>
        <v>0</v>
      </c>
      <c r="I271" s="10">
        <f t="shared" ca="1" si="68"/>
        <v>0</v>
      </c>
    </row>
    <row r="272" spans="2:9">
      <c r="D272" s="132"/>
      <c r="E272" s="132"/>
      <c r="F272" s="132"/>
      <c r="G272" s="132"/>
      <c r="H272" s="132"/>
      <c r="I272" s="132"/>
    </row>
    <row r="273" spans="2:9">
      <c r="B273" s="4" t="s">
        <v>6</v>
      </c>
      <c r="D273" s="6" t="e">
        <f>D267+D268+D269+D270+D271</f>
        <v>#VALUE!</v>
      </c>
      <c r="E273" s="10" t="e">
        <f ca="1">E267+E268+E269+E270+E271</f>
        <v>#VALUE!</v>
      </c>
      <c r="F273" s="15">
        <f>F261</f>
        <v>0</v>
      </c>
      <c r="G273" s="10">
        <f ca="1">G267+G268+G269+G270+G271</f>
        <v>0</v>
      </c>
      <c r="H273" s="6" t="e">
        <f>H267+H268+H269+H270+H271</f>
        <v>#VALUE!</v>
      </c>
      <c r="I273" s="6" t="e">
        <f ca="1">I266+I267+I268+I269+I270+I271</f>
        <v>#VALUE!</v>
      </c>
    </row>
    <row r="274" spans="2:9">
      <c r="B274" s="4" t="s">
        <v>53</v>
      </c>
      <c r="E274" s="538" t="e">
        <f ca="1">E273/D273*100</f>
        <v>#VALUE!</v>
      </c>
      <c r="F274" s="8"/>
      <c r="G274" s="8" t="e">
        <f ca="1">G273/F273*100</f>
        <v>#DIV/0!</v>
      </c>
      <c r="I274" s="8" t="e">
        <f ca="1">I273/H273*100</f>
        <v>#VALUE!</v>
      </c>
    </row>
    <row r="276" spans="2:9">
      <c r="B276" s="258" t="s">
        <v>632</v>
      </c>
    </row>
    <row r="277" spans="2:9">
      <c r="B277" s="471" t="str">
        <f>"10,807 X "&amp;TEXT(F26,"#,##0")&amp;" = "&amp;TEXT(F261,"#,##0")</f>
        <v>10,807 X 0 = 0</v>
      </c>
    </row>
    <row r="280" spans="2:9">
      <c r="D280" s="253"/>
      <c r="E280" s="253"/>
      <c r="F280" s="253"/>
      <c r="G280" s="253"/>
      <c r="H280" s="253"/>
      <c r="I280" s="10"/>
    </row>
    <row r="281" spans="2:9">
      <c r="D281" s="6"/>
      <c r="E281" s="6"/>
      <c r="F281" s="6"/>
      <c r="G281" s="6"/>
      <c r="H281" s="6"/>
    </row>
    <row r="284" spans="2:9">
      <c r="D284" s="409"/>
    </row>
    <row r="288" spans="2:9">
      <c r="D288" s="410"/>
    </row>
  </sheetData>
  <mergeCells count="1">
    <mergeCell ref="Q6:S11"/>
  </mergeCells>
  <phoneticPr fontId="0" type="noConversion"/>
  <pageMargins left="0.5" right="0.5" top="0.78" bottom="0.5" header="0.17" footer="0.5"/>
  <pageSetup scale="85" orientation="landscape" r:id="rId1"/>
  <headerFooter alignWithMargins="0">
    <oddHeader>&amp;C&amp;"Arial,Bold"&amp;9AVISTA UTILITIES
WASHINGTON NATURAL GAS
PRO FORMA REVENUE UNDER PRESENT AND PROPOSED BASE TARIFF RATES
12 MONTHS ENDED DECEMBER 31, 2019</oddHeader>
  </headerFooter>
  <rowBreaks count="4" manualBreakCount="4">
    <brk id="49" max="9" man="1"/>
    <brk id="97" max="9" man="1"/>
    <brk id="146" max="9" man="1"/>
    <brk id="196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autoPageBreaks="0" fitToPage="1"/>
  </sheetPr>
  <dimension ref="A1:V122"/>
  <sheetViews>
    <sheetView showGridLines="0" zoomScale="90" zoomScaleNormal="90" workbookViewId="0">
      <pane xSplit="2" ySplit="2" topLeftCell="C3" activePane="bottomRight" state="frozen"/>
      <selection pane="topRight" activeCell="C1" sqref="C1"/>
      <selection pane="bottomLeft" activeCell="A5" sqref="A5"/>
      <selection pane="bottomRight" activeCell="G26" sqref="G26"/>
    </sheetView>
  </sheetViews>
  <sheetFormatPr defaultRowHeight="12.75"/>
  <cols>
    <col min="1" max="1" width="8.7109375" customWidth="1"/>
    <col min="2" max="2" width="24.28515625" customWidth="1"/>
    <col min="3" max="3" width="14.7109375" customWidth="1"/>
    <col min="4" max="4" width="16" bestFit="1" customWidth="1"/>
    <col min="5" max="8" width="14.7109375" customWidth="1"/>
    <col min="10" max="10" width="19" bestFit="1" customWidth="1"/>
    <col min="11" max="11" width="22.5703125" customWidth="1"/>
    <col min="12" max="16" width="14.7109375" customWidth="1"/>
  </cols>
  <sheetData>
    <row r="1" spans="1:16" ht="15">
      <c r="A1" s="79" t="s">
        <v>27</v>
      </c>
      <c r="C1" s="29"/>
      <c r="D1" s="44">
        <v>1</v>
      </c>
      <c r="E1" s="44">
        <v>2</v>
      </c>
      <c r="F1" s="44">
        <v>3</v>
      </c>
      <c r="G1" s="44">
        <v>4</v>
      </c>
      <c r="H1" s="44">
        <v>5</v>
      </c>
      <c r="L1" s="53" t="s">
        <v>118</v>
      </c>
    </row>
    <row r="2" spans="1:16">
      <c r="C2" s="54" t="s">
        <v>6</v>
      </c>
      <c r="D2" s="54" t="s">
        <v>156</v>
      </c>
      <c r="E2" s="54" t="s">
        <v>600</v>
      </c>
      <c r="F2" s="54" t="s">
        <v>601</v>
      </c>
      <c r="G2" s="54" t="s">
        <v>388</v>
      </c>
      <c r="H2" s="54" t="s">
        <v>159</v>
      </c>
      <c r="J2" s="80" t="s">
        <v>119</v>
      </c>
      <c r="L2" s="54" t="s">
        <v>156</v>
      </c>
      <c r="M2" s="54" t="s">
        <v>157</v>
      </c>
      <c r="N2" s="54" t="s">
        <v>158</v>
      </c>
      <c r="O2" s="54" t="s">
        <v>160</v>
      </c>
      <c r="P2" s="54" t="s">
        <v>159</v>
      </c>
    </row>
    <row r="3" spans="1:16">
      <c r="B3" s="29" t="s">
        <v>120</v>
      </c>
      <c r="C3" s="54"/>
      <c r="D3" s="54"/>
      <c r="E3" s="54"/>
      <c r="F3" s="54"/>
      <c r="G3" s="54"/>
      <c r="H3" s="54"/>
      <c r="J3" s="80"/>
    </row>
    <row r="4" spans="1:16">
      <c r="A4">
        <v>1</v>
      </c>
      <c r="B4" t="s">
        <v>28</v>
      </c>
      <c r="D4" s="81">
        <v>9.5</v>
      </c>
      <c r="E4" s="81"/>
      <c r="F4" s="81"/>
      <c r="G4" s="81"/>
      <c r="H4" s="81">
        <v>625</v>
      </c>
    </row>
    <row r="5" spans="1:16">
      <c r="A5">
        <v>2</v>
      </c>
      <c r="B5" t="s">
        <v>29</v>
      </c>
      <c r="D5" s="81"/>
      <c r="E5" s="81">
        <v>107.56</v>
      </c>
      <c r="F5" s="81"/>
      <c r="G5" s="81"/>
      <c r="H5" s="81"/>
    </row>
    <row r="6" spans="1:16">
      <c r="A6">
        <v>3</v>
      </c>
      <c r="B6" t="s">
        <v>30</v>
      </c>
      <c r="D6" s="83">
        <v>41.034999999999997</v>
      </c>
      <c r="E6" s="83">
        <v>0</v>
      </c>
      <c r="F6" s="83"/>
      <c r="G6" s="83">
        <v>27.007999999999999</v>
      </c>
      <c r="H6" s="83">
        <v>10.494</v>
      </c>
      <c r="L6" s="43">
        <v>9999999</v>
      </c>
      <c r="M6" s="43">
        <v>200</v>
      </c>
      <c r="N6" s="43">
        <v>500</v>
      </c>
      <c r="O6" s="43">
        <v>10000</v>
      </c>
      <c r="P6" s="43">
        <v>20000</v>
      </c>
    </row>
    <row r="7" spans="1:16">
      <c r="A7">
        <v>4</v>
      </c>
      <c r="B7" t="s">
        <v>31</v>
      </c>
      <c r="D7" s="83">
        <v>53.332999999999998</v>
      </c>
      <c r="E7" s="83">
        <v>36.158999999999999</v>
      </c>
      <c r="F7" s="83"/>
      <c r="G7" s="83">
        <v>21.681000000000001</v>
      </c>
      <c r="H7" s="83">
        <v>9.3360000000000003</v>
      </c>
      <c r="I7" s="360">
        <f>H7/H6-1</f>
        <v>-0.11034877072612914</v>
      </c>
      <c r="L7" s="43">
        <v>9999999</v>
      </c>
      <c r="M7" s="43">
        <v>1000</v>
      </c>
      <c r="N7" s="43">
        <v>1000</v>
      </c>
      <c r="O7" s="43">
        <v>25000</v>
      </c>
      <c r="P7" s="43">
        <v>50000</v>
      </c>
    </row>
    <row r="8" spans="1:16">
      <c r="A8">
        <v>5</v>
      </c>
      <c r="B8" t="s">
        <v>32</v>
      </c>
      <c r="D8" s="83"/>
      <c r="E8" s="83">
        <v>27.562000000000001</v>
      </c>
      <c r="F8" s="83"/>
      <c r="G8" s="83">
        <v>20.373000000000001</v>
      </c>
      <c r="H8" s="83">
        <v>8.4190000000000005</v>
      </c>
      <c r="I8" s="360">
        <f t="shared" ref="I8:I9" si="0">H8/H7-1</f>
        <v>-9.8221936589545811E-2</v>
      </c>
      <c r="J8" s="29" t="s">
        <v>121</v>
      </c>
      <c r="L8" s="43">
        <v>9999999</v>
      </c>
      <c r="M8" s="43">
        <v>9999999</v>
      </c>
      <c r="N8" s="43">
        <v>10000</v>
      </c>
      <c r="O8" s="43">
        <v>50000</v>
      </c>
      <c r="P8" s="43">
        <v>300000</v>
      </c>
    </row>
    <row r="9" spans="1:16">
      <c r="A9">
        <v>6</v>
      </c>
      <c r="B9" t="s">
        <v>33</v>
      </c>
      <c r="D9" s="83"/>
      <c r="E9" s="83">
        <v>23.516999999999999</v>
      </c>
      <c r="F9" s="83"/>
      <c r="G9" s="83">
        <v>18.202999999999999</v>
      </c>
      <c r="H9" s="83">
        <v>7.7850000000000001</v>
      </c>
      <c r="I9" s="360">
        <f t="shared" si="0"/>
        <v>-7.5305855802351829E-2</v>
      </c>
      <c r="L9" s="43">
        <v>9999999</v>
      </c>
      <c r="M9" s="43">
        <v>9999999</v>
      </c>
      <c r="N9" s="43">
        <v>25000</v>
      </c>
      <c r="O9" s="43">
        <v>9999999</v>
      </c>
      <c r="P9" s="43">
        <v>500000</v>
      </c>
    </row>
    <row r="10" spans="1:16">
      <c r="A10">
        <v>7</v>
      </c>
      <c r="B10" t="s">
        <v>56</v>
      </c>
      <c r="D10" s="83"/>
      <c r="E10" s="83">
        <v>16.497</v>
      </c>
      <c r="F10" s="83"/>
      <c r="G10" s="83"/>
      <c r="H10" s="83">
        <v>5.851</v>
      </c>
      <c r="I10" s="360">
        <f>H10/H9-1</f>
        <v>-0.2484264611432242</v>
      </c>
      <c r="L10" s="43">
        <v>9999999</v>
      </c>
      <c r="M10" s="43">
        <v>9999999</v>
      </c>
      <c r="N10" s="43">
        <v>9999999</v>
      </c>
      <c r="O10" s="43">
        <v>9999999</v>
      </c>
      <c r="P10" s="43">
        <v>9999999</v>
      </c>
    </row>
    <row r="11" spans="1:16">
      <c r="D11" s="82"/>
      <c r="E11" s="82"/>
      <c r="F11" s="82"/>
      <c r="G11" s="82"/>
      <c r="H11" s="82"/>
      <c r="L11" s="170" t="s">
        <v>269</v>
      </c>
      <c r="M11" s="171">
        <f>(M6/100*E6+E5)/M6*100</f>
        <v>53.780000000000008</v>
      </c>
      <c r="N11" s="172">
        <f>(N6/100*F6+F5)/N6*100</f>
        <v>0</v>
      </c>
      <c r="O11" s="169"/>
      <c r="P11" s="169"/>
    </row>
    <row r="12" spans="1:16">
      <c r="B12" s="29" t="s">
        <v>122</v>
      </c>
      <c r="C12" s="29"/>
      <c r="G12" t="str">
        <f>IF(G13&lt;&gt;'Pres &amp; Prop Rev'!G$5,#VALUE!,"")</f>
        <v/>
      </c>
      <c r="H12" t="str">
        <f>IF(H13&lt;&gt;'Pres &amp; Prop Rev'!H$5,#VALUE!,"")</f>
        <v/>
      </c>
      <c r="L12" s="106" t="s">
        <v>102</v>
      </c>
      <c r="M12" s="173">
        <f>M6*M11/100-(M6*E6/100+E5)</f>
        <v>0</v>
      </c>
      <c r="N12" s="174">
        <f>N6*N11/100-(N6*F6/100+F5)</f>
        <v>0</v>
      </c>
    </row>
    <row r="13" spans="1:16">
      <c r="D13" s="54" t="s">
        <v>7</v>
      </c>
      <c r="E13" s="54" t="s">
        <v>8</v>
      </c>
      <c r="F13" s="54" t="s">
        <v>9</v>
      </c>
      <c r="G13" s="54" t="s">
        <v>10</v>
      </c>
      <c r="H13" s="54" t="s">
        <v>11</v>
      </c>
    </row>
    <row r="14" spans="1:16">
      <c r="A14">
        <v>1</v>
      </c>
      <c r="B14" t="s">
        <v>28</v>
      </c>
      <c r="D14" s="115">
        <f t="shared" ref="D14:H15" si="1">D4</f>
        <v>9.5</v>
      </c>
      <c r="E14" s="115">
        <f t="shared" si="1"/>
        <v>0</v>
      </c>
      <c r="F14" s="115">
        <f t="shared" si="1"/>
        <v>0</v>
      </c>
      <c r="G14" s="115">
        <f t="shared" si="1"/>
        <v>0</v>
      </c>
      <c r="H14" s="115">
        <f t="shared" si="1"/>
        <v>625</v>
      </c>
    </row>
    <row r="15" spans="1:16">
      <c r="A15">
        <v>2</v>
      </c>
      <c r="B15" t="s">
        <v>29</v>
      </c>
      <c r="D15" s="115">
        <f t="shared" si="1"/>
        <v>0</v>
      </c>
      <c r="E15" s="115">
        <f>E5</f>
        <v>107.56</v>
      </c>
      <c r="F15" s="115">
        <f>F5</f>
        <v>0</v>
      </c>
      <c r="G15" s="115">
        <f t="shared" si="1"/>
        <v>0</v>
      </c>
      <c r="H15" s="115">
        <f t="shared" si="1"/>
        <v>0</v>
      </c>
    </row>
    <row r="16" spans="1:16">
      <c r="A16">
        <v>3</v>
      </c>
      <c r="B16" t="s">
        <v>30</v>
      </c>
      <c r="D16" s="116">
        <f>D6+26.15+0.429+0.42-2.141+3.028+2.19</f>
        <v>71.111000000000004</v>
      </c>
      <c r="E16" s="116">
        <f>E6+25.181+1.085+1.841-1.21+1.626+1.836</f>
        <v>30.359000000000002</v>
      </c>
      <c r="F16" s="116">
        <f>F6</f>
        <v>0</v>
      </c>
      <c r="G16" s="116">
        <f>G6+21.892+1.132-0.792+1.611</f>
        <v>50.850999999999992</v>
      </c>
      <c r="H16" s="116">
        <f>H6+0.056-0.353+0.099</f>
        <v>10.295999999999999</v>
      </c>
      <c r="L16" s="34">
        <f t="shared" ref="L16:P18" si="2">L6</f>
        <v>9999999</v>
      </c>
      <c r="M16" s="34">
        <f t="shared" si="2"/>
        <v>200</v>
      </c>
      <c r="N16" s="34">
        <f t="shared" si="2"/>
        <v>500</v>
      </c>
      <c r="O16" s="34">
        <f t="shared" si="2"/>
        <v>10000</v>
      </c>
      <c r="P16" s="34">
        <f t="shared" si="2"/>
        <v>20000</v>
      </c>
    </row>
    <row r="17" spans="1:16">
      <c r="A17">
        <v>4</v>
      </c>
      <c r="B17" t="s">
        <v>31</v>
      </c>
      <c r="D17" s="116">
        <f>D7+26.15+0.429+0.42-2.141+3.028+2.19</f>
        <v>83.409000000000006</v>
      </c>
      <c r="E17" s="116">
        <f t="shared" ref="E17:E20" si="3">E7+25.181+1.085+1.841-1.21+1.626+1.836</f>
        <v>66.518000000000001</v>
      </c>
      <c r="F17" s="116">
        <f>F7</f>
        <v>0</v>
      </c>
      <c r="G17" s="116">
        <f t="shared" ref="G17:G19" si="4">G7+21.892+1.132-0.792+1.611</f>
        <v>45.523999999999994</v>
      </c>
      <c r="H17" s="116">
        <f t="shared" ref="H17:H20" si="5">H7+0.056-0.353+0.099</f>
        <v>9.1379999999999999</v>
      </c>
      <c r="L17" s="34">
        <f t="shared" si="2"/>
        <v>9999999</v>
      </c>
      <c r="M17" s="34">
        <f t="shared" si="2"/>
        <v>1000</v>
      </c>
      <c r="N17" s="34">
        <f t="shared" si="2"/>
        <v>1000</v>
      </c>
      <c r="O17" s="34">
        <f t="shared" si="2"/>
        <v>25000</v>
      </c>
      <c r="P17" s="34">
        <f t="shared" si="2"/>
        <v>50000</v>
      </c>
    </row>
    <row r="18" spans="1:16">
      <c r="A18">
        <v>5</v>
      </c>
      <c r="B18" t="s">
        <v>32</v>
      </c>
      <c r="D18" s="116">
        <f>D8</f>
        <v>0</v>
      </c>
      <c r="E18" s="116">
        <f t="shared" si="3"/>
        <v>57.920999999999999</v>
      </c>
      <c r="F18" s="116">
        <f t="shared" ref="F18:F20" si="6">F8</f>
        <v>0</v>
      </c>
      <c r="G18" s="116">
        <f t="shared" si="4"/>
        <v>44.215999999999994</v>
      </c>
      <c r="H18" s="116">
        <f t="shared" si="5"/>
        <v>8.2210000000000001</v>
      </c>
      <c r="J18" s="29" t="s">
        <v>123</v>
      </c>
      <c r="L18" s="34">
        <f t="shared" si="2"/>
        <v>9999999</v>
      </c>
      <c r="M18" s="34">
        <f t="shared" si="2"/>
        <v>9999999</v>
      </c>
      <c r="N18" s="34">
        <f t="shared" si="2"/>
        <v>10000</v>
      </c>
      <c r="O18" s="34">
        <f t="shared" si="2"/>
        <v>50000</v>
      </c>
      <c r="P18" s="34">
        <f t="shared" si="2"/>
        <v>300000</v>
      </c>
    </row>
    <row r="19" spans="1:16">
      <c r="A19">
        <v>6</v>
      </c>
      <c r="B19" t="s">
        <v>33</v>
      </c>
      <c r="D19" s="116">
        <f>D9</f>
        <v>0</v>
      </c>
      <c r="E19" s="116">
        <f>E9+25.181+1.085+1.841-1.21+1.626+1.836</f>
        <v>53.875999999999998</v>
      </c>
      <c r="F19" s="116">
        <f t="shared" si="6"/>
        <v>0</v>
      </c>
      <c r="G19" s="116">
        <f t="shared" si="4"/>
        <v>42.045999999999992</v>
      </c>
      <c r="H19" s="116">
        <f t="shared" si="5"/>
        <v>7.5870000000000006</v>
      </c>
      <c r="L19" s="34">
        <f t="shared" ref="L19:P20" si="7">L9</f>
        <v>9999999</v>
      </c>
      <c r="M19" s="34">
        <f t="shared" si="7"/>
        <v>9999999</v>
      </c>
      <c r="N19" s="34">
        <f t="shared" si="7"/>
        <v>25000</v>
      </c>
      <c r="O19" s="34">
        <f t="shared" si="7"/>
        <v>9999999</v>
      </c>
      <c r="P19" s="34">
        <f t="shared" si="7"/>
        <v>500000</v>
      </c>
    </row>
    <row r="20" spans="1:16">
      <c r="A20">
        <v>7</v>
      </c>
      <c r="B20" t="s">
        <v>56</v>
      </c>
      <c r="D20" s="116">
        <f>D10</f>
        <v>0</v>
      </c>
      <c r="E20" s="116">
        <f t="shared" si="3"/>
        <v>46.855999999999995</v>
      </c>
      <c r="F20" s="116">
        <f t="shared" si="6"/>
        <v>0</v>
      </c>
      <c r="G20" s="116"/>
      <c r="H20" s="116">
        <f t="shared" si="5"/>
        <v>5.6530000000000005</v>
      </c>
      <c r="L20" s="34">
        <f t="shared" si="7"/>
        <v>9999999</v>
      </c>
      <c r="M20" s="34">
        <f t="shared" si="7"/>
        <v>9999999</v>
      </c>
      <c r="N20" s="34">
        <f t="shared" si="7"/>
        <v>9999999</v>
      </c>
      <c r="O20" s="34">
        <f t="shared" si="7"/>
        <v>9999999</v>
      </c>
      <c r="P20" s="34">
        <f t="shared" si="7"/>
        <v>9999999</v>
      </c>
    </row>
    <row r="21" spans="1:16">
      <c r="D21" s="84"/>
      <c r="E21" s="84"/>
      <c r="F21" s="84"/>
      <c r="G21" s="84"/>
      <c r="H21" s="84"/>
      <c r="L21" s="170" t="s">
        <v>269</v>
      </c>
      <c r="M21" s="171">
        <f>(M16/100*E16+E15)/M16*100</f>
        <v>84.13900000000001</v>
      </c>
      <c r="N21" s="172">
        <f>(N16/100*F16+F15)/N16*100</f>
        <v>0</v>
      </c>
    </row>
    <row r="22" spans="1:16" ht="15">
      <c r="A22" s="79" t="s">
        <v>35</v>
      </c>
      <c r="B22" s="29"/>
      <c r="C22" s="29"/>
      <c r="D22" s="227"/>
      <c r="L22" s="106" t="s">
        <v>102</v>
      </c>
      <c r="M22" s="173">
        <f>M16*M21/100-(M16*E16/100+E15)</f>
        <v>0</v>
      </c>
      <c r="N22" s="174">
        <f>N16*N21/100-(N16*F16/100+F15)</f>
        <v>0</v>
      </c>
    </row>
    <row r="23" spans="1:16">
      <c r="A23" s="29"/>
      <c r="B23" s="29"/>
      <c r="C23" s="29"/>
    </row>
    <row r="24" spans="1:16">
      <c r="B24" s="29" t="s">
        <v>120</v>
      </c>
      <c r="C24" s="29"/>
      <c r="G24" t="str">
        <f>IF(G25&lt;&gt;'Pres &amp; Prop Rev'!G$5,#VALUE!,"")</f>
        <v/>
      </c>
      <c r="H24" t="str">
        <f>IF(H25&lt;&gt;'Pres &amp; Prop Rev'!H$5,#VALUE!,"")</f>
        <v/>
      </c>
    </row>
    <row r="25" spans="1:16">
      <c r="D25" s="54" t="s">
        <v>7</v>
      </c>
      <c r="E25" s="54" t="s">
        <v>8</v>
      </c>
      <c r="F25" s="54" t="s">
        <v>9</v>
      </c>
      <c r="G25" s="54" t="s">
        <v>10</v>
      </c>
      <c r="H25" s="54" t="s">
        <v>11</v>
      </c>
    </row>
    <row r="26" spans="1:16">
      <c r="A26">
        <v>1</v>
      </c>
      <c r="B26" t="s">
        <v>28</v>
      </c>
      <c r="D26" s="120">
        <f>IF(D4&gt;0,ROUND(D63,2),0)</f>
        <v>9.5</v>
      </c>
      <c r="E26" s="120">
        <f>IF(E4&gt;0,ROUND(E63,2),0)</f>
        <v>0</v>
      </c>
      <c r="F26" s="120">
        <f>IF(F4&gt;0,ROUND(F63,2),0)</f>
        <v>0</v>
      </c>
      <c r="G26" s="120">
        <f>IF(G4&gt;0,ROUND(G63,2),0)</f>
        <v>0</v>
      </c>
      <c r="H26" s="120">
        <f>IF(H4&gt;0,ROUND(H63,2),0)</f>
        <v>625</v>
      </c>
    </row>
    <row r="27" spans="1:16">
      <c r="A27">
        <v>2</v>
      </c>
      <c r="B27" t="s">
        <v>29</v>
      </c>
      <c r="D27" s="120">
        <f>IF(D5&gt;0,ROUND(D63,2),0)</f>
        <v>0</v>
      </c>
      <c r="E27" s="120">
        <f>IF(E5&gt;0,ROUND(E63,2),0)</f>
        <v>107.56</v>
      </c>
      <c r="F27" s="120">
        <f>IF(F5&gt;0,ROUND(F63,2),0)</f>
        <v>0</v>
      </c>
      <c r="G27" s="120">
        <f>IF(G5&gt;0,ROUND(G63,2),0)</f>
        <v>0</v>
      </c>
      <c r="H27" s="120">
        <f>IF(H5&gt;0,ROUND(H63,2),0)</f>
        <v>0</v>
      </c>
    </row>
    <row r="28" spans="1:16">
      <c r="A28">
        <v>2</v>
      </c>
      <c r="B28" t="s">
        <v>30</v>
      </c>
      <c r="D28" s="118">
        <f t="shared" ref="D28:H30" si="8">ROUND(D82,3)</f>
        <v>41.034999999999997</v>
      </c>
      <c r="E28" s="118">
        <f>ROUND(E82,3)</f>
        <v>0</v>
      </c>
      <c r="F28" s="118">
        <f t="shared" si="8"/>
        <v>0</v>
      </c>
      <c r="G28" s="118">
        <f t="shared" si="8"/>
        <v>27.007999999999999</v>
      </c>
      <c r="H28" s="118">
        <f t="shared" si="8"/>
        <v>10.494</v>
      </c>
      <c r="L28" s="43">
        <v>9999999</v>
      </c>
      <c r="M28" s="43">
        <v>200</v>
      </c>
      <c r="N28" s="43">
        <v>500</v>
      </c>
      <c r="O28" s="43">
        <v>10000</v>
      </c>
      <c r="P28" s="43">
        <v>20000</v>
      </c>
    </row>
    <row r="29" spans="1:16">
      <c r="A29">
        <v>3</v>
      </c>
      <c r="B29" t="s">
        <v>31</v>
      </c>
      <c r="D29" s="118">
        <f>ROUND(D83,3)</f>
        <v>53.332999999999998</v>
      </c>
      <c r="E29" s="118">
        <f t="shared" si="8"/>
        <v>36.158999999999999</v>
      </c>
      <c r="F29" s="118">
        <v>0</v>
      </c>
      <c r="G29" s="118">
        <f t="shared" si="8"/>
        <v>21.681000000000001</v>
      </c>
      <c r="H29" s="118">
        <f t="shared" si="8"/>
        <v>9.3360000000000003</v>
      </c>
      <c r="I29" s="375">
        <f>H29/H28-1</f>
        <v>-0.11034877072612914</v>
      </c>
      <c r="L29" s="43">
        <v>9999999</v>
      </c>
      <c r="M29" s="43">
        <v>1000</v>
      </c>
      <c r="N29" s="43">
        <v>1000</v>
      </c>
      <c r="O29" s="43">
        <v>25000</v>
      </c>
      <c r="P29" s="43">
        <v>50000</v>
      </c>
    </row>
    <row r="30" spans="1:16">
      <c r="A30">
        <v>4</v>
      </c>
      <c r="B30" t="s">
        <v>32</v>
      </c>
      <c r="D30" s="118">
        <f t="shared" si="8"/>
        <v>0</v>
      </c>
      <c r="E30" s="118">
        <f>ROUND(E84,3)</f>
        <v>27.562000000000001</v>
      </c>
      <c r="F30" s="118">
        <v>0</v>
      </c>
      <c r="G30" s="118">
        <f t="shared" si="8"/>
        <v>20.373000000000001</v>
      </c>
      <c r="H30" s="118">
        <f t="shared" si="8"/>
        <v>8.4190000000000005</v>
      </c>
      <c r="I30" s="375">
        <f t="shared" ref="I30:I31" si="9">H30/H29-1</f>
        <v>-9.8221936589545811E-2</v>
      </c>
      <c r="J30" s="29" t="s">
        <v>124</v>
      </c>
      <c r="L30" s="43">
        <v>9999999</v>
      </c>
      <c r="M30" s="43">
        <v>9999999</v>
      </c>
      <c r="N30" s="43">
        <v>10000</v>
      </c>
      <c r="O30" s="43">
        <v>50000</v>
      </c>
      <c r="P30" s="43">
        <v>300000</v>
      </c>
    </row>
    <row r="31" spans="1:16">
      <c r="A31">
        <v>5</v>
      </c>
      <c r="B31" t="s">
        <v>33</v>
      </c>
      <c r="D31" s="118">
        <f t="shared" ref="D31:H32" si="10">ROUND(D85,3)</f>
        <v>0</v>
      </c>
      <c r="E31" s="118">
        <f>ROUND(E85,3)</f>
        <v>23.516999999999999</v>
      </c>
      <c r="F31" s="118">
        <v>0</v>
      </c>
      <c r="G31" s="118">
        <f t="shared" si="10"/>
        <v>18.202999999999999</v>
      </c>
      <c r="H31" s="118">
        <f t="shared" si="10"/>
        <v>7.7850000000000001</v>
      </c>
      <c r="I31" s="375">
        <f t="shared" si="9"/>
        <v>-7.5305855802351829E-2</v>
      </c>
      <c r="L31" s="43">
        <v>9999999</v>
      </c>
      <c r="M31" s="43">
        <v>9999999</v>
      </c>
      <c r="N31" s="43">
        <v>25000</v>
      </c>
      <c r="O31" s="43">
        <v>9999999</v>
      </c>
      <c r="P31" s="43">
        <v>500000</v>
      </c>
    </row>
    <row r="32" spans="1:16">
      <c r="A32">
        <v>6</v>
      </c>
      <c r="B32" t="s">
        <v>56</v>
      </c>
      <c r="D32" s="118">
        <f t="shared" si="10"/>
        <v>0</v>
      </c>
      <c r="E32" s="118">
        <f t="shared" si="10"/>
        <v>16.497</v>
      </c>
      <c r="F32" s="118">
        <v>0</v>
      </c>
      <c r="G32" s="118">
        <f t="shared" si="10"/>
        <v>0</v>
      </c>
      <c r="H32" s="118">
        <f t="shared" si="10"/>
        <v>5.851</v>
      </c>
      <c r="I32" s="375">
        <f>H32/H31-1</f>
        <v>-0.2484264611432242</v>
      </c>
      <c r="L32" s="43">
        <v>9999999</v>
      </c>
      <c r="M32" s="43">
        <v>9999999</v>
      </c>
      <c r="N32" s="43">
        <v>9999999</v>
      </c>
      <c r="O32" s="43">
        <v>9999999</v>
      </c>
      <c r="P32" s="43">
        <v>9999999</v>
      </c>
    </row>
    <row r="33" spans="1:22">
      <c r="D33" s="85"/>
      <c r="E33" s="85"/>
      <c r="F33" s="85"/>
      <c r="G33" s="85"/>
      <c r="H33" s="85"/>
      <c r="L33" s="170" t="s">
        <v>269</v>
      </c>
      <c r="M33" s="171">
        <f>(M28/100*E28+E27)/M28*100</f>
        <v>53.780000000000008</v>
      </c>
      <c r="N33" s="172">
        <f>(N28/100*F28+F27)/N28*100</f>
        <v>0</v>
      </c>
      <c r="O33" s="169"/>
      <c r="P33" s="169"/>
    </row>
    <row r="34" spans="1:22">
      <c r="B34" s="29" t="s">
        <v>122</v>
      </c>
      <c r="C34" s="29"/>
      <c r="D34" s="179"/>
      <c r="G34" t="str">
        <f>IF(G35&lt;&gt;'Pres &amp; Prop Rev'!G$5,#VALUE!,"")</f>
        <v/>
      </c>
      <c r="H34" t="str">
        <f>IF(H35&lt;&gt;'Pres &amp; Prop Rev'!H$5,#VALUE!,"")</f>
        <v/>
      </c>
      <c r="L34" s="106" t="s">
        <v>102</v>
      </c>
      <c r="M34" s="173">
        <f>M28*M33/100-(M28*E28/100+E27)</f>
        <v>0</v>
      </c>
      <c r="N34" s="174">
        <f>N28*N33/100-(N28*F28/100+F27)</f>
        <v>0</v>
      </c>
    </row>
    <row r="35" spans="1:22">
      <c r="D35" s="54" t="s">
        <v>7</v>
      </c>
      <c r="E35" s="54" t="s">
        <v>8</v>
      </c>
      <c r="F35" s="54" t="s">
        <v>9</v>
      </c>
      <c r="G35" s="54" t="s">
        <v>10</v>
      </c>
      <c r="H35" s="54" t="s">
        <v>11</v>
      </c>
      <c r="L35" t="s">
        <v>354</v>
      </c>
      <c r="M35" s="255">
        <f>E5+(D26-D4)+(((D28/100)-(D6/100))*70)+(((D29/100)-(D7/100))*130)</f>
        <v>107.56</v>
      </c>
      <c r="N35" s="255">
        <f>F5+(D26-D4)+(70*((D28/100)-(D6/100)))+(430*((D29/100)-(D7/100)))</f>
        <v>0</v>
      </c>
      <c r="S35">
        <v>100</v>
      </c>
    </row>
    <row r="36" spans="1:22">
      <c r="A36">
        <v>1</v>
      </c>
      <c r="B36" t="s">
        <v>28</v>
      </c>
      <c r="D36" s="121">
        <f t="shared" ref="D36:H37" si="11">D26</f>
        <v>9.5</v>
      </c>
      <c r="E36" s="121">
        <f t="shared" si="11"/>
        <v>0</v>
      </c>
      <c r="F36" s="121">
        <f t="shared" si="11"/>
        <v>0</v>
      </c>
      <c r="G36" s="121">
        <f t="shared" si="11"/>
        <v>0</v>
      </c>
      <c r="H36" s="121">
        <f t="shared" si="11"/>
        <v>625</v>
      </c>
      <c r="S36" s="154" t="s">
        <v>336</v>
      </c>
    </row>
    <row r="37" spans="1:22">
      <c r="A37">
        <v>2</v>
      </c>
      <c r="B37" t="s">
        <v>29</v>
      </c>
      <c r="D37" s="121">
        <f t="shared" si="11"/>
        <v>0</v>
      </c>
      <c r="E37" s="121">
        <f t="shared" si="11"/>
        <v>107.56</v>
      </c>
      <c r="F37" s="121">
        <f>F27</f>
        <v>0</v>
      </c>
      <c r="G37" s="121">
        <f t="shared" si="11"/>
        <v>0</v>
      </c>
      <c r="H37" s="121">
        <f t="shared" si="11"/>
        <v>0</v>
      </c>
      <c r="S37" s="226">
        <v>101</v>
      </c>
      <c r="T37" s="226">
        <v>111</v>
      </c>
      <c r="U37" s="226">
        <v>121</v>
      </c>
      <c r="V37" s="226">
        <v>131</v>
      </c>
    </row>
    <row r="38" spans="1:22">
      <c r="A38">
        <v>2</v>
      </c>
      <c r="B38" t="s">
        <v>30</v>
      </c>
      <c r="D38" s="119">
        <f>D28+26.15+0.429+0.42-2.141+3.028+2.19</f>
        <v>71.111000000000004</v>
      </c>
      <c r="E38" s="119">
        <f>E28+25.181+1.085+1.841-1.21+1.626+1.836</f>
        <v>30.359000000000002</v>
      </c>
      <c r="F38" s="119">
        <f>F28</f>
        <v>0</v>
      </c>
      <c r="G38" s="119">
        <f>G28+21.892+1.132-0.792+1.611</f>
        <v>50.850999999999992</v>
      </c>
      <c r="H38" s="119">
        <f>H28+0.056-0.353+0.099</f>
        <v>10.295999999999999</v>
      </c>
      <c r="L38" s="34">
        <f t="shared" ref="L38:P42" si="12">L28</f>
        <v>9999999</v>
      </c>
      <c r="M38" s="34">
        <f t="shared" si="12"/>
        <v>200</v>
      </c>
      <c r="N38" s="34">
        <f t="shared" si="12"/>
        <v>500</v>
      </c>
      <c r="O38" s="34">
        <f t="shared" si="12"/>
        <v>10000</v>
      </c>
      <c r="P38" s="34">
        <f t="shared" si="12"/>
        <v>20000</v>
      </c>
      <c r="S38" s="224">
        <v>0</v>
      </c>
      <c r="T38" s="224">
        <v>0</v>
      </c>
      <c r="U38" s="224">
        <v>0</v>
      </c>
      <c r="V38" s="224">
        <v>0</v>
      </c>
    </row>
    <row r="39" spans="1:22">
      <c r="A39">
        <v>3</v>
      </c>
      <c r="B39" t="s">
        <v>31</v>
      </c>
      <c r="D39" s="119">
        <f>D29+26.15+0.429+0.42-2.141+3.028+2.19</f>
        <v>83.409000000000006</v>
      </c>
      <c r="E39" s="119">
        <f t="shared" ref="E39:E42" si="13">E29+25.181+1.085+1.841-1.21+1.626+1.836</f>
        <v>66.518000000000001</v>
      </c>
      <c r="F39" s="119">
        <f t="shared" ref="F39:F42" si="14">F29</f>
        <v>0</v>
      </c>
      <c r="G39" s="119">
        <f t="shared" ref="G39:G41" si="15">G29+21.892+1.132-0.792+1.611</f>
        <v>45.523999999999994</v>
      </c>
      <c r="H39" s="119">
        <f t="shared" ref="H39:H42" si="16">H29+0.056-0.353+0.099</f>
        <v>9.1379999999999999</v>
      </c>
      <c r="L39" s="34">
        <f t="shared" si="12"/>
        <v>9999999</v>
      </c>
      <c r="M39" s="34">
        <f t="shared" si="12"/>
        <v>1000</v>
      </c>
      <c r="N39" s="34">
        <f t="shared" si="12"/>
        <v>1000</v>
      </c>
      <c r="O39" s="34">
        <f t="shared" si="12"/>
        <v>25000</v>
      </c>
      <c r="P39" s="34">
        <f t="shared" si="12"/>
        <v>50000</v>
      </c>
      <c r="S39" s="169">
        <f>S$38</f>
        <v>0</v>
      </c>
      <c r="T39" s="169">
        <f>T$38</f>
        <v>0</v>
      </c>
      <c r="U39" s="169">
        <f>U$38</f>
        <v>0</v>
      </c>
      <c r="V39" s="169">
        <f>V$38</f>
        <v>0</v>
      </c>
    </row>
    <row r="40" spans="1:22">
      <c r="A40">
        <v>4</v>
      </c>
      <c r="B40" t="s">
        <v>32</v>
      </c>
      <c r="D40" s="119">
        <f>D30</f>
        <v>0</v>
      </c>
      <c r="E40" s="119">
        <f t="shared" si="13"/>
        <v>57.920999999999999</v>
      </c>
      <c r="F40" s="119">
        <f t="shared" si="14"/>
        <v>0</v>
      </c>
      <c r="G40" s="119">
        <f t="shared" si="15"/>
        <v>44.215999999999994</v>
      </c>
      <c r="H40" s="119">
        <f t="shared" si="16"/>
        <v>8.2210000000000001</v>
      </c>
      <c r="J40" s="29" t="s">
        <v>125</v>
      </c>
      <c r="L40" s="34">
        <f t="shared" si="12"/>
        <v>9999999</v>
      </c>
      <c r="M40" s="34">
        <f t="shared" si="12"/>
        <v>9999999</v>
      </c>
      <c r="N40" s="34">
        <f t="shared" si="12"/>
        <v>10000</v>
      </c>
      <c r="O40" s="34">
        <f t="shared" si="12"/>
        <v>50000</v>
      </c>
      <c r="P40" s="34">
        <f t="shared" si="12"/>
        <v>300000</v>
      </c>
      <c r="S40" s="169">
        <f t="shared" ref="S40:V42" si="17">S$38</f>
        <v>0</v>
      </c>
      <c r="T40" s="169">
        <f t="shared" si="17"/>
        <v>0</v>
      </c>
      <c r="U40" s="169">
        <f t="shared" si="17"/>
        <v>0</v>
      </c>
      <c r="V40" s="169">
        <f t="shared" si="17"/>
        <v>0</v>
      </c>
    </row>
    <row r="41" spans="1:22">
      <c r="A41">
        <v>5</v>
      </c>
      <c r="B41" t="s">
        <v>33</v>
      </c>
      <c r="D41" s="119">
        <f>D31</f>
        <v>0</v>
      </c>
      <c r="E41" s="119">
        <f>E31+25.181+1.085+1.841-1.21+1.626+1.836</f>
        <v>53.875999999999998</v>
      </c>
      <c r="F41" s="119">
        <f t="shared" si="14"/>
        <v>0</v>
      </c>
      <c r="G41" s="119">
        <f t="shared" si="15"/>
        <v>42.045999999999992</v>
      </c>
      <c r="H41" s="119">
        <f t="shared" si="16"/>
        <v>7.5870000000000006</v>
      </c>
      <c r="L41" s="34">
        <f t="shared" si="12"/>
        <v>9999999</v>
      </c>
      <c r="M41" s="34">
        <f t="shared" si="12"/>
        <v>9999999</v>
      </c>
      <c r="N41" s="34">
        <f t="shared" si="12"/>
        <v>25000</v>
      </c>
      <c r="O41" s="34">
        <f t="shared" si="12"/>
        <v>9999999</v>
      </c>
      <c r="P41" s="34">
        <f t="shared" si="12"/>
        <v>500000</v>
      </c>
      <c r="S41" s="169">
        <f t="shared" si="17"/>
        <v>0</v>
      </c>
      <c r="T41" s="169">
        <f t="shared" si="17"/>
        <v>0</v>
      </c>
      <c r="U41" s="169">
        <f t="shared" si="17"/>
        <v>0</v>
      </c>
      <c r="V41" s="169">
        <f t="shared" si="17"/>
        <v>0</v>
      </c>
    </row>
    <row r="42" spans="1:22">
      <c r="A42">
        <v>6</v>
      </c>
      <c r="B42" t="s">
        <v>56</v>
      </c>
      <c r="D42" s="119">
        <f>D32</f>
        <v>0</v>
      </c>
      <c r="E42" s="119">
        <f t="shared" si="13"/>
        <v>46.855999999999995</v>
      </c>
      <c r="F42" s="119">
        <f t="shared" si="14"/>
        <v>0</v>
      </c>
      <c r="G42" s="119"/>
      <c r="H42" s="119">
        <f t="shared" si="16"/>
        <v>5.6530000000000005</v>
      </c>
      <c r="L42" s="34">
        <f t="shared" si="12"/>
        <v>9999999</v>
      </c>
      <c r="M42" s="34">
        <f t="shared" si="12"/>
        <v>9999999</v>
      </c>
      <c r="N42" s="34">
        <f t="shared" si="12"/>
        <v>9999999</v>
      </c>
      <c r="O42" s="34">
        <f t="shared" si="12"/>
        <v>9999999</v>
      </c>
      <c r="P42" s="34">
        <f t="shared" si="12"/>
        <v>9999999</v>
      </c>
      <c r="S42" s="169">
        <f t="shared" si="17"/>
        <v>0</v>
      </c>
      <c r="T42" s="169">
        <f t="shared" si="17"/>
        <v>0</v>
      </c>
      <c r="U42" s="169">
        <f t="shared" si="17"/>
        <v>0</v>
      </c>
      <c r="V42" s="169">
        <f t="shared" si="17"/>
        <v>0</v>
      </c>
    </row>
    <row r="43" spans="1:22">
      <c r="D43" s="119"/>
      <c r="E43" s="119"/>
      <c r="F43" s="119"/>
      <c r="G43" s="119"/>
      <c r="H43" s="119"/>
      <c r="L43" s="170" t="s">
        <v>269</v>
      </c>
      <c r="M43" s="171">
        <f>(M38/100*E38+E37)/M38*100</f>
        <v>84.13900000000001</v>
      </c>
      <c r="N43" s="172">
        <f>(N38/100*F38+F37)/N38*100</f>
        <v>0</v>
      </c>
    </row>
    <row r="44" spans="1:22">
      <c r="D44" s="227"/>
      <c r="E44" s="227"/>
      <c r="F44" s="227"/>
      <c r="G44" s="227"/>
      <c r="H44" s="227"/>
      <c r="L44" s="106" t="s">
        <v>102</v>
      </c>
      <c r="M44" s="173">
        <f>M38*M43/100-(M38*E38/100+E37)</f>
        <v>0</v>
      </c>
      <c r="N44" s="174">
        <f>N38*N43/100-(N38*F38/100+F37)</f>
        <v>0</v>
      </c>
    </row>
    <row r="45" spans="1:22" ht="15">
      <c r="D45" s="250"/>
      <c r="E45" s="227"/>
      <c r="F45" s="227"/>
      <c r="G45" s="227"/>
      <c r="H45" s="227"/>
    </row>
    <row r="46" spans="1:22">
      <c r="E46" s="227"/>
      <c r="F46" s="227"/>
      <c r="G46" s="227"/>
      <c r="H46" s="227"/>
    </row>
    <row r="47" spans="1:22">
      <c r="A47" t="s">
        <v>0</v>
      </c>
      <c r="B47" s="29" t="s">
        <v>126</v>
      </c>
      <c r="C47" s="29"/>
      <c r="F47" s="227"/>
      <c r="G47" s="227"/>
      <c r="H47" s="227"/>
    </row>
    <row r="48" spans="1:22">
      <c r="F48" s="227"/>
      <c r="H48" s="227"/>
    </row>
    <row r="49" spans="2:21">
      <c r="B49" t="s">
        <v>12</v>
      </c>
    </row>
    <row r="50" spans="2:21">
      <c r="B50" s="35" t="s">
        <v>13</v>
      </c>
      <c r="C50" s="63">
        <f t="shared" ref="C50:C56" si="18">SUM(D50:H50)</f>
        <v>97954962.657631904</v>
      </c>
      <c r="D50" s="63">
        <f>'Pres &amp; Prop Rev'!D31</f>
        <v>83030622.512147844</v>
      </c>
      <c r="E50" s="63">
        <f>'Pres &amp; Prop Rev'!E31</f>
        <v>6558198.1454840573</v>
      </c>
      <c r="F50" s="63" t="str">
        <f>'Pres &amp; Prop Rev'!F31</f>
        <v>Sch 121/122 disc</v>
      </c>
      <c r="G50" s="63">
        <f>'Pres &amp; Prop Rev'!G31</f>
        <v>220000</v>
      </c>
      <c r="H50" s="63">
        <f>'Pres &amp; Prop Rev'!H31</f>
        <v>8146142</v>
      </c>
    </row>
    <row r="51" spans="2:21">
      <c r="B51" s="35" t="s">
        <v>14</v>
      </c>
      <c r="C51" s="63">
        <f t="shared" si="18"/>
        <v>80621806.669787019</v>
      </c>
      <c r="D51" s="63">
        <f>'Pres &amp; Prop Rev'!D32</f>
        <v>54532868.440382153</v>
      </c>
      <c r="E51" s="63">
        <f>'Pres &amp; Prop Rev'!E32</f>
        <v>17521409.971404865</v>
      </c>
      <c r="F51" s="63" t="str">
        <f>'Pres &amp; Prop Rev'!F32</f>
        <v>(UG-190334)</v>
      </c>
      <c r="G51" s="63">
        <f>'Pres &amp; Prop Rev'!G32</f>
        <v>285403.25800000003</v>
      </c>
      <c r="H51" s="63">
        <f>'Pres &amp; Prop Rev'!H32</f>
        <v>8282125</v>
      </c>
    </row>
    <row r="52" spans="2:21">
      <c r="B52" s="35" t="s">
        <v>15</v>
      </c>
      <c r="C52" s="63">
        <f t="shared" si="18"/>
        <v>50204682.256671071</v>
      </c>
      <c r="D52" s="63">
        <f>'Pres &amp; Prop Rev'!D33</f>
        <v>0</v>
      </c>
      <c r="E52" s="63">
        <f>'Pres &amp; Prop Rev'!E33</f>
        <v>35476526.201671071</v>
      </c>
      <c r="F52" s="63">
        <f>'Pres &amp; Prop Rev'!F33</f>
        <v>0</v>
      </c>
      <c r="G52" s="63">
        <f>'Pres &amp; Prop Rev'!G33</f>
        <v>317689.05499999993</v>
      </c>
      <c r="H52" s="63">
        <f>'Pres &amp; Prop Rev'!H33</f>
        <v>14410467</v>
      </c>
    </row>
    <row r="53" spans="2:21">
      <c r="B53" s="35" t="s">
        <v>16</v>
      </c>
      <c r="C53" s="63">
        <f t="shared" si="18"/>
        <v>3884762.0805899976</v>
      </c>
      <c r="D53" s="63">
        <f>'Pres &amp; Prop Rev'!D34</f>
        <v>0</v>
      </c>
      <c r="E53" s="63">
        <f>'Pres &amp; Prop Rev'!E34</f>
        <v>738873.23558999994</v>
      </c>
      <c r="F53" s="63">
        <f>'Pres &amp; Prop Rev'!F34</f>
        <v>0</v>
      </c>
      <c r="G53" s="63">
        <f>'Pres &amp; Prop Rev'!G34</f>
        <v>170107.97699999809</v>
      </c>
      <c r="H53" s="63">
        <f>'Pres &amp; Prop Rev'!H34</f>
        <v>2975780.8679999998</v>
      </c>
    </row>
    <row r="54" spans="2:21">
      <c r="B54" s="35" t="s">
        <v>55</v>
      </c>
      <c r="C54" s="63">
        <f t="shared" si="18"/>
        <v>4697870.2106699701</v>
      </c>
      <c r="D54" s="63">
        <f>'Pres &amp; Prop Rev'!D35</f>
        <v>0</v>
      </c>
      <c r="E54" s="63">
        <f>'Pres &amp; Prop Rev'!E35</f>
        <v>1342153.2106699697</v>
      </c>
      <c r="F54" s="63">
        <f>'Pres &amp; Prop Rev'!F35</f>
        <v>0</v>
      </c>
      <c r="G54" s="63">
        <f>'Pres &amp; Prop Rev'!G35</f>
        <v>0</v>
      </c>
      <c r="H54" s="63">
        <f>'Pres &amp; Prop Rev'!H35</f>
        <v>3355717</v>
      </c>
    </row>
    <row r="55" spans="2:21">
      <c r="B55" s="35" t="s">
        <v>127</v>
      </c>
      <c r="C55" s="63">
        <f t="shared" si="18"/>
        <v>0</v>
      </c>
      <c r="D55" s="63">
        <f>'Pres &amp; Prop Rev'!D41</f>
        <v>0</v>
      </c>
      <c r="E55" s="63">
        <f>'Pres &amp; Prop Rev'!E41</f>
        <v>0</v>
      </c>
      <c r="F55" s="63">
        <f>'Pres &amp; Prop Rev'!F41</f>
        <v>0</v>
      </c>
      <c r="G55" s="63">
        <f>'Pres &amp; Prop Rev'!G41</f>
        <v>0</v>
      </c>
      <c r="H55" s="63">
        <f>'Pres &amp; Prop Rev'!H41</f>
        <v>0</v>
      </c>
    </row>
    <row r="56" spans="2:21">
      <c r="B56" s="35" t="s">
        <v>199</v>
      </c>
      <c r="C56" s="63">
        <f t="shared" si="18"/>
        <v>-6779126</v>
      </c>
      <c r="D56" s="63">
        <f>'Pres &amp; Prop Rev'!D44</f>
        <v>-5467887</v>
      </c>
      <c r="E56" s="63">
        <f>'Pres &amp; Prop Rev'!E44</f>
        <v>-1311239</v>
      </c>
      <c r="F56" s="63">
        <f>'Pres &amp; Prop Rev'!F44</f>
        <v>0</v>
      </c>
      <c r="G56" s="63">
        <f>'Pres &amp; Prop Rev'!G44</f>
        <v>0</v>
      </c>
      <c r="H56" s="63">
        <f>'Pres &amp; Prop Rev'!H44</f>
        <v>0</v>
      </c>
      <c r="I56" t="s">
        <v>128</v>
      </c>
    </row>
    <row r="57" spans="2:21">
      <c r="B57" t="s">
        <v>22</v>
      </c>
      <c r="C57" s="65">
        <f>IF(ROUND(SUM(D57:H57),3)&lt;&gt;ROUND(SUM(C50:C56),3),#VALUE!,SUM(D57:H57))</f>
        <v>230584957.87534994</v>
      </c>
      <c r="D57" s="65">
        <f>SUM(D50:D56)</f>
        <v>132095603.95253</v>
      </c>
      <c r="E57" s="65">
        <f>SUM(E50:E56)</f>
        <v>60325921.764819965</v>
      </c>
      <c r="F57" s="65">
        <f>SUM(F50:F56)</f>
        <v>0</v>
      </c>
      <c r="G57" s="65">
        <f>SUM(G50:G56)</f>
        <v>993200.28999999806</v>
      </c>
      <c r="H57" s="65">
        <f>SUM(H50:H56)</f>
        <v>37170231.868000001</v>
      </c>
      <c r="I57" s="88" t="s">
        <v>130</v>
      </c>
      <c r="J57" s="88"/>
    </row>
    <row r="58" spans="2:21">
      <c r="B58" t="s">
        <v>23</v>
      </c>
      <c r="C58" s="63"/>
      <c r="D58" s="63">
        <f>SUM('Pres &amp; Prop Rev'!D48:D49)</f>
        <v>1984339</v>
      </c>
      <c r="E58" s="63">
        <f>SUM('Pres &amp; Prop Rev'!E48:E49)</f>
        <v>37254</v>
      </c>
      <c r="F58" s="63">
        <f>SUM('Pres &amp; Prop Rev'!F48:F49)</f>
        <v>0</v>
      </c>
      <c r="G58" s="63">
        <f>SUM('Pres &amp; Prop Rev'!G48:G49)</f>
        <v>24</v>
      </c>
      <c r="H58" s="63">
        <f>SUM('Pres &amp; Prop Rev'!H48:H49)</f>
        <v>456</v>
      </c>
      <c r="I58" s="90" t="s">
        <v>134</v>
      </c>
      <c r="J58" s="90"/>
    </row>
    <row r="59" spans="2:21">
      <c r="I59" s="86" t="s">
        <v>129</v>
      </c>
      <c r="J59" s="86"/>
      <c r="K59" s="86"/>
    </row>
    <row r="60" spans="2:21">
      <c r="B60" s="29" t="s">
        <v>67</v>
      </c>
      <c r="C60" s="152">
        <f ca="1">SUM(D60:H60)</f>
        <v>103411815.17656003</v>
      </c>
      <c r="D60" s="152">
        <f ca="1">'Rate Spread'!H13*1000</f>
        <v>79468490.430000022</v>
      </c>
      <c r="E60" s="152">
        <f ca="1">('Rate Spread'!H14+'Rate Spread'!H15)*1000</f>
        <v>20145480.680000003</v>
      </c>
      <c r="F60" s="152">
        <v>0</v>
      </c>
      <c r="G60" s="152">
        <f ca="1">'Rate Spread'!H16*1000</f>
        <v>216983.43000000002</v>
      </c>
      <c r="H60" s="152">
        <f ca="1">'Rate Spread'!H17*1000</f>
        <v>3580860.63656</v>
      </c>
      <c r="I60" s="54" t="s">
        <v>131</v>
      </c>
      <c r="J60" s="54" t="s">
        <v>132</v>
      </c>
      <c r="K60" s="54" t="s">
        <v>133</v>
      </c>
      <c r="N60" s="54"/>
      <c r="O60" s="54"/>
      <c r="P60" s="54"/>
      <c r="Q60" s="54"/>
      <c r="R60" s="54"/>
    </row>
    <row r="61" spans="2:21">
      <c r="B61" s="29" t="s">
        <v>198</v>
      </c>
      <c r="C61" s="89">
        <f>ROR!C47</f>
        <v>0</v>
      </c>
      <c r="D61" s="89">
        <f>ROR!D47</f>
        <v>2.7956893976382124E-2</v>
      </c>
      <c r="E61" s="89">
        <f>ROR!E47</f>
        <v>-0.10542547869421026</v>
      </c>
      <c r="F61" s="89" t="e">
        <f>ROR!F47</f>
        <v>#DIV/0!</v>
      </c>
      <c r="G61" s="89">
        <f>ROR!G47</f>
        <v>-8.9622281389629355E-2</v>
      </c>
      <c r="H61" s="89">
        <f>ROR!H47</f>
        <v>-4.1506413803062414E-2</v>
      </c>
      <c r="N61" s="263"/>
      <c r="O61" s="263"/>
      <c r="P61" s="263"/>
      <c r="Q61" s="265"/>
      <c r="R61" s="265"/>
      <c r="S61" s="265"/>
      <c r="T61" s="265"/>
      <c r="U61" s="255"/>
    </row>
    <row r="62" spans="2:21">
      <c r="B62" s="91" t="s">
        <v>162</v>
      </c>
      <c r="C62" s="92"/>
      <c r="D62" s="93">
        <f>D4+D5</f>
        <v>9.5</v>
      </c>
      <c r="E62" s="93">
        <f>E4+E5</f>
        <v>107.56</v>
      </c>
      <c r="F62" s="93">
        <f>F4+F5</f>
        <v>0</v>
      </c>
      <c r="G62" s="93">
        <f>G4+G5</f>
        <v>0</v>
      </c>
      <c r="H62" s="93">
        <f>H4+H5</f>
        <v>625</v>
      </c>
      <c r="I62" s="94"/>
      <c r="N62" s="263"/>
      <c r="O62" s="263"/>
      <c r="P62" s="263"/>
      <c r="Q62" s="265"/>
      <c r="R62" s="265"/>
      <c r="S62" s="264"/>
      <c r="T62" s="265"/>
      <c r="U62" s="255"/>
    </row>
    <row r="63" spans="2:21">
      <c r="B63" s="94" t="s">
        <v>167</v>
      </c>
      <c r="C63" s="95"/>
      <c r="D63" s="117">
        <v>9.5</v>
      </c>
      <c r="E63" s="117">
        <f>ROUND(('Exh3'!D15*70)+('Exh3'!D16*130)+D62+(70*'Exh3'!G15)+(130*'Exh3'!G16)+'Exh3'!G13,2)</f>
        <v>107.56</v>
      </c>
      <c r="F63" s="117">
        <v>0</v>
      </c>
      <c r="G63" s="117">
        <v>0</v>
      </c>
      <c r="H63" s="117">
        <v>625</v>
      </c>
      <c r="I63" s="94">
        <f>FLOOR(I62*(1+I$61),$I64)</f>
        <v>0</v>
      </c>
      <c r="J63">
        <f>CEILING(J62*(1+J$61),$J64)</f>
        <v>0</v>
      </c>
      <c r="K63" s="148">
        <v>1.05</v>
      </c>
    </row>
    <row r="64" spans="2:21">
      <c r="B64" s="96" t="s">
        <v>154</v>
      </c>
      <c r="C64" s="97"/>
      <c r="D64" s="98">
        <f>IF(D62,D63/D62-1,0)</f>
        <v>0</v>
      </c>
      <c r="E64" s="98">
        <f>IF(E62,E63/E62-1,0)</f>
        <v>0</v>
      </c>
      <c r="F64" s="98">
        <f>IF(F62,F63/F62-1,0)</f>
        <v>0</v>
      </c>
      <c r="G64" s="98">
        <f>IF(G62,G63/G62-1,0)</f>
        <v>0</v>
      </c>
      <c r="H64" s="98">
        <f>IF(H62,H63/H62-1,0)</f>
        <v>0</v>
      </c>
      <c r="I64" s="130">
        <v>0.05</v>
      </c>
      <c r="J64" s="44">
        <v>0.05</v>
      </c>
    </row>
    <row r="65" spans="1:12">
      <c r="B65" s="35" t="s">
        <v>135</v>
      </c>
      <c r="C65" s="99">
        <f>SUM(D65:H65)</f>
        <v>23169821.286560003</v>
      </c>
      <c r="D65" s="99">
        <f>D58*D63</f>
        <v>18851220.5</v>
      </c>
      <c r="E65" s="99">
        <f>E58*E63</f>
        <v>4007040.24</v>
      </c>
      <c r="F65" s="99">
        <f>F58*F63</f>
        <v>0</v>
      </c>
      <c r="G65" s="99">
        <f>G58*G63</f>
        <v>0</v>
      </c>
      <c r="H65" s="99">
        <f>(H58*H63)+'Pres &amp; Prop Rev'!H156</f>
        <v>311560.54655999999</v>
      </c>
    </row>
    <row r="66" spans="1:12">
      <c r="B66" s="35"/>
      <c r="C66" s="35"/>
      <c r="D66" s="182">
        <v>0</v>
      </c>
      <c r="E66" s="87"/>
      <c r="F66" s="87"/>
      <c r="G66" s="87"/>
    </row>
    <row r="67" spans="1:12">
      <c r="B67" s="60" t="s">
        <v>136</v>
      </c>
      <c r="C67" s="60"/>
      <c r="D67" s="100">
        <f t="shared" ref="D67:H69" si="19">D6</f>
        <v>41.034999999999997</v>
      </c>
      <c r="E67" s="100">
        <f t="shared" si="19"/>
        <v>0</v>
      </c>
      <c r="F67" s="100">
        <f t="shared" si="19"/>
        <v>0</v>
      </c>
      <c r="G67" s="100">
        <f t="shared" si="19"/>
        <v>27.007999999999999</v>
      </c>
      <c r="H67" s="100">
        <f t="shared" si="19"/>
        <v>10.494</v>
      </c>
      <c r="J67" s="352">
        <f>+E62+(D63-D62)+30*(D82/100)+130*(D83/100)</f>
        <v>189.20339999999999</v>
      </c>
      <c r="L67" s="182"/>
    </row>
    <row r="68" spans="1:12">
      <c r="B68" s="60" t="s">
        <v>137</v>
      </c>
      <c r="C68" s="60"/>
      <c r="D68" s="351">
        <f t="shared" si="19"/>
        <v>53.332999999999998</v>
      </c>
      <c r="E68" s="100">
        <f t="shared" si="19"/>
        <v>36.158999999999999</v>
      </c>
      <c r="F68" s="100">
        <f t="shared" si="19"/>
        <v>0</v>
      </c>
      <c r="G68" s="100">
        <f t="shared" si="19"/>
        <v>21.681000000000001</v>
      </c>
      <c r="H68" s="100">
        <f t="shared" si="19"/>
        <v>9.3360000000000003</v>
      </c>
      <c r="L68" s="183"/>
    </row>
    <row r="69" spans="1:12">
      <c r="B69" s="60" t="s">
        <v>138</v>
      </c>
      <c r="C69" s="60"/>
      <c r="D69" s="100">
        <f t="shared" si="19"/>
        <v>0</v>
      </c>
      <c r="E69" s="100">
        <f t="shared" si="19"/>
        <v>27.562000000000001</v>
      </c>
      <c r="F69" s="100">
        <f t="shared" si="19"/>
        <v>0</v>
      </c>
      <c r="G69" s="100">
        <f t="shared" si="19"/>
        <v>20.373000000000001</v>
      </c>
      <c r="H69" s="100">
        <f t="shared" si="19"/>
        <v>8.4190000000000005</v>
      </c>
    </row>
    <row r="70" spans="1:12">
      <c r="B70" s="60" t="s">
        <v>163</v>
      </c>
      <c r="C70" s="60"/>
      <c r="D70" s="100">
        <f t="shared" ref="D70:H71" si="20">D9</f>
        <v>0</v>
      </c>
      <c r="E70" s="351">
        <f t="shared" si="20"/>
        <v>23.516999999999999</v>
      </c>
      <c r="F70" s="100">
        <f>F9</f>
        <v>0</v>
      </c>
      <c r="G70" s="100">
        <f t="shared" si="20"/>
        <v>18.202999999999999</v>
      </c>
      <c r="H70" s="100">
        <f t="shared" si="20"/>
        <v>7.7850000000000001</v>
      </c>
    </row>
    <row r="71" spans="1:12">
      <c r="B71" s="60" t="s">
        <v>164</v>
      </c>
      <c r="C71" s="60"/>
      <c r="D71" s="100">
        <f t="shared" si="20"/>
        <v>0</v>
      </c>
      <c r="E71" s="351">
        <f t="shared" si="20"/>
        <v>16.497</v>
      </c>
      <c r="F71" s="100">
        <f t="shared" si="20"/>
        <v>0</v>
      </c>
      <c r="G71" s="100">
        <f t="shared" si="20"/>
        <v>0</v>
      </c>
      <c r="H71" s="100">
        <f t="shared" si="20"/>
        <v>5.851</v>
      </c>
    </row>
    <row r="72" spans="1:12">
      <c r="B72" s="60"/>
      <c r="C72" s="60"/>
      <c r="D72" s="100"/>
      <c r="E72" s="100"/>
      <c r="F72" s="100"/>
      <c r="G72" s="100"/>
      <c r="H72" s="100"/>
      <c r="I72" s="32"/>
    </row>
    <row r="73" spans="1:12">
      <c r="B73" s="60" t="s">
        <v>139</v>
      </c>
      <c r="C73" s="60"/>
      <c r="D73" s="101">
        <v>1</v>
      </c>
      <c r="E73" s="101">
        <v>1</v>
      </c>
      <c r="F73" s="101">
        <v>1</v>
      </c>
      <c r="G73" s="101">
        <v>1</v>
      </c>
      <c r="H73" s="101">
        <v>1</v>
      </c>
    </row>
    <row r="74" spans="1:12">
      <c r="B74" s="60" t="s">
        <v>140</v>
      </c>
      <c r="C74" s="60"/>
      <c r="D74" s="102">
        <v>0</v>
      </c>
      <c r="E74" s="102">
        <v>0</v>
      </c>
      <c r="F74" s="102">
        <v>0</v>
      </c>
      <c r="G74" s="102">
        <v>0</v>
      </c>
      <c r="H74" s="102">
        <v>0</v>
      </c>
      <c r="K74">
        <f>K$61</f>
        <v>0</v>
      </c>
      <c r="L74" s="181"/>
    </row>
    <row r="75" spans="1:12">
      <c r="B75" s="60" t="s">
        <v>141</v>
      </c>
      <c r="C75" s="60"/>
      <c r="D75" s="103">
        <v>2</v>
      </c>
      <c r="E75" s="103">
        <v>2</v>
      </c>
      <c r="F75" s="103">
        <v>2</v>
      </c>
      <c r="G75" s="103">
        <v>2</v>
      </c>
      <c r="H75" s="103">
        <v>2</v>
      </c>
    </row>
    <row r="76" spans="1:12">
      <c r="B76" s="60"/>
      <c r="C76" s="60"/>
      <c r="D76" s="100"/>
      <c r="E76" s="100"/>
      <c r="F76" s="102">
        <v>0</v>
      </c>
      <c r="G76" s="100"/>
      <c r="H76" s="100"/>
      <c r="J76" s="179"/>
    </row>
    <row r="77" spans="1:12">
      <c r="A77" t="s">
        <v>142</v>
      </c>
      <c r="B77" t="s">
        <v>30</v>
      </c>
      <c r="D77" s="100">
        <f>CHOOSE(D$75,D67+D$73,D67*(1+D$74))</f>
        <v>41.034999999999997</v>
      </c>
      <c r="E77" s="482">
        <f>E67</f>
        <v>0</v>
      </c>
      <c r="F77" s="482">
        <f>F67</f>
        <v>0</v>
      </c>
      <c r="G77" s="100">
        <f t="shared" ref="D77:H81" si="21">CHOOSE(G$75,G67+G$73,G67*(1+G$74))</f>
        <v>27.007999999999999</v>
      </c>
      <c r="H77" s="100">
        <f t="shared" si="21"/>
        <v>10.494</v>
      </c>
      <c r="J77" s="265"/>
      <c r="L77" s="181"/>
    </row>
    <row r="78" spans="1:12">
      <c r="B78" t="s">
        <v>31</v>
      </c>
      <c r="D78" s="351">
        <f>CHOOSE(D$75,D68+D$73,D68*(1+D$74))</f>
        <v>53.332999999999998</v>
      </c>
      <c r="E78" s="100">
        <f>CHOOSE(E$75,E68+E$73,E68*(1+E$74))</f>
        <v>36.158999999999999</v>
      </c>
      <c r="F78" s="100"/>
      <c r="G78" s="100">
        <f t="shared" si="21"/>
        <v>21.681000000000001</v>
      </c>
      <c r="H78" s="100">
        <f t="shared" si="21"/>
        <v>9.3360000000000003</v>
      </c>
    </row>
    <row r="79" spans="1:12">
      <c r="B79" t="s">
        <v>32</v>
      </c>
      <c r="D79" s="100">
        <f t="shared" si="21"/>
        <v>0</v>
      </c>
      <c r="E79" s="100">
        <f>CHOOSE(E$75,E69+E$73,E69*(1+E$74))</f>
        <v>27.562000000000001</v>
      </c>
      <c r="F79" s="100"/>
      <c r="G79" s="100">
        <f>CHOOSE(G$75,G69+G$73,G69*(1+G$74))</f>
        <v>20.373000000000001</v>
      </c>
      <c r="H79" s="100">
        <f t="shared" si="21"/>
        <v>8.4190000000000005</v>
      </c>
    </row>
    <row r="80" spans="1:12">
      <c r="B80" t="s">
        <v>33</v>
      </c>
      <c r="D80" s="100">
        <f t="shared" si="21"/>
        <v>0</v>
      </c>
      <c r="E80" s="351">
        <f>CHOOSE(E$75,E70+E$73,E70*(1+E$74))</f>
        <v>23.516999999999999</v>
      </c>
      <c r="F80" s="100"/>
      <c r="G80" s="351">
        <f>G70</f>
        <v>18.202999999999999</v>
      </c>
      <c r="H80" s="100">
        <f t="shared" si="21"/>
        <v>7.7850000000000001</v>
      </c>
    </row>
    <row r="81" spans="1:16">
      <c r="B81" t="s">
        <v>56</v>
      </c>
      <c r="D81" s="100">
        <f t="shared" si="21"/>
        <v>0</v>
      </c>
      <c r="E81" s="351">
        <f t="shared" si="21"/>
        <v>16.497</v>
      </c>
      <c r="F81" s="351"/>
      <c r="G81" s="100">
        <f t="shared" si="21"/>
        <v>0</v>
      </c>
      <c r="H81" s="100">
        <f>CHOOSE(H$75,H71+H$73,H71*(1+H$74))</f>
        <v>5.851</v>
      </c>
    </row>
    <row r="82" spans="1:16">
      <c r="A82" t="s">
        <v>143</v>
      </c>
      <c r="B82" s="91" t="s">
        <v>30</v>
      </c>
      <c r="C82" s="92"/>
      <c r="D82" s="241">
        <f>D77</f>
        <v>41.034999999999997</v>
      </c>
      <c r="E82" s="104">
        <f>E77</f>
        <v>0</v>
      </c>
      <c r="F82" s="104">
        <f>F77</f>
        <v>0</v>
      </c>
      <c r="G82" s="104">
        <f>G77</f>
        <v>27.007999999999999</v>
      </c>
      <c r="H82" s="260">
        <f>H77</f>
        <v>10.494</v>
      </c>
      <c r="I82" s="94"/>
      <c r="J82" s="292">
        <f>F82-F67</f>
        <v>0</v>
      </c>
      <c r="K82" s="292">
        <f>H82-H67</f>
        <v>0</v>
      </c>
      <c r="L82" s="265">
        <f>D63+((D77/100)*200)</f>
        <v>91.57</v>
      </c>
      <c r="M82" s="265">
        <f>E63+((E82/100)*200)</f>
        <v>107.56</v>
      </c>
      <c r="N82" s="265"/>
      <c r="O82" s="265"/>
      <c r="P82" s="265">
        <f>F63+((F82/100)*500)</f>
        <v>0</v>
      </c>
    </row>
    <row r="83" spans="1:16">
      <c r="B83" s="94" t="s">
        <v>31</v>
      </c>
      <c r="C83" s="95"/>
      <c r="D83" s="105">
        <f>D78</f>
        <v>53.332999999999998</v>
      </c>
      <c r="E83" s="105">
        <f>E78</f>
        <v>36.158999999999999</v>
      </c>
      <c r="F83" s="105">
        <f>F78</f>
        <v>0</v>
      </c>
      <c r="G83" s="105">
        <f t="shared" ref="G83:G84" si="22">G78</f>
        <v>21.681000000000001</v>
      </c>
      <c r="H83" s="261">
        <f t="shared" ref="H83:H84" si="23">H78</f>
        <v>9.3360000000000003</v>
      </c>
      <c r="I83" s="94"/>
      <c r="J83" s="292">
        <f>F83-F68</f>
        <v>0</v>
      </c>
      <c r="K83" s="292">
        <f>H83-H68</f>
        <v>0</v>
      </c>
    </row>
    <row r="84" spans="1:16">
      <c r="B84" s="94" t="s">
        <v>32</v>
      </c>
      <c r="C84" s="95"/>
      <c r="D84" s="105"/>
      <c r="E84" s="105">
        <f>E79</f>
        <v>27.562000000000001</v>
      </c>
      <c r="F84" s="105">
        <f>F79</f>
        <v>0</v>
      </c>
      <c r="G84" s="105">
        <f t="shared" si="22"/>
        <v>20.373000000000001</v>
      </c>
      <c r="H84" s="261">
        <f t="shared" si="23"/>
        <v>8.4190000000000005</v>
      </c>
      <c r="I84" s="94"/>
      <c r="J84" s="292">
        <f>F84-F69</f>
        <v>0</v>
      </c>
      <c r="K84" s="292">
        <f t="shared" ref="K84:K86" si="24">H84-H69</f>
        <v>0</v>
      </c>
    </row>
    <row r="85" spans="1:16">
      <c r="B85" s="94" t="s">
        <v>33</v>
      </c>
      <c r="C85" s="95"/>
      <c r="D85" s="105"/>
      <c r="E85" s="105">
        <f t="shared" ref="E85:E86" si="25">E80</f>
        <v>23.516999999999999</v>
      </c>
      <c r="F85" s="105">
        <f>F80</f>
        <v>0</v>
      </c>
      <c r="G85" s="105">
        <f>G80</f>
        <v>18.202999999999999</v>
      </c>
      <c r="H85" s="261">
        <f t="shared" ref="G85:H86" si="26">H80</f>
        <v>7.7850000000000001</v>
      </c>
      <c r="I85" s="94"/>
      <c r="J85" s="292">
        <f t="shared" ref="J85:J86" si="27">F85-F70</f>
        <v>0</v>
      </c>
      <c r="K85" s="292">
        <f t="shared" si="24"/>
        <v>0</v>
      </c>
    </row>
    <row r="86" spans="1:16">
      <c r="B86" s="106" t="s">
        <v>56</v>
      </c>
      <c r="C86" s="107"/>
      <c r="D86" s="108"/>
      <c r="E86" s="108">
        <f t="shared" si="25"/>
        <v>16.497</v>
      </c>
      <c r="F86" s="108">
        <f>F81</f>
        <v>0</v>
      </c>
      <c r="G86" s="108">
        <f t="shared" si="26"/>
        <v>0</v>
      </c>
      <c r="H86" s="262">
        <f>H81</f>
        <v>5.851</v>
      </c>
      <c r="I86" s="94"/>
      <c r="J86" s="292">
        <f t="shared" si="27"/>
        <v>0</v>
      </c>
      <c r="K86" s="292">
        <f t="shared" si="24"/>
        <v>0</v>
      </c>
    </row>
    <row r="87" spans="1:16">
      <c r="B87" t="s">
        <v>165</v>
      </c>
      <c r="C87" s="99">
        <f>SUM(D87:H87)</f>
        <v>83150696.807460904</v>
      </c>
      <c r="D87" s="87">
        <f>SUMPRODUCT(D50:D54,D82:D86)/100</f>
        <v>63155630.673168875</v>
      </c>
      <c r="E87" s="87">
        <f>SUMPRODUCT(E50:E54,E82:E86)/100</f>
        <v>16508782.617242791</v>
      </c>
      <c r="F87" s="87">
        <f>SUMPRODUCT(F50:F54,F82:F86)/100</f>
        <v>0</v>
      </c>
      <c r="G87" s="87">
        <f>SUMPRODUCT(G50:G54,G82:G86)/100</f>
        <v>216983.42659543964</v>
      </c>
      <c r="H87" s="87">
        <f>SUMPRODUCT(H50:H54,H82:H86)/100</f>
        <v>3269300.0904537998</v>
      </c>
      <c r="K87" s="386"/>
      <c r="L87" s="303">
        <v>101</v>
      </c>
      <c r="M87" s="308" t="s">
        <v>387</v>
      </c>
      <c r="N87" s="303">
        <v>101</v>
      </c>
      <c r="O87" s="300">
        <v>111</v>
      </c>
      <c r="P87" s="293">
        <v>121</v>
      </c>
    </row>
    <row r="88" spans="1:16">
      <c r="B88" t="s">
        <v>144</v>
      </c>
      <c r="C88" s="99">
        <f ca="1">SUM(D88:H88)</f>
        <v>0</v>
      </c>
      <c r="D88" s="87">
        <f ca="1">'Pres &amp; Prop Rev'!D168</f>
        <v>0</v>
      </c>
      <c r="E88" s="87">
        <f ca="1">'Pres &amp; Prop Rev'!E168</f>
        <v>0</v>
      </c>
      <c r="F88" s="87">
        <f>'Pres &amp; Prop Rev'!F168</f>
        <v>0</v>
      </c>
      <c r="G88" s="87">
        <f ca="1">'Pres &amp; Prop Rev'!G168</f>
        <v>0</v>
      </c>
      <c r="H88" s="87">
        <f ca="1">'Pres &amp; Prop Rev'!H168</f>
        <v>0</v>
      </c>
      <c r="K88" s="348" t="s">
        <v>391</v>
      </c>
      <c r="L88" s="304"/>
      <c r="M88" s="387">
        <v>200</v>
      </c>
      <c r="N88" s="304">
        <v>500</v>
      </c>
      <c r="O88" s="228"/>
      <c r="P88" s="295"/>
    </row>
    <row r="89" spans="1:16">
      <c r="B89" t="s">
        <v>145</v>
      </c>
      <c r="C89" s="99">
        <f ca="1">SUM(D89:H89)</f>
        <v>-2908802.93</v>
      </c>
      <c r="D89" s="87">
        <f ca="1">'Pres &amp; Prop Rev'!D190</f>
        <v>-2538460.75</v>
      </c>
      <c r="E89" s="87">
        <f ca="1">'Pres &amp; Prop Rev'!E190</f>
        <v>-370342.18</v>
      </c>
      <c r="F89" s="87">
        <f>'Pres &amp; Prop Rev'!F190</f>
        <v>0</v>
      </c>
      <c r="G89" s="87">
        <f>'Pres &amp; Prop Rev'!G190</f>
        <v>0</v>
      </c>
      <c r="H89" s="87">
        <f>'Pres &amp; Prop Rev'!H190</f>
        <v>0</v>
      </c>
      <c r="K89" s="294" t="s">
        <v>384</v>
      </c>
      <c r="L89" s="305">
        <f>D63</f>
        <v>9.5</v>
      </c>
      <c r="M89" s="297">
        <f>E63</f>
        <v>107.56</v>
      </c>
      <c r="N89" s="305">
        <f>D63</f>
        <v>9.5</v>
      </c>
      <c r="O89" s="296">
        <f>E63</f>
        <v>107.56</v>
      </c>
      <c r="P89" s="297">
        <f>F63</f>
        <v>0</v>
      </c>
    </row>
    <row r="90" spans="1:16">
      <c r="K90" s="294" t="s">
        <v>385</v>
      </c>
      <c r="L90" s="353">
        <f>D82/100</f>
        <v>0.41034999999999999</v>
      </c>
      <c r="M90" s="299"/>
      <c r="N90" s="306">
        <f>D82/100</f>
        <v>0.41034999999999999</v>
      </c>
      <c r="O90" s="298">
        <f>(E82/100)</f>
        <v>0</v>
      </c>
      <c r="P90" s="299">
        <f>F82/100</f>
        <v>0</v>
      </c>
    </row>
    <row r="91" spans="1:16">
      <c r="A91" t="s">
        <v>0</v>
      </c>
      <c r="B91" s="109" t="s">
        <v>146</v>
      </c>
      <c r="C91" s="87">
        <f ca="1">IF(ROUND(C60-C65-SUM(C87:C89),3)&lt;&gt;ROUND(SUM(D91:H91),3),#VALUE!,SUM(D91:H91))</f>
        <v>100.01253911934327</v>
      </c>
      <c r="D91" s="87">
        <f ca="1">D60-D65-SUM(D87:D89)</f>
        <v>100.00683114677668</v>
      </c>
      <c r="E91" s="87">
        <f ca="1">E60-E65-SUM(E87:E89)</f>
        <v>2.7572121471166611E-3</v>
      </c>
      <c r="F91" s="87">
        <f>F60-F65-SUM(F87:F89)</f>
        <v>0</v>
      </c>
      <c r="G91" s="87">
        <f ca="1">G60-G65-SUM(G87:G89)</f>
        <v>3.4045603824779391E-3</v>
      </c>
      <c r="H91" s="87">
        <f ca="1">H60-H65-SUM(H87:H89)</f>
        <v>-4.5379996299743652E-4</v>
      </c>
      <c r="K91" s="294" t="s">
        <v>385</v>
      </c>
      <c r="L91" s="353">
        <f>D83/100</f>
        <v>0.53332999999999997</v>
      </c>
      <c r="M91" s="295"/>
      <c r="N91" s="376">
        <f>L91</f>
        <v>0.53332999999999997</v>
      </c>
      <c r="O91" s="298">
        <f>'Exh3'!D20</f>
        <v>0.36158999999999997</v>
      </c>
      <c r="P91" s="295"/>
    </row>
    <row r="92" spans="1:16">
      <c r="B92" s="60" t="s">
        <v>169</v>
      </c>
      <c r="C92" s="110">
        <f t="shared" ref="C92:H92" ca="1" si="28">C91/C57*100</f>
        <v>4.3373401301141358E-5</v>
      </c>
      <c r="D92" s="110">
        <f t="shared" ca="1" si="28"/>
        <v>7.570791771595611E-5</v>
      </c>
      <c r="E92" s="110">
        <f t="shared" ca="1" si="28"/>
        <v>4.5705263449858698E-9</v>
      </c>
      <c r="F92" s="110" t="e">
        <f t="shared" si="28"/>
        <v>#DIV/0!</v>
      </c>
      <c r="G92" s="110">
        <f t="shared" ca="1" si="28"/>
        <v>3.4278688968948504E-7</v>
      </c>
      <c r="H92" s="110">
        <f t="shared" ca="1" si="28"/>
        <v>-1.2208693360024873E-9</v>
      </c>
      <c r="K92" s="96" t="s">
        <v>386</v>
      </c>
      <c r="L92" s="307">
        <f>(70*L90)+(130*L91)+L89</f>
        <v>107.5574</v>
      </c>
      <c r="M92" s="302">
        <f>(M88*M90)+M89</f>
        <v>107.56</v>
      </c>
      <c r="N92" s="307">
        <f>((70*N90)+(430*N91))+N89</f>
        <v>267.5564</v>
      </c>
      <c r="O92" s="301">
        <f>O89+(200*O90)+((N88-200)*O91)</f>
        <v>216.03699999999998</v>
      </c>
      <c r="P92" s="302">
        <f>P89+(N88*P90)</f>
        <v>0</v>
      </c>
    </row>
    <row r="93" spans="1:16">
      <c r="B93" s="60" t="s">
        <v>147</v>
      </c>
      <c r="C93" s="87">
        <f ca="1">SUM(D93:H93)</f>
        <v>-1.2539104442112148E-2</v>
      </c>
      <c r="D93" s="87">
        <f ca="1">D60-'Pres &amp; Prop Rev'!D192-D91</f>
        <v>-6.8311318755149841E-3</v>
      </c>
      <c r="E93" s="87">
        <f ca="1">E60-'Pres &amp; Prop Rev'!E192-E91</f>
        <v>-2.7572121471166611E-3</v>
      </c>
      <c r="F93" s="87">
        <f ca="1">F60-'Pres &amp; Prop Rev'!F192-F91</f>
        <v>0</v>
      </c>
      <c r="G93" s="87">
        <f ca="1">G60-'Pres &amp; Prop Rev'!G192-G91</f>
        <v>-3.4045603824779391E-3</v>
      </c>
      <c r="H93" s="87">
        <f ca="1">H60-'Pres &amp; Prop Rev'!H192-H91</f>
        <v>4.5379996299743652E-4</v>
      </c>
      <c r="K93" s="228"/>
      <c r="L93" s="228"/>
      <c r="M93" s="228"/>
      <c r="N93" s="228"/>
      <c r="O93" s="228"/>
    </row>
    <row r="94" spans="1:16">
      <c r="B94" s="60"/>
      <c r="C94" s="87"/>
      <c r="D94" s="87"/>
      <c r="E94" s="87"/>
      <c r="F94" s="87"/>
      <c r="G94" s="87"/>
      <c r="H94" s="87"/>
      <c r="K94" s="228" t="s">
        <v>443</v>
      </c>
      <c r="L94" s="465">
        <v>0</v>
      </c>
      <c r="M94" s="459">
        <f>E82/100</f>
        <v>0</v>
      </c>
      <c r="N94">
        <f>L94</f>
        <v>0</v>
      </c>
      <c r="O94" s="351">
        <f>M94</f>
        <v>0</v>
      </c>
      <c r="P94" s="351">
        <f>F82/100</f>
        <v>0</v>
      </c>
    </row>
    <row r="95" spans="1:16">
      <c r="B95" s="109" t="s">
        <v>200</v>
      </c>
      <c r="C95" s="152">
        <f ca="1">SUM(D95:H95)</f>
        <v>103411815.17656003</v>
      </c>
      <c r="D95" s="34">
        <f ca="1">D60</f>
        <v>79468490.430000022</v>
      </c>
      <c r="E95" s="34">
        <f ca="1">E60</f>
        <v>20145480.680000003</v>
      </c>
      <c r="F95" s="34">
        <f>F60</f>
        <v>0</v>
      </c>
      <c r="G95" s="34">
        <f ca="1">G60</f>
        <v>216983.43000000002</v>
      </c>
      <c r="H95" s="34">
        <f ca="1">H60</f>
        <v>3580860.63656</v>
      </c>
      <c r="K95" s="228" t="s">
        <v>445</v>
      </c>
      <c r="L95">
        <f>L94*200</f>
        <v>0</v>
      </c>
      <c r="M95">
        <f>M94*200</f>
        <v>0</v>
      </c>
      <c r="N95">
        <f>$N$88*N94</f>
        <v>0</v>
      </c>
      <c r="O95">
        <f t="shared" ref="O95:P95" si="29">$N$88*O94</f>
        <v>0</v>
      </c>
      <c r="P95">
        <f t="shared" si="29"/>
        <v>0</v>
      </c>
    </row>
    <row r="96" spans="1:16">
      <c r="B96" s="109" t="s">
        <v>201</v>
      </c>
      <c r="C96" s="152">
        <f ca="1">'Pres &amp; Prop Rev'!C192-SUM('Pres &amp; Prop Rev'!I192:J192)</f>
        <v>103411715.17656003</v>
      </c>
      <c r="D96" s="34">
        <f ca="1">'Pres &amp; Prop Rev'!D192</f>
        <v>79468390.430000007</v>
      </c>
      <c r="E96" s="34">
        <f ca="1">'Pres &amp; Prop Rev'!E192</f>
        <v>20145480.680000003</v>
      </c>
      <c r="F96" s="249">
        <f ca="1">'Pres &amp; Prop Rev'!F192</f>
        <v>0</v>
      </c>
      <c r="G96" s="249">
        <f ca="1">'Pres &amp; Prop Rev'!G192</f>
        <v>216983.43000000002</v>
      </c>
      <c r="H96" s="249">
        <f ca="1">'Pres &amp; Prop Rev'!H192</f>
        <v>3580860.63656</v>
      </c>
      <c r="K96" t="s">
        <v>444</v>
      </c>
      <c r="M96">
        <f>L95-M95</f>
        <v>0</v>
      </c>
      <c r="P96">
        <f>N95-P95</f>
        <v>0</v>
      </c>
    </row>
    <row r="97" spans="2:16">
      <c r="B97" s="60"/>
      <c r="C97" s="178">
        <f ca="1">SUM(D97:H97)</f>
        <v>-100.00000001490116</v>
      </c>
      <c r="D97" s="178">
        <f ca="1">D96-D95</f>
        <v>-100.00000001490116</v>
      </c>
      <c r="E97" s="178">
        <f ca="1">E96-E95</f>
        <v>0</v>
      </c>
      <c r="F97" s="178">
        <f ca="1">F96-F95</f>
        <v>0</v>
      </c>
      <c r="G97" s="178">
        <f ca="1">G96-G95</f>
        <v>0</v>
      </c>
      <c r="H97" s="178">
        <f ca="1">H96-H95</f>
        <v>0</v>
      </c>
    </row>
    <row r="98" spans="2:16" ht="13.5" thickBot="1">
      <c r="B98" s="53" t="s">
        <v>155</v>
      </c>
      <c r="C98" s="53"/>
      <c r="M98" s="405">
        <f>L92-M92-M96</f>
        <v>-2.6000000000010459E-3</v>
      </c>
      <c r="P98" s="405">
        <f>N92-P92-P96</f>
        <v>267.5564</v>
      </c>
    </row>
    <row r="99" spans="2:16" ht="13.5" thickTop="1">
      <c r="B99" s="35" t="s">
        <v>168</v>
      </c>
      <c r="C99" s="111">
        <f ca="1">SUM('Pres &amp; Prop Rev'!C155:C156)/SUM('Pres &amp; Prop Rev'!C106:C107)-1</f>
        <v>0</v>
      </c>
      <c r="D99" s="111">
        <f ca="1">SUM('Pres &amp; Prop Rev'!D155:D156)/SUM('Pres &amp; Prop Rev'!D106:D107)-1</f>
        <v>0</v>
      </c>
      <c r="E99" s="111">
        <f ca="1">SUM('Pres &amp; Prop Rev'!E155:E156)/SUM('Pres &amp; Prop Rev'!E106:E107)-1</f>
        <v>0</v>
      </c>
      <c r="F99" s="111" t="e">
        <f ca="1">SUM('Pres &amp; Prop Rev'!F155:F156)/SUM('Pres &amp; Prop Rev'!F106:F107)-1</f>
        <v>#DIV/0!</v>
      </c>
      <c r="G99" s="111" t="e">
        <f ca="1">SUM('Pres &amp; Prop Rev'!G155:G156)/SUM('Pres &amp; Prop Rev'!G106:G107)-1</f>
        <v>#DIV/0!</v>
      </c>
      <c r="H99" s="111">
        <f ca="1">SUM('Pres &amp; Prop Rev'!H155:H156)/SUM('Pres &amp; Prop Rev'!H106:H107)-1</f>
        <v>0</v>
      </c>
    </row>
    <row r="100" spans="2:16">
      <c r="B100" s="35" t="s">
        <v>144</v>
      </c>
      <c r="C100" s="111" t="e">
        <f ca="1">'Pres &amp; Prop Rev'!C168/'Pres &amp; Prop Rev'!C119-1</f>
        <v>#DIV/0!</v>
      </c>
      <c r="D100" s="111" t="e">
        <f ca="1">'Pres &amp; Prop Rev'!D168/'Pres &amp; Prop Rev'!D119-1</f>
        <v>#DIV/0!</v>
      </c>
      <c r="E100" s="111" t="e">
        <f ca="1">'Pres &amp; Prop Rev'!E168/'Pres &amp; Prop Rev'!E119-1</f>
        <v>#DIV/0!</v>
      </c>
      <c r="F100" s="111" t="e">
        <f>'Pres &amp; Prop Rev'!F168/'Pres &amp; Prop Rev'!F119-1</f>
        <v>#DIV/0!</v>
      </c>
      <c r="G100" s="111" t="e">
        <f ca="1">'Pres &amp; Prop Rev'!G168/'Pres &amp; Prop Rev'!G119-1</f>
        <v>#DIV/0!</v>
      </c>
      <c r="H100" s="111" t="e">
        <f ca="1">'Pres &amp; Prop Rev'!H168/'Pres &amp; Prop Rev'!H119-1</f>
        <v>#DIV/0!</v>
      </c>
    </row>
    <row r="101" spans="2:16">
      <c r="B101" s="35" t="s">
        <v>145</v>
      </c>
      <c r="C101" s="111">
        <f ca="1">'Pres &amp; Prop Rev'!C190/'Pres &amp; Prop Rev'!C142-1</f>
        <v>0</v>
      </c>
      <c r="D101" s="111">
        <f ca="1">'Pres &amp; Prop Rev'!D190/'Pres &amp; Prop Rev'!D142-1</f>
        <v>0</v>
      </c>
      <c r="E101" s="111">
        <f ca="1">'Pres &amp; Prop Rev'!E190/'Pres &amp; Prop Rev'!E142-1</f>
        <v>0</v>
      </c>
      <c r="F101" s="111" t="e">
        <f>'Pres &amp; Prop Rev'!F190/'Pres &amp; Prop Rev'!F142-1</f>
        <v>#DIV/0!</v>
      </c>
      <c r="G101" s="111" t="e">
        <f>'Pres &amp; Prop Rev'!G190/'Pres &amp; Prop Rev'!G142-1</f>
        <v>#DIV/0!</v>
      </c>
      <c r="H101" s="111" t="e">
        <f>'Pres &amp; Prop Rev'!H190/'Pres &amp; Prop Rev'!H142-1</f>
        <v>#DIV/0!</v>
      </c>
    </row>
    <row r="102" spans="2:16">
      <c r="B102" s="35" t="s">
        <v>166</v>
      </c>
      <c r="C102" s="111">
        <f ca="1">SUM('Pres &amp; Prop Rev'!C157:C161)/SUM('Pres &amp; Prop Rev'!C108:C112)-1</f>
        <v>0</v>
      </c>
      <c r="D102" s="111">
        <f ca="1">SUM('Pres &amp; Prop Rev'!D157:D161)/SUM('Pres &amp; Prop Rev'!D108:D112)-1</f>
        <v>0</v>
      </c>
      <c r="E102" s="111">
        <f ca="1">SUM('Pres &amp; Prop Rev'!E157:E161)/SUM('Pres &amp; Prop Rev'!E108:E112)-1</f>
        <v>0</v>
      </c>
      <c r="F102" s="111" t="e">
        <f ca="1">SUM('Pres &amp; Prop Rev'!F157:F161)/SUM('Pres &amp; Prop Rev'!F108:F112)-1</f>
        <v>#DIV/0!</v>
      </c>
      <c r="G102" s="111">
        <f ca="1">SUM('Pres &amp; Prop Rev'!G157:G161)/SUM('Pres &amp; Prop Rev'!G108:G112)-1</f>
        <v>0</v>
      </c>
      <c r="H102" s="111">
        <f ca="1">SUM('Pres &amp; Prop Rev'!H157:H161)/SUM('Pres &amp; Prop Rev'!H108:H112)-1</f>
        <v>0</v>
      </c>
    </row>
    <row r="103" spans="2:16">
      <c r="B103" s="153" t="s">
        <v>148</v>
      </c>
      <c r="C103" s="89">
        <f ca="1">'Pres &amp; Prop Rev'!C192/'Pres &amp; Prop Rev'!C193-1</f>
        <v>0</v>
      </c>
      <c r="D103" s="89">
        <f ca="1">'Pres &amp; Prop Rev'!D192/'Pres &amp; Prop Rev'!D193-1</f>
        <v>0</v>
      </c>
      <c r="E103" s="89">
        <f ca="1">'Pres &amp; Prop Rev'!E192/'Pres &amp; Prop Rev'!E193-1</f>
        <v>0</v>
      </c>
      <c r="F103" s="89" t="e">
        <f ca="1">'Pres &amp; Prop Rev'!F192/'Pres &amp; Prop Rev'!F193-1</f>
        <v>#DIV/0!</v>
      </c>
      <c r="G103" s="89">
        <f ca="1">'Pres &amp; Prop Rev'!G192/'Pres &amp; Prop Rev'!G193-1</f>
        <v>0</v>
      </c>
      <c r="H103" s="89">
        <f ca="1">'Pres &amp; Prop Rev'!H192/'Pres &amp; Prop Rev'!H193-1</f>
        <v>0</v>
      </c>
    </row>
    <row r="105" spans="2:16">
      <c r="B105" t="s">
        <v>149</v>
      </c>
      <c r="D105" s="33">
        <f>D57/D58</f>
        <v>66.569071087414997</v>
      </c>
      <c r="E105" s="33">
        <f>E57/E58</f>
        <v>1619.3139465512418</v>
      </c>
      <c r="F105" s="33" t="e">
        <f>F57/F58</f>
        <v>#DIV/0!</v>
      </c>
      <c r="G105" s="33">
        <f>G57/G58</f>
        <v>41383.345416666583</v>
      </c>
      <c r="H105" s="33">
        <f>H57/H58</f>
        <v>81513.666377192989</v>
      </c>
    </row>
    <row r="106" spans="2:16">
      <c r="B106" s="92" t="s">
        <v>150</v>
      </c>
      <c r="C106" s="112" t="str">
        <f>INDEX($D$2:$H$2,I106)</f>
        <v>SCH. 101</v>
      </c>
      <c r="D106" s="113"/>
      <c r="E106" s="92"/>
      <c r="F106" s="112" t="str">
        <f>INDEX($D$2:$H$2,J106)</f>
        <v>SCH. 111,112,116</v>
      </c>
      <c r="G106" s="113"/>
      <c r="H106" s="92"/>
      <c r="I106" s="114">
        <v>1</v>
      </c>
      <c r="J106" s="114">
        <v>2</v>
      </c>
    </row>
    <row r="107" spans="2:16">
      <c r="C107" s="54" t="s">
        <v>151</v>
      </c>
      <c r="D107" s="54" t="s">
        <v>152</v>
      </c>
      <c r="E107" s="54" t="s">
        <v>153</v>
      </c>
      <c r="F107" s="54" t="s">
        <v>151</v>
      </c>
      <c r="G107" s="54" t="s">
        <v>152</v>
      </c>
      <c r="H107" s="54" t="s">
        <v>153</v>
      </c>
    </row>
    <row r="108" spans="2:16">
      <c r="B108" s="43">
        <v>0</v>
      </c>
      <c r="C108" s="87">
        <f>I$108+MIN($B108,M$109)*I$109/100+MAX(0,MIN($B108-M$109,M$110-M$109))*I$110/100+MAX(0,MIN($B108-M$110,M$111-M$110))*I$111/100+MAX(0,MIN($B108-M$111,M$112-M$111))*I$112/100+MAX(0,B108-M$113)*I$113/100</f>
        <v>9.5</v>
      </c>
      <c r="D108" s="87">
        <f>J$108+MIN($B108,N$109)*J$109/100+MAX(0,MIN($B108-N$109,N$110-N$109))*J$110/100+MAX(0,MIN($B108-N$110,N$111-N$110))*J$111/100+MAX(0,MIN($B108-N$111,N$112-N$111))*J$112/100+MAX(0,C108-N$113)*J$113/100</f>
        <v>9.5</v>
      </c>
      <c r="E108" s="111">
        <f t="shared" ref="E108:E122" si="30">D108/C108-1</f>
        <v>0</v>
      </c>
      <c r="F108" s="87">
        <f>K$108+MIN($B108,O$109)*K$109/100+MAX(0,MIN($B108-O$109,O$110-O$109))*K$110/100+MAX(0,MIN($B108-O$110,O$111-O$110))*K$111/100+MAX(0,MIN($B108-O$111,O$112-O$111))*K$112/100+MAX(0,E108-O$113)*K$113/100</f>
        <v>107.56</v>
      </c>
      <c r="G108" s="87">
        <f>L$108+MIN($B108,P$109)*L$109/100+MAX(0,MIN($B108-P$109,P$110-P$109))*L$110/100+MAX(0,MIN($B108-P$110,P$111-P$110))*L$111/100+MAX(0,MIN($B108-P$111,P$112-P$111))*L$112/100+MAX(0,F108-P$113)*L$113/100</f>
        <v>107.56</v>
      </c>
      <c r="H108" s="111">
        <f t="shared" ref="H108:H122" si="31">G108/F108-1</f>
        <v>0</v>
      </c>
      <c r="I108">
        <f>INDEX(CHOOSE(Base1_Billing2,$D$4:$H$4,$D$14:$H$14),$I$106)+INDEX(CHOOSE(Base1_Billing2,$D$5:$H$5,$D$15:$H$15),$I$106)</f>
        <v>9.5</v>
      </c>
      <c r="J108">
        <f>INDEX(CHOOSE(Base1_Billing2,$D$26:$H$26,$D$36:$H$36),$I$106)+INDEX(CHOOSE(Base1_Billing2,$D$27:$H$27,$D$37:$H$37),$I$106)</f>
        <v>9.5</v>
      </c>
      <c r="K108">
        <f>INDEX(CHOOSE(Base1_Billing2,$D$4:$H$4,$D$14:$H$14),$J$106)+INDEX(CHOOSE(Base1_Billing2,$D$5:$H$5,$D$15:$H$15),$J$106)</f>
        <v>107.56</v>
      </c>
      <c r="L108">
        <f>INDEX(CHOOSE(Base1_Billing2,$D$26:$H$26,$D$36:$H$36),$J$106)+INDEX(CHOOSE(Base1_Billing2,$D$27:$H$27,$D$37:$H$37),$J$106)</f>
        <v>107.56</v>
      </c>
    </row>
    <row r="109" spans="2:16">
      <c r="B109" s="43">
        <v>65</v>
      </c>
      <c r="C109" s="87">
        <f t="shared" ref="C109:C122" si="32">I$108+MIN($B109,M$109)*I$109/100+MAX(0,MIN($B109-M$109,M$110-M$109))*I$110/100+MAX(0,MIN($B109-M$110,M$111-M$110))*I$111/100+MAX(0,MIN($B109-M$111,M$112-M$111))*I$112/100+MAX(0,B109-M$113)*I$113/100</f>
        <v>36.172749999999994</v>
      </c>
      <c r="D109" s="87">
        <f t="shared" ref="D109:D122" si="33">J$108+MIN($B109,N$109)*J$109/100+MAX(0,MIN($B109-N$109,N$110-N$109))*J$110/100+MAX(0,MIN($B109-N$110,N$111-N$110))*J$111/100+MAX(0,MIN($B109-N$111,N$112-N$111))*J$112/100+MAX(0,C109-N$113)*J$113/100</f>
        <v>36.172749999999994</v>
      </c>
      <c r="E109" s="111">
        <f t="shared" si="30"/>
        <v>0</v>
      </c>
      <c r="F109" s="87">
        <f t="shared" ref="F109:F122" si="34">K$108+MIN($B109,O$109)*K$109/100+MAX(0,MIN($B109-O$109,O$110-O$109))*K$110/100+MAX(0,MIN($B109-O$110,O$111-O$110))*K$111/100+MAX(0,MIN($B109-O$111,O$112-O$111))*K$112/100+MAX(0,E109-O$113)*K$113/100</f>
        <v>107.56</v>
      </c>
      <c r="G109" s="87">
        <f t="shared" ref="G109:G122" si="35">L$108+MIN($B109,P$109)*L$109/100+MAX(0,MIN($B109-P$109,P$110-P$109))*L$110/100+MAX(0,MIN($B109-P$110,P$111-P$110))*L$111/100+MAX(0,MIN($B109-P$111,P$112-P$111))*L$112/100+MAX(0,F109-P$113)*L$113/100</f>
        <v>107.56</v>
      </c>
      <c r="H109" s="111">
        <f t="shared" si="31"/>
        <v>0</v>
      </c>
      <c r="I109">
        <f>INDEX(CHOOSE(Base1_Billing2,$D6:$H6,$D16:$H16),$I$106)</f>
        <v>41.034999999999997</v>
      </c>
      <c r="J109">
        <f>INDEX(CHOOSE(Base1_Billing2,$D28:$H28,$D38:$H38),$I$106)</f>
        <v>41.034999999999997</v>
      </c>
      <c r="K109">
        <f>INDEX(CHOOSE(Base1_Billing2,$D6:$H6,$D16:$H16),$J$106)</f>
        <v>0</v>
      </c>
      <c r="L109">
        <f>INDEX(CHOOSE(Base1_Billing2,$D28:$H28,$D38:$H38),$J$106)</f>
        <v>0</v>
      </c>
      <c r="M109">
        <f>INDEX($L6:$P6,$I$106)</f>
        <v>9999999</v>
      </c>
      <c r="N109">
        <f>INDEX($L28:$P28,$I$106)</f>
        <v>9999999</v>
      </c>
      <c r="O109">
        <f>INDEX($L6:$P6,$J$106)</f>
        <v>200</v>
      </c>
      <c r="P109">
        <f>INDEX($L28:$P28,$J$106)</f>
        <v>200</v>
      </c>
    </row>
    <row r="110" spans="2:16">
      <c r="B110" s="43">
        <v>2000</v>
      </c>
      <c r="C110" s="87">
        <f t="shared" si="32"/>
        <v>830.2</v>
      </c>
      <c r="D110" s="87">
        <f t="shared" si="33"/>
        <v>830.2</v>
      </c>
      <c r="E110" s="111">
        <f t="shared" si="30"/>
        <v>0</v>
      </c>
      <c r="F110" s="87">
        <f t="shared" si="34"/>
        <v>672.452</v>
      </c>
      <c r="G110" s="87">
        <f t="shared" si="35"/>
        <v>672.452</v>
      </c>
      <c r="H110" s="111">
        <f t="shared" si="31"/>
        <v>0</v>
      </c>
      <c r="I110">
        <f>INDEX(CHOOSE(Base1_Billing2,$D7:$H7,$D17:$H17),$I$106)</f>
        <v>53.332999999999998</v>
      </c>
      <c r="J110">
        <f>INDEX(CHOOSE(Base1_Billing2,$D29:$H29,$D39:$H39),$I$106)</f>
        <v>53.332999999999998</v>
      </c>
      <c r="K110">
        <f>INDEX(CHOOSE(Base1_Billing2,$D7:$H7,$D17:$H17),$J$106)</f>
        <v>36.158999999999999</v>
      </c>
      <c r="L110">
        <f>INDEX(CHOOSE(Base1_Billing2,$D29:$H29,$D39:$H39),$J$106)</f>
        <v>36.158999999999999</v>
      </c>
      <c r="M110">
        <f>INDEX($L7:$P7,$I$106)</f>
        <v>9999999</v>
      </c>
      <c r="N110">
        <f>INDEX($L29:$P29,$I$106)</f>
        <v>9999999</v>
      </c>
      <c r="O110">
        <f>INDEX($L7:$P7,$J$106)</f>
        <v>1000</v>
      </c>
      <c r="P110">
        <f>INDEX($L29:$P29,$J$106)</f>
        <v>1000</v>
      </c>
    </row>
    <row r="111" spans="2:16">
      <c r="B111" s="43">
        <v>3000</v>
      </c>
      <c r="C111" s="87">
        <f t="shared" si="32"/>
        <v>1240.55</v>
      </c>
      <c r="D111" s="87">
        <f t="shared" si="33"/>
        <v>1240.55</v>
      </c>
      <c r="E111" s="111">
        <f t="shared" si="30"/>
        <v>0</v>
      </c>
      <c r="F111" s="87">
        <f t="shared" si="34"/>
        <v>948.072</v>
      </c>
      <c r="G111" s="87">
        <f t="shared" si="35"/>
        <v>948.072</v>
      </c>
      <c r="H111" s="111">
        <f t="shared" si="31"/>
        <v>0</v>
      </c>
      <c r="I111">
        <f>INDEX(CHOOSE(Base1_Billing2,$D8:$H8,$D18:$H18),$I$106)</f>
        <v>0</v>
      </c>
      <c r="J111">
        <f>INDEX(CHOOSE(Base1_Billing2,$D30:$H30,$D40:$H40),$I$106)</f>
        <v>0</v>
      </c>
      <c r="K111">
        <f>INDEX(CHOOSE(Base1_Billing2,$D8:$H8,$D18:$H18),$J$106)</f>
        <v>27.562000000000001</v>
      </c>
      <c r="L111">
        <f>INDEX(CHOOSE(Base1_Billing2,$D30:$H30,$D40:$H40),$J$106)</f>
        <v>27.562000000000001</v>
      </c>
      <c r="M111">
        <f>INDEX($L8:$P8,$I$106)</f>
        <v>9999999</v>
      </c>
      <c r="N111">
        <f>INDEX($L30:$P30,$I$106)</f>
        <v>9999999</v>
      </c>
      <c r="O111">
        <f>INDEX($L8:$P8,$J$106)</f>
        <v>9999999</v>
      </c>
      <c r="P111">
        <f>INDEX($L30:$P30,$J$106)</f>
        <v>9999999</v>
      </c>
    </row>
    <row r="112" spans="2:16">
      <c r="B112" s="43">
        <v>4000</v>
      </c>
      <c r="C112" s="87">
        <f t="shared" si="32"/>
        <v>1650.9</v>
      </c>
      <c r="D112" s="87">
        <f t="shared" si="33"/>
        <v>1650.9</v>
      </c>
      <c r="E112" s="111">
        <f t="shared" si="30"/>
        <v>0</v>
      </c>
      <c r="F112" s="87">
        <f t="shared" si="34"/>
        <v>1223.692</v>
      </c>
      <c r="G112" s="87">
        <f t="shared" si="35"/>
        <v>1223.692</v>
      </c>
      <c r="H112" s="111">
        <f t="shared" si="31"/>
        <v>0</v>
      </c>
      <c r="I112">
        <f>INDEX(CHOOSE(Base1_Billing2,$D9:$H9,$D19:$H19),$I$106)</f>
        <v>0</v>
      </c>
      <c r="J112">
        <f>INDEX(CHOOSE(Base1_Billing2,$D31:$H31,$D41:$H41),$I$106)</f>
        <v>0</v>
      </c>
      <c r="K112">
        <f>INDEX(CHOOSE(Base1_Billing2,$D9:$H9,$D19:$H19),$J$106)</f>
        <v>23.516999999999999</v>
      </c>
      <c r="L112">
        <f>INDEX(CHOOSE(Base1_Billing2,$D31:$H31,$D41:$H41),$J$106)</f>
        <v>23.516999999999999</v>
      </c>
      <c r="M112">
        <f>INDEX($L9:$P9,$I$106)</f>
        <v>9999999</v>
      </c>
      <c r="N112">
        <f>INDEX($L31:$P31,$I$106)</f>
        <v>9999999</v>
      </c>
      <c r="O112">
        <f>INDEX($L9:$P9,$J$106)</f>
        <v>9999999</v>
      </c>
      <c r="P112">
        <f>INDEX($L31:$P31,$J$106)</f>
        <v>9999999</v>
      </c>
    </row>
    <row r="113" spans="2:16">
      <c r="B113" s="43">
        <v>5000</v>
      </c>
      <c r="C113" s="87">
        <f t="shared" si="32"/>
        <v>2061.2499999999995</v>
      </c>
      <c r="D113" s="87">
        <f t="shared" si="33"/>
        <v>2061.2499999999995</v>
      </c>
      <c r="E113" s="111">
        <f t="shared" si="30"/>
        <v>0</v>
      </c>
      <c r="F113" s="87">
        <f t="shared" si="34"/>
        <v>1499.3119999999999</v>
      </c>
      <c r="G113" s="87">
        <f t="shared" si="35"/>
        <v>1499.3119999999999</v>
      </c>
      <c r="H113" s="111">
        <f t="shared" si="31"/>
        <v>0</v>
      </c>
      <c r="I113">
        <f>INDEX(CHOOSE(Base1_Billing2,$D10:$H10,$D20:$H20),$I$106)</f>
        <v>0</v>
      </c>
      <c r="J113">
        <f>INDEX(CHOOSE(Base1_Billing2,$D32:$H32,$D42:$H42),$I$106)</f>
        <v>0</v>
      </c>
      <c r="K113">
        <f>INDEX(CHOOSE(Base1_Billing2,$D10:$H10,$D20:$H20),$J$106)</f>
        <v>16.497</v>
      </c>
      <c r="L113">
        <f>INDEX(CHOOSE(Base1_Billing2,$D32:$H32,$D42:$H42),$J$106)</f>
        <v>16.497</v>
      </c>
      <c r="M113">
        <f>INDEX($L10:$P10,$I$106)</f>
        <v>9999999</v>
      </c>
      <c r="N113">
        <f>INDEX($L32:$P32,$I$106)</f>
        <v>9999999</v>
      </c>
      <c r="O113">
        <f>INDEX($L10:$P10,$J$106)</f>
        <v>9999999</v>
      </c>
      <c r="P113">
        <f>INDEX($L32:$P32,$J$106)</f>
        <v>9999999</v>
      </c>
    </row>
    <row r="114" spans="2:16">
      <c r="B114" s="43">
        <v>6000</v>
      </c>
      <c r="C114" s="87">
        <f t="shared" si="32"/>
        <v>2471.6</v>
      </c>
      <c r="D114" s="87">
        <f t="shared" si="33"/>
        <v>2471.6</v>
      </c>
      <c r="E114" s="111">
        <f t="shared" si="30"/>
        <v>0</v>
      </c>
      <c r="F114" s="87">
        <f t="shared" si="34"/>
        <v>1774.9319999999998</v>
      </c>
      <c r="G114" s="87">
        <f t="shared" si="35"/>
        <v>1774.9319999999998</v>
      </c>
      <c r="H114" s="111">
        <f t="shared" si="31"/>
        <v>0</v>
      </c>
    </row>
    <row r="115" spans="2:16">
      <c r="B115" s="43">
        <v>7000</v>
      </c>
      <c r="C115" s="87">
        <f t="shared" si="32"/>
        <v>2881.95</v>
      </c>
      <c r="D115" s="87">
        <f t="shared" si="33"/>
        <v>2881.95</v>
      </c>
      <c r="E115" s="111">
        <f t="shared" si="30"/>
        <v>0</v>
      </c>
      <c r="F115" s="87">
        <f t="shared" si="34"/>
        <v>2050.5520000000001</v>
      </c>
      <c r="G115" s="87">
        <f t="shared" si="35"/>
        <v>2050.5520000000001</v>
      </c>
      <c r="H115" s="111">
        <f t="shared" si="31"/>
        <v>0</v>
      </c>
    </row>
    <row r="116" spans="2:16">
      <c r="B116" s="43">
        <v>8000</v>
      </c>
      <c r="C116" s="87">
        <f t="shared" si="32"/>
        <v>3292.3</v>
      </c>
      <c r="D116" s="87">
        <f t="shared" si="33"/>
        <v>3292.3</v>
      </c>
      <c r="E116" s="111">
        <f t="shared" si="30"/>
        <v>0</v>
      </c>
      <c r="F116" s="87">
        <f t="shared" si="34"/>
        <v>2326.172</v>
      </c>
      <c r="G116" s="87">
        <f t="shared" si="35"/>
        <v>2326.172</v>
      </c>
      <c r="H116" s="111">
        <f t="shared" si="31"/>
        <v>0</v>
      </c>
    </row>
    <row r="117" spans="2:16">
      <c r="B117" s="43">
        <v>9000</v>
      </c>
      <c r="C117" s="87">
        <f t="shared" si="32"/>
        <v>3702.6499999999996</v>
      </c>
      <c r="D117" s="87">
        <f t="shared" si="33"/>
        <v>3702.6499999999996</v>
      </c>
      <c r="E117" s="111">
        <f t="shared" si="30"/>
        <v>0</v>
      </c>
      <c r="F117" s="87">
        <f t="shared" si="34"/>
        <v>2601.7919999999999</v>
      </c>
      <c r="G117" s="87">
        <f t="shared" si="35"/>
        <v>2601.7919999999999</v>
      </c>
      <c r="H117" s="111">
        <f t="shared" si="31"/>
        <v>0</v>
      </c>
    </row>
    <row r="118" spans="2:16">
      <c r="B118" s="43">
        <v>10000</v>
      </c>
      <c r="C118" s="87">
        <f t="shared" si="32"/>
        <v>4112.9999999999991</v>
      </c>
      <c r="D118" s="87">
        <f t="shared" si="33"/>
        <v>4112.9999999999991</v>
      </c>
      <c r="E118" s="111">
        <f t="shared" si="30"/>
        <v>0</v>
      </c>
      <c r="F118" s="87">
        <f t="shared" si="34"/>
        <v>2877.4119999999998</v>
      </c>
      <c r="G118" s="87">
        <f t="shared" si="35"/>
        <v>2877.4119999999998</v>
      </c>
      <c r="H118" s="111">
        <f t="shared" si="31"/>
        <v>0</v>
      </c>
    </row>
    <row r="119" spans="2:16">
      <c r="B119" s="43">
        <v>11000</v>
      </c>
      <c r="C119" s="87">
        <f t="shared" si="32"/>
        <v>4523.3499999999995</v>
      </c>
      <c r="D119" s="87">
        <f t="shared" si="33"/>
        <v>4523.3499999999995</v>
      </c>
      <c r="E119" s="111">
        <f t="shared" si="30"/>
        <v>0</v>
      </c>
      <c r="F119" s="87">
        <f t="shared" si="34"/>
        <v>3153.0319999999997</v>
      </c>
      <c r="G119" s="87">
        <f t="shared" si="35"/>
        <v>3153.0319999999997</v>
      </c>
      <c r="H119" s="111">
        <f t="shared" si="31"/>
        <v>0</v>
      </c>
    </row>
    <row r="120" spans="2:16">
      <c r="B120" s="43">
        <v>12000</v>
      </c>
      <c r="C120" s="87">
        <f t="shared" si="32"/>
        <v>4933.7</v>
      </c>
      <c r="D120" s="87">
        <f t="shared" si="33"/>
        <v>4933.7</v>
      </c>
      <c r="E120" s="111">
        <f t="shared" si="30"/>
        <v>0</v>
      </c>
      <c r="F120" s="87">
        <f t="shared" si="34"/>
        <v>3428.652</v>
      </c>
      <c r="G120" s="87">
        <f t="shared" si="35"/>
        <v>3428.652</v>
      </c>
      <c r="H120" s="111">
        <f t="shared" si="31"/>
        <v>0</v>
      </c>
    </row>
    <row r="121" spans="2:16">
      <c r="B121" s="43">
        <v>13000</v>
      </c>
      <c r="C121" s="87">
        <f t="shared" si="32"/>
        <v>5344.05</v>
      </c>
      <c r="D121" s="87">
        <f t="shared" si="33"/>
        <v>5344.05</v>
      </c>
      <c r="E121" s="111">
        <f t="shared" si="30"/>
        <v>0</v>
      </c>
      <c r="F121" s="87">
        <f t="shared" si="34"/>
        <v>3704.2719999999999</v>
      </c>
      <c r="G121" s="87">
        <f t="shared" si="35"/>
        <v>3704.2719999999999</v>
      </c>
      <c r="H121" s="111">
        <f t="shared" si="31"/>
        <v>0</v>
      </c>
    </row>
    <row r="122" spans="2:16">
      <c r="B122" s="43">
        <v>14000</v>
      </c>
      <c r="C122" s="87">
        <f t="shared" si="32"/>
        <v>5754.4</v>
      </c>
      <c r="D122" s="87">
        <f t="shared" si="33"/>
        <v>5754.4</v>
      </c>
      <c r="E122" s="111">
        <f t="shared" si="30"/>
        <v>0</v>
      </c>
      <c r="F122" s="87">
        <f t="shared" si="34"/>
        <v>3979.8919999999998</v>
      </c>
      <c r="G122" s="87">
        <f t="shared" si="35"/>
        <v>3979.8919999999998</v>
      </c>
      <c r="H122" s="111">
        <f t="shared" si="31"/>
        <v>0</v>
      </c>
    </row>
  </sheetData>
  <phoneticPr fontId="18" type="noConversion"/>
  <conditionalFormatting sqref="O11:P11 O33:P33 D18:D20 G42:G43 E43:F43 D36:G37 G20 D14:G15 D40:D43 H14:H20 H36:H43">
    <cfRule type="expression" dxfId="18" priority="7" stopIfTrue="1">
      <formula>D11-D1&lt;0</formula>
    </cfRule>
  </conditionalFormatting>
  <conditionalFormatting sqref="D63:H63">
    <cfRule type="expression" dxfId="17" priority="8" stopIfTrue="1">
      <formula>ABS(D63-D62)&gt;0.001</formula>
    </cfRule>
  </conditionalFormatting>
  <conditionalFormatting sqref="D82:H86">
    <cfRule type="expression" dxfId="16" priority="9" stopIfTrue="1">
      <formula>ABS(D82-D67)&gt;0.000001</formula>
    </cfRule>
  </conditionalFormatting>
  <conditionalFormatting sqref="C96">
    <cfRule type="expression" dxfId="15" priority="10" stopIfTrue="1">
      <formula>C95&lt;C96</formula>
    </cfRule>
  </conditionalFormatting>
  <conditionalFormatting sqref="D91:H91">
    <cfRule type="expression" dxfId="14" priority="11" stopIfTrue="1">
      <formula>ABS(D91)&gt;1000</formula>
    </cfRule>
  </conditionalFormatting>
  <conditionalFormatting sqref="C93:H94 C97:H97">
    <cfRule type="expression" dxfId="13" priority="12" stopIfTrue="1">
      <formula>ABS(C93)&gt;4000</formula>
    </cfRule>
  </conditionalFormatting>
  <conditionalFormatting sqref="U61:U62">
    <cfRule type="cellIs" dxfId="12" priority="1" operator="lessThan">
      <formula>0</formula>
    </cfRule>
    <cfRule type="cellIs" dxfId="11" priority="2" operator="greaterThan">
      <formula>0</formula>
    </cfRule>
  </conditionalFormatting>
  <pageMargins left="0.5" right="0.5" top="0.5" bottom="0.5" header="0.5" footer="0.5"/>
  <pageSetup scale="7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>
    <tabColor rgb="FF92D050"/>
    <pageSetUpPr fitToPage="1"/>
  </sheetPr>
  <dimension ref="A1:V57"/>
  <sheetViews>
    <sheetView showGridLines="0" view="pageBreakPreview" zoomScaleNormal="100" zoomScaleSheetLayoutView="100" workbookViewId="0">
      <selection activeCell="C20" sqref="C20"/>
    </sheetView>
  </sheetViews>
  <sheetFormatPr defaultColWidth="11.42578125" defaultRowHeight="12.75"/>
  <cols>
    <col min="1" max="1" width="5" style="316" customWidth="1"/>
    <col min="2" max="2" width="23.85546875" style="236" customWidth="1"/>
    <col min="3" max="3" width="11.140625" style="316" bestFit="1" customWidth="1"/>
    <col min="4" max="4" width="18.140625" style="323" bestFit="1" customWidth="1"/>
    <col min="5" max="5" width="9.7109375" style="323" customWidth="1"/>
    <col min="6" max="6" width="18.140625" style="323" bestFit="1" customWidth="1"/>
    <col min="7" max="7" width="9.5703125" style="161" customWidth="1"/>
    <col min="8" max="8" width="12.85546875" style="236" customWidth="1"/>
    <col min="9" max="9" width="12.85546875" style="236" hidden="1" customWidth="1"/>
    <col min="10" max="11" width="12.85546875" style="236" customWidth="1"/>
    <col min="12" max="12" width="9.42578125" style="236" customWidth="1"/>
    <col min="13" max="13" width="12.85546875" style="29" customWidth="1"/>
    <col min="14" max="14" width="1.7109375" style="236" customWidth="1"/>
    <col min="15" max="17" width="11.42578125" style="236"/>
    <col min="18" max="18" width="12.28515625" style="236" bestFit="1" customWidth="1"/>
    <col min="19" max="16384" width="11.42578125" style="236"/>
  </cols>
  <sheetData>
    <row r="1" spans="1:22" s="316" customFormat="1">
      <c r="A1" s="165" t="s">
        <v>103</v>
      </c>
      <c r="B1" s="314"/>
      <c r="C1" s="314"/>
      <c r="D1" s="315"/>
      <c r="E1" s="314"/>
      <c r="F1" s="314"/>
      <c r="G1" s="162"/>
      <c r="H1" s="314"/>
      <c r="I1" s="314"/>
      <c r="J1" s="314"/>
      <c r="K1" s="314"/>
      <c r="L1" s="236"/>
      <c r="N1" s="548" t="s">
        <v>251</v>
      </c>
      <c r="O1" s="548"/>
    </row>
    <row r="2" spans="1:22" s="316" customFormat="1">
      <c r="A2" s="165" t="s">
        <v>368</v>
      </c>
      <c r="B2" s="314"/>
      <c r="C2" s="314"/>
      <c r="D2" s="315"/>
      <c r="E2" s="314"/>
      <c r="F2" s="314"/>
      <c r="G2" s="162"/>
      <c r="H2" s="314"/>
      <c r="I2" s="314"/>
      <c r="J2" s="314"/>
      <c r="K2" s="314"/>
      <c r="L2" s="236"/>
      <c r="N2" s="548"/>
      <c r="O2" s="548"/>
    </row>
    <row r="3" spans="1:22" s="316" customFormat="1">
      <c r="A3" s="165" t="s">
        <v>252</v>
      </c>
      <c r="B3" s="314"/>
      <c r="C3" s="314"/>
      <c r="D3" s="315"/>
      <c r="E3" s="314"/>
      <c r="F3" s="314"/>
      <c r="G3" s="162"/>
      <c r="H3" s="314"/>
      <c r="I3" s="314"/>
      <c r="J3" s="314"/>
      <c r="K3" s="314"/>
      <c r="L3" s="236"/>
      <c r="N3" s="548"/>
      <c r="O3" s="548"/>
    </row>
    <row r="4" spans="1:22" s="316" customFormat="1">
      <c r="A4" s="165" t="s">
        <v>650</v>
      </c>
      <c r="B4" s="314"/>
      <c r="C4" s="314"/>
      <c r="D4" s="315"/>
      <c r="E4" s="314"/>
      <c r="F4" s="314"/>
      <c r="G4" s="162"/>
      <c r="H4" s="314"/>
      <c r="I4" s="314"/>
      <c r="J4" s="314"/>
      <c r="K4" s="314"/>
      <c r="L4" s="236"/>
    </row>
    <row r="5" spans="1:22" s="316" customFormat="1">
      <c r="A5" s="165" t="s">
        <v>229</v>
      </c>
      <c r="B5" s="314"/>
      <c r="C5" s="314"/>
      <c r="D5" s="315"/>
      <c r="E5" s="314"/>
      <c r="F5" s="314"/>
      <c r="G5" s="162"/>
      <c r="H5" s="314"/>
      <c r="I5" s="314"/>
      <c r="J5" s="314"/>
      <c r="K5" s="314"/>
      <c r="L5" s="236"/>
    </row>
    <row r="6" spans="1:22" s="316" customFormat="1">
      <c r="A6" s="378"/>
      <c r="C6" s="236"/>
      <c r="D6" s="317"/>
      <c r="E6" s="166"/>
      <c r="F6" s="166"/>
      <c r="G6" s="159"/>
      <c r="L6" s="30"/>
    </row>
    <row r="7" spans="1:22" s="316" customFormat="1">
      <c r="C7" s="236"/>
      <c r="D7" s="317"/>
      <c r="E7" s="166"/>
      <c r="F7" s="166"/>
      <c r="G7" s="159"/>
      <c r="L7" s="30"/>
    </row>
    <row r="8" spans="1:22" s="316" customFormat="1">
      <c r="C8" s="318"/>
      <c r="D8" s="317" t="s">
        <v>173</v>
      </c>
      <c r="E8" s="319"/>
      <c r="F8" s="317" t="s">
        <v>173</v>
      </c>
      <c r="G8" s="167" t="s">
        <v>241</v>
      </c>
      <c r="H8" s="316" t="s">
        <v>253</v>
      </c>
      <c r="K8" s="30" t="s">
        <v>254</v>
      </c>
      <c r="L8" s="461"/>
      <c r="O8" s="462"/>
      <c r="P8" s="462"/>
      <c r="Q8" s="462"/>
      <c r="R8" s="462"/>
      <c r="S8" s="462"/>
      <c r="T8" s="462"/>
      <c r="U8" s="462"/>
      <c r="V8" s="462"/>
    </row>
    <row r="9" spans="1:22" s="316" customFormat="1">
      <c r="C9" s="318"/>
      <c r="D9" s="462" t="s">
        <v>513</v>
      </c>
      <c r="E9" s="317" t="s">
        <v>232</v>
      </c>
      <c r="F9" s="462" t="s">
        <v>513</v>
      </c>
      <c r="G9" s="167" t="s">
        <v>242</v>
      </c>
      <c r="H9" s="316" t="s">
        <v>230</v>
      </c>
      <c r="I9" s="316" t="s">
        <v>337</v>
      </c>
      <c r="J9" s="316" t="s">
        <v>232</v>
      </c>
      <c r="K9" s="30" t="s">
        <v>226</v>
      </c>
      <c r="L9" s="461"/>
      <c r="M9" s="316" t="s">
        <v>230</v>
      </c>
      <c r="O9" s="462"/>
      <c r="P9" s="462"/>
      <c r="Q9" s="462"/>
      <c r="R9" s="462"/>
      <c r="S9" s="462"/>
      <c r="T9" s="462"/>
      <c r="U9" s="462"/>
      <c r="V9" s="462" t="s">
        <v>609</v>
      </c>
    </row>
    <row r="10" spans="1:22" s="316" customFormat="1">
      <c r="A10" s="316" t="s">
        <v>202</v>
      </c>
      <c r="B10" s="316" t="s">
        <v>231</v>
      </c>
      <c r="C10" s="316" t="s">
        <v>207</v>
      </c>
      <c r="D10" s="317" t="s">
        <v>255</v>
      </c>
      <c r="E10" s="317" t="s">
        <v>256</v>
      </c>
      <c r="F10" s="317" t="s">
        <v>257</v>
      </c>
      <c r="G10" s="159" t="s">
        <v>233</v>
      </c>
      <c r="H10" s="316" t="s">
        <v>258</v>
      </c>
      <c r="I10" s="316" t="s">
        <v>338</v>
      </c>
      <c r="J10" s="316" t="s">
        <v>256</v>
      </c>
      <c r="K10" s="30" t="s">
        <v>259</v>
      </c>
      <c r="L10" s="461"/>
      <c r="M10" s="316" t="s">
        <v>617</v>
      </c>
      <c r="O10" s="462"/>
      <c r="P10" s="462" t="s">
        <v>220</v>
      </c>
      <c r="Q10" s="462"/>
      <c r="R10" s="462" t="s">
        <v>610</v>
      </c>
      <c r="S10" s="462" t="s">
        <v>611</v>
      </c>
      <c r="T10" s="462" t="s">
        <v>611</v>
      </c>
      <c r="U10" s="462"/>
      <c r="V10" s="462" t="s">
        <v>612</v>
      </c>
    </row>
    <row r="11" spans="1:22" s="320" customFormat="1">
      <c r="A11" s="320" t="s">
        <v>206</v>
      </c>
      <c r="B11" s="320" t="s">
        <v>234</v>
      </c>
      <c r="C11" s="320" t="s">
        <v>235</v>
      </c>
      <c r="D11" s="321" t="s">
        <v>261</v>
      </c>
      <c r="E11" s="321" t="s">
        <v>226</v>
      </c>
      <c r="F11" s="321" t="s">
        <v>261</v>
      </c>
      <c r="G11" s="160" t="s">
        <v>226</v>
      </c>
      <c r="H11" s="320" t="s">
        <v>514</v>
      </c>
      <c r="I11" s="320" t="s">
        <v>226</v>
      </c>
      <c r="J11" s="320" t="s">
        <v>226</v>
      </c>
      <c r="K11" s="168" t="s">
        <v>230</v>
      </c>
      <c r="L11" s="168"/>
      <c r="M11" s="320" t="s">
        <v>618</v>
      </c>
      <c r="O11" s="320" t="s">
        <v>613</v>
      </c>
      <c r="P11" s="320" t="s">
        <v>614</v>
      </c>
      <c r="R11" s="320" t="s">
        <v>615</v>
      </c>
      <c r="S11" s="320" t="s">
        <v>616</v>
      </c>
      <c r="T11" s="320" t="s">
        <v>230</v>
      </c>
      <c r="V11" s="320" t="s">
        <v>611</v>
      </c>
    </row>
    <row r="12" spans="1:22" s="316" customFormat="1">
      <c r="B12" s="316" t="s">
        <v>209</v>
      </c>
      <c r="C12" s="316" t="s">
        <v>210</v>
      </c>
      <c r="D12" s="317" t="s">
        <v>211</v>
      </c>
      <c r="E12" s="316" t="s">
        <v>212</v>
      </c>
      <c r="F12" s="316" t="s">
        <v>213</v>
      </c>
      <c r="G12" s="159" t="s">
        <v>214</v>
      </c>
      <c r="H12" s="316" t="s">
        <v>227</v>
      </c>
      <c r="I12" s="316" t="s">
        <v>236</v>
      </c>
      <c r="J12" s="316" t="s">
        <v>236</v>
      </c>
      <c r="K12" s="30" t="s">
        <v>335</v>
      </c>
      <c r="L12" s="468"/>
      <c r="O12" s="462"/>
      <c r="P12" s="462"/>
      <c r="Q12" s="462"/>
      <c r="R12" s="462"/>
      <c r="S12" s="462"/>
      <c r="T12" s="462"/>
      <c r="U12" s="462"/>
      <c r="V12" s="462"/>
    </row>
    <row r="13" spans="1:22" ht="6" customHeight="1">
      <c r="D13" s="322"/>
      <c r="K13" s="29"/>
      <c r="M13" s="236"/>
      <c r="O13" s="460"/>
      <c r="P13" s="460"/>
      <c r="Q13" s="460"/>
      <c r="R13" s="460"/>
      <c r="S13" s="460"/>
      <c r="T13" s="460"/>
      <c r="U13" s="460"/>
      <c r="V13" s="460"/>
    </row>
    <row r="14" spans="1:22" ht="24.95" customHeight="1">
      <c r="A14" s="316">
        <v>1</v>
      </c>
      <c r="B14" s="236" t="s">
        <v>215</v>
      </c>
      <c r="C14" s="324" t="s">
        <v>573</v>
      </c>
      <c r="D14" s="317">
        <f ca="1">'Pres &amp; Prop Rev'!$D$145/1000</f>
        <v>79468.390430000014</v>
      </c>
      <c r="E14" s="317">
        <f ca="1">'Pres &amp; Prop Rev'!$D$195/1000</f>
        <v>0</v>
      </c>
      <c r="F14" s="317">
        <f ca="1">'Pres &amp; Prop Rev'!$D$192/1000</f>
        <v>79468.390430000014</v>
      </c>
      <c r="G14" s="269">
        <f ca="1">E14/D14</f>
        <v>0</v>
      </c>
      <c r="H14" s="452">
        <f>119197.46427-65</f>
        <v>119132.46427</v>
      </c>
      <c r="I14" s="317">
        <v>0</v>
      </c>
      <c r="J14" s="317">
        <f ca="1">E14+I14</f>
        <v>0</v>
      </c>
      <c r="K14" s="269">
        <f ca="1">(E14)/H14</f>
        <v>0</v>
      </c>
      <c r="L14" s="89"/>
      <c r="M14" s="407">
        <f ca="1">(D14*1000)/(O14/12)</f>
        <v>480.57347316159183</v>
      </c>
      <c r="N14" s="325"/>
      <c r="O14" s="533">
        <f>'Bill Determ'!C7</f>
        <v>1984339</v>
      </c>
      <c r="P14" s="408">
        <f>'Bill Impact'!E15</f>
        <v>57.14</v>
      </c>
      <c r="Q14" s="460"/>
      <c r="R14" s="533">
        <f>'Pres &amp; Prop Rev'!D23</f>
        <v>132095603.95253</v>
      </c>
      <c r="S14" s="534">
        <v>0.28637000000000001</v>
      </c>
      <c r="T14" s="469">
        <f t="shared" ref="T14:T19" si="0">(R14*S14)/1000</f>
        <v>37828.218103886014</v>
      </c>
      <c r="U14" s="460"/>
      <c r="V14" s="323">
        <f ca="1">D14+T14</f>
        <v>117296.60853388603</v>
      </c>
    </row>
    <row r="15" spans="1:22" ht="24.95" customHeight="1">
      <c r="A15" s="316">
        <v>2</v>
      </c>
      <c r="B15" s="236" t="s">
        <v>216</v>
      </c>
      <c r="C15" s="324" t="s">
        <v>602</v>
      </c>
      <c r="D15" s="317">
        <f ca="1">'Pres &amp; Prop Rev'!$E$145/1000</f>
        <v>20145.480680000004</v>
      </c>
      <c r="E15" s="317">
        <f ca="1">'Pres &amp; Prop Rev'!$E$195/1000</f>
        <v>0</v>
      </c>
      <c r="F15" s="317">
        <f ca="1">'Pres &amp; Prop Rev'!$E$192/1000</f>
        <v>20145.480680000004</v>
      </c>
      <c r="G15" s="269">
        <f t="shared" ref="G15:G19" ca="1" si="1">E15/D15</f>
        <v>0</v>
      </c>
      <c r="H15" s="452">
        <f>39680.6641-2</f>
        <v>39678.664100000002</v>
      </c>
      <c r="I15" s="317">
        <v>0</v>
      </c>
      <c r="J15" s="317">
        <f t="shared" ref="J15:J19" ca="1" si="2">E15+I15</f>
        <v>0</v>
      </c>
      <c r="K15" s="269">
        <f t="shared" ref="K15:K20" ca="1" si="3">(E15)/H15</f>
        <v>0</v>
      </c>
      <c r="L15" s="89"/>
      <c r="M15" s="469">
        <f ca="1">((D15+D16+D17)*1000)/((O15+O16+O17)/12)</f>
        <v>6545.486842570519</v>
      </c>
      <c r="N15" s="325"/>
      <c r="O15" s="533">
        <f>'Bill Determ'!H24</f>
        <v>37254</v>
      </c>
      <c r="P15" s="408">
        <f>(H15*1000)/O15</f>
        <v>1065.0846647339883</v>
      </c>
      <c r="Q15" s="460"/>
      <c r="R15" s="533">
        <f>'Pres &amp; Prop Rev'!E23</f>
        <v>60325921.764819965</v>
      </c>
      <c r="S15" s="534">
        <v>0.27588000000000001</v>
      </c>
      <c r="T15" s="469">
        <f t="shared" si="0"/>
        <v>16642.715296478531</v>
      </c>
      <c r="U15" s="460"/>
      <c r="V15" s="323">
        <f t="shared" ref="V15:V20" ca="1" si="4">D15+T15</f>
        <v>36788.195976478535</v>
      </c>
    </row>
    <row r="16" spans="1:22" ht="31.5" customHeight="1">
      <c r="A16" s="316">
        <v>3</v>
      </c>
      <c r="B16" s="326" t="s">
        <v>629</v>
      </c>
      <c r="C16" s="324" t="s">
        <v>603</v>
      </c>
      <c r="D16" s="317">
        <v>0</v>
      </c>
      <c r="E16" s="317">
        <f>'Pres &amp; Prop Rev'!$F$195/1000</f>
        <v>0</v>
      </c>
      <c r="F16" s="317">
        <f ca="1">'Pres &amp; Prop Rev'!$F$192/1000</f>
        <v>0</v>
      </c>
      <c r="G16" s="269">
        <v>0</v>
      </c>
      <c r="H16" s="452">
        <v>0</v>
      </c>
      <c r="I16" s="317">
        <v>0</v>
      </c>
      <c r="J16" s="317">
        <f t="shared" si="2"/>
        <v>0</v>
      </c>
      <c r="K16" s="269">
        <v>0</v>
      </c>
      <c r="L16" s="89"/>
      <c r="M16" s="469"/>
      <c r="N16" s="325"/>
      <c r="O16" s="533">
        <f>'Bill Determ'!H30</f>
        <v>53</v>
      </c>
      <c r="P16" s="408">
        <f>(H16*1000)/O16</f>
        <v>0</v>
      </c>
      <c r="Q16" s="460"/>
      <c r="R16" s="533">
        <f>'Pres &amp; Prop Rev'!F23</f>
        <v>0</v>
      </c>
      <c r="S16" s="534">
        <v>0.27573999999999999</v>
      </c>
      <c r="T16" s="469">
        <f t="shared" si="0"/>
        <v>0</v>
      </c>
      <c r="U16" s="460"/>
      <c r="V16" s="323">
        <f t="shared" si="4"/>
        <v>0</v>
      </c>
    </row>
    <row r="17" spans="1:22" ht="24.95" customHeight="1">
      <c r="A17" s="316">
        <v>4</v>
      </c>
      <c r="B17" s="236" t="s">
        <v>237</v>
      </c>
      <c r="C17" s="316" t="s">
        <v>390</v>
      </c>
      <c r="D17" s="317">
        <f ca="1">'Pres &amp; Prop Rev'!$G$145/1000</f>
        <v>216.98343000000003</v>
      </c>
      <c r="E17" s="317">
        <f ca="1">'Pres &amp; Prop Rev'!$G$195/1000</f>
        <v>0</v>
      </c>
      <c r="F17" s="317">
        <f ca="1">'Pres &amp; Prop Rev'!$G$192/1000</f>
        <v>216.98343000000003</v>
      </c>
      <c r="G17" s="269">
        <f ca="1">E17/D17</f>
        <v>0</v>
      </c>
      <c r="H17" s="452">
        <v>453.79217000000006</v>
      </c>
      <c r="I17" s="317">
        <v>0</v>
      </c>
      <c r="J17" s="317">
        <f t="shared" ca="1" si="2"/>
        <v>0</v>
      </c>
      <c r="K17" s="269">
        <f t="shared" ca="1" si="3"/>
        <v>0</v>
      </c>
      <c r="L17" s="89"/>
      <c r="M17" s="469"/>
      <c r="N17" s="325"/>
      <c r="O17" s="533">
        <f>'Bill Determ'!G37</f>
        <v>24</v>
      </c>
      <c r="P17" s="408">
        <f>(H17*1000)/O17</f>
        <v>18908.007083333334</v>
      </c>
      <c r="Q17" s="460"/>
      <c r="R17" s="533">
        <f>'Pres &amp; Prop Rev'!G23</f>
        <v>993200.28999999806</v>
      </c>
      <c r="S17" s="534">
        <v>0.24138999999999999</v>
      </c>
      <c r="T17" s="469">
        <f t="shared" si="0"/>
        <v>239.74861800309952</v>
      </c>
      <c r="U17" s="460"/>
      <c r="V17" s="323">
        <f t="shared" ca="1" si="4"/>
        <v>456.73204800309952</v>
      </c>
    </row>
    <row r="18" spans="1:22" ht="24.95" customHeight="1">
      <c r="A18" s="316">
        <v>5</v>
      </c>
      <c r="B18" s="236" t="s">
        <v>217</v>
      </c>
      <c r="C18" s="324" t="s">
        <v>250</v>
      </c>
      <c r="D18" s="317">
        <f ca="1">'Pres &amp; Prop Rev'!$H$145/1000</f>
        <v>3580.8606365599999</v>
      </c>
      <c r="E18" s="317">
        <f ca="1">'Pres &amp; Prop Rev'!$H$195/1000</f>
        <v>0</v>
      </c>
      <c r="F18" s="317">
        <f ca="1">'Pres &amp; Prop Rev'!$H$192/1000</f>
        <v>3580.8606365599999</v>
      </c>
      <c r="G18" s="269">
        <f ca="1">E18/D18</f>
        <v>0</v>
      </c>
      <c r="H18" s="452">
        <v>3287.14184656</v>
      </c>
      <c r="I18" s="317">
        <v>0</v>
      </c>
      <c r="J18" s="317">
        <f t="shared" ca="1" si="2"/>
        <v>0</v>
      </c>
      <c r="K18" s="269">
        <f t="shared" ca="1" si="3"/>
        <v>0</v>
      </c>
      <c r="L18" s="89"/>
      <c r="M18" s="407"/>
      <c r="N18" s="325"/>
      <c r="O18" s="533">
        <f>'Bill Determ'!H41</f>
        <v>456</v>
      </c>
      <c r="P18" s="408">
        <f>(H18*1000)/O18</f>
        <v>7208.6444003508768</v>
      </c>
      <c r="Q18" s="460"/>
      <c r="R18" s="533">
        <f>'Pres &amp; Prop Rev'!H23</f>
        <v>37170231.868000001</v>
      </c>
      <c r="S18" s="534">
        <v>0</v>
      </c>
      <c r="T18" s="469">
        <f t="shared" si="0"/>
        <v>0</v>
      </c>
      <c r="U18" s="460"/>
      <c r="V18" s="323">
        <f t="shared" ca="1" si="4"/>
        <v>3580.8606365599999</v>
      </c>
    </row>
    <row r="19" spans="1:22" ht="24.95" customHeight="1">
      <c r="A19" s="316">
        <v>6</v>
      </c>
      <c r="B19" s="236" t="s">
        <v>238</v>
      </c>
      <c r="C19" s="324" t="s">
        <v>260</v>
      </c>
      <c r="D19" s="270">
        <f>SUM('Pres &amp; Prop Rev'!$I$145:$J$145)/1000</f>
        <v>1760.8636899999999</v>
      </c>
      <c r="E19" s="271">
        <f>SUM('Pres &amp; Prop Rev'!$I$195:$J$195)/1000</f>
        <v>0</v>
      </c>
      <c r="F19" s="271">
        <f>SUM('Pres &amp; Prop Rev'!$I$192:$J$192)/1000</f>
        <v>1760.8636899999999</v>
      </c>
      <c r="G19" s="269">
        <f t="shared" si="1"/>
        <v>0</v>
      </c>
      <c r="H19" s="513">
        <v>1760.8636899999999</v>
      </c>
      <c r="I19" s="271">
        <v>0</v>
      </c>
      <c r="J19" s="271">
        <f t="shared" si="2"/>
        <v>0</v>
      </c>
      <c r="K19" s="269">
        <f t="shared" si="3"/>
        <v>0</v>
      </c>
      <c r="L19" s="89"/>
      <c r="M19" s="407"/>
      <c r="N19" s="325"/>
      <c r="O19" s="470"/>
      <c r="P19" s="460"/>
      <c r="Q19" s="460"/>
      <c r="R19" s="533">
        <f>'Pres &amp; Prop Rev'!I23+'Pres &amp; Prop Rev'!J23</f>
        <v>56831031</v>
      </c>
      <c r="S19" s="534">
        <v>0</v>
      </c>
      <c r="T19" s="469">
        <f t="shared" si="0"/>
        <v>0</v>
      </c>
      <c r="U19" s="460"/>
      <c r="V19" s="323">
        <f t="shared" si="4"/>
        <v>1760.8636899999999</v>
      </c>
    </row>
    <row r="20" spans="1:22" ht="24.95" customHeight="1">
      <c r="A20" s="316">
        <v>7</v>
      </c>
      <c r="B20" s="327" t="s">
        <v>59</v>
      </c>
      <c r="D20" s="317">
        <f ca="1">'Pres &amp; Prop Rev'!$C$145/1000</f>
        <v>105172.57886656003</v>
      </c>
      <c r="E20" s="317">
        <f ca="1">'Pres &amp; Prop Rev'!$C$195/1000</f>
        <v>0</v>
      </c>
      <c r="F20" s="317">
        <f ca="1">'Pres &amp; Prop Rev'!$C$192/1000</f>
        <v>105172.57886656003</v>
      </c>
      <c r="G20" s="269">
        <f ca="1">E20/D20</f>
        <v>0</v>
      </c>
      <c r="H20" s="452">
        <f>SUM(H14:H19)+0.4</f>
        <v>164313.32607655998</v>
      </c>
      <c r="I20" s="317">
        <f>SUM(I14:I19)</f>
        <v>0</v>
      </c>
      <c r="J20" s="317">
        <f ca="1">SUM(J14:J19)</f>
        <v>0</v>
      </c>
      <c r="K20" s="269">
        <f t="shared" ca="1" si="3"/>
        <v>0</v>
      </c>
      <c r="L20" s="89"/>
      <c r="M20" s="407"/>
      <c r="N20" s="325"/>
      <c r="O20" s="470"/>
      <c r="P20" s="460"/>
      <c r="Q20" s="460"/>
      <c r="R20" s="533">
        <f>SUM(R14:R19)</f>
        <v>287415988.87534994</v>
      </c>
      <c r="S20" s="535"/>
      <c r="T20" s="536">
        <f>SUM(T14:T19)</f>
        <v>54710.682018367646</v>
      </c>
      <c r="U20" s="460"/>
      <c r="V20" s="323">
        <f t="shared" ca="1" si="4"/>
        <v>159883.26088492767</v>
      </c>
    </row>
    <row r="21" spans="1:22">
      <c r="D21" s="242">
        <f ca="1">ROUND(D20-SUM(D14:D19),0)</f>
        <v>0</v>
      </c>
      <c r="E21" s="242"/>
      <c r="F21" s="328">
        <f ca="1">ROUND(F20-SUM(F14:F19),0)</f>
        <v>0</v>
      </c>
      <c r="G21" s="269"/>
      <c r="I21" s="328"/>
      <c r="J21" s="328">
        <f ca="1">ROUND(J20-SUM(J14:J19),-1)</f>
        <v>0</v>
      </c>
      <c r="K21" s="180">
        <f ca="1">ROUND(K20-SUM(K14:K19),0)</f>
        <v>0</v>
      </c>
      <c r="L21" s="29"/>
      <c r="M21" s="236"/>
      <c r="O21" s="460"/>
      <c r="P21" s="460"/>
      <c r="Q21" s="460"/>
      <c r="R21" s="460"/>
      <c r="S21" s="460"/>
      <c r="T21" s="460"/>
      <c r="U21" s="460"/>
      <c r="V21" s="460"/>
    </row>
    <row r="22" spans="1:22">
      <c r="A22" s="460" t="s">
        <v>699</v>
      </c>
      <c r="D22" s="345"/>
      <c r="E22" s="345"/>
      <c r="F22" s="377"/>
      <c r="G22" s="359"/>
      <c r="L22" s="29"/>
      <c r="M22" s="236"/>
      <c r="O22" s="460"/>
      <c r="P22" s="460"/>
      <c r="Q22" s="460"/>
      <c r="R22" s="460"/>
      <c r="S22" s="460"/>
      <c r="T22" s="460"/>
      <c r="U22" s="460"/>
      <c r="V22" s="460"/>
    </row>
    <row r="23" spans="1:22">
      <c r="A23" s="463" t="s">
        <v>496</v>
      </c>
      <c r="D23" s="345"/>
      <c r="E23" s="345"/>
      <c r="L23" s="29"/>
      <c r="M23" s="236"/>
      <c r="O23" s="460"/>
      <c r="P23" s="460"/>
      <c r="Q23" s="460"/>
      <c r="R23" s="460"/>
      <c r="S23" s="460"/>
      <c r="T23" s="460"/>
      <c r="U23" s="460"/>
      <c r="V23" s="460"/>
    </row>
    <row r="24" spans="1:22">
      <c r="D24" s="345"/>
      <c r="E24" s="345"/>
      <c r="L24" s="29"/>
      <c r="M24" s="236"/>
      <c r="O24" s="460"/>
      <c r="P24" s="460"/>
      <c r="Q24" s="460"/>
      <c r="R24" s="460"/>
      <c r="S24" s="460"/>
      <c r="T24" s="460"/>
      <c r="U24" s="460"/>
      <c r="V24" s="460"/>
    </row>
    <row r="25" spans="1:22">
      <c r="A25" s="549"/>
      <c r="B25" s="549"/>
      <c r="C25" s="549"/>
      <c r="D25" s="549"/>
      <c r="E25" s="549"/>
      <c r="F25" s="549"/>
      <c r="G25" s="549"/>
      <c r="H25" s="549"/>
      <c r="L25" s="29"/>
      <c r="M25" s="236"/>
      <c r="O25" s="460"/>
      <c r="P25" s="460"/>
      <c r="Q25" s="460"/>
      <c r="R25" s="460"/>
      <c r="S25" s="460"/>
      <c r="T25" s="460"/>
      <c r="U25" s="460"/>
      <c r="V25" s="460"/>
    </row>
    <row r="26" spans="1:22">
      <c r="A26" s="549"/>
      <c r="B26" s="549"/>
      <c r="C26" s="549"/>
      <c r="D26" s="549"/>
      <c r="E26" s="549"/>
      <c r="F26" s="549"/>
      <c r="G26" s="549"/>
      <c r="H26" s="549"/>
      <c r="L26" s="29"/>
      <c r="M26" s="236"/>
      <c r="O26" s="460"/>
      <c r="P26" s="460"/>
      <c r="Q26" s="460"/>
      <c r="R26" s="460"/>
      <c r="S26" s="460"/>
      <c r="T26" s="460"/>
      <c r="U26" s="460"/>
      <c r="V26" s="460"/>
    </row>
    <row r="27" spans="1:22">
      <c r="D27" s="345"/>
      <c r="L27" s="29"/>
      <c r="M27" s="236"/>
    </row>
    <row r="28" spans="1:22">
      <c r="D28" s="323">
        <f t="array" aca="1" ref="D28" ca="1">SUM(ROUND(D14:D19,0))</f>
        <v>105172</v>
      </c>
      <c r="E28" s="323">
        <f t="array" aca="1" ref="E28" ca="1">SUM(ROUND(E14:E19,0))</f>
        <v>0</v>
      </c>
      <c r="F28" s="323">
        <f t="array" aca="1" ref="F28" ca="1">SUM(ROUND(F14:F19,0))</f>
        <v>105172</v>
      </c>
      <c r="H28" s="329">
        <f t="array" ref="H28">SUM(ROUND(H14:H19,0))</f>
        <v>164313</v>
      </c>
      <c r="K28" s="323">
        <f t="array" aca="1" ref="K28" ca="1">SUM(ROUND(K14:K19,0))</f>
        <v>0</v>
      </c>
      <c r="L28" s="29"/>
      <c r="M28" s="236"/>
    </row>
    <row r="29" spans="1:22">
      <c r="D29" s="329">
        <f ca="1">ROUND(D20,0)-D28</f>
        <v>1</v>
      </c>
      <c r="E29" s="329">
        <f ca="1">ROUND(E20,0)-E28</f>
        <v>0</v>
      </c>
      <c r="F29" s="329">
        <f ca="1">ROUND(F20,0)-F28</f>
        <v>1</v>
      </c>
      <c r="H29" s="329">
        <f>ROUND(H20,0)-H28</f>
        <v>0</v>
      </c>
      <c r="K29" s="329">
        <f ca="1">ROUND(K20,0)-K28</f>
        <v>0</v>
      </c>
      <c r="L29" s="29"/>
      <c r="M29" s="236"/>
    </row>
    <row r="30" spans="1:22">
      <c r="D30" s="345"/>
      <c r="L30" s="29"/>
      <c r="M30" s="236"/>
    </row>
    <row r="31" spans="1:22" s="460" customFormat="1">
      <c r="A31" s="462"/>
      <c r="C31" s="462"/>
      <c r="D31" s="345"/>
      <c r="E31" s="323"/>
      <c r="F31" s="323"/>
      <c r="G31" s="161"/>
      <c r="J31" s="460" t="s">
        <v>515</v>
      </c>
      <c r="K31" s="460" t="s">
        <v>516</v>
      </c>
      <c r="L31" s="29"/>
    </row>
    <row r="32" spans="1:22" s="460" customFormat="1">
      <c r="A32" s="462"/>
      <c r="C32" s="462"/>
      <c r="D32" s="345"/>
      <c r="E32" s="323"/>
      <c r="F32" s="323"/>
      <c r="G32" s="290" t="s">
        <v>380</v>
      </c>
      <c r="H32" s="460" t="s">
        <v>381</v>
      </c>
      <c r="J32" s="460" t="s">
        <v>382</v>
      </c>
      <c r="K32" s="460" t="s">
        <v>382</v>
      </c>
      <c r="L32" s="460" t="s">
        <v>383</v>
      </c>
      <c r="M32" s="29"/>
    </row>
    <row r="33" spans="1:13" s="460" customFormat="1">
      <c r="A33" s="462"/>
      <c r="C33" s="462"/>
      <c r="D33" s="345"/>
      <c r="E33" s="323"/>
      <c r="F33" s="323"/>
      <c r="G33" s="289">
        <v>112</v>
      </c>
      <c r="H33" s="325">
        <f>'12MEDEC19'!P93</f>
        <v>149421.32</v>
      </c>
      <c r="J33" s="243">
        <v>1.085E-2</v>
      </c>
      <c r="K33" s="243">
        <v>0</v>
      </c>
      <c r="L33" s="469">
        <f>(H33*(K33-J33)/1000)</f>
        <v>-1.621221322</v>
      </c>
      <c r="M33" s="29"/>
    </row>
    <row r="34" spans="1:13" s="460" customFormat="1">
      <c r="A34" s="462"/>
      <c r="C34" s="462"/>
      <c r="D34" s="345"/>
      <c r="E34" s="323"/>
      <c r="F34" s="323"/>
      <c r="G34" s="289">
        <v>116</v>
      </c>
      <c r="H34" s="325">
        <v>0</v>
      </c>
      <c r="J34" s="243">
        <v>1.085E-2</v>
      </c>
      <c r="K34" s="243">
        <v>0</v>
      </c>
      <c r="L34" s="469">
        <f>(H34*(K34-J34)/1000)</f>
        <v>0</v>
      </c>
      <c r="M34" s="29" t="s">
        <v>607</v>
      </c>
    </row>
    <row r="35" spans="1:13" s="460" customFormat="1">
      <c r="A35" s="462"/>
      <c r="C35" s="462"/>
      <c r="D35" s="345"/>
      <c r="E35" s="323"/>
      <c r="F35" s="323"/>
      <c r="G35" s="289">
        <v>122</v>
      </c>
      <c r="H35" s="325">
        <v>0</v>
      </c>
      <c r="J35" s="243">
        <v>0</v>
      </c>
      <c r="K35" s="243">
        <v>0</v>
      </c>
      <c r="L35" s="469">
        <f>(H35*(K35-J35)/1000)</f>
        <v>0</v>
      </c>
      <c r="M35" s="29"/>
    </row>
    <row r="36" spans="1:13" s="460" customFormat="1">
      <c r="A36" s="462"/>
      <c r="C36" s="462"/>
      <c r="D36" s="345"/>
      <c r="E36" s="323"/>
      <c r="F36" s="323"/>
      <c r="G36" s="289">
        <v>126</v>
      </c>
      <c r="H36" s="325">
        <v>0</v>
      </c>
      <c r="J36" s="243">
        <v>0</v>
      </c>
      <c r="K36" s="243">
        <v>0</v>
      </c>
      <c r="L36" s="469">
        <f>(H36*(K36-J36)/1000)</f>
        <v>0</v>
      </c>
      <c r="M36" s="29" t="s">
        <v>608</v>
      </c>
    </row>
    <row r="37" spans="1:13">
      <c r="D37" s="345"/>
      <c r="E37" s="345"/>
      <c r="J37" s="460" t="s">
        <v>515</v>
      </c>
      <c r="K37" s="460" t="s">
        <v>516</v>
      </c>
      <c r="L37" s="29"/>
      <c r="M37" s="236"/>
    </row>
    <row r="38" spans="1:13">
      <c r="D38" s="345"/>
      <c r="E38" s="345"/>
      <c r="G38" s="290" t="s">
        <v>380</v>
      </c>
      <c r="H38" s="236" t="s">
        <v>381</v>
      </c>
      <c r="J38" s="236" t="s">
        <v>606</v>
      </c>
      <c r="K38" s="236" t="s">
        <v>606</v>
      </c>
      <c r="L38" s="236" t="s">
        <v>383</v>
      </c>
    </row>
    <row r="39" spans="1:13">
      <c r="D39" s="345"/>
      <c r="G39" s="289">
        <v>112</v>
      </c>
      <c r="H39" s="325">
        <f>'12MEDEC19'!P93</f>
        <v>149421.32</v>
      </c>
      <c r="J39" s="243">
        <v>0</v>
      </c>
      <c r="K39" s="243">
        <v>0</v>
      </c>
      <c r="L39" s="407">
        <f>(H39*(K39-J39)/1000)</f>
        <v>0</v>
      </c>
    </row>
    <row r="40" spans="1:13">
      <c r="D40" s="345"/>
      <c r="E40" s="345"/>
      <c r="G40" s="289">
        <v>122</v>
      </c>
      <c r="H40" s="325">
        <f>'12MEDEC19'!P121</f>
        <v>1207302.7550000001</v>
      </c>
      <c r="J40" s="243">
        <v>0</v>
      </c>
      <c r="K40" s="243">
        <v>0</v>
      </c>
      <c r="L40" s="330">
        <f>(H40*(K40-J40)/1000)</f>
        <v>0</v>
      </c>
    </row>
    <row r="41" spans="1:13">
      <c r="D41" s="345"/>
      <c r="E41" s="345"/>
      <c r="G41" s="289"/>
      <c r="H41" s="325"/>
      <c r="L41" s="330"/>
    </row>
    <row r="42" spans="1:13">
      <c r="D42" s="345"/>
      <c r="E42" s="345"/>
    </row>
    <row r="43" spans="1:13">
      <c r="D43" s="345"/>
      <c r="E43" s="345"/>
      <c r="G43" s="290" t="s">
        <v>380</v>
      </c>
      <c r="H43" s="460" t="s">
        <v>381</v>
      </c>
      <c r="I43" s="460"/>
      <c r="J43" s="460" t="s">
        <v>574</v>
      </c>
      <c r="K43" s="460" t="s">
        <v>382</v>
      </c>
      <c r="L43" s="460" t="s">
        <v>383</v>
      </c>
    </row>
    <row r="44" spans="1:13">
      <c r="D44" s="345"/>
      <c r="E44" s="345"/>
      <c r="G44" s="289">
        <v>102</v>
      </c>
      <c r="H44" s="325">
        <f>'12MEDEC19'!P69</f>
        <v>135024.00680999996</v>
      </c>
      <c r="I44" s="460"/>
      <c r="J44" s="460">
        <v>-0.48469000000000001</v>
      </c>
      <c r="K44" s="460"/>
      <c r="L44" s="469">
        <f>((H44*J44)/1000)</f>
        <v>-65.444785860738889</v>
      </c>
    </row>
    <row r="45" spans="1:13">
      <c r="D45" s="345"/>
    </row>
    <row r="46" spans="1:13">
      <c r="D46" s="345"/>
    </row>
    <row r="47" spans="1:13">
      <c r="D47" s="345"/>
    </row>
    <row r="48" spans="1:13">
      <c r="D48" s="345"/>
      <c r="E48" s="345"/>
    </row>
    <row r="49" spans="4:5">
      <c r="D49" s="345"/>
      <c r="E49" s="345"/>
    </row>
    <row r="50" spans="4:5">
      <c r="D50" s="345"/>
      <c r="E50" s="345"/>
    </row>
    <row r="51" spans="4:5">
      <c r="D51" s="345"/>
      <c r="E51" s="345"/>
    </row>
    <row r="52" spans="4:5">
      <c r="D52" s="345"/>
      <c r="E52" s="345"/>
    </row>
    <row r="53" spans="4:5">
      <c r="D53" s="345"/>
      <c r="E53" s="345"/>
    </row>
    <row r="54" spans="4:5">
      <c r="D54" s="345"/>
      <c r="E54" s="345"/>
    </row>
    <row r="55" spans="4:5">
      <c r="D55" s="345"/>
      <c r="E55" s="345"/>
    </row>
    <row r="56" spans="4:5">
      <c r="D56" s="345"/>
      <c r="E56" s="345"/>
    </row>
    <row r="57" spans="4:5">
      <c r="D57" s="345"/>
      <c r="E57" s="345"/>
    </row>
  </sheetData>
  <mergeCells count="2">
    <mergeCell ref="N1:O3"/>
    <mergeCell ref="A25:H26"/>
  </mergeCells>
  <phoneticPr fontId="0" type="noConversion"/>
  <conditionalFormatting sqref="D21:F21 J21:K21">
    <cfRule type="expression" dxfId="10" priority="1" stopIfTrue="1">
      <formula>ABS(D21)&gt;0.1</formula>
    </cfRule>
  </conditionalFormatting>
  <conditionalFormatting sqref="G29 I29:J29">
    <cfRule type="cellIs" dxfId="9" priority="2" stopIfTrue="1" operator="notEqual">
      <formula>0</formula>
    </cfRule>
  </conditionalFormatting>
  <conditionalFormatting sqref="K29 H29 D29:F29">
    <cfRule type="expression" dxfId="8" priority="3" stopIfTrue="1">
      <formula>ABS(D29)&gt;2</formula>
    </cfRule>
  </conditionalFormatting>
  <pageMargins left="0.5" right="0.5" top="1" bottom="1" header="0.5" footer="0.5"/>
  <pageSetup scale="97" orientation="landscape" r:id="rId1"/>
  <headerFooter alignWithMargins="0">
    <oddHeader>&amp;RExh. JDM-7</oddHeader>
    <oddFooter>&amp;RPage 1 of 5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4">
    <tabColor rgb="FF92D050"/>
    <pageSetUpPr fitToPage="1"/>
  </sheetPr>
  <dimension ref="A1:L52"/>
  <sheetViews>
    <sheetView showGridLines="0" view="pageBreakPreview" zoomScaleNormal="100" zoomScaleSheetLayoutView="100" workbookViewId="0">
      <selection activeCell="A5" sqref="A5"/>
    </sheetView>
  </sheetViews>
  <sheetFormatPr defaultColWidth="11.42578125" defaultRowHeight="12.75"/>
  <cols>
    <col min="1" max="1" width="5.7109375" style="236" customWidth="1"/>
    <col min="2" max="2" width="21.42578125" style="236" customWidth="1"/>
    <col min="3" max="3" width="7.7109375" style="316" customWidth="1"/>
    <col min="4" max="4" width="9.7109375" style="236" customWidth="1"/>
    <col min="5" max="5" width="8.7109375" style="236" customWidth="1"/>
    <col min="6" max="6" width="1.7109375" style="236" customWidth="1"/>
    <col min="7" max="7" width="8.85546875" style="316" customWidth="1"/>
    <col min="8" max="8" width="1.7109375" style="316" customWidth="1"/>
    <col min="9" max="9" width="9.7109375" style="236" customWidth="1"/>
    <col min="10" max="10" width="9" style="236" customWidth="1"/>
    <col min="11" max="16384" width="11.42578125" style="236"/>
  </cols>
  <sheetData>
    <row r="1" spans="1:12">
      <c r="A1" s="37" t="s">
        <v>103</v>
      </c>
      <c r="B1" s="162"/>
      <c r="C1" s="314"/>
      <c r="D1" s="314"/>
      <c r="E1" s="314"/>
      <c r="F1" s="314"/>
      <c r="G1" s="314"/>
      <c r="H1" s="314"/>
      <c r="I1" s="314"/>
      <c r="J1" s="314"/>
      <c r="L1" s="236" t="s">
        <v>239</v>
      </c>
    </row>
    <row r="2" spans="1:12">
      <c r="A2" s="37" t="s">
        <v>368</v>
      </c>
      <c r="B2" s="162"/>
      <c r="C2" s="314"/>
      <c r="D2" s="314"/>
      <c r="E2" s="314"/>
      <c r="F2" s="314"/>
      <c r="G2" s="314"/>
      <c r="H2" s="314"/>
      <c r="I2" s="314"/>
      <c r="J2" s="314"/>
    </row>
    <row r="3" spans="1:12">
      <c r="A3" s="37" t="s">
        <v>282</v>
      </c>
      <c r="B3" s="162"/>
      <c r="C3" s="314"/>
      <c r="D3" s="314"/>
      <c r="E3" s="314"/>
      <c r="F3" s="314"/>
      <c r="G3" s="314"/>
      <c r="H3" s="314"/>
      <c r="I3" s="314"/>
      <c r="J3" s="314"/>
    </row>
    <row r="4" spans="1:12">
      <c r="A4" s="37" t="s">
        <v>650</v>
      </c>
      <c r="B4" s="162"/>
      <c r="C4" s="314"/>
      <c r="D4" s="314"/>
      <c r="E4" s="314"/>
      <c r="F4" s="314"/>
      <c r="G4" s="314"/>
      <c r="H4" s="314"/>
      <c r="I4" s="314"/>
      <c r="J4" s="314"/>
    </row>
    <row r="6" spans="1:12" s="316" customFormat="1">
      <c r="C6" s="236"/>
      <c r="G6" s="236"/>
      <c r="H6" s="236"/>
      <c r="I6" s="236"/>
      <c r="J6" s="236"/>
    </row>
    <row r="7" spans="1:12" s="316" customFormat="1">
      <c r="C7" s="236"/>
      <c r="G7" s="236"/>
      <c r="H7" s="236"/>
      <c r="I7" s="236"/>
      <c r="J7" s="236"/>
    </row>
    <row r="8" spans="1:12" s="316" customFormat="1">
      <c r="C8" s="318"/>
      <c r="G8" s="318"/>
      <c r="H8" s="318"/>
      <c r="I8" s="236"/>
      <c r="J8" s="236"/>
    </row>
    <row r="9" spans="1:12" s="316" customFormat="1">
      <c r="C9" s="163"/>
      <c r="D9" s="86" t="s">
        <v>240</v>
      </c>
      <c r="E9" s="314"/>
      <c r="F9" s="314"/>
      <c r="G9" s="318" t="s">
        <v>241</v>
      </c>
      <c r="H9" s="318"/>
      <c r="I9" s="86" t="s">
        <v>262</v>
      </c>
      <c r="J9" s="314"/>
    </row>
    <row r="10" spans="1:12" s="316" customFormat="1">
      <c r="C10" s="163"/>
      <c r="D10" s="316" t="s">
        <v>220</v>
      </c>
      <c r="E10" s="30" t="s">
        <v>220</v>
      </c>
      <c r="F10" s="30"/>
      <c r="G10" s="318" t="s">
        <v>242</v>
      </c>
      <c r="H10" s="318"/>
      <c r="I10" s="316" t="s">
        <v>232</v>
      </c>
      <c r="J10" s="30" t="s">
        <v>232</v>
      </c>
      <c r="K10" s="462" t="s">
        <v>493</v>
      </c>
    </row>
    <row r="11" spans="1:12" s="316" customFormat="1">
      <c r="A11" s="316" t="s">
        <v>202</v>
      </c>
      <c r="B11" s="316" t="s">
        <v>231</v>
      </c>
      <c r="C11" s="316" t="s">
        <v>203</v>
      </c>
      <c r="D11" s="316" t="s">
        <v>205</v>
      </c>
      <c r="E11" s="30" t="s">
        <v>243</v>
      </c>
      <c r="F11" s="30"/>
      <c r="G11" s="316" t="s">
        <v>222</v>
      </c>
      <c r="I11" s="316" t="s">
        <v>205</v>
      </c>
      <c r="J11" s="30" t="s">
        <v>204</v>
      </c>
      <c r="K11" s="462" t="s">
        <v>494</v>
      </c>
    </row>
    <row r="12" spans="1:12" s="318" customFormat="1">
      <c r="A12" s="312" t="s">
        <v>206</v>
      </c>
      <c r="B12" s="312" t="s">
        <v>234</v>
      </c>
      <c r="C12" s="312" t="s">
        <v>235</v>
      </c>
      <c r="D12" s="42" t="s">
        <v>208</v>
      </c>
      <c r="E12" s="39" t="s">
        <v>244</v>
      </c>
      <c r="F12" s="39"/>
      <c r="G12" s="312" t="s">
        <v>226</v>
      </c>
      <c r="H12" s="312"/>
      <c r="I12" s="42" t="s">
        <v>208</v>
      </c>
      <c r="J12" s="39" t="s">
        <v>244</v>
      </c>
      <c r="K12" s="457" t="s">
        <v>495</v>
      </c>
    </row>
    <row r="13" spans="1:12" s="318" customFormat="1">
      <c r="B13" s="318" t="s">
        <v>209</v>
      </c>
      <c r="C13" s="318" t="s">
        <v>210</v>
      </c>
      <c r="D13" s="316" t="s">
        <v>211</v>
      </c>
      <c r="E13" s="30" t="s">
        <v>212</v>
      </c>
      <c r="F13" s="30"/>
      <c r="G13" s="318" t="s">
        <v>213</v>
      </c>
      <c r="I13" s="316" t="s">
        <v>214</v>
      </c>
      <c r="J13" s="30" t="s">
        <v>227</v>
      </c>
    </row>
    <row r="14" spans="1:12" s="318" customFormat="1" ht="6" customHeight="1">
      <c r="D14" s="343"/>
      <c r="E14" s="344"/>
      <c r="F14" s="30"/>
      <c r="I14" s="316"/>
      <c r="J14" s="30"/>
    </row>
    <row r="15" spans="1:12" ht="24.95" customHeight="1">
      <c r="A15" s="316">
        <v>1</v>
      </c>
      <c r="B15" s="236" t="s">
        <v>215</v>
      </c>
      <c r="C15" s="324" t="s">
        <v>246</v>
      </c>
      <c r="D15" s="340">
        <f>INDEX(ROR!$C$20:$H$20,$A15+1)</f>
        <v>3.4453770409079904E-2</v>
      </c>
      <c r="E15" s="164">
        <f>INDEX(ROR!$C$21:$H$21,$A15+1)</f>
        <v>0.6793547979312573</v>
      </c>
      <c r="F15" s="164"/>
      <c r="G15" s="340">
        <f>INDEX(ROR!$C$47:$H$47,$A15+1)</f>
        <v>2.7956893976382124E-2</v>
      </c>
      <c r="H15" s="341"/>
      <c r="I15" s="340">
        <f>INDEX(ROR!$C$38:$H$38,$A15+1)</f>
        <v>3.9437055719028669E-2</v>
      </c>
      <c r="J15" s="164">
        <f>INDEX(ROR!$C$37:$H$37,$A15+1)</f>
        <v>0.77761454554604537</v>
      </c>
      <c r="K15" s="470">
        <f>(J15-E15)/(1-E15)</f>
        <v>0.30644384191883928</v>
      </c>
    </row>
    <row r="16" spans="1:12" ht="24.95" customHeight="1">
      <c r="A16" s="316">
        <v>2</v>
      </c>
      <c r="B16" s="236" t="s">
        <v>216</v>
      </c>
      <c r="C16" s="324" t="s">
        <v>247</v>
      </c>
      <c r="D16" s="340">
        <f>INDEX(ROR!$C$20:$H$20,$A16+1)</f>
        <v>0.1359195924644406</v>
      </c>
      <c r="E16" s="164">
        <f>INDEX(ROR!$C$21:$H$21,$A16+1)</f>
        <v>2.6800441918903699</v>
      </c>
      <c r="F16" s="164"/>
      <c r="G16" s="340">
        <f>INDEX(ROR!$C$47:$H$47,$A16+1)</f>
        <v>-0.10542547869421026</v>
      </c>
      <c r="H16" s="341"/>
      <c r="I16" s="340">
        <f>INDEX(ROR!$C$38:$H$38,$A16+1)</f>
        <v>0.11096845781692492</v>
      </c>
      <c r="J16" s="164">
        <f>INDEX(ROR!$C$37:$H$37,$A16+1)</f>
        <v>2.1880610842258617</v>
      </c>
      <c r="K16" s="470">
        <f t="shared" ref="K16:K19" si="0">(J16-E16)/(1-E16)</f>
        <v>0.29283938484435551</v>
      </c>
    </row>
    <row r="17" spans="1:11" ht="38.1" customHeight="1">
      <c r="A17" s="316">
        <v>3</v>
      </c>
      <c r="B17" s="326" t="s">
        <v>245</v>
      </c>
      <c r="C17" s="324" t="s">
        <v>248</v>
      </c>
      <c r="D17" s="340"/>
      <c r="E17" s="164"/>
      <c r="F17" s="164"/>
      <c r="G17" s="340"/>
      <c r="H17" s="341"/>
      <c r="I17" s="340"/>
      <c r="J17" s="164"/>
      <c r="K17" s="470">
        <f t="shared" si="0"/>
        <v>0</v>
      </c>
    </row>
    <row r="18" spans="1:11" ht="24.95" customHeight="1">
      <c r="A18" s="316">
        <v>4</v>
      </c>
      <c r="B18" s="236" t="s">
        <v>237</v>
      </c>
      <c r="C18" s="324" t="s">
        <v>249</v>
      </c>
      <c r="D18" s="340">
        <f>INDEX(ROR!$C$20:$H$20,$A18+1)</f>
        <v>0.11093620147914345</v>
      </c>
      <c r="E18" s="164">
        <f>INDEX(ROR!$C$21:$H$21,$A18+1)</f>
        <v>2.1874250581080998</v>
      </c>
      <c r="F18" s="164"/>
      <c r="G18" s="340">
        <f>INDEX(ROR!$C$47:$H$47,$A18+1)</f>
        <v>-8.9622281389629355E-2</v>
      </c>
      <c r="H18" s="341"/>
      <c r="I18" s="340">
        <f>INDEX(ROR!$C$38:$H$38,$A18+1)</f>
        <v>9.2086872034273431E-2</v>
      </c>
      <c r="J18" s="164">
        <f>INDEX(ROR!$C$37:$H$37,$A18+1)</f>
        <v>1.8157565224408205</v>
      </c>
      <c r="K18" s="470">
        <f t="shared" si="0"/>
        <v>0.31300378337934959</v>
      </c>
    </row>
    <row r="19" spans="1:11" ht="24.95" customHeight="1">
      <c r="A19" s="316">
        <v>5</v>
      </c>
      <c r="B19" s="236" t="s">
        <v>217</v>
      </c>
      <c r="C19" s="324" t="s">
        <v>250</v>
      </c>
      <c r="D19" s="340">
        <f>INDEX(ROR!$C$20:$H$20,$A19+1)</f>
        <v>5.8051904047611361E-2</v>
      </c>
      <c r="E19" s="164">
        <f>INDEX(ROR!$C$21:$H$21,$A19+1)</f>
        <v>1.1446596141883025</v>
      </c>
      <c r="F19" s="164"/>
      <c r="G19" s="340">
        <f>INDEX(ROR!$C$47:$H$47,$A19+1)</f>
        <v>-4.1506413803062414E-2</v>
      </c>
      <c r="H19" s="341"/>
      <c r="I19" s="340">
        <f>INDEX(ROR!$C$38:$H$38,$A19+1)</f>
        <v>5.194546300846873E-2</v>
      </c>
      <c r="J19" s="164">
        <f>INDEX(ROR!$C$37:$H$37,$A19+1)</f>
        <v>1.0242536333922907</v>
      </c>
      <c r="K19" s="470">
        <f t="shared" si="0"/>
        <v>0.83233998287372801</v>
      </c>
    </row>
    <row r="20" spans="1:11" ht="24.95" customHeight="1">
      <c r="A20" s="316">
        <v>6</v>
      </c>
      <c r="B20" s="327" t="s">
        <v>59</v>
      </c>
      <c r="D20" s="340">
        <f>INDEX(ROR!$C$20:$H$20,1)</f>
        <v>5.0715429572289882E-2</v>
      </c>
      <c r="E20" s="164">
        <f>INDEX(ROR!$C$21:$H$21,1)</f>
        <v>1</v>
      </c>
      <c r="F20" s="164"/>
      <c r="G20" s="340">
        <f>INDEX(ROR!$C$47:$H$47,1)</f>
        <v>0</v>
      </c>
      <c r="H20" s="341"/>
      <c r="I20" s="340">
        <f>INDEX(ROR!$C$38:$H$38,1)</f>
        <v>5.0715429572289882E-2</v>
      </c>
      <c r="J20" s="164">
        <f>INDEX(ROR!$C$37:$H$37,1)</f>
        <v>1</v>
      </c>
      <c r="K20" s="470"/>
    </row>
    <row r="21" spans="1:11">
      <c r="D21" s="342"/>
      <c r="E21" s="342"/>
    </row>
    <row r="22" spans="1:11">
      <c r="D22" s="342"/>
      <c r="E22" s="342"/>
      <c r="G22" s="236"/>
      <c r="H22" s="236"/>
    </row>
    <row r="23" spans="1:11">
      <c r="D23" s="342"/>
      <c r="E23" s="342"/>
    </row>
    <row r="24" spans="1:11">
      <c r="D24" s="342"/>
      <c r="E24" s="342"/>
    </row>
    <row r="25" spans="1:11">
      <c r="D25" s="342"/>
      <c r="E25" s="342"/>
    </row>
    <row r="26" spans="1:11">
      <c r="D26" s="342"/>
      <c r="E26" s="342"/>
    </row>
    <row r="27" spans="1:11">
      <c r="D27" s="342"/>
      <c r="E27" s="342"/>
    </row>
    <row r="28" spans="1:11">
      <c r="D28" s="342"/>
    </row>
    <row r="29" spans="1:11">
      <c r="D29" s="342"/>
    </row>
    <row r="30" spans="1:11">
      <c r="D30" s="342"/>
    </row>
    <row r="31" spans="1:11">
      <c r="D31" s="342"/>
    </row>
    <row r="32" spans="1:11">
      <c r="D32" s="342"/>
      <c r="E32" s="342"/>
    </row>
    <row r="33" spans="4:5">
      <c r="D33" s="342"/>
      <c r="E33" s="342"/>
    </row>
    <row r="34" spans="4:5">
      <c r="D34" s="342"/>
    </row>
    <row r="35" spans="4:5">
      <c r="D35" s="342"/>
      <c r="E35" s="342"/>
    </row>
    <row r="36" spans="4:5">
      <c r="D36" s="342"/>
      <c r="E36" s="342"/>
    </row>
    <row r="37" spans="4:5">
      <c r="D37" s="342"/>
      <c r="E37" s="342"/>
    </row>
    <row r="38" spans="4:5">
      <c r="D38" s="342"/>
      <c r="E38" s="342"/>
    </row>
    <row r="39" spans="4:5">
      <c r="D39" s="342"/>
      <c r="E39" s="342"/>
    </row>
    <row r="40" spans="4:5">
      <c r="D40" s="342"/>
    </row>
    <row r="41" spans="4:5">
      <c r="D41" s="342"/>
    </row>
    <row r="42" spans="4:5">
      <c r="D42" s="342"/>
    </row>
    <row r="43" spans="4:5">
      <c r="D43" s="342"/>
      <c r="E43" s="342"/>
    </row>
    <row r="44" spans="4:5">
      <c r="D44" s="342"/>
      <c r="E44" s="342"/>
    </row>
    <row r="45" spans="4:5">
      <c r="D45" s="342"/>
      <c r="E45" s="342"/>
    </row>
    <row r="46" spans="4:5">
      <c r="D46" s="342"/>
      <c r="E46" s="342"/>
    </row>
    <row r="47" spans="4:5">
      <c r="D47" s="342"/>
      <c r="E47" s="342"/>
    </row>
    <row r="48" spans="4:5">
      <c r="D48" s="342"/>
      <c r="E48" s="342"/>
    </row>
    <row r="49" spans="4:5">
      <c r="D49" s="342"/>
      <c r="E49" s="342"/>
    </row>
    <row r="50" spans="4:5">
      <c r="D50" s="342"/>
      <c r="E50" s="342"/>
    </row>
    <row r="51" spans="4:5">
      <c r="D51" s="342"/>
      <c r="E51" s="342"/>
    </row>
    <row r="52" spans="4:5">
      <c r="D52" s="342"/>
      <c r="E52" s="342"/>
    </row>
  </sheetData>
  <phoneticPr fontId="0" type="noConversion"/>
  <pageMargins left="0.86" right="0.84" top="0.75" bottom="0.75" header="0.5" footer="0.5"/>
  <pageSetup orientation="portrait" r:id="rId1"/>
  <headerFooter alignWithMargins="0">
    <oddHeader xml:space="preserve">&amp;RExh. JDM-7&amp;"Arial,Bold Italic"&amp;12
</oddHeader>
    <oddFooter>&amp;RPage 2 of 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rgb="FF92D050"/>
    <pageSetUpPr fitToPage="1"/>
  </sheetPr>
  <dimension ref="A1:AC65"/>
  <sheetViews>
    <sheetView showGridLines="0" view="pageBreakPreview" zoomScaleNormal="85" zoomScaleSheetLayoutView="100" workbookViewId="0">
      <pane xSplit="3" ySplit="11" topLeftCell="D12" activePane="bottomRight" state="frozen"/>
      <selection activeCell="E18" sqref="E18"/>
      <selection pane="topRight" activeCell="E18" sqref="E18"/>
      <selection pane="bottomLeft" activeCell="E18" sqref="E18"/>
      <selection pane="bottomRight" activeCell="E39" sqref="E39"/>
    </sheetView>
  </sheetViews>
  <sheetFormatPr defaultRowHeight="12.75"/>
  <cols>
    <col min="1" max="1" width="13.85546875" style="236" customWidth="1"/>
    <col min="2" max="2" width="9.140625" style="236"/>
    <col min="3" max="3" width="11.140625" style="236" customWidth="1"/>
    <col min="4" max="4" width="13.28515625" style="236" bestFit="1" customWidth="1"/>
    <col min="5" max="5" width="12.140625" style="236" bestFit="1" customWidth="1"/>
    <col min="6" max="6" width="13.28515625" style="236" bestFit="1" customWidth="1"/>
    <col min="7" max="8" width="11.7109375" style="29" customWidth="1"/>
    <col min="9" max="9" width="13.42578125" style="29" bestFit="1" customWidth="1"/>
    <col min="10" max="10" width="9.42578125" style="236" bestFit="1" customWidth="1"/>
    <col min="11" max="12" width="9.42578125" style="236" customWidth="1"/>
    <col min="13" max="13" width="13.7109375" style="236" bestFit="1" customWidth="1"/>
    <col min="14" max="14" width="10.5703125" style="236" customWidth="1"/>
    <col min="15" max="15" width="9.42578125" style="236" customWidth="1"/>
    <col min="16" max="17" width="9.140625" style="236"/>
    <col min="18" max="19" width="9.42578125" style="236" bestFit="1" customWidth="1"/>
    <col min="20" max="20" width="9.140625" style="236"/>
    <col min="21" max="21" width="36.5703125" style="236" bestFit="1" customWidth="1"/>
    <col min="22" max="23" width="10" style="236" bestFit="1" customWidth="1"/>
    <col min="24" max="25" width="10" style="460" customWidth="1"/>
    <col min="26" max="26" width="9.42578125" style="236" bestFit="1" customWidth="1"/>
    <col min="27" max="27" width="9.140625" style="236"/>
    <col min="28" max="28" width="9.42578125" style="236" bestFit="1" customWidth="1"/>
    <col min="29" max="16384" width="9.140625" style="236"/>
  </cols>
  <sheetData>
    <row r="1" spans="1:29">
      <c r="A1" s="37" t="s">
        <v>103</v>
      </c>
      <c r="B1" s="314"/>
      <c r="C1" s="314"/>
      <c r="D1" s="314"/>
      <c r="E1" s="314"/>
      <c r="F1" s="314"/>
      <c r="G1" s="37"/>
      <c r="H1" s="37"/>
      <c r="I1" s="37"/>
      <c r="P1" s="236" t="s">
        <v>218</v>
      </c>
    </row>
    <row r="2" spans="1:29">
      <c r="A2" s="37" t="s">
        <v>368</v>
      </c>
      <c r="B2" s="314"/>
      <c r="C2" s="314"/>
      <c r="D2" s="314"/>
      <c r="E2" s="314"/>
      <c r="F2" s="314"/>
      <c r="G2" s="37"/>
      <c r="H2" s="37"/>
      <c r="I2" s="37"/>
    </row>
    <row r="3" spans="1:29">
      <c r="A3" s="37" t="s">
        <v>219</v>
      </c>
      <c r="B3" s="314"/>
      <c r="C3" s="314"/>
      <c r="D3" s="314"/>
      <c r="E3" s="314"/>
      <c r="F3" s="314"/>
      <c r="G3" s="37"/>
      <c r="H3" s="37"/>
      <c r="I3" s="37"/>
    </row>
    <row r="4" spans="1:29">
      <c r="F4" s="30"/>
    </row>
    <row r="6" spans="1:29" ht="18">
      <c r="A6" s="379"/>
      <c r="B6" s="331"/>
      <c r="C6" s="331"/>
    </row>
    <row r="7" spans="1:29" ht="18">
      <c r="A7" s="379"/>
      <c r="B7" s="331"/>
      <c r="C7" s="331"/>
      <c r="I7" s="163" t="s">
        <v>232</v>
      </c>
    </row>
    <row r="8" spans="1:29">
      <c r="A8" s="331"/>
      <c r="B8" s="331"/>
      <c r="C8" s="331"/>
      <c r="D8" s="163" t="s">
        <v>450</v>
      </c>
      <c r="E8" s="30" t="s">
        <v>220</v>
      </c>
      <c r="F8" s="30"/>
      <c r="G8" s="30" t="s">
        <v>221</v>
      </c>
      <c r="H8" s="30" t="s">
        <v>222</v>
      </c>
      <c r="I8" s="163" t="s">
        <v>512</v>
      </c>
    </row>
    <row r="9" spans="1:29">
      <c r="A9" s="331"/>
      <c r="B9" s="331"/>
      <c r="C9" s="331"/>
      <c r="D9" s="163" t="s">
        <v>517</v>
      </c>
      <c r="E9" s="30" t="s">
        <v>377</v>
      </c>
      <c r="F9" s="30" t="s">
        <v>223</v>
      </c>
      <c r="G9" s="30" t="s">
        <v>224</v>
      </c>
      <c r="H9" s="30" t="s">
        <v>225</v>
      </c>
      <c r="I9" s="163" t="s">
        <v>517</v>
      </c>
      <c r="M9" s="443" t="s">
        <v>474</v>
      </c>
      <c r="N9" s="443"/>
    </row>
    <row r="10" spans="1:29">
      <c r="A10" s="550" t="s">
        <v>369</v>
      </c>
      <c r="B10" s="550"/>
      <c r="C10" s="550"/>
      <c r="D10" s="286" t="s">
        <v>376</v>
      </c>
      <c r="E10" s="39" t="s">
        <v>518</v>
      </c>
      <c r="F10" s="39" t="s">
        <v>519</v>
      </c>
      <c r="G10" s="39" t="s">
        <v>226</v>
      </c>
      <c r="H10" s="39" t="s">
        <v>272</v>
      </c>
      <c r="I10" s="286" t="s">
        <v>376</v>
      </c>
      <c r="K10" s="444" t="s">
        <v>241</v>
      </c>
      <c r="L10" s="444" t="s">
        <v>475</v>
      </c>
      <c r="M10" s="445" t="s">
        <v>230</v>
      </c>
      <c r="N10" s="445"/>
    </row>
    <row r="11" spans="1:29">
      <c r="A11" s="331"/>
      <c r="B11" s="318" t="s">
        <v>209</v>
      </c>
      <c r="C11" s="331"/>
      <c r="D11" s="163" t="s">
        <v>210</v>
      </c>
      <c r="E11" s="461" t="s">
        <v>211</v>
      </c>
      <c r="F11" s="461" t="s">
        <v>212</v>
      </c>
      <c r="G11" s="461" t="s">
        <v>213</v>
      </c>
      <c r="H11" s="461" t="s">
        <v>214</v>
      </c>
      <c r="I11" s="461" t="s">
        <v>227</v>
      </c>
      <c r="K11" s="316" t="s">
        <v>102</v>
      </c>
      <c r="L11" s="316" t="s">
        <v>102</v>
      </c>
      <c r="M11" s="443" t="s">
        <v>476</v>
      </c>
      <c r="N11" s="443"/>
    </row>
    <row r="12" spans="1:29">
      <c r="A12" s="154" t="s">
        <v>265</v>
      </c>
      <c r="D12" s="29"/>
    </row>
    <row r="13" spans="1:29">
      <c r="A13" s="236" t="s">
        <v>228</v>
      </c>
      <c r="D13" s="157">
        <f>'Rate Design'!D4</f>
        <v>9.5</v>
      </c>
      <c r="E13" s="156">
        <f>F13-D13</f>
        <v>0</v>
      </c>
      <c r="F13" s="157">
        <f>'Rate Design'!D14</f>
        <v>9.5</v>
      </c>
      <c r="G13" s="157">
        <f>IF(ROUND(H13-F13,5)&lt;&gt;ROUND(I13-D13,5),#VALUE!,I13-D13)</f>
        <v>0</v>
      </c>
      <c r="H13" s="157">
        <f>'Rate Design'!D36</f>
        <v>9.5</v>
      </c>
      <c r="I13" s="157">
        <f>'Rate Design'!D26</f>
        <v>9.5</v>
      </c>
      <c r="J13" s="332">
        <f>I13/D13-1</f>
        <v>0</v>
      </c>
      <c r="K13" s="332"/>
      <c r="L13" s="332"/>
      <c r="M13" s="407">
        <f>G13*'Pres &amp; Prop Rev'!D25</f>
        <v>0</v>
      </c>
      <c r="N13" s="407"/>
      <c r="O13" s="332"/>
      <c r="Z13" s="155"/>
      <c r="AB13" s="155"/>
    </row>
    <row r="14" spans="1:29">
      <c r="A14" s="236" t="s">
        <v>263</v>
      </c>
      <c r="D14" s="29"/>
      <c r="F14" s="29"/>
      <c r="M14" s="407"/>
      <c r="N14" s="407"/>
    </row>
    <row r="15" spans="1:29">
      <c r="A15" s="333" t="s">
        <v>419</v>
      </c>
      <c r="D15" s="158">
        <f>'Rate Design'!D6/100</f>
        <v>0.41034999999999999</v>
      </c>
      <c r="E15" s="176">
        <f>F15-D15</f>
        <v>0.30076000000000003</v>
      </c>
      <c r="F15" s="158">
        <f>'Rate Design'!D16/100</f>
        <v>0.71111000000000002</v>
      </c>
      <c r="G15" s="175">
        <f>I15-D15</f>
        <v>0</v>
      </c>
      <c r="H15" s="158">
        <f>'Rate Design'!D38/100</f>
        <v>0.71111000000000002</v>
      </c>
      <c r="I15" s="158">
        <f>'Rate Design'!D28/100</f>
        <v>0.41034999999999999</v>
      </c>
      <c r="J15" s="332">
        <f>I15/D15-1</f>
        <v>0</v>
      </c>
      <c r="K15" s="449">
        <f>D15+G15-I15</f>
        <v>0</v>
      </c>
      <c r="L15" s="449">
        <f>F15+G15-H15</f>
        <v>0</v>
      </c>
      <c r="M15" s="407">
        <f>G15*'Pres &amp; Prop Rev'!D31</f>
        <v>0</v>
      </c>
      <c r="N15" s="407"/>
      <c r="O15" s="332"/>
      <c r="V15" s="551" t="s">
        <v>528</v>
      </c>
      <c r="W15" s="551"/>
      <c r="X15" s="519" t="s">
        <v>588</v>
      </c>
      <c r="Y15" s="499"/>
      <c r="Z15" s="158" t="s">
        <v>232</v>
      </c>
    </row>
    <row r="16" spans="1:29">
      <c r="A16" s="333" t="s">
        <v>420</v>
      </c>
      <c r="D16" s="158">
        <f>'Rate Design'!D7/100</f>
        <v>0.53332999999999997</v>
      </c>
      <c r="E16" s="333">
        <f>E15</f>
        <v>0.30076000000000003</v>
      </c>
      <c r="F16" s="158">
        <f>'Rate Design'!D17/100</f>
        <v>0.83409000000000011</v>
      </c>
      <c r="G16" s="175">
        <f>I16-D16</f>
        <v>0</v>
      </c>
      <c r="H16" s="158">
        <f>'Rate Design'!D39/100</f>
        <v>0.83409000000000011</v>
      </c>
      <c r="I16" s="158">
        <f>'Rate Design'!D29/100</f>
        <v>0.53332999999999997</v>
      </c>
      <c r="J16" s="332">
        <f>I16/D16-1</f>
        <v>0</v>
      </c>
      <c r="K16" s="449">
        <f>D16+G16-I16</f>
        <v>0</v>
      </c>
      <c r="L16" s="449">
        <f>F16+G16-H16</f>
        <v>0</v>
      </c>
      <c r="M16" s="447">
        <f>G16*'Pres &amp; Prop Rev'!D32</f>
        <v>0</v>
      </c>
      <c r="N16" s="448"/>
      <c r="O16" s="332"/>
      <c r="P16" s="408">
        <f>(70*D15)+(130*D16)+D13</f>
        <v>107.5574</v>
      </c>
      <c r="Q16" s="408">
        <f>(70*I15)+(130*I16)+I13</f>
        <v>107.5574</v>
      </c>
      <c r="R16" s="408">
        <f>(70*D15)+(430*D16)+D13</f>
        <v>267.5564</v>
      </c>
      <c r="S16" s="408">
        <f>(70*I15)+(430*I16)+I13</f>
        <v>267.5564</v>
      </c>
      <c r="T16" s="155"/>
      <c r="U16" s="155"/>
      <c r="V16" s="155"/>
      <c r="W16" s="155"/>
      <c r="X16" s="155"/>
      <c r="Y16" s="155"/>
      <c r="Z16" s="158" t="s">
        <v>377</v>
      </c>
      <c r="AA16" s="408"/>
      <c r="AB16" s="333"/>
      <c r="AC16" s="408"/>
    </row>
    <row r="17" spans="1:29">
      <c r="A17" s="154" t="s">
        <v>264</v>
      </c>
      <c r="D17" s="29"/>
      <c r="F17" s="29"/>
      <c r="I17" s="158"/>
      <c r="K17" s="449"/>
      <c r="L17" s="446"/>
      <c r="M17" s="407">
        <f>SUM(M13:M16)</f>
        <v>0</v>
      </c>
      <c r="N17" s="407">
        <f ca="1">M17-'Pres &amp; Prop Rev'!D195</f>
        <v>0</v>
      </c>
      <c r="U17" s="154" t="s">
        <v>527</v>
      </c>
      <c r="V17" s="155" t="s">
        <v>529</v>
      </c>
      <c r="W17" s="155" t="s">
        <v>530</v>
      </c>
      <c r="X17" s="155" t="s">
        <v>587</v>
      </c>
      <c r="Y17" s="155" t="s">
        <v>365</v>
      </c>
      <c r="Z17" s="158" t="s">
        <v>376</v>
      </c>
      <c r="AA17" s="408"/>
      <c r="AB17" s="333"/>
      <c r="AC17" s="408"/>
    </row>
    <row r="18" spans="1:29">
      <c r="A18" s="236" t="s">
        <v>263</v>
      </c>
      <c r="D18" s="158"/>
      <c r="E18" s="333"/>
      <c r="F18" s="158"/>
      <c r="G18" s="158"/>
      <c r="H18" s="158"/>
      <c r="I18" s="158"/>
      <c r="J18" s="334">
        <f>I25/200+I26-I19</f>
        <v>0</v>
      </c>
      <c r="K18" s="449"/>
      <c r="L18" s="446"/>
      <c r="N18" s="407"/>
      <c r="O18" s="334"/>
      <c r="U18" s="460" t="s">
        <v>263</v>
      </c>
      <c r="W18" s="155"/>
      <c r="X18" s="155"/>
      <c r="Y18" s="155"/>
      <c r="Z18" s="29"/>
      <c r="AA18" s="155"/>
      <c r="AC18" s="155"/>
    </row>
    <row r="19" spans="1:29">
      <c r="A19" s="257" t="str">
        <f>"First "&amp;TEXT('Rate Design'!M6,"#,##0")&amp;" therms"</f>
        <v>First 200 therms</v>
      </c>
      <c r="D19" s="158">
        <f>'Rate Design'!M11/100</f>
        <v>0.53780000000000006</v>
      </c>
      <c r="E19" s="176">
        <f>F19-D19</f>
        <v>0.30359000000000003</v>
      </c>
      <c r="F19" s="158">
        <f>'Rate Design'!M21/100</f>
        <v>0.84139000000000008</v>
      </c>
      <c r="G19" s="175">
        <f>I19-D19</f>
        <v>0</v>
      </c>
      <c r="H19" s="158">
        <f>'Rate Design'!M43/100</f>
        <v>0.84139000000000008</v>
      </c>
      <c r="I19" s="158">
        <f>'Rate Design'!M33/100</f>
        <v>0.53780000000000006</v>
      </c>
      <c r="J19" s="332">
        <f>I19/D19-1</f>
        <v>0</v>
      </c>
      <c r="K19" s="449">
        <f>D19+G19-I19</f>
        <v>0</v>
      </c>
      <c r="L19" s="449">
        <f>F19+G19-H19</f>
        <v>0</v>
      </c>
      <c r="M19" s="407"/>
      <c r="N19" s="407"/>
      <c r="O19" s="332"/>
      <c r="P19" s="408">
        <f>D19*200</f>
        <v>107.56000000000002</v>
      </c>
      <c r="Q19" s="408">
        <f>I19*200</f>
        <v>107.56000000000002</v>
      </c>
      <c r="R19" s="335"/>
      <c r="S19" s="335"/>
      <c r="T19" s="335"/>
      <c r="U19" s="463" t="str">
        <f>"First "&amp;TEXT('Rate Design'!AG6,"#,##0")&amp;" therms"</f>
        <v>First 0 therms</v>
      </c>
      <c r="V19" s="500">
        <v>-7.9969999999999999E-2</v>
      </c>
      <c r="W19" s="500">
        <v>0</v>
      </c>
      <c r="X19" s="500">
        <v>6.9100000000000003E-3</v>
      </c>
      <c r="Y19" s="333">
        <f>V19-W19+X19</f>
        <v>-7.306E-2</v>
      </c>
      <c r="Z19" s="158">
        <f>H19-Y19</f>
        <v>0.9144500000000001</v>
      </c>
    </row>
    <row r="20" spans="1:29">
      <c r="A20" s="257" t="str">
        <f>TEXT('Rate Design'!M6,"#,##0")&amp;" - "&amp;TEXT('Rate Design'!M7,"#,##0")&amp;" therms"</f>
        <v>200 - 1,000 therms</v>
      </c>
      <c r="D20" s="158">
        <f>'Rate Design'!E7/100</f>
        <v>0.36158999999999997</v>
      </c>
      <c r="E20" s="176">
        <f>F20-D20</f>
        <v>0.30359000000000003</v>
      </c>
      <c r="F20" s="158">
        <f>'Rate Design'!E17/100</f>
        <v>0.66517999999999999</v>
      </c>
      <c r="G20" s="175">
        <f>I20-D20</f>
        <v>0</v>
      </c>
      <c r="H20" s="158">
        <f>'Rate Design'!E39/100</f>
        <v>0.66517999999999999</v>
      </c>
      <c r="I20" s="158">
        <f>'Rate Design'!E29/100</f>
        <v>0.36158999999999997</v>
      </c>
      <c r="J20" s="332">
        <f>I20/D20-1</f>
        <v>0</v>
      </c>
      <c r="K20" s="449">
        <f t="shared" ref="K20:K26" si="0">D20+G20-I20</f>
        <v>0</v>
      </c>
      <c r="L20" s="449">
        <f t="shared" ref="L20:L26" si="1">F20+G20-H20</f>
        <v>0</v>
      </c>
      <c r="M20" s="407">
        <f>G20*'Pres &amp; Prop Rev'!E32</f>
        <v>0</v>
      </c>
      <c r="N20" s="407"/>
      <c r="O20" s="332"/>
      <c r="U20" s="463" t="str">
        <f>TEXT('Rate Design'!AG6,"#,##0")&amp;" - "&amp;TEXT('Rate Design'!AG7,"#,##0")&amp;" therms"</f>
        <v>0 - 0 therms</v>
      </c>
      <c r="V20" s="333">
        <f>V19</f>
        <v>-7.9969999999999999E-2</v>
      </c>
      <c r="W20" s="333">
        <f>W19</f>
        <v>0</v>
      </c>
      <c r="X20" s="333">
        <f>X19</f>
        <v>6.9100000000000003E-3</v>
      </c>
      <c r="Y20" s="333">
        <f t="shared" ref="Y20:Y21" si="2">V20-W20+X20</f>
        <v>-7.306E-2</v>
      </c>
      <c r="Z20" s="158">
        <f t="shared" ref="Z20:Z26" si="3">H20-Y20</f>
        <v>0.73824000000000001</v>
      </c>
    </row>
    <row r="21" spans="1:29">
      <c r="A21" s="541" t="str">
        <f>TEXT('Rate Design'!N7,"#,##0")&amp;" - "&amp;TEXT('Rate Design'!N8,"#,##0")&amp;" therms"</f>
        <v>1,000 - 10,000 therms</v>
      </c>
      <c r="B21" s="243"/>
      <c r="C21" s="243" t="s">
        <v>637</v>
      </c>
      <c r="D21" s="158">
        <f>'Rate Design'!E8/100</f>
        <v>0.27562000000000003</v>
      </c>
      <c r="E21" s="176">
        <f>F21-D21</f>
        <v>0.30358999999999997</v>
      </c>
      <c r="F21" s="158">
        <f>'Rate Design'!E18/100</f>
        <v>0.57921</v>
      </c>
      <c r="G21" s="175">
        <f>I21-D21</f>
        <v>0</v>
      </c>
      <c r="H21" s="158">
        <f>'Rate Design'!E40/100</f>
        <v>0.57921</v>
      </c>
      <c r="I21" s="158">
        <f>'Rate Design'!E30/100</f>
        <v>0.27562000000000003</v>
      </c>
      <c r="J21" s="332">
        <f>I21/D21-1</f>
        <v>0</v>
      </c>
      <c r="K21" s="449">
        <f t="shared" si="0"/>
        <v>0</v>
      </c>
      <c r="L21" s="449">
        <f t="shared" si="1"/>
        <v>0</v>
      </c>
      <c r="M21" s="407">
        <f>G21*'Pres &amp; Prop Rev'!E33</f>
        <v>0</v>
      </c>
      <c r="N21" s="407"/>
      <c r="O21" s="332"/>
      <c r="U21" s="463" t="str">
        <f>"All over "&amp;TEXT('Rate Design'!AG7,"#,##0")&amp;" therms"</f>
        <v>All over 0 therms</v>
      </c>
      <c r="V21" s="333">
        <f>V19</f>
        <v>-7.9969999999999999E-2</v>
      </c>
      <c r="W21" s="333">
        <f>W19</f>
        <v>0</v>
      </c>
      <c r="X21" s="333">
        <f>X19</f>
        <v>6.9100000000000003E-3</v>
      </c>
      <c r="Y21" s="333">
        <f t="shared" si="2"/>
        <v>-7.306E-2</v>
      </c>
      <c r="Z21" s="158">
        <f t="shared" si="3"/>
        <v>0.65227000000000002</v>
      </c>
    </row>
    <row r="22" spans="1:29" s="460" customFormat="1">
      <c r="A22" s="541" t="str">
        <f>TEXT('Rate Design'!N8,"#,##0")&amp;" - "&amp;TEXT('Rate Design'!N9,"#,##0")&amp;" therms"</f>
        <v>10,000 - 25,000 therms</v>
      </c>
      <c r="B22" s="243"/>
      <c r="C22" s="243" t="s">
        <v>638</v>
      </c>
      <c r="D22" s="158"/>
      <c r="E22" s="176"/>
      <c r="F22" s="158"/>
      <c r="G22" s="175"/>
      <c r="H22" s="158">
        <f>'Rate Design'!E41/100</f>
        <v>0.53876000000000002</v>
      </c>
      <c r="I22" s="158">
        <f>'Rate Design'!E31/100</f>
        <v>0.23516999999999999</v>
      </c>
      <c r="J22" s="332"/>
      <c r="K22" s="449"/>
      <c r="L22" s="449"/>
      <c r="M22" s="469" t="e">
        <f>#REF!*'Pres &amp; Prop Rev'!E34</f>
        <v>#REF!</v>
      </c>
      <c r="N22" s="469"/>
      <c r="O22" s="332"/>
      <c r="U22" s="463"/>
      <c r="V22" s="333"/>
      <c r="W22" s="333"/>
      <c r="X22" s="333"/>
      <c r="Y22" s="333"/>
      <c r="Z22" s="158"/>
    </row>
    <row r="23" spans="1:29" s="460" customFormat="1">
      <c r="A23" s="463" t="str">
        <f>"All over "&amp;TEXT('Rate Design'!N9,"#,##0")&amp;" therms"</f>
        <v>All over 25,000 therms</v>
      </c>
      <c r="B23" s="243"/>
      <c r="C23" s="243" t="s">
        <v>638</v>
      </c>
      <c r="D23" s="158"/>
      <c r="E23" s="176"/>
      <c r="F23" s="158"/>
      <c r="G23" s="175"/>
      <c r="H23" s="158">
        <f>'Rate Design'!E42/100</f>
        <v>0.46855999999999992</v>
      </c>
      <c r="I23" s="158">
        <f>'Rate Design'!E32/100</f>
        <v>0.16497000000000001</v>
      </c>
      <c r="J23" s="332"/>
      <c r="K23" s="449"/>
      <c r="L23" s="449"/>
      <c r="M23" s="469" t="e">
        <f>#REF!*'Pres &amp; Prop Rev'!E35</f>
        <v>#REF!</v>
      </c>
      <c r="N23" s="469"/>
      <c r="O23" s="332"/>
      <c r="U23" s="463"/>
      <c r="V23" s="333"/>
      <c r="W23" s="333"/>
      <c r="X23" s="333"/>
      <c r="Y23" s="333"/>
      <c r="Z23" s="158"/>
    </row>
    <row r="24" spans="1:29">
      <c r="A24" s="236" t="s">
        <v>266</v>
      </c>
      <c r="D24" s="29"/>
      <c r="F24" s="29"/>
      <c r="K24" s="449"/>
      <c r="L24" s="449"/>
      <c r="M24" s="407"/>
      <c r="N24" s="407"/>
      <c r="U24" s="460" t="s">
        <v>266</v>
      </c>
      <c r="Y24" s="333"/>
      <c r="Z24" s="158"/>
      <c r="AA24" s="331"/>
      <c r="AB24" s="331"/>
    </row>
    <row r="25" spans="1:29">
      <c r="A25" s="257" t="s">
        <v>267</v>
      </c>
      <c r="D25" s="157">
        <f>'Rate Design'!E5</f>
        <v>107.56</v>
      </c>
      <c r="E25" s="156">
        <f>F25-D25</f>
        <v>0</v>
      </c>
      <c r="F25" s="157">
        <f>'Rate Design'!E15</f>
        <v>107.56</v>
      </c>
      <c r="G25" s="157">
        <f>IF(ROUND(H25-F25,5)&lt;&gt;ROUND(I25-D25,5),#VALUE!,I25-D25)</f>
        <v>0</v>
      </c>
      <c r="H25" s="157">
        <f>'Rate Design'!E37</f>
        <v>107.56</v>
      </c>
      <c r="I25" s="157">
        <f>'Rate Design'!E27</f>
        <v>107.56</v>
      </c>
      <c r="J25" s="332">
        <f>I25/D25-1</f>
        <v>0</v>
      </c>
      <c r="K25" s="449">
        <f t="shared" si="0"/>
        <v>0</v>
      </c>
      <c r="L25" s="449">
        <f>F25+G25-H25</f>
        <v>0</v>
      </c>
      <c r="M25" s="407">
        <f>G25*'Pres &amp; Prop Rev'!E49</f>
        <v>0</v>
      </c>
      <c r="N25" s="407"/>
      <c r="O25" s="332"/>
      <c r="P25" s="408"/>
      <c r="Q25" s="408"/>
      <c r="U25" s="463" t="s">
        <v>267</v>
      </c>
      <c r="Y25" s="333"/>
      <c r="Z25" s="158"/>
      <c r="AA25" s="466"/>
      <c r="AB25" s="331"/>
    </row>
    <row r="26" spans="1:29">
      <c r="A26" s="257" t="s">
        <v>268</v>
      </c>
      <c r="D26" s="158">
        <f>'Rate Design'!E6/100</f>
        <v>0</v>
      </c>
      <c r="E26" s="176">
        <f>F26-D26</f>
        <v>0.30359000000000003</v>
      </c>
      <c r="F26" s="158">
        <f>'Rate Design'!E16/100</f>
        <v>0.30359000000000003</v>
      </c>
      <c r="G26" s="175">
        <f>I26-D26</f>
        <v>0</v>
      </c>
      <c r="H26" s="158">
        <f>'Rate Design'!E38/100</f>
        <v>0.30359000000000003</v>
      </c>
      <c r="I26" s="158">
        <f>'Rate Design'!E28/100</f>
        <v>0</v>
      </c>
      <c r="J26" s="332" t="e">
        <f>I26/D26-1</f>
        <v>#DIV/0!</v>
      </c>
      <c r="K26" s="449">
        <f t="shared" si="0"/>
        <v>0</v>
      </c>
      <c r="L26" s="449">
        <f t="shared" si="1"/>
        <v>0</v>
      </c>
      <c r="M26" s="447">
        <f>G26*'Pres &amp; Prop Rev'!E31</f>
        <v>0</v>
      </c>
      <c r="N26" s="407"/>
      <c r="O26" s="332"/>
      <c r="P26" s="335"/>
      <c r="Q26" s="335"/>
      <c r="R26" s="335"/>
      <c r="S26" s="335"/>
      <c r="T26" s="335"/>
      <c r="U26" s="463" t="s">
        <v>268</v>
      </c>
      <c r="V26" s="333">
        <f>V19</f>
        <v>-7.9969999999999999E-2</v>
      </c>
      <c r="W26" s="333">
        <f>W19</f>
        <v>0</v>
      </c>
      <c r="X26" s="333">
        <f>X19</f>
        <v>6.9100000000000003E-3</v>
      </c>
      <c r="Y26" s="333">
        <f>V26-W26+X26</f>
        <v>-7.306E-2</v>
      </c>
      <c r="Z26" s="158">
        <f t="shared" si="3"/>
        <v>0.37665000000000004</v>
      </c>
      <c r="AA26" s="467"/>
      <c r="AB26" s="331"/>
    </row>
    <row r="27" spans="1:29">
      <c r="D27" s="29"/>
      <c r="K27" s="449"/>
      <c r="L27" s="446"/>
      <c r="M27" s="407" t="e">
        <f>SUM(M19:M26)</f>
        <v>#REF!</v>
      </c>
      <c r="N27" s="323">
        <f ca="1">-('Pres &amp; Prop Rev'!E190-'Pres &amp; Prop Rev'!E142-'Pres &amp; Prop Rev'!F142)</f>
        <v>0</v>
      </c>
      <c r="P27" s="335"/>
      <c r="Q27" s="335"/>
      <c r="R27" s="335"/>
      <c r="S27" s="335"/>
      <c r="T27" s="335"/>
      <c r="V27" s="155"/>
      <c r="W27" s="155"/>
      <c r="X27" s="155"/>
      <c r="Y27" s="155"/>
      <c r="Z27" s="158" t="s">
        <v>377</v>
      </c>
      <c r="AA27" s="466"/>
      <c r="AB27" s="331"/>
    </row>
    <row r="28" spans="1:29">
      <c r="A28" s="154" t="s">
        <v>636</v>
      </c>
      <c r="D28" s="29"/>
      <c r="K28" s="449"/>
      <c r="L28" s="446"/>
      <c r="M28" s="407"/>
      <c r="N28" s="407"/>
      <c r="U28" s="154" t="s">
        <v>270</v>
      </c>
      <c r="V28" s="155" t="s">
        <v>62</v>
      </c>
      <c r="W28" s="155" t="s">
        <v>539</v>
      </c>
      <c r="X28" s="155" t="s">
        <v>587</v>
      </c>
      <c r="Y28" s="155" t="s">
        <v>365</v>
      </c>
      <c r="Z28" s="158" t="s">
        <v>376</v>
      </c>
      <c r="AA28" s="331"/>
      <c r="AB28" s="331"/>
    </row>
    <row r="29" spans="1:29">
      <c r="A29" s="236" t="s">
        <v>263</v>
      </c>
      <c r="D29" s="158"/>
      <c r="E29" s="333"/>
      <c r="F29" s="333"/>
      <c r="G29" s="158"/>
      <c r="H29" s="158"/>
      <c r="I29" s="158"/>
      <c r="J29" s="336">
        <f>I36/500+I37-I30</f>
        <v>0</v>
      </c>
      <c r="K29" s="449"/>
      <c r="L29" s="449"/>
      <c r="M29" s="407"/>
      <c r="N29" s="407"/>
      <c r="O29" s="336"/>
      <c r="U29" s="460" t="s">
        <v>263</v>
      </c>
      <c r="V29" s="460"/>
      <c r="W29" s="155"/>
      <c r="X29" s="155"/>
      <c r="Y29" s="155"/>
      <c r="Z29" s="29"/>
      <c r="AA29" s="331"/>
      <c r="AB29" s="331"/>
    </row>
    <row r="30" spans="1:29">
      <c r="A30" s="257" t="str">
        <f>"First "&amp;TEXT('Rate Design'!N6,"#,##0")&amp;" therms"</f>
        <v>First 500 therms</v>
      </c>
      <c r="D30" s="158">
        <f>'Rate Design'!N11/100</f>
        <v>0</v>
      </c>
      <c r="E30" s="176">
        <f>F30-D30</f>
        <v>0</v>
      </c>
      <c r="F30" s="158">
        <f>'Rate Design'!N21/100</f>
        <v>0</v>
      </c>
      <c r="G30" s="175">
        <v>0</v>
      </c>
      <c r="H30" s="158" t="s">
        <v>644</v>
      </c>
      <c r="I30" s="158"/>
      <c r="J30" s="332" t="e">
        <f>I30/D30-1</f>
        <v>#DIV/0!</v>
      </c>
      <c r="K30" s="449">
        <f>D30+G30-I30</f>
        <v>0</v>
      </c>
      <c r="L30" s="449">
        <f>F30+G30</f>
        <v>0</v>
      </c>
      <c r="M30" s="407"/>
      <c r="N30" s="407"/>
      <c r="O30" s="332"/>
      <c r="P30" s="335">
        <f>D30*500</f>
        <v>0</v>
      </c>
      <c r="Q30" s="335">
        <f>I30*500</f>
        <v>0</v>
      </c>
      <c r="R30" s="335"/>
      <c r="S30" s="335"/>
      <c r="T30" s="335"/>
      <c r="U30" s="463" t="s">
        <v>531</v>
      </c>
      <c r="V30" s="500">
        <v>-5.0130000000000001E-2</v>
      </c>
      <c r="W30" s="500">
        <v>0</v>
      </c>
      <c r="X30" s="500">
        <v>6.9100000000000003E-3</v>
      </c>
      <c r="Y30" s="333">
        <f>V30-W30+X30</f>
        <v>-4.3220000000000001E-2</v>
      </c>
      <c r="Z30" s="158" t="e">
        <f>H30-Y30</f>
        <v>#VALUE!</v>
      </c>
      <c r="AA30" s="331"/>
      <c r="AB30" s="331"/>
    </row>
    <row r="31" spans="1:29">
      <c r="A31" s="257" t="str">
        <f>TEXT('Rate Design'!N6,"#,##0")&amp;" - "&amp;TEXT('Rate Design'!N7,"#,##0")&amp;" therms"</f>
        <v>500 - 1,000 therms</v>
      </c>
      <c r="D31" s="158">
        <f>'Rate Design'!F7/100</f>
        <v>0</v>
      </c>
      <c r="E31" s="176">
        <f>F31-D31</f>
        <v>0</v>
      </c>
      <c r="F31" s="158">
        <f>'Rate Design'!F17/100</f>
        <v>0</v>
      </c>
      <c r="G31" s="175"/>
      <c r="H31" s="158"/>
      <c r="I31" s="158"/>
      <c r="J31" s="332" t="e">
        <f>I31/D31-1</f>
        <v>#DIV/0!</v>
      </c>
      <c r="K31" s="449">
        <f t="shared" ref="K31:K37" si="4">D31+G31-I31</f>
        <v>0</v>
      </c>
      <c r="L31" s="449">
        <f t="shared" ref="L31:L37" si="5">F31+G31-H31</f>
        <v>0</v>
      </c>
      <c r="M31" s="407" t="e">
        <f>G31*'Pres &amp; Prop Rev'!F32</f>
        <v>#VALUE!</v>
      </c>
      <c r="N31" s="407"/>
      <c r="O31" s="332"/>
      <c r="U31" s="463" t="s">
        <v>532</v>
      </c>
      <c r="V31" s="333">
        <f>V30</f>
        <v>-5.0130000000000001E-2</v>
      </c>
      <c r="W31" s="333">
        <f>W30</f>
        <v>0</v>
      </c>
      <c r="X31" s="333">
        <f>X30</f>
        <v>6.9100000000000003E-3</v>
      </c>
      <c r="Y31" s="333">
        <f t="shared" ref="Y31:Y34" si="6">V31-W31+X31</f>
        <v>-4.3220000000000001E-2</v>
      </c>
      <c r="Z31" s="158">
        <f t="shared" ref="Z31:Z34" si="7">H31-Y31</f>
        <v>4.3220000000000001E-2</v>
      </c>
    </row>
    <row r="32" spans="1:29">
      <c r="A32" s="257" t="str">
        <f>TEXT('Rate Design'!N7,"#,##0")&amp;" - "&amp;TEXT('Rate Design'!N8,"#,##0")&amp;" therms"</f>
        <v>1,000 - 10,000 therms</v>
      </c>
      <c r="D32" s="158">
        <f>'Rate Design'!F8/100</f>
        <v>0</v>
      </c>
      <c r="E32" s="176">
        <f>F32-D32</f>
        <v>0</v>
      </c>
      <c r="F32" s="158">
        <f>'Rate Design'!F18/100</f>
        <v>0</v>
      </c>
      <c r="G32" s="175"/>
      <c r="H32" s="158"/>
      <c r="I32" s="158"/>
      <c r="J32" s="332" t="e">
        <f>I32/D32-1</f>
        <v>#DIV/0!</v>
      </c>
      <c r="K32" s="449">
        <f t="shared" si="4"/>
        <v>0</v>
      </c>
      <c r="L32" s="449">
        <f t="shared" si="5"/>
        <v>0</v>
      </c>
      <c r="M32" s="407">
        <f>G32*'Pres &amp; Prop Rev'!F33</f>
        <v>0</v>
      </c>
      <c r="N32" s="407"/>
      <c r="O32" s="332"/>
      <c r="U32" s="463" t="s">
        <v>533</v>
      </c>
      <c r="V32" s="333">
        <f>V30</f>
        <v>-5.0130000000000001E-2</v>
      </c>
      <c r="W32" s="333">
        <f>W30</f>
        <v>0</v>
      </c>
      <c r="X32" s="333">
        <f>X30</f>
        <v>6.9100000000000003E-3</v>
      </c>
      <c r="Y32" s="333">
        <f t="shared" si="6"/>
        <v>-4.3220000000000001E-2</v>
      </c>
      <c r="Z32" s="158">
        <f t="shared" si="7"/>
        <v>4.3220000000000001E-2</v>
      </c>
    </row>
    <row r="33" spans="1:26">
      <c r="A33" s="257" t="str">
        <f>TEXT('Rate Design'!N8,"#,##0")&amp;" - "&amp;TEXT('Rate Design'!N9,"#,##0")&amp;" therms"</f>
        <v>10,000 - 25,000 therms</v>
      </c>
      <c r="D33" s="158">
        <f>'Rate Design'!F9/100</f>
        <v>0</v>
      </c>
      <c r="E33" s="176">
        <f>F33-D33</f>
        <v>0</v>
      </c>
      <c r="F33" s="158">
        <f>'Rate Design'!F19/100</f>
        <v>0</v>
      </c>
      <c r="G33" s="175"/>
      <c r="H33" s="158"/>
      <c r="I33" s="158"/>
      <c r="J33" s="332" t="e">
        <f>I33/D33-1</f>
        <v>#DIV/0!</v>
      </c>
      <c r="K33" s="449">
        <f t="shared" si="4"/>
        <v>0</v>
      </c>
      <c r="L33" s="449">
        <f t="shared" si="5"/>
        <v>0</v>
      </c>
      <c r="M33" s="407">
        <f>G33*'Pres &amp; Prop Rev'!F34</f>
        <v>0</v>
      </c>
      <c r="N33" s="407"/>
      <c r="O33" s="332"/>
      <c r="U33" s="463" t="s">
        <v>534</v>
      </c>
      <c r="V33" s="333">
        <f>V30</f>
        <v>-5.0130000000000001E-2</v>
      </c>
      <c r="W33" s="333">
        <f>W30</f>
        <v>0</v>
      </c>
      <c r="X33" s="333">
        <f>X30</f>
        <v>6.9100000000000003E-3</v>
      </c>
      <c r="Y33" s="333">
        <f t="shared" si="6"/>
        <v>-4.3220000000000001E-2</v>
      </c>
      <c r="Z33" s="158">
        <f t="shared" si="7"/>
        <v>4.3220000000000001E-2</v>
      </c>
    </row>
    <row r="34" spans="1:26">
      <c r="A34" s="257" t="str">
        <f>"All over "&amp;TEXT('Rate Design'!N9,"#,##0")&amp;" therms"</f>
        <v>All over 25,000 therms</v>
      </c>
      <c r="D34" s="158">
        <f>'Rate Design'!F10/100</f>
        <v>0</v>
      </c>
      <c r="E34" s="176">
        <f>F34-D34</f>
        <v>0</v>
      </c>
      <c r="F34" s="158">
        <f>'Rate Design'!F20/100</f>
        <v>0</v>
      </c>
      <c r="G34" s="175"/>
      <c r="H34" s="158"/>
      <c r="I34" s="158"/>
      <c r="J34" s="332" t="e">
        <f>I34/D34-1</f>
        <v>#DIV/0!</v>
      </c>
      <c r="K34" s="449">
        <f t="shared" si="4"/>
        <v>0</v>
      </c>
      <c r="L34" s="449">
        <f t="shared" si="5"/>
        <v>0</v>
      </c>
      <c r="M34" s="407">
        <f>G34*'Pres &amp; Prop Rev'!F35</f>
        <v>0</v>
      </c>
      <c r="N34" s="407"/>
      <c r="O34" s="332"/>
      <c r="U34" s="463" t="s">
        <v>535</v>
      </c>
      <c r="V34" s="333">
        <f>V30</f>
        <v>-5.0130000000000001E-2</v>
      </c>
      <c r="W34" s="333">
        <f>W30</f>
        <v>0</v>
      </c>
      <c r="X34" s="333">
        <f>X30</f>
        <v>6.9100000000000003E-3</v>
      </c>
      <c r="Y34" s="333">
        <f t="shared" si="6"/>
        <v>-4.3220000000000001E-2</v>
      </c>
      <c r="Z34" s="158">
        <f t="shared" si="7"/>
        <v>4.3220000000000001E-2</v>
      </c>
    </row>
    <row r="35" spans="1:26">
      <c r="A35" s="236" t="s">
        <v>266</v>
      </c>
      <c r="D35" s="29"/>
      <c r="F35" s="29"/>
      <c r="K35" s="449"/>
      <c r="L35" s="449"/>
      <c r="M35" s="407"/>
      <c r="N35" s="407"/>
      <c r="U35" s="460" t="s">
        <v>266</v>
      </c>
    </row>
    <row r="36" spans="1:26">
      <c r="A36" s="257" t="s">
        <v>267</v>
      </c>
      <c r="D36" s="157">
        <f>'Rate Design'!F5</f>
        <v>0</v>
      </c>
      <c r="E36" s="156">
        <f>F36-D36</f>
        <v>0</v>
      </c>
      <c r="F36" s="157">
        <f>'Rate Design'!F15</f>
        <v>0</v>
      </c>
      <c r="G36" s="157"/>
      <c r="H36" s="157"/>
      <c r="I36" s="157"/>
      <c r="J36" s="332" t="e">
        <f>I36/D36-1</f>
        <v>#DIV/0!</v>
      </c>
      <c r="K36" s="449"/>
      <c r="L36" s="449"/>
      <c r="M36" s="407">
        <f>G36*'Pres &amp; Prop Rev'!F49</f>
        <v>0</v>
      </c>
      <c r="N36" s="407"/>
      <c r="O36" s="332"/>
      <c r="U36" s="463" t="s">
        <v>267</v>
      </c>
      <c r="Z36" s="408"/>
    </row>
    <row r="37" spans="1:26">
      <c r="A37" s="257" t="s">
        <v>268</v>
      </c>
      <c r="D37" s="158">
        <f>'Rate Design'!F6/100</f>
        <v>0</v>
      </c>
      <c r="E37" s="176">
        <f>F37-D37</f>
        <v>0</v>
      </c>
      <c r="F37" s="158">
        <f>'Rate Design'!F16/100</f>
        <v>0</v>
      </c>
      <c r="G37" s="175"/>
      <c r="H37" s="158"/>
      <c r="I37" s="158"/>
      <c r="J37" s="332" t="e">
        <f>I37/D37-1</f>
        <v>#DIV/0!</v>
      </c>
      <c r="K37" s="449">
        <f t="shared" si="4"/>
        <v>0</v>
      </c>
      <c r="L37" s="449">
        <f t="shared" si="5"/>
        <v>0</v>
      </c>
      <c r="M37" s="447" t="e">
        <f>G37*'Pres &amp; Prop Rev'!F31</f>
        <v>#VALUE!</v>
      </c>
      <c r="N37" s="407"/>
      <c r="O37" s="332"/>
      <c r="P37" s="335"/>
      <c r="Q37" s="335"/>
      <c r="R37" s="335"/>
      <c r="S37" s="335"/>
      <c r="T37" s="335"/>
      <c r="U37" s="463" t="s">
        <v>268</v>
      </c>
      <c r="V37" s="333">
        <f>V30</f>
        <v>-5.0130000000000001E-2</v>
      </c>
      <c r="W37" s="333">
        <f>W30</f>
        <v>0</v>
      </c>
      <c r="X37" s="333">
        <f>X30</f>
        <v>6.9100000000000003E-3</v>
      </c>
      <c r="Y37" s="333">
        <f>V37-W37+X37</f>
        <v>-4.3220000000000001E-2</v>
      </c>
      <c r="Z37" s="158">
        <f>H37-Y37</f>
        <v>4.3220000000000001E-2</v>
      </c>
    </row>
    <row r="38" spans="1:26">
      <c r="A38" s="257" t="s">
        <v>295</v>
      </c>
      <c r="D38" s="337" t="s">
        <v>296</v>
      </c>
      <c r="E38" s="346">
        <v>0</v>
      </c>
      <c r="F38" s="331"/>
      <c r="G38" s="338"/>
      <c r="H38" s="338"/>
      <c r="I38" s="346"/>
      <c r="J38" s="332" t="e">
        <f>I38/E38-1</f>
        <v>#DIV/0!</v>
      </c>
      <c r="K38" s="449"/>
      <c r="L38" s="446"/>
      <c r="M38" s="407" t="e">
        <f>SUM(M30:M37)</f>
        <v>#VALUE!</v>
      </c>
      <c r="N38" s="407" t="e">
        <f>M38-'Pres &amp; Prop Rev'!F195</f>
        <v>#VALUE!</v>
      </c>
      <c r="O38" s="332"/>
      <c r="P38" s="335"/>
      <c r="Q38" s="335"/>
      <c r="R38" s="335"/>
      <c r="S38" s="335"/>
      <c r="T38" s="335"/>
      <c r="U38" s="463" t="s">
        <v>295</v>
      </c>
    </row>
    <row r="39" spans="1:26">
      <c r="D39" s="339"/>
      <c r="E39" s="316"/>
      <c r="F39" s="339"/>
      <c r="G39" s="30"/>
      <c r="H39" s="31"/>
      <c r="I39" s="31"/>
      <c r="K39" s="449"/>
      <c r="L39" s="446"/>
      <c r="M39" s="407"/>
      <c r="N39" s="407"/>
      <c r="V39" s="155"/>
      <c r="W39" s="155"/>
      <c r="X39" s="155"/>
      <c r="Y39" s="155"/>
      <c r="Z39" s="158" t="s">
        <v>377</v>
      </c>
    </row>
    <row r="40" spans="1:26">
      <c r="A40" s="154" t="s">
        <v>393</v>
      </c>
      <c r="K40" s="449"/>
      <c r="L40" s="446"/>
      <c r="M40" s="407"/>
      <c r="N40" s="407"/>
      <c r="U40" s="236" t="s">
        <v>393</v>
      </c>
      <c r="V40" s="155" t="s">
        <v>63</v>
      </c>
      <c r="W40" s="155" t="s">
        <v>540</v>
      </c>
      <c r="X40" s="155" t="s">
        <v>587</v>
      </c>
      <c r="Y40" s="155" t="s">
        <v>365</v>
      </c>
      <c r="Z40" s="158" t="s">
        <v>376</v>
      </c>
    </row>
    <row r="41" spans="1:26">
      <c r="A41" s="236" t="s">
        <v>263</v>
      </c>
      <c r="D41" s="333"/>
      <c r="E41" s="333"/>
      <c r="F41" s="333"/>
      <c r="G41" s="158"/>
      <c r="H41" s="158"/>
      <c r="I41" s="158"/>
      <c r="K41" s="449"/>
      <c r="L41" s="446"/>
      <c r="M41" s="407"/>
      <c r="N41" s="407"/>
      <c r="U41" s="236" t="s">
        <v>263</v>
      </c>
      <c r="V41" s="460"/>
      <c r="W41" s="155"/>
      <c r="X41" s="155"/>
      <c r="Y41" s="155"/>
      <c r="Z41" s="29"/>
    </row>
    <row r="42" spans="1:26">
      <c r="A42" s="257" t="str">
        <f>"First "&amp;TEXT('Rate Design'!O6,"#,##0")&amp;" therms"</f>
        <v>First 10,000 therms</v>
      </c>
      <c r="D42" s="158">
        <f>'Rate Design'!G6/100</f>
        <v>0.27007999999999999</v>
      </c>
      <c r="E42" s="176">
        <f>F42-D42</f>
        <v>0.23842999999999992</v>
      </c>
      <c r="F42" s="158">
        <f>'Rate Design'!G16/100</f>
        <v>0.50850999999999991</v>
      </c>
      <c r="G42" s="175">
        <f>I42-D42</f>
        <v>0</v>
      </c>
      <c r="H42" s="158">
        <f>'Rate Design'!G38/100</f>
        <v>0.50850999999999991</v>
      </c>
      <c r="I42" s="158">
        <f>'Rate Design'!G28/100</f>
        <v>0.27007999999999999</v>
      </c>
      <c r="J42" s="332">
        <f>I42/D42-1</f>
        <v>0</v>
      </c>
      <c r="K42" s="449">
        <f>D42+G42-I42</f>
        <v>0</v>
      </c>
      <c r="L42" s="449">
        <f>F42+G42-H42</f>
        <v>0</v>
      </c>
      <c r="M42" s="407">
        <f>G42*'Pres &amp; Prop Rev'!G31</f>
        <v>0</v>
      </c>
      <c r="N42" s="407"/>
      <c r="O42" s="332"/>
      <c r="U42" s="236" t="s">
        <v>536</v>
      </c>
      <c r="V42" s="500">
        <v>0</v>
      </c>
      <c r="W42" s="500">
        <v>0</v>
      </c>
      <c r="X42" s="500">
        <v>6.9100000000000003E-3</v>
      </c>
      <c r="Y42" s="333">
        <f>V42-W42+X42</f>
        <v>6.9100000000000003E-3</v>
      </c>
      <c r="Z42" s="158">
        <f>H42+Y42</f>
        <v>0.51541999999999988</v>
      </c>
    </row>
    <row r="43" spans="1:26">
      <c r="A43" s="257" t="str">
        <f>TEXT('Rate Design'!O6,"#,##0")&amp;" - "&amp;TEXT('Rate Design'!O7,"#,##0")&amp;" therms"</f>
        <v>10,000 - 25,000 therms</v>
      </c>
      <c r="D43" s="158">
        <f>'Rate Design'!G7/100</f>
        <v>0.21681</v>
      </c>
      <c r="E43" s="176">
        <f>F43-D43</f>
        <v>0.23842999999999992</v>
      </c>
      <c r="F43" s="158">
        <f>'Rate Design'!G17/100</f>
        <v>0.45523999999999992</v>
      </c>
      <c r="G43" s="175">
        <f>I43-D43</f>
        <v>0</v>
      </c>
      <c r="H43" s="158">
        <f>'Rate Design'!G39/100</f>
        <v>0.45523999999999992</v>
      </c>
      <c r="I43" s="158">
        <f>'Rate Design'!G29/100</f>
        <v>0.21681</v>
      </c>
      <c r="J43" s="332">
        <f>I43/D43-1</f>
        <v>0</v>
      </c>
      <c r="K43" s="449">
        <f t="shared" ref="K43:K45" si="8">D43+G43-I43</f>
        <v>0</v>
      </c>
      <c r="L43" s="449">
        <f t="shared" ref="L43:L45" si="9">F43+G43-H43</f>
        <v>0</v>
      </c>
      <c r="M43" s="407">
        <f>G43*'Pres &amp; Prop Rev'!G32</f>
        <v>0</v>
      </c>
      <c r="N43" s="407"/>
      <c r="O43" s="332"/>
      <c r="U43" s="236" t="s">
        <v>534</v>
      </c>
      <c r="V43" s="333">
        <f>V42</f>
        <v>0</v>
      </c>
      <c r="W43" s="333">
        <f>W42</f>
        <v>0</v>
      </c>
      <c r="X43" s="333">
        <f>X42</f>
        <v>6.9100000000000003E-3</v>
      </c>
      <c r="Y43" s="333">
        <f t="shared" ref="Y43:Y45" si="10">V43-W43+X43</f>
        <v>6.9100000000000003E-3</v>
      </c>
      <c r="Z43" s="158">
        <f t="shared" ref="Z43:Z45" si="11">H43+Y43</f>
        <v>0.46214999999999995</v>
      </c>
    </row>
    <row r="44" spans="1:26">
      <c r="A44" s="257" t="str">
        <f>TEXT('Rate Design'!O7,"#,##0")&amp;" - "&amp;TEXT('Rate Design'!O8,"#,##0")&amp;" therms"</f>
        <v>25,000 - 50,000 therms</v>
      </c>
      <c r="D44" s="158">
        <f>'Rate Design'!G8/100</f>
        <v>0.20373000000000002</v>
      </c>
      <c r="E44" s="176">
        <f>F44-D44</f>
        <v>0.23842999999999992</v>
      </c>
      <c r="F44" s="158">
        <f>'Rate Design'!G18/100</f>
        <v>0.44215999999999994</v>
      </c>
      <c r="G44" s="175">
        <f>I44-D44</f>
        <v>0</v>
      </c>
      <c r="H44" s="158">
        <f>'Rate Design'!G40/100</f>
        <v>0.44215999999999994</v>
      </c>
      <c r="I44" s="158">
        <f>'Rate Design'!G30/100</f>
        <v>0.20373000000000002</v>
      </c>
      <c r="J44" s="332">
        <f>I44/D44-1</f>
        <v>0</v>
      </c>
      <c r="K44" s="449">
        <f t="shared" si="8"/>
        <v>0</v>
      </c>
      <c r="L44" s="449">
        <f t="shared" si="9"/>
        <v>0</v>
      </c>
      <c r="M44" s="407">
        <f>G44*'Pres &amp; Prop Rev'!G33</f>
        <v>0</v>
      </c>
      <c r="N44" s="407"/>
      <c r="O44" s="332"/>
      <c r="U44" s="236" t="s">
        <v>537</v>
      </c>
      <c r="V44" s="333">
        <f t="shared" ref="V44:X45" si="12">V42</f>
        <v>0</v>
      </c>
      <c r="W44" s="333">
        <f t="shared" si="12"/>
        <v>0</v>
      </c>
      <c r="X44" s="333">
        <f t="shared" si="12"/>
        <v>6.9100000000000003E-3</v>
      </c>
      <c r="Y44" s="333">
        <f t="shared" si="10"/>
        <v>6.9100000000000003E-3</v>
      </c>
      <c r="Z44" s="158">
        <f t="shared" si="11"/>
        <v>0.44906999999999997</v>
      </c>
    </row>
    <row r="45" spans="1:26">
      <c r="A45" s="257" t="str">
        <f>"All over "&amp;TEXT('Rate Design'!O8,"#,##0")&amp;" therms"</f>
        <v>All over 50,000 therms</v>
      </c>
      <c r="D45" s="158">
        <f>'Rate Design'!G9/100</f>
        <v>0.18203</v>
      </c>
      <c r="E45" s="176">
        <f>F45-D45</f>
        <v>0.23842999999999995</v>
      </c>
      <c r="F45" s="158">
        <f>'Rate Design'!G19/100</f>
        <v>0.42045999999999994</v>
      </c>
      <c r="G45" s="175">
        <f>I45-D45</f>
        <v>0</v>
      </c>
      <c r="H45" s="158">
        <f>'Rate Design'!G41/100</f>
        <v>0.42045999999999994</v>
      </c>
      <c r="I45" s="158">
        <f>'Rate Design'!G31/100</f>
        <v>0.18203</v>
      </c>
      <c r="J45" s="332">
        <f>I45/D45-1</f>
        <v>0</v>
      </c>
      <c r="K45" s="449">
        <f t="shared" si="8"/>
        <v>0</v>
      </c>
      <c r="L45" s="449">
        <f t="shared" si="9"/>
        <v>0</v>
      </c>
      <c r="M45" s="447">
        <f>G45*'Pres &amp; Prop Rev'!G34</f>
        <v>0</v>
      </c>
      <c r="N45" s="407"/>
      <c r="O45" s="332"/>
      <c r="U45" s="236" t="s">
        <v>538</v>
      </c>
      <c r="V45" s="333">
        <f t="shared" si="12"/>
        <v>0</v>
      </c>
      <c r="W45" s="333">
        <f t="shared" si="12"/>
        <v>0</v>
      </c>
      <c r="X45" s="333">
        <f t="shared" si="12"/>
        <v>6.9100000000000003E-3</v>
      </c>
      <c r="Y45" s="333">
        <f t="shared" si="10"/>
        <v>6.9100000000000003E-3</v>
      </c>
      <c r="Z45" s="158">
        <f t="shared" si="11"/>
        <v>0.42736999999999997</v>
      </c>
    </row>
    <row r="46" spans="1:26">
      <c r="A46" s="257" t="s">
        <v>295</v>
      </c>
      <c r="D46" s="337" t="s">
        <v>296</v>
      </c>
      <c r="E46" s="346">
        <v>0.27544000000000002</v>
      </c>
      <c r="F46" s="287"/>
      <c r="G46" s="338"/>
      <c r="H46" s="338" t="s">
        <v>297</v>
      </c>
      <c r="I46" s="346">
        <f>D43+0.0624+N("Tariffed Demand Rate, 2018 PGA - Grossed up for Rev Related Items")+G43</f>
        <v>0.27921000000000001</v>
      </c>
      <c r="J46" s="332">
        <f>I46/E46-1</f>
        <v>1.3687191402846244E-2</v>
      </c>
      <c r="K46" s="449"/>
      <c r="L46" s="446"/>
      <c r="M46" s="407">
        <f>SUM(M42:M45)</f>
        <v>0</v>
      </c>
      <c r="N46" s="407">
        <f ca="1">M46-'Pres &amp; Prop Rev'!G195</f>
        <v>0</v>
      </c>
      <c r="O46" s="332"/>
      <c r="U46" s="236" t="s">
        <v>295</v>
      </c>
    </row>
    <row r="47" spans="1:26">
      <c r="K47" s="449"/>
      <c r="L47" s="446"/>
      <c r="M47" s="407"/>
      <c r="N47" s="407"/>
    </row>
    <row r="48" spans="1:26">
      <c r="A48" s="154" t="s">
        <v>271</v>
      </c>
      <c r="K48" s="449"/>
      <c r="L48" s="446"/>
      <c r="M48" s="407"/>
      <c r="N48" s="407"/>
    </row>
    <row r="49" spans="1:19">
      <c r="A49" s="236" t="s">
        <v>228</v>
      </c>
      <c r="D49" s="155">
        <f>'Rate Design'!H4</f>
        <v>625</v>
      </c>
      <c r="E49" s="156">
        <f>F49-D49</f>
        <v>0</v>
      </c>
      <c r="F49" s="157">
        <f>'Rate Design'!H14</f>
        <v>625</v>
      </c>
      <c r="G49" s="157">
        <f>IF(ROUND(H49-F49,5)&lt;&gt;ROUND(I49-D49,5),#VALUE!,I49-D49)</f>
        <v>0</v>
      </c>
      <c r="H49" s="157">
        <f>'Rate Design'!H36</f>
        <v>625</v>
      </c>
      <c r="I49" s="157">
        <f>'Rate Design'!H26</f>
        <v>625</v>
      </c>
      <c r="J49" s="332">
        <f>I49/D49-1</f>
        <v>0</v>
      </c>
      <c r="K49" s="449"/>
      <c r="L49" s="446"/>
      <c r="M49" s="407">
        <f>G49*'Pres &amp; Prop Rev'!H48</f>
        <v>0</v>
      </c>
      <c r="N49" s="407"/>
      <c r="O49" s="332"/>
    </row>
    <row r="50" spans="1:19">
      <c r="A50" s="236" t="s">
        <v>263</v>
      </c>
      <c r="D50" s="333"/>
      <c r="E50" s="333"/>
      <c r="F50" s="158"/>
      <c r="G50" s="158"/>
      <c r="H50" s="158"/>
      <c r="I50" s="158"/>
      <c r="K50" s="449"/>
      <c r="L50" s="446"/>
      <c r="M50" s="407"/>
      <c r="N50" s="407"/>
    </row>
    <row r="51" spans="1:19">
      <c r="A51" s="257" t="str">
        <f>"First "&amp;TEXT('Rate Design'!P6,"#,##0")&amp;" therms"</f>
        <v>First 20,000 therms</v>
      </c>
      <c r="D51" s="158">
        <f>'Rate Design'!H6/100</f>
        <v>0.10493999999999999</v>
      </c>
      <c r="E51" s="176">
        <f>F51-D51</f>
        <v>-1.9799999999999957E-3</v>
      </c>
      <c r="F51" s="158">
        <f>'Rate Design'!H16/100</f>
        <v>0.10296</v>
      </c>
      <c r="G51" s="175">
        <f>I51-D51</f>
        <v>0</v>
      </c>
      <c r="H51" s="158">
        <f>'Rate Design'!H38/100</f>
        <v>0.10296</v>
      </c>
      <c r="I51" s="158">
        <f>'Rate Design'!H28/100</f>
        <v>0.10493999999999999</v>
      </c>
      <c r="J51" s="332">
        <f>I51/D51-1</f>
        <v>0</v>
      </c>
      <c r="K51" s="449">
        <f>D51+G51-I51</f>
        <v>0</v>
      </c>
      <c r="L51" s="449">
        <f>F51+G51-H51</f>
        <v>0</v>
      </c>
      <c r="M51" s="407">
        <f>G51*'Pres &amp; Prop Rev'!H31</f>
        <v>0</v>
      </c>
      <c r="N51" s="407"/>
      <c r="O51" s="332"/>
      <c r="R51" s="333"/>
      <c r="S51" s="333"/>
    </row>
    <row r="52" spans="1:19">
      <c r="A52" s="257" t="str">
        <f>TEXT('Rate Design'!P6,"#,##0")&amp;" - "&amp;TEXT('Rate Design'!P7,"#,##0")&amp;" therms"</f>
        <v>20,000 - 50,000 therms</v>
      </c>
      <c r="D52" s="158">
        <f>'Rate Design'!H7/100</f>
        <v>9.3359999999999999E-2</v>
      </c>
      <c r="E52" s="176">
        <f>F52-D52</f>
        <v>-1.9799999999999957E-3</v>
      </c>
      <c r="F52" s="158">
        <f>'Rate Design'!H17/100</f>
        <v>9.1380000000000003E-2</v>
      </c>
      <c r="G52" s="175">
        <f>I52-D52</f>
        <v>0</v>
      </c>
      <c r="H52" s="158">
        <f>'Rate Design'!H39/100</f>
        <v>9.1380000000000003E-2</v>
      </c>
      <c r="I52" s="158">
        <f>'Rate Design'!H29/100</f>
        <v>9.3359999999999999E-2</v>
      </c>
      <c r="J52" s="332">
        <f>I52/D52-1</f>
        <v>0</v>
      </c>
      <c r="K52" s="449">
        <f t="shared" ref="K52:K55" si="13">D52+G52-I52</f>
        <v>0</v>
      </c>
      <c r="L52" s="449">
        <f t="shared" ref="L52:L55" si="14">F52+G52-H52</f>
        <v>0</v>
      </c>
      <c r="M52" s="407">
        <f>G52*'Pres &amp; Prop Rev'!H32</f>
        <v>0</v>
      </c>
      <c r="N52" s="407"/>
      <c r="O52" s="332"/>
    </row>
    <row r="53" spans="1:19">
      <c r="A53" s="257" t="str">
        <f>TEXT('Rate Design'!P7,"#,##0")&amp;" - "&amp;TEXT('Rate Design'!P8,"#,##0")&amp;" therms"</f>
        <v>50,000 - 300,000 therms</v>
      </c>
      <c r="D53" s="158">
        <f>'Rate Design'!H8/100</f>
        <v>8.4190000000000001E-2</v>
      </c>
      <c r="E53" s="176">
        <f>F53-D53</f>
        <v>-1.9799999999999957E-3</v>
      </c>
      <c r="F53" s="158">
        <f>'Rate Design'!H18/100</f>
        <v>8.2210000000000005E-2</v>
      </c>
      <c r="G53" s="175">
        <f>I53-D53</f>
        <v>0</v>
      </c>
      <c r="H53" s="158">
        <f>'Rate Design'!H40/100</f>
        <v>8.2210000000000005E-2</v>
      </c>
      <c r="I53" s="158">
        <f>'Rate Design'!H30/100</f>
        <v>8.4190000000000001E-2</v>
      </c>
      <c r="J53" s="332">
        <f>I53/D53-1</f>
        <v>0</v>
      </c>
      <c r="K53" s="449">
        <f t="shared" si="13"/>
        <v>0</v>
      </c>
      <c r="L53" s="449">
        <f t="shared" si="14"/>
        <v>0</v>
      </c>
      <c r="M53" s="407">
        <f>G53*'Pres &amp; Prop Rev'!H33</f>
        <v>0</v>
      </c>
      <c r="N53" s="407"/>
      <c r="O53" s="332"/>
    </row>
    <row r="54" spans="1:19">
      <c r="A54" s="257" t="str">
        <f>TEXT('Rate Design'!P8,"#,##0")&amp;" - "&amp;TEXT('Rate Design'!P9,"#,##0")&amp;" therms"</f>
        <v>300,000 - 500,000 therms</v>
      </c>
      <c r="D54" s="158">
        <f>'Rate Design'!H9/100</f>
        <v>7.7850000000000003E-2</v>
      </c>
      <c r="E54" s="176">
        <f>F54-D54</f>
        <v>-1.9799999999999957E-3</v>
      </c>
      <c r="F54" s="158">
        <f>'Rate Design'!H19/100</f>
        <v>7.5870000000000007E-2</v>
      </c>
      <c r="G54" s="175">
        <f>I54-D54</f>
        <v>0</v>
      </c>
      <c r="H54" s="158">
        <f>'Rate Design'!H41/100</f>
        <v>7.5870000000000007E-2</v>
      </c>
      <c r="I54" s="158">
        <f>'Rate Design'!H31/100</f>
        <v>7.7850000000000003E-2</v>
      </c>
      <c r="J54" s="332">
        <f>I54/D54-1</f>
        <v>0</v>
      </c>
      <c r="K54" s="449">
        <f t="shared" si="13"/>
        <v>0</v>
      </c>
      <c r="L54" s="449">
        <f t="shared" si="14"/>
        <v>0</v>
      </c>
      <c r="M54" s="407">
        <f>G54*'Pres &amp; Prop Rev'!H34</f>
        <v>0</v>
      </c>
      <c r="N54" s="407"/>
      <c r="O54" s="332"/>
    </row>
    <row r="55" spans="1:19">
      <c r="A55" s="257" t="str">
        <f>"All over "&amp;TEXT('Rate Design'!P9,"#,##0")&amp;" therms"</f>
        <v>All over 500,000 therms</v>
      </c>
      <c r="D55" s="158">
        <f>'Rate Design'!H10/100</f>
        <v>5.851E-2</v>
      </c>
      <c r="E55" s="176">
        <f>F55-D55</f>
        <v>-1.9799999999999957E-3</v>
      </c>
      <c r="F55" s="158">
        <f>'Rate Design'!H20/100</f>
        <v>5.6530000000000004E-2</v>
      </c>
      <c r="G55" s="175">
        <f>I55-D55</f>
        <v>0</v>
      </c>
      <c r="H55" s="158">
        <f>'Rate Design'!H42/100</f>
        <v>5.6530000000000004E-2</v>
      </c>
      <c r="I55" s="158">
        <f>'Rate Design'!H32/100</f>
        <v>5.851E-2</v>
      </c>
      <c r="J55" s="332">
        <f>I55/D55-1</f>
        <v>0</v>
      </c>
      <c r="K55" s="449">
        <f t="shared" si="13"/>
        <v>0</v>
      </c>
      <c r="L55" s="449">
        <f t="shared" si="14"/>
        <v>0</v>
      </c>
      <c r="M55" s="447">
        <f>G55*'Pres &amp; Prop Rev'!H35</f>
        <v>0</v>
      </c>
      <c r="N55" s="407"/>
      <c r="O55" s="332"/>
    </row>
    <row r="56" spans="1:19">
      <c r="A56" s="257" t="s">
        <v>295</v>
      </c>
      <c r="D56" s="337" t="s">
        <v>296</v>
      </c>
      <c r="E56" s="532">
        <v>9.3359999999999999E-2</v>
      </c>
      <c r="F56" s="331"/>
      <c r="G56" s="338"/>
      <c r="H56" s="338" t="s">
        <v>297</v>
      </c>
      <c r="I56" s="176">
        <f>I52</f>
        <v>9.3359999999999999E-2</v>
      </c>
      <c r="J56" s="332">
        <f>I56/E56-1</f>
        <v>0</v>
      </c>
      <c r="K56" s="332"/>
      <c r="L56" s="332"/>
      <c r="M56" s="407">
        <f>SUM(M49:M55)</f>
        <v>0</v>
      </c>
      <c r="N56" s="407">
        <f ca="1">M56-'Pres &amp; Prop Rev'!H195</f>
        <v>0</v>
      </c>
      <c r="O56" s="332"/>
    </row>
    <row r="57" spans="1:19">
      <c r="D57" s="333"/>
      <c r="E57" s="333"/>
      <c r="F57" s="333"/>
      <c r="G57" s="158"/>
      <c r="H57" s="158"/>
      <c r="M57" s="407">
        <f>'Pres &amp; Prop Rev'!H156-'Pres &amp; Prop Rev'!H107</f>
        <v>0</v>
      </c>
      <c r="N57" s="469" t="s">
        <v>498</v>
      </c>
    </row>
    <row r="58" spans="1:19">
      <c r="D58" s="333"/>
      <c r="E58" s="333"/>
      <c r="F58" s="333"/>
      <c r="G58" s="158"/>
      <c r="H58" s="158"/>
      <c r="M58" s="407"/>
      <c r="N58" s="407"/>
    </row>
    <row r="59" spans="1:19">
      <c r="D59" s="333"/>
      <c r="E59" s="333"/>
      <c r="F59" s="333"/>
      <c r="G59" s="158"/>
      <c r="H59" s="158"/>
      <c r="M59" s="407"/>
      <c r="N59" s="407"/>
    </row>
    <row r="60" spans="1:19">
      <c r="D60" s="333"/>
      <c r="E60" s="333"/>
      <c r="F60" s="333"/>
      <c r="G60" s="158"/>
      <c r="H60" s="158"/>
      <c r="M60" s="407"/>
      <c r="N60" s="407"/>
    </row>
    <row r="61" spans="1:19">
      <c r="A61" s="236" t="s">
        <v>635</v>
      </c>
      <c r="M61" s="407" t="e">
        <f>M17+M27+M38+M46+M56</f>
        <v>#REF!</v>
      </c>
      <c r="N61" s="407" t="e">
        <f ca="1">N17+N27+N38+N46+N56</f>
        <v>#VALUE!</v>
      </c>
    </row>
    <row r="62" spans="1:19">
      <c r="A62" s="463" t="s">
        <v>634</v>
      </c>
      <c r="M62" s="407"/>
      <c r="N62" s="407">
        <f ca="1">'Pres &amp; Prop Rev'!C190-'Pres &amp; Prop Rev'!C142</f>
        <v>0</v>
      </c>
      <c r="O62" s="460" t="s">
        <v>497</v>
      </c>
    </row>
    <row r="63" spans="1:19">
      <c r="M63" s="407"/>
      <c r="N63" s="407">
        <f>M57</f>
        <v>0</v>
      </c>
      <c r="O63" s="460" t="s">
        <v>499</v>
      </c>
    </row>
    <row r="64" spans="1:19" ht="13.5" thickBot="1">
      <c r="M64" s="407"/>
      <c r="N64" s="458" t="e">
        <f ca="1">SUM(N61:N63)</f>
        <v>#VALUE!</v>
      </c>
    </row>
    <row r="65" ht="13.5" thickTop="1"/>
  </sheetData>
  <mergeCells count="2">
    <mergeCell ref="A10:C10"/>
    <mergeCell ref="V15:W15"/>
  </mergeCells>
  <phoneticPr fontId="0" type="noConversion"/>
  <conditionalFormatting sqref="P38:T38 P27:T27">
    <cfRule type="expression" dxfId="7" priority="2" stopIfTrue="1">
      <formula>ROUND(P27,2)&lt;&gt;0</formula>
    </cfRule>
  </conditionalFormatting>
  <conditionalFormatting sqref="J18 O18">
    <cfRule type="cellIs" dxfId="6" priority="1" operator="notEqual">
      <formula>0</formula>
    </cfRule>
  </conditionalFormatting>
  <pageMargins left="0.5" right="0.5" top="0.5" bottom="0.75" header="0.5" footer="0.25"/>
  <pageSetup scale="87" orientation="portrait" r:id="rId1"/>
  <headerFooter alignWithMargins="0">
    <oddHeader>&amp;RExh. JDM-7</oddHeader>
    <oddFooter>&amp;RPage 3 of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5:I56"/>
  <sheetViews>
    <sheetView workbookViewId="0">
      <selection activeCell="G26" sqref="G26"/>
    </sheetView>
  </sheetViews>
  <sheetFormatPr defaultRowHeight="12.75"/>
  <cols>
    <col min="1" max="1" width="4.140625" customWidth="1"/>
    <col min="2" max="2" width="26.85546875" customWidth="1"/>
    <col min="3" max="3" width="8.7109375" bestFit="1" customWidth="1"/>
    <col min="4" max="4" width="18.140625" bestFit="1" customWidth="1"/>
    <col min="5" max="5" width="12.28515625" bestFit="1" customWidth="1"/>
    <col min="6" max="6" width="8.7109375" bestFit="1" customWidth="1"/>
    <col min="7" max="7" width="10.140625" bestFit="1" customWidth="1"/>
    <col min="8" max="8" width="12.28515625" bestFit="1" customWidth="1"/>
  </cols>
  <sheetData>
    <row r="5" spans="1:9">
      <c r="A5" s="165"/>
      <c r="B5" s="314"/>
      <c r="C5" s="314"/>
      <c r="D5" s="315"/>
      <c r="E5" s="314"/>
      <c r="F5" s="162"/>
      <c r="G5" s="314"/>
      <c r="H5" s="314"/>
      <c r="I5" s="314"/>
    </row>
    <row r="6" spans="1:9">
      <c r="A6" s="165"/>
      <c r="B6" s="314"/>
      <c r="C6" s="314"/>
      <c r="D6" s="315"/>
      <c r="E6" s="314"/>
      <c r="F6" s="162"/>
      <c r="G6" s="314"/>
      <c r="H6" s="314"/>
      <c r="I6" s="314"/>
    </row>
    <row r="7" spans="1:9">
      <c r="A7" s="165"/>
      <c r="B7" s="314"/>
      <c r="C7" s="314"/>
      <c r="D7" s="315"/>
      <c r="E7" s="314"/>
      <c r="F7" s="162"/>
      <c r="G7" s="314"/>
      <c r="H7" s="314"/>
      <c r="I7" s="314"/>
    </row>
    <row r="8" spans="1:9">
      <c r="A8" s="165"/>
      <c r="B8" s="314"/>
      <c r="C8" s="314"/>
      <c r="D8" s="315"/>
      <c r="E8" s="314"/>
      <c r="F8" s="162"/>
      <c r="G8" s="314"/>
      <c r="H8" s="314"/>
      <c r="I8" s="314"/>
    </row>
    <row r="9" spans="1:9">
      <c r="A9" s="165"/>
      <c r="B9" s="314"/>
      <c r="C9" s="314"/>
      <c r="D9" s="315"/>
      <c r="E9" s="314"/>
      <c r="F9" s="162"/>
      <c r="G9" s="314"/>
      <c r="H9" s="314"/>
      <c r="I9" s="314"/>
    </row>
    <row r="10" spans="1:9" ht="15.75">
      <c r="A10" s="515"/>
      <c r="B10" s="462"/>
      <c r="C10" s="460"/>
      <c r="D10" s="462"/>
      <c r="E10" s="462"/>
      <c r="F10" s="462"/>
    </row>
    <row r="11" spans="1:9">
      <c r="A11" s="462"/>
      <c r="B11" s="462"/>
      <c r="C11" s="460"/>
      <c r="D11" s="462"/>
      <c r="E11" s="462"/>
      <c r="F11" s="462"/>
    </row>
    <row r="12" spans="1:9">
      <c r="A12" s="462"/>
      <c r="B12" s="462"/>
      <c r="C12" s="318"/>
      <c r="D12" s="462"/>
      <c r="E12" s="319"/>
      <c r="F12" s="461"/>
    </row>
    <row r="13" spans="1:9">
      <c r="A13" s="462"/>
      <c r="B13" s="462"/>
      <c r="C13" s="318"/>
      <c r="D13" s="462"/>
      <c r="E13" s="462"/>
      <c r="F13" s="461"/>
    </row>
    <row r="14" spans="1:9">
      <c r="A14" s="462"/>
      <c r="B14" s="462"/>
      <c r="C14" s="462"/>
      <c r="D14" s="462"/>
      <c r="E14" s="317"/>
      <c r="F14" s="461"/>
    </row>
    <row r="15" spans="1:9">
      <c r="A15" s="320"/>
      <c r="B15" s="320"/>
      <c r="C15" s="320"/>
      <c r="D15" s="320"/>
      <c r="E15" s="320"/>
      <c r="F15" s="168"/>
    </row>
    <row r="16" spans="1:9">
      <c r="A16" s="462"/>
      <c r="B16" s="462"/>
      <c r="C16" s="462"/>
      <c r="D16" s="317"/>
      <c r="E16" s="462"/>
      <c r="F16" s="461"/>
    </row>
    <row r="17" spans="1:9">
      <c r="A17" s="462"/>
      <c r="B17" s="460"/>
      <c r="C17" s="462"/>
      <c r="D17" s="460"/>
      <c r="E17" s="460"/>
      <c r="F17" s="29"/>
    </row>
    <row r="18" spans="1:9">
      <c r="A18" s="462"/>
      <c r="B18" s="460"/>
      <c r="C18" s="324"/>
      <c r="D18" s="452"/>
      <c r="E18" s="317"/>
      <c r="F18" s="269"/>
      <c r="H18" s="411"/>
      <c r="I18" s="413"/>
    </row>
    <row r="19" spans="1:9">
      <c r="A19" s="462"/>
      <c r="B19" s="460"/>
      <c r="C19" s="324"/>
      <c r="D19" s="452"/>
      <c r="E19" s="317"/>
      <c r="F19" s="269"/>
      <c r="H19" s="411"/>
      <c r="I19" s="413"/>
    </row>
    <row r="20" spans="1:9">
      <c r="A20" s="462"/>
      <c r="B20" s="326"/>
      <c r="C20" s="324"/>
      <c r="D20" s="452"/>
      <c r="E20" s="317"/>
      <c r="F20" s="269"/>
      <c r="H20" s="411"/>
      <c r="I20" s="413"/>
    </row>
    <row r="21" spans="1:9">
      <c r="A21" s="462"/>
      <c r="B21" s="460"/>
      <c r="C21" s="462"/>
      <c r="D21" s="452"/>
      <c r="E21" s="317"/>
      <c r="F21" s="269"/>
      <c r="H21" s="411"/>
      <c r="I21" s="413"/>
    </row>
    <row r="22" spans="1:9">
      <c r="A22" s="462"/>
      <c r="B22" s="460"/>
      <c r="C22" s="324"/>
      <c r="D22" s="452"/>
      <c r="E22" s="317"/>
      <c r="F22" s="269"/>
      <c r="H22" s="411"/>
      <c r="I22" s="413"/>
    </row>
    <row r="23" spans="1:9">
      <c r="A23" s="462"/>
      <c r="B23" s="460"/>
      <c r="C23" s="324"/>
      <c r="D23" s="513"/>
      <c r="E23" s="271"/>
      <c r="F23" s="269"/>
      <c r="H23" s="411"/>
      <c r="I23" s="413"/>
    </row>
    <row r="24" spans="1:9">
      <c r="A24" s="462"/>
      <c r="B24" s="327"/>
      <c r="C24" s="462"/>
      <c r="D24" s="452"/>
      <c r="E24" s="317"/>
      <c r="F24" s="269"/>
      <c r="H24" s="411"/>
      <c r="I24" s="413"/>
    </row>
    <row r="25" spans="1:9">
      <c r="A25" s="462"/>
      <c r="B25" s="460"/>
      <c r="C25" s="462"/>
      <c r="D25" s="460"/>
      <c r="E25" s="328"/>
      <c r="F25" s="269"/>
    </row>
    <row r="26" spans="1:9">
      <c r="A26" s="462"/>
      <c r="B26" s="460"/>
      <c r="C26" s="462"/>
      <c r="D26" s="460"/>
      <c r="E26" s="328"/>
      <c r="F26" s="180"/>
    </row>
    <row r="27" spans="1:9">
      <c r="A27" s="462"/>
      <c r="B27" s="460"/>
      <c r="C27" s="462"/>
      <c r="D27" s="460"/>
      <c r="E27" s="328"/>
      <c r="F27" s="180"/>
    </row>
    <row r="28" spans="1:9" ht="15.75" hidden="1">
      <c r="A28" s="515"/>
      <c r="B28" s="462"/>
      <c r="C28" s="460"/>
      <c r="D28" s="462"/>
      <c r="E28" s="462"/>
      <c r="F28" s="462"/>
    </row>
    <row r="29" spans="1:9" hidden="1">
      <c r="A29" s="462"/>
      <c r="B29" s="462"/>
      <c r="C29" s="460"/>
      <c r="D29" s="462"/>
      <c r="E29" s="319"/>
      <c r="F29" s="462"/>
    </row>
    <row r="30" spans="1:9" hidden="1">
      <c r="A30" s="462"/>
      <c r="B30" s="462"/>
      <c r="C30" s="318"/>
      <c r="D30" s="462"/>
      <c r="E30" s="317"/>
      <c r="F30" s="461"/>
    </row>
    <row r="31" spans="1:9" hidden="1">
      <c r="A31" s="462"/>
      <c r="B31" s="462"/>
      <c r="C31" s="318"/>
      <c r="D31" s="462"/>
      <c r="E31" s="317"/>
      <c r="F31" s="461"/>
    </row>
    <row r="32" spans="1:9" hidden="1">
      <c r="A32" s="462"/>
      <c r="B32" s="462"/>
      <c r="C32" s="462"/>
      <c r="D32" s="462"/>
      <c r="E32" s="317"/>
      <c r="F32" s="461"/>
    </row>
    <row r="33" spans="1:9" hidden="1">
      <c r="A33" s="320"/>
      <c r="B33" s="320"/>
      <c r="C33" s="320"/>
      <c r="D33" s="320"/>
      <c r="E33" s="320"/>
      <c r="F33" s="168"/>
    </row>
    <row r="34" spans="1:9" hidden="1">
      <c r="A34" s="462"/>
      <c r="B34" s="462"/>
      <c r="C34" s="462"/>
      <c r="D34" s="317"/>
      <c r="E34" s="462"/>
      <c r="F34" s="461"/>
    </row>
    <row r="35" spans="1:9" hidden="1">
      <c r="A35" s="462"/>
      <c r="B35" s="460"/>
      <c r="C35" s="462"/>
      <c r="D35" s="460"/>
      <c r="E35" s="460"/>
      <c r="F35" s="29"/>
    </row>
    <row r="36" spans="1:9" hidden="1">
      <c r="A36" s="462"/>
      <c r="B36" s="460"/>
      <c r="C36" s="324"/>
      <c r="D36" s="452"/>
      <c r="E36" s="317"/>
      <c r="F36" s="269"/>
    </row>
    <row r="37" spans="1:9" hidden="1">
      <c r="A37" s="462"/>
      <c r="B37" s="460"/>
      <c r="C37" s="324"/>
      <c r="D37" s="452"/>
      <c r="E37" s="317"/>
      <c r="F37" s="269"/>
    </row>
    <row r="38" spans="1:9" hidden="1">
      <c r="A38" s="462"/>
      <c r="B38" s="326"/>
      <c r="C38" s="324"/>
      <c r="D38" s="452"/>
      <c r="E38" s="317"/>
      <c r="F38" s="269"/>
    </row>
    <row r="39" spans="1:9" hidden="1">
      <c r="A39" s="462"/>
      <c r="B39" s="460"/>
      <c r="C39" s="462"/>
      <c r="D39" s="452"/>
      <c r="E39" s="317"/>
      <c r="F39" s="269"/>
    </row>
    <row r="40" spans="1:9" hidden="1">
      <c r="A40" s="462"/>
      <c r="B40" s="460"/>
      <c r="C40" s="324"/>
      <c r="D40" s="452"/>
      <c r="E40" s="317"/>
      <c r="F40" s="269"/>
    </row>
    <row r="41" spans="1:9" hidden="1">
      <c r="A41" s="462"/>
      <c r="B41" s="460"/>
      <c r="C41" s="324"/>
      <c r="D41" s="516"/>
      <c r="E41" s="271"/>
      <c r="F41" s="269"/>
    </row>
    <row r="42" spans="1:9" hidden="1">
      <c r="A42" s="462"/>
      <c r="B42" s="327"/>
      <c r="C42" s="462"/>
      <c r="D42" s="452"/>
      <c r="E42" s="317"/>
      <c r="F42" s="269"/>
    </row>
    <row r="43" spans="1:9" hidden="1">
      <c r="A43" s="462"/>
      <c r="B43" s="460"/>
      <c r="C43" s="462"/>
      <c r="D43" s="460"/>
      <c r="E43" s="328"/>
      <c r="F43" s="180"/>
    </row>
    <row r="44" spans="1:9" hidden="1">
      <c r="A44" s="462"/>
      <c r="B44" s="460"/>
      <c r="D44" s="460"/>
      <c r="E44" s="328"/>
      <c r="F44" s="180"/>
    </row>
    <row r="45" spans="1:9" hidden="1">
      <c r="A45" s="460"/>
      <c r="B45" s="460"/>
      <c r="C45" s="462"/>
      <c r="D45" s="460"/>
      <c r="E45" s="460"/>
      <c r="F45" s="460"/>
    </row>
    <row r="46" spans="1:9">
      <c r="A46" s="462"/>
      <c r="B46" s="460"/>
      <c r="C46" s="462"/>
      <c r="D46" s="345"/>
      <c r="E46" s="345"/>
      <c r="F46" s="161"/>
      <c r="G46" s="460"/>
      <c r="H46" s="460"/>
      <c r="I46" s="460"/>
    </row>
    <row r="47" spans="1:9">
      <c r="A47" s="460"/>
      <c r="B47" s="460"/>
      <c r="C47" s="462"/>
      <c r="D47" s="345"/>
      <c r="E47" s="345"/>
      <c r="F47" s="161"/>
      <c r="G47" s="460"/>
      <c r="H47" s="460"/>
      <c r="I47" s="460"/>
    </row>
    <row r="48" spans="1:9">
      <c r="A48" s="463"/>
      <c r="B48" s="460"/>
      <c r="C48" s="462"/>
      <c r="D48" s="345"/>
      <c r="E48" s="345"/>
      <c r="F48" s="161"/>
      <c r="G48" s="460"/>
      <c r="H48" s="460"/>
      <c r="I48" s="460"/>
    </row>
    <row r="49" spans="1:9">
      <c r="A49" s="463"/>
      <c r="B49" s="460"/>
      <c r="C49" s="462"/>
      <c r="D49" s="345"/>
      <c r="E49" s="345"/>
      <c r="F49" s="161"/>
      <c r="G49" s="460"/>
      <c r="H49" s="460"/>
      <c r="I49" s="460"/>
    </row>
    <row r="51" spans="1:9">
      <c r="A51" s="520"/>
    </row>
    <row r="55" spans="1:9">
      <c r="C55" s="462"/>
      <c r="D55" s="242"/>
      <c r="E55" s="514"/>
    </row>
    <row r="56" spans="1:9">
      <c r="C56" s="462"/>
      <c r="D56" s="242"/>
      <c r="E56" s="514"/>
    </row>
  </sheetData>
  <conditionalFormatting sqref="E26:F27 D55:D56 E43:F44 E25">
    <cfRule type="expression" dxfId="5" priority="1" stopIfTrue="1">
      <formula>ABS(D25)&gt;0.1</formula>
    </cfRule>
  </conditionalFormatting>
  <pageMargins left="0.7" right="0.7" top="0.75" bottom="0.75" header="0.3" footer="0.3"/>
  <pageSetup orientation="portrait" r:id="rId1"/>
  <headerFooter>
    <oddHeader>&amp;RExh. JDM-7</oddHeader>
    <oddFooter>&amp;RPage 4 of 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I51"/>
  <sheetViews>
    <sheetView workbookViewId="0">
      <selection activeCell="L33" sqref="L33"/>
    </sheetView>
  </sheetViews>
  <sheetFormatPr defaultRowHeight="12.75"/>
  <cols>
    <col min="1" max="1" width="4.140625" customWidth="1"/>
    <col min="2" max="2" width="21.7109375" customWidth="1"/>
    <col min="3" max="3" width="8.7109375" bestFit="1" customWidth="1"/>
    <col min="4" max="4" width="14.42578125" bestFit="1" customWidth="1"/>
    <col min="5" max="7" width="12.28515625" bestFit="1" customWidth="1"/>
    <col min="8" max="8" width="9.85546875" customWidth="1"/>
  </cols>
  <sheetData>
    <row r="2" spans="1:9">
      <c r="A2" s="552"/>
      <c r="B2" s="552"/>
      <c r="C2" s="552"/>
      <c r="D2" s="552"/>
      <c r="E2" s="552"/>
      <c r="F2" s="552"/>
      <c r="G2" s="552"/>
      <c r="H2" s="552"/>
      <c r="I2" s="380"/>
    </row>
    <row r="3" spans="1:9">
      <c r="A3" s="552"/>
      <c r="B3" s="552"/>
      <c r="C3" s="552"/>
      <c r="D3" s="552"/>
      <c r="E3" s="552"/>
      <c r="F3" s="552"/>
      <c r="G3" s="552"/>
      <c r="H3" s="552"/>
      <c r="I3" s="314"/>
    </row>
    <row r="4" spans="1:9">
      <c r="A4" s="552"/>
      <c r="B4" s="552"/>
      <c r="C4" s="552"/>
      <c r="D4" s="552"/>
      <c r="E4" s="552"/>
      <c r="F4" s="552"/>
      <c r="G4" s="552"/>
      <c r="H4" s="552"/>
      <c r="I4" s="314"/>
    </row>
    <row r="5" spans="1:9">
      <c r="A5" s="552"/>
      <c r="B5" s="552"/>
      <c r="C5" s="552"/>
      <c r="D5" s="552"/>
      <c r="E5" s="552"/>
      <c r="F5" s="552"/>
      <c r="G5" s="552"/>
      <c r="H5" s="552"/>
      <c r="I5" s="314"/>
    </row>
    <row r="6" spans="1:9">
      <c r="A6" s="552"/>
      <c r="B6" s="552"/>
      <c r="C6" s="552"/>
      <c r="D6" s="552"/>
      <c r="E6" s="552"/>
      <c r="F6" s="552"/>
      <c r="G6" s="552"/>
      <c r="H6" s="552"/>
      <c r="I6" s="314"/>
    </row>
    <row r="7" spans="1:9">
      <c r="A7" s="166"/>
      <c r="B7" s="314"/>
      <c r="C7" s="314"/>
      <c r="D7" s="315"/>
      <c r="E7" s="314"/>
      <c r="F7" s="162"/>
      <c r="G7" s="314"/>
      <c r="H7" s="314"/>
      <c r="I7" s="314"/>
    </row>
    <row r="8" spans="1:9" ht="15.75">
      <c r="A8" s="515"/>
      <c r="B8" s="462"/>
      <c r="C8" s="460"/>
      <c r="D8" s="166"/>
      <c r="E8" s="462"/>
      <c r="F8" s="462"/>
      <c r="G8" s="318"/>
    </row>
    <row r="9" spans="1:9">
      <c r="A9" s="462"/>
      <c r="B9" s="462"/>
      <c r="C9" s="460"/>
      <c r="D9" s="452"/>
      <c r="E9" s="462"/>
      <c r="F9" s="462"/>
      <c r="G9" s="318"/>
    </row>
    <row r="10" spans="1:9">
      <c r="A10" s="462"/>
      <c r="B10" s="462"/>
      <c r="C10" s="318"/>
      <c r="D10" s="319"/>
      <c r="E10" s="462"/>
      <c r="F10" s="319"/>
      <c r="G10" s="163"/>
    </row>
    <row r="11" spans="1:9">
      <c r="A11" s="462"/>
      <c r="B11" s="462"/>
      <c r="C11" s="318"/>
      <c r="D11" s="317"/>
      <c r="E11" s="462"/>
      <c r="F11" s="461"/>
      <c r="G11" s="163"/>
    </row>
    <row r="12" spans="1:9">
      <c r="A12" s="462"/>
      <c r="B12" s="462"/>
      <c r="C12" s="462"/>
      <c r="D12" s="317"/>
      <c r="E12" s="462"/>
      <c r="F12" s="166"/>
      <c r="G12" s="163"/>
    </row>
    <row r="13" spans="1:9">
      <c r="A13" s="320"/>
      <c r="B13" s="320"/>
      <c r="C13" s="320"/>
      <c r="D13" s="321"/>
      <c r="E13" s="320"/>
      <c r="F13" s="168"/>
      <c r="G13" s="163"/>
    </row>
    <row r="14" spans="1:9">
      <c r="A14" s="462"/>
      <c r="B14" s="462"/>
      <c r="C14" s="462"/>
      <c r="D14" s="317"/>
      <c r="E14" s="462"/>
      <c r="F14" s="461"/>
      <c r="G14" s="163"/>
    </row>
    <row r="15" spans="1:9">
      <c r="A15" s="462"/>
      <c r="B15" s="460"/>
      <c r="C15" s="462"/>
      <c r="D15" s="323"/>
      <c r="E15" s="460"/>
      <c r="F15" s="29"/>
      <c r="G15" s="287"/>
    </row>
    <row r="16" spans="1:9">
      <c r="A16" s="462"/>
      <c r="B16" s="460"/>
      <c r="C16" s="324"/>
      <c r="D16" s="317"/>
      <c r="E16" s="522"/>
      <c r="F16" s="158"/>
      <c r="G16" s="525"/>
    </row>
    <row r="17" spans="1:9">
      <c r="A17" s="462"/>
      <c r="B17" s="460"/>
      <c r="C17" s="324"/>
      <c r="D17" s="317"/>
      <c r="E17" s="522"/>
      <c r="F17" s="158"/>
      <c r="G17" s="525"/>
    </row>
    <row r="18" spans="1:9">
      <c r="A18" s="462"/>
      <c r="B18" s="326"/>
      <c r="C18" s="324"/>
      <c r="D18" s="317"/>
      <c r="E18" s="522"/>
      <c r="F18" s="158"/>
      <c r="G18" s="525"/>
    </row>
    <row r="19" spans="1:9">
      <c r="A19" s="462"/>
      <c r="B19" s="460"/>
      <c r="C19" s="462"/>
      <c r="D19" s="317"/>
      <c r="E19" s="522"/>
      <c r="F19" s="158"/>
      <c r="G19" s="525"/>
    </row>
    <row r="20" spans="1:9">
      <c r="A20" s="462"/>
      <c r="B20" s="460"/>
      <c r="C20" s="324"/>
      <c r="D20" s="317"/>
      <c r="E20" s="522"/>
      <c r="F20" s="158"/>
      <c r="G20" s="525"/>
    </row>
    <row r="21" spans="1:9">
      <c r="A21" s="462"/>
      <c r="B21" s="460"/>
      <c r="C21" s="324"/>
      <c r="D21" s="271"/>
      <c r="E21" s="523"/>
      <c r="F21" s="158"/>
      <c r="G21" s="525"/>
    </row>
    <row r="22" spans="1:9">
      <c r="A22" s="462"/>
      <c r="B22" s="327"/>
      <c r="C22" s="462"/>
      <c r="D22" s="317"/>
      <c r="E22" s="522"/>
      <c r="F22" s="524"/>
      <c r="G22" s="525"/>
    </row>
    <row r="23" spans="1:9">
      <c r="A23" s="462"/>
      <c r="B23" s="460"/>
      <c r="C23" s="462"/>
      <c r="D23" s="242"/>
      <c r="E23" s="269"/>
      <c r="F23" s="460"/>
      <c r="G23" s="526"/>
      <c r="H23" s="180"/>
    </row>
    <row r="24" spans="1:9">
      <c r="A24" s="549"/>
      <c r="B24" s="549"/>
      <c r="C24" s="549"/>
      <c r="D24" s="549"/>
      <c r="E24" s="549"/>
      <c r="F24" s="549"/>
      <c r="G24" s="549"/>
      <c r="H24" s="180"/>
    </row>
    <row r="25" spans="1:9">
      <c r="A25" s="549"/>
      <c r="B25" s="549"/>
      <c r="C25" s="549"/>
      <c r="D25" s="549"/>
      <c r="E25" s="549"/>
      <c r="F25" s="549"/>
      <c r="G25" s="549"/>
      <c r="H25" s="328"/>
      <c r="I25" s="180"/>
    </row>
    <row r="26" spans="1:9">
      <c r="A26" s="539"/>
      <c r="B26" s="539"/>
      <c r="C26" s="539"/>
      <c r="D26" s="539"/>
      <c r="E26" s="539"/>
      <c r="F26" s="539"/>
      <c r="G26" s="539"/>
      <c r="H26" s="328"/>
      <c r="I26" s="180"/>
    </row>
    <row r="27" spans="1:9">
      <c r="A27" s="539"/>
      <c r="B27" s="539"/>
      <c r="C27" s="539"/>
      <c r="D27" s="539"/>
      <c r="E27" s="539"/>
      <c r="F27" s="539"/>
      <c r="G27" s="539"/>
      <c r="H27" s="328"/>
      <c r="I27" s="180"/>
    </row>
    <row r="28" spans="1:9" ht="15.75">
      <c r="A28" s="515"/>
      <c r="B28" s="462"/>
      <c r="C28" s="460"/>
      <c r="D28" s="317"/>
      <c r="E28" s="166"/>
      <c r="F28" s="159"/>
      <c r="G28" s="462"/>
      <c r="H28" s="462"/>
      <c r="I28" s="462"/>
    </row>
    <row r="29" spans="1:9">
      <c r="A29" s="462"/>
      <c r="B29" s="462"/>
      <c r="C29" s="460"/>
      <c r="D29" s="452"/>
      <c r="E29" s="452"/>
      <c r="F29" s="452"/>
      <c r="G29" s="319"/>
      <c r="H29" s="462"/>
    </row>
    <row r="30" spans="1:9">
      <c r="A30" s="462"/>
      <c r="B30" s="462"/>
      <c r="C30" s="318"/>
      <c r="D30" s="319"/>
      <c r="E30" s="319"/>
      <c r="F30" s="319"/>
      <c r="G30" s="317"/>
      <c r="H30" s="529"/>
    </row>
    <row r="31" spans="1:9">
      <c r="A31" s="462"/>
      <c r="B31" s="462"/>
      <c r="C31" s="318"/>
      <c r="D31" s="317"/>
      <c r="E31" s="317"/>
      <c r="F31" s="317"/>
      <c r="G31" s="317"/>
      <c r="H31" s="461"/>
    </row>
    <row r="32" spans="1:9">
      <c r="A32" s="462"/>
      <c r="B32" s="462"/>
      <c r="C32" s="462"/>
      <c r="D32" s="317"/>
      <c r="E32" s="317"/>
      <c r="F32" s="317"/>
      <c r="G32" s="317"/>
      <c r="H32" s="166"/>
    </row>
    <row r="33" spans="1:9">
      <c r="A33" s="320"/>
      <c r="B33" s="320"/>
      <c r="C33" s="320"/>
      <c r="D33" s="321"/>
      <c r="E33" s="321"/>
      <c r="F33" s="321"/>
      <c r="G33" s="320"/>
      <c r="H33" s="168"/>
    </row>
    <row r="34" spans="1:9">
      <c r="A34" s="462"/>
      <c r="B34" s="462"/>
      <c r="C34" s="462"/>
      <c r="D34" s="317"/>
      <c r="E34" s="462"/>
      <c r="F34" s="462"/>
      <c r="G34" s="462"/>
      <c r="H34" s="461"/>
    </row>
    <row r="35" spans="1:9">
      <c r="A35" s="462"/>
      <c r="B35" s="460"/>
      <c r="C35" s="462"/>
      <c r="D35" s="322"/>
      <c r="E35" s="323"/>
      <c r="F35" s="460"/>
      <c r="G35" s="460"/>
      <c r="H35" s="29"/>
    </row>
    <row r="36" spans="1:9">
      <c r="A36" s="462"/>
      <c r="B36" s="460"/>
      <c r="C36" s="324"/>
      <c r="D36" s="317"/>
      <c r="E36" s="317"/>
      <c r="F36" s="452"/>
      <c r="G36" s="527"/>
      <c r="H36" s="158"/>
    </row>
    <row r="37" spans="1:9">
      <c r="A37" s="462"/>
      <c r="B37" s="460"/>
      <c r="C37" s="324"/>
      <c r="D37" s="317"/>
      <c r="E37" s="317"/>
      <c r="F37" s="452"/>
      <c r="G37" s="527"/>
      <c r="H37" s="158"/>
    </row>
    <row r="38" spans="1:9">
      <c r="A38" s="462"/>
      <c r="B38" s="326"/>
      <c r="C38" s="324"/>
      <c r="D38" s="317"/>
      <c r="E38" s="317"/>
      <c r="F38" s="452"/>
      <c r="G38" s="527"/>
      <c r="H38" s="158"/>
    </row>
    <row r="39" spans="1:9">
      <c r="A39" s="462"/>
      <c r="B39" s="460"/>
      <c r="C39" s="462"/>
      <c r="D39" s="317"/>
      <c r="E39" s="317"/>
      <c r="F39" s="452"/>
      <c r="G39" s="527"/>
      <c r="H39" s="158"/>
    </row>
    <row r="40" spans="1:9">
      <c r="A40" s="462"/>
      <c r="B40" s="460"/>
      <c r="C40" s="324"/>
      <c r="D40" s="317"/>
      <c r="E40" s="317"/>
      <c r="F40" s="452"/>
      <c r="G40" s="527"/>
      <c r="H40" s="158"/>
    </row>
    <row r="41" spans="1:9" ht="15">
      <c r="A41" s="462"/>
      <c r="B41" s="460"/>
      <c r="C41" s="324"/>
      <c r="D41" s="271"/>
      <c r="E41" s="271"/>
      <c r="F41" s="516"/>
      <c r="G41" s="530"/>
      <c r="H41" s="158"/>
    </row>
    <row r="42" spans="1:9">
      <c r="A42" s="462"/>
      <c r="B42" s="327"/>
      <c r="C42" s="462"/>
      <c r="D42" s="317"/>
      <c r="E42" s="317"/>
      <c r="F42" s="452"/>
      <c r="G42" s="528"/>
      <c r="H42" s="269"/>
    </row>
    <row r="43" spans="1:9">
      <c r="A43" s="462"/>
      <c r="B43" s="460"/>
      <c r="C43" s="462"/>
      <c r="D43" s="242"/>
      <c r="E43" s="242"/>
      <c r="F43" s="460"/>
      <c r="G43" s="328"/>
      <c r="H43" s="180"/>
    </row>
    <row r="44" spans="1:9">
      <c r="A44" s="462"/>
      <c r="B44" s="460"/>
      <c r="F44" s="460"/>
      <c r="G44" s="328"/>
      <c r="H44" s="180"/>
    </row>
    <row r="45" spans="1:9">
      <c r="A45" s="462"/>
      <c r="B45" s="460"/>
      <c r="C45" s="462"/>
      <c r="D45" s="345"/>
      <c r="E45" s="345"/>
      <c r="F45" s="161"/>
      <c r="G45" s="460"/>
      <c r="H45" s="460"/>
      <c r="I45" s="460"/>
    </row>
    <row r="46" spans="1:9">
      <c r="A46" s="549"/>
      <c r="B46" s="549"/>
      <c r="C46" s="549"/>
      <c r="D46" s="549"/>
      <c r="E46" s="549"/>
      <c r="F46" s="549"/>
      <c r="G46" s="549"/>
    </row>
    <row r="47" spans="1:9">
      <c r="A47" s="549"/>
      <c r="B47" s="549"/>
      <c r="C47" s="549"/>
      <c r="D47" s="549"/>
      <c r="E47" s="549"/>
      <c r="F47" s="549"/>
      <c r="G47" s="549"/>
    </row>
    <row r="50" spans="3:5">
      <c r="C50" s="462" t="s">
        <v>579</v>
      </c>
      <c r="D50" s="242"/>
      <c r="E50" s="469">
        <f>'Exh4'!E55</f>
        <v>0</v>
      </c>
    </row>
    <row r="51" spans="3:5">
      <c r="C51" s="462" t="s">
        <v>580</v>
      </c>
      <c r="D51" s="242"/>
      <c r="E51" s="469">
        <f>'Exh4'!E56</f>
        <v>0</v>
      </c>
    </row>
  </sheetData>
  <mergeCells count="7">
    <mergeCell ref="A46:G47"/>
    <mergeCell ref="A2:H2"/>
    <mergeCell ref="A3:H3"/>
    <mergeCell ref="A4:H4"/>
    <mergeCell ref="A5:H5"/>
    <mergeCell ref="A6:H6"/>
    <mergeCell ref="A24:G25"/>
  </mergeCells>
  <conditionalFormatting sqref="D50:D51 G43:H44 D43:E43 D23 H25:I27 G23:H23 H24">
    <cfRule type="expression" dxfId="4" priority="1" stopIfTrue="1">
      <formula>ABS(D23)&gt;0.1</formula>
    </cfRule>
  </conditionalFormatting>
  <pageMargins left="0.7" right="0.7" top="0.75" bottom="0.75" header="0.3" footer="0.3"/>
  <pageSetup scale="96" orientation="portrait" r:id="rId1"/>
  <headerFooter>
    <oddHeader>&amp;RExh. JDM-7</oddHeader>
    <oddFooter>&amp;RPage 5 of 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pageSetUpPr fitToPage="1"/>
  </sheetPr>
  <dimension ref="B1:R94"/>
  <sheetViews>
    <sheetView showGridLines="0" zoomScale="75" workbookViewId="0">
      <pane xSplit="2" ySplit="7" topLeftCell="C8" activePane="bottomRight" state="frozen"/>
      <selection pane="topRight" activeCell="C1" sqref="C1"/>
      <selection pane="bottomLeft" activeCell="A3" sqref="A3"/>
      <selection pane="bottomRight" activeCell="J29" sqref="J29"/>
    </sheetView>
  </sheetViews>
  <sheetFormatPr defaultRowHeight="12.75"/>
  <cols>
    <col min="1" max="1" width="1.7109375" customWidth="1"/>
    <col min="2" max="2" width="42" customWidth="1"/>
    <col min="3" max="3" width="14.85546875" bestFit="1" customWidth="1"/>
    <col min="4" max="4" width="14.5703125" bestFit="1" customWidth="1"/>
    <col min="5" max="5" width="14" bestFit="1" customWidth="1"/>
    <col min="6" max="6" width="14.5703125" hidden="1" customWidth="1"/>
    <col min="7" max="8" width="12.7109375" customWidth="1"/>
    <col min="9" max="9" width="14.140625" bestFit="1" customWidth="1"/>
    <col min="11" max="11" width="16" bestFit="1" customWidth="1"/>
    <col min="12" max="12" width="12.7109375" bestFit="1" customWidth="1"/>
    <col min="13" max="13" width="10.5703125" bestFit="1" customWidth="1"/>
    <col min="14" max="14" width="9.85546875" bestFit="1" customWidth="1"/>
    <col min="15" max="15" width="10.5703125" bestFit="1" customWidth="1"/>
  </cols>
  <sheetData>
    <row r="1" spans="2:18">
      <c r="B1" s="37" t="s">
        <v>103</v>
      </c>
      <c r="C1" s="51"/>
      <c r="D1" s="51"/>
      <c r="E1" s="51"/>
      <c r="F1" s="51"/>
      <c r="G1" s="51"/>
      <c r="H1" s="51"/>
    </row>
    <row r="2" spans="2:18">
      <c r="B2" s="37" t="s">
        <v>340</v>
      </c>
      <c r="C2" s="51"/>
      <c r="D2" s="51"/>
      <c r="E2" s="51"/>
      <c r="F2" s="51"/>
      <c r="G2" s="51"/>
      <c r="H2" s="51"/>
    </row>
    <row r="3" spans="2:18">
      <c r="B3" s="37" t="s">
        <v>281</v>
      </c>
      <c r="C3" s="51"/>
      <c r="D3" s="51"/>
      <c r="E3" s="51"/>
      <c r="F3" s="51"/>
      <c r="G3" s="51"/>
      <c r="H3" s="51"/>
    </row>
    <row r="4" spans="2:18">
      <c r="B4" s="37" t="s">
        <v>650</v>
      </c>
      <c r="C4" s="51"/>
      <c r="D4" s="51"/>
      <c r="E4" s="51"/>
      <c r="F4" s="51"/>
      <c r="G4" s="51"/>
      <c r="H4" s="51"/>
    </row>
    <row r="5" spans="2:18">
      <c r="B5" s="37"/>
      <c r="C5" s="51"/>
      <c r="D5" s="51"/>
      <c r="E5" s="51"/>
      <c r="F5" s="51"/>
      <c r="G5" s="51"/>
      <c r="H5" s="51"/>
    </row>
    <row r="7" spans="2:18">
      <c r="C7" s="30" t="s">
        <v>59</v>
      </c>
      <c r="D7" s="30" t="s">
        <v>60</v>
      </c>
      <c r="E7" s="30" t="s">
        <v>61</v>
      </c>
      <c r="F7" s="30" t="s">
        <v>62</v>
      </c>
      <c r="G7" s="30" t="s">
        <v>63</v>
      </c>
      <c r="H7" s="30" t="s">
        <v>64</v>
      </c>
    </row>
    <row r="8" spans="2:18">
      <c r="B8" s="210" t="s">
        <v>299</v>
      </c>
      <c r="C8" s="184">
        <f>SUM(D8:H8)</f>
        <v>398990999.99999994</v>
      </c>
      <c r="D8" s="491">
        <v>321257220.73903728</v>
      </c>
      <c r="E8" s="491">
        <v>59244238.429565534</v>
      </c>
      <c r="F8" s="491">
        <v>0.22082633472281846</v>
      </c>
      <c r="G8" s="491">
        <v>769069.01637623529</v>
      </c>
      <c r="H8" s="491">
        <v>17720471.594194558</v>
      </c>
      <c r="I8" s="35" t="s">
        <v>197</v>
      </c>
      <c r="J8" t="s">
        <v>480</v>
      </c>
      <c r="M8" s="360">
        <f>D8/$C$8</f>
        <v>0.80517410352373198</v>
      </c>
      <c r="N8" s="360">
        <f t="shared" ref="N8:Q8" si="0">E8/$C$8</f>
        <v>0.14848514986444691</v>
      </c>
      <c r="O8" s="360">
        <f t="shared" si="0"/>
        <v>5.5346194456220437E-10</v>
      </c>
      <c r="P8" s="360">
        <f t="shared" si="0"/>
        <v>1.9275347473407555E-3</v>
      </c>
      <c r="Q8" s="360">
        <f t="shared" si="0"/>
        <v>4.4413211311018441E-2</v>
      </c>
      <c r="R8" s="360"/>
    </row>
    <row r="9" spans="2:18">
      <c r="D9" s="44"/>
      <c r="E9" s="44"/>
      <c r="F9" s="44"/>
      <c r="G9" s="44"/>
      <c r="H9" s="44"/>
    </row>
    <row r="10" spans="2:18">
      <c r="B10" t="s">
        <v>300</v>
      </c>
      <c r="C10" s="184">
        <f>SUM(D10:H10)</f>
        <v>91987000</v>
      </c>
      <c r="D10" s="492">
        <v>71132000</v>
      </c>
      <c r="E10" s="492">
        <f>17111000+307000</f>
        <v>17418000</v>
      </c>
      <c r="F10" s="492">
        <v>0</v>
      </c>
      <c r="G10" s="492">
        <v>201000</v>
      </c>
      <c r="H10" s="492">
        <v>3236000</v>
      </c>
      <c r="I10" s="35" t="s">
        <v>197</v>
      </c>
      <c r="J10" t="s">
        <v>481</v>
      </c>
      <c r="M10" s="360">
        <f>D10/$C$10</f>
        <v>0.77328318131909946</v>
      </c>
      <c r="N10" s="360">
        <f t="shared" ref="N10:Q10" si="1">E10/$C$10</f>
        <v>0.18935284333655841</v>
      </c>
      <c r="O10" s="360">
        <f t="shared" si="1"/>
        <v>0</v>
      </c>
      <c r="P10" s="360">
        <f t="shared" si="1"/>
        <v>2.1850913716068574E-3</v>
      </c>
      <c r="Q10" s="360">
        <f t="shared" si="1"/>
        <v>3.5178883972735275E-2</v>
      </c>
    </row>
    <row r="11" spans="2:18">
      <c r="B11" t="s">
        <v>301</v>
      </c>
      <c r="C11" s="34">
        <f>SUM(D11:H11)</f>
        <v>2053000.0000000009</v>
      </c>
      <c r="D11" s="492">
        <v>1691771.5972396433</v>
      </c>
      <c r="E11" s="492">
        <v>259781.32845479622</v>
      </c>
      <c r="F11" s="492">
        <v>1.3084324994275299E-3</v>
      </c>
      <c r="G11" s="492">
        <v>2948.7737150395114</v>
      </c>
      <c r="H11" s="492">
        <v>98498.299282089341</v>
      </c>
      <c r="I11" s="35" t="s">
        <v>197</v>
      </c>
      <c r="J11" t="s">
        <v>482</v>
      </c>
    </row>
    <row r="12" spans="2:18">
      <c r="B12" s="35" t="s">
        <v>302</v>
      </c>
      <c r="C12" s="211">
        <f>IF(ROUND(C10+C11,0)&lt;&gt;ROUND(SUM(D12:H12),0),#VALUE!,SUM(D12:H12))</f>
        <v>94039999.999999985</v>
      </c>
      <c r="D12" s="211">
        <f>D10+D11</f>
        <v>72823771.597239643</v>
      </c>
      <c r="E12" s="211">
        <f>E10+E11</f>
        <v>17677781.328454796</v>
      </c>
      <c r="F12" s="211">
        <f>F10+F11</f>
        <v>1.3084324994275299E-3</v>
      </c>
      <c r="G12" s="211">
        <f>G10+G11</f>
        <v>203948.77371503951</v>
      </c>
      <c r="H12" s="211">
        <f>H10+H11</f>
        <v>3334498.2992820893</v>
      </c>
    </row>
    <row r="13" spans="2:18">
      <c r="C13" s="34"/>
      <c r="D13" s="34"/>
      <c r="E13" s="34"/>
      <c r="F13" s="34"/>
      <c r="G13" s="34"/>
      <c r="H13" s="34"/>
    </row>
    <row r="14" spans="2:18">
      <c r="B14" t="s">
        <v>303</v>
      </c>
      <c r="C14" s="34">
        <f>SUM(D14:H14)</f>
        <v>67633000.039522499</v>
      </c>
      <c r="D14" s="212">
        <f>D17-D15-D16</f>
        <v>57883054.437609337</v>
      </c>
      <c r="E14" s="212">
        <f>E17-E15-E16</f>
        <v>7604856.3663164359</v>
      </c>
      <c r="F14" s="212">
        <f>F17-F15-F16</f>
        <v>2.6439783700658678E-2</v>
      </c>
      <c r="G14" s="212">
        <f>G17-G15-G16</f>
        <v>97108.848378712923</v>
      </c>
      <c r="H14" s="212">
        <f>H17-H15-H16</f>
        <v>2047980.3607782235</v>
      </c>
      <c r="I14" s="184"/>
    </row>
    <row r="15" spans="2:18">
      <c r="B15" t="s">
        <v>334</v>
      </c>
      <c r="C15" s="34">
        <f>SUM(D15:H15)</f>
        <v>4340000</v>
      </c>
      <c r="D15" s="464">
        <v>3356040.3161087772</v>
      </c>
      <c r="E15" s="464">
        <v>821817.61861881835</v>
      </c>
      <c r="F15" s="464">
        <v>0</v>
      </c>
      <c r="G15" s="464">
        <v>9484.7128546852073</v>
      </c>
      <c r="H15" s="464">
        <v>152657.35241771952</v>
      </c>
      <c r="I15" s="35" t="s">
        <v>197</v>
      </c>
      <c r="J15" t="s">
        <v>485</v>
      </c>
    </row>
    <row r="16" spans="2:18">
      <c r="B16" t="s">
        <v>304</v>
      </c>
      <c r="C16" s="34">
        <f>SUM(D16:H16)</f>
        <v>1831999.9999999995</v>
      </c>
      <c r="D16" s="493">
        <v>516154.31791963766</v>
      </c>
      <c r="E16" s="493">
        <v>1198654.6003068441</v>
      </c>
      <c r="F16" s="493">
        <v>-4.777583980764776E-3</v>
      </c>
      <c r="G16" s="493">
        <v>12037.617129560669</v>
      </c>
      <c r="H16" s="493">
        <v>105153.46942154113</v>
      </c>
      <c r="I16" s="35" t="s">
        <v>197</v>
      </c>
      <c r="J16" t="s">
        <v>484</v>
      </c>
    </row>
    <row r="17" spans="2:17">
      <c r="B17" s="35" t="s">
        <v>65</v>
      </c>
      <c r="C17" s="211">
        <f>IF(ROUND(SUM(C14:C16),0)&lt;&gt;ROUND(SUM(D17:H17),0),#VALUE!,SUM(D17:H17))</f>
        <v>73805000.039522499</v>
      </c>
      <c r="D17" s="494">
        <v>61755249.07163775</v>
      </c>
      <c r="E17" s="494">
        <v>9625328.5852420982</v>
      </c>
      <c r="F17" s="494">
        <v>2.1662199719893901E-2</v>
      </c>
      <c r="G17" s="494">
        <v>118631.1783629588</v>
      </c>
      <c r="H17" s="494">
        <v>2305791.1826174841</v>
      </c>
      <c r="I17" s="35" t="s">
        <v>197</v>
      </c>
      <c r="J17" t="s">
        <v>483</v>
      </c>
      <c r="M17" s="360">
        <f>D17/$C$17</f>
        <v>0.83673530300884602</v>
      </c>
      <c r="N17" s="360">
        <f t="shared" ref="N17:Q17" si="2">E17/$C$17</f>
        <v>0.13041567075520283</v>
      </c>
      <c r="O17" s="360">
        <f t="shared" si="2"/>
        <v>2.9350585608419234E-10</v>
      </c>
      <c r="P17" s="360">
        <f t="shared" si="2"/>
        <v>1.6073596409380386E-3</v>
      </c>
      <c r="Q17" s="360">
        <f t="shared" si="2"/>
        <v>3.1241666301507154E-2</v>
      </c>
    </row>
    <row r="18" spans="2:17">
      <c r="C18" s="34"/>
      <c r="D18" s="34"/>
      <c r="E18" s="34"/>
      <c r="F18" s="34"/>
      <c r="G18" s="34"/>
      <c r="H18" s="34"/>
      <c r="M18" s="360">
        <f>D17/D8</f>
        <v>0.19222991760176683</v>
      </c>
      <c r="N18" s="360">
        <f t="shared" ref="N18:Q18" si="3">E17/E8</f>
        <v>0.16246860184869263</v>
      </c>
      <c r="O18" s="360">
        <f t="shared" si="3"/>
        <v>9.8096088707374171E-2</v>
      </c>
      <c r="P18" s="360">
        <f t="shared" si="3"/>
        <v>0.15425296798710636</v>
      </c>
      <c r="Q18" s="360">
        <f t="shared" si="3"/>
        <v>0.13012019292832419</v>
      </c>
    </row>
    <row r="19" spans="2:17">
      <c r="B19" s="29" t="s">
        <v>305</v>
      </c>
      <c r="C19" s="213">
        <f>IF(ROUND(C12-C17,0)&lt;&gt;ROUND(SUM(D19:H19),0),#VALUE!,SUM(D19:H19))</f>
        <v>20234999.960477509</v>
      </c>
      <c r="D19" s="213">
        <f>D12-D17</f>
        <v>11068522.525601894</v>
      </c>
      <c r="E19" s="213">
        <f>E12-E17</f>
        <v>8052452.743212698</v>
      </c>
      <c r="F19" s="213">
        <f>F12-F17</f>
        <v>-2.0353767220466373E-2</v>
      </c>
      <c r="G19" s="213">
        <f>G12-G17</f>
        <v>85317.595352080709</v>
      </c>
      <c r="H19" s="213">
        <f>H12-H17</f>
        <v>1028707.1166646052</v>
      </c>
    </row>
    <row r="20" spans="2:17">
      <c r="B20" s="29" t="s">
        <v>66</v>
      </c>
      <c r="C20" s="161">
        <f t="shared" ref="C20:G20" si="4">C19/C8</f>
        <v>5.0715429572289882E-2</v>
      </c>
      <c r="D20" s="161">
        <f>D19/D8</f>
        <v>3.4453770409079904E-2</v>
      </c>
      <c r="E20" s="161">
        <f t="shared" si="4"/>
        <v>0.1359195924644406</v>
      </c>
      <c r="F20" s="161">
        <f t="shared" si="4"/>
        <v>-9.2170923572201885E-2</v>
      </c>
      <c r="G20" s="161">
        <f t="shared" si="4"/>
        <v>0.11093620147914345</v>
      </c>
      <c r="H20" s="161">
        <f>H19/H8</f>
        <v>5.8051904047611361E-2</v>
      </c>
    </row>
    <row r="21" spans="2:17">
      <c r="B21" s="29" t="s">
        <v>333</v>
      </c>
      <c r="C21" s="214">
        <f t="shared" ref="C21:G21" si="5">C20/$C20</f>
        <v>1</v>
      </c>
      <c r="D21" s="214">
        <f>D20/$C20</f>
        <v>0.6793547979312573</v>
      </c>
      <c r="E21" s="214">
        <f t="shared" si="5"/>
        <v>2.6800441918903699</v>
      </c>
      <c r="F21" s="214">
        <f t="shared" si="5"/>
        <v>-1.8174138393291386</v>
      </c>
      <c r="G21" s="214">
        <f t="shared" si="5"/>
        <v>2.1874250581080998</v>
      </c>
      <c r="H21" s="214">
        <f>H20/$C20</f>
        <v>1.1446596141883025</v>
      </c>
    </row>
    <row r="23" spans="2:17">
      <c r="B23" t="s">
        <v>306</v>
      </c>
      <c r="C23" s="34">
        <f>SUM(D23:H23)</f>
        <v>10254000</v>
      </c>
      <c r="D23" s="495">
        <v>8256255.2575323479</v>
      </c>
      <c r="E23" s="495">
        <v>1522566.7267100383</v>
      </c>
      <c r="F23" s="495">
        <v>5.6751987795408418E-3</v>
      </c>
      <c r="G23" s="495">
        <v>19764.941299232098</v>
      </c>
      <c r="H23" s="495">
        <v>455413.06878318312</v>
      </c>
      <c r="I23" s="35" t="s">
        <v>197</v>
      </c>
      <c r="J23" t="s">
        <v>492</v>
      </c>
    </row>
    <row r="24" spans="2:17">
      <c r="D24" s="266"/>
      <c r="E24" s="266"/>
      <c r="F24" s="266"/>
      <c r="G24" s="266"/>
      <c r="H24" s="266"/>
    </row>
    <row r="25" spans="2:17">
      <c r="B25" t="s">
        <v>307</v>
      </c>
      <c r="C25" s="215">
        <v>0</v>
      </c>
    </row>
    <row r="26" spans="2:17">
      <c r="B26" t="s">
        <v>308</v>
      </c>
      <c r="C26" s="215">
        <v>0</v>
      </c>
      <c r="D26" s="179">
        <f>C26/C10</f>
        <v>0</v>
      </c>
      <c r="J26" t="s">
        <v>441</v>
      </c>
    </row>
    <row r="27" spans="2:17">
      <c r="B27" t="s">
        <v>309</v>
      </c>
      <c r="C27" s="216">
        <f>C25+C26</f>
        <v>0</v>
      </c>
    </row>
    <row r="28" spans="2:17">
      <c r="C28" s="217"/>
      <c r="D28" s="218" t="s">
        <v>310</v>
      </c>
    </row>
    <row r="29" spans="2:17">
      <c r="B29" t="s">
        <v>311</v>
      </c>
      <c r="C29" s="213">
        <f>C10+C26</f>
        <v>91987000</v>
      </c>
      <c r="D29" s="34">
        <f>C29-C10</f>
        <v>0</v>
      </c>
      <c r="F29" t="s">
        <v>312</v>
      </c>
      <c r="G29" s="521">
        <v>3.7810000000000001E-3</v>
      </c>
    </row>
    <row r="30" spans="2:17">
      <c r="B30" t="s">
        <v>313</v>
      </c>
      <c r="C30" s="213">
        <f>ROUND(C27*G29,-3)+ROUND(C27*G30,-3)+ROUND(C27*G31,-3)</f>
        <v>0</v>
      </c>
      <c r="F30" t="s">
        <v>314</v>
      </c>
      <c r="G30" s="521">
        <v>2E-3</v>
      </c>
    </row>
    <row r="31" spans="2:17">
      <c r="B31" t="s">
        <v>315</v>
      </c>
      <c r="C31" s="213">
        <f>ROUND(C27*G32,-3)</f>
        <v>0</v>
      </c>
      <c r="D31" s="34"/>
      <c r="F31" t="s">
        <v>316</v>
      </c>
      <c r="G31" s="521">
        <v>3.8373999999999998E-2</v>
      </c>
    </row>
    <row r="32" spans="2:17">
      <c r="B32" t="s">
        <v>317</v>
      </c>
      <c r="C32" s="213">
        <f>C19+C27-C30-C31</f>
        <v>20234999.960477509</v>
      </c>
      <c r="D32" s="34">
        <f>C32-C19</f>
        <v>0</v>
      </c>
      <c r="F32" t="s">
        <v>318</v>
      </c>
      <c r="G32" s="521">
        <v>0.20072699999999999</v>
      </c>
    </row>
    <row r="33" spans="2:15">
      <c r="B33" t="s">
        <v>319</v>
      </c>
      <c r="C33" s="161">
        <f>C32/C8</f>
        <v>5.0715429572289882E-2</v>
      </c>
      <c r="G33" s="219"/>
    </row>
    <row r="34" spans="2:15">
      <c r="C34" s="161"/>
      <c r="G34" s="219"/>
    </row>
    <row r="35" spans="2:15">
      <c r="B35" t="s">
        <v>320</v>
      </c>
      <c r="C35" s="220">
        <f>SUM(D35:H35)</f>
        <v>0</v>
      </c>
      <c r="D35" s="251">
        <v>0</v>
      </c>
      <c r="E35" s="251">
        <v>0</v>
      </c>
      <c r="F35" s="251">
        <v>0</v>
      </c>
      <c r="G35" s="251">
        <v>0</v>
      </c>
      <c r="H35" s="251">
        <v>0</v>
      </c>
      <c r="I35" t="s">
        <v>392</v>
      </c>
    </row>
    <row r="36" spans="2:15" ht="25.5" customHeight="1">
      <c r="C36" s="220"/>
      <c r="D36" s="220"/>
      <c r="E36" s="220"/>
      <c r="F36" s="220"/>
      <c r="G36" s="220"/>
      <c r="H36" s="220"/>
    </row>
    <row r="37" spans="2:15">
      <c r="B37" s="29" t="s">
        <v>321</v>
      </c>
      <c r="C37" s="221">
        <f>C38/C33</f>
        <v>1</v>
      </c>
      <c r="D37" s="221">
        <f>D39/D8/C33</f>
        <v>0.77761454554604537</v>
      </c>
      <c r="E37" s="267">
        <v>2.1880610842258617</v>
      </c>
      <c r="F37" s="267">
        <v>1</v>
      </c>
      <c r="G37" s="267">
        <v>1.8157565224408205</v>
      </c>
      <c r="H37" s="267">
        <v>1.0242536333922907</v>
      </c>
      <c r="I37" s="35" t="s">
        <v>143</v>
      </c>
      <c r="J37" s="50"/>
      <c r="K37" s="291">
        <f>D26</f>
        <v>0</v>
      </c>
    </row>
    <row r="38" spans="2:15">
      <c r="B38" s="38" t="s">
        <v>322</v>
      </c>
      <c r="C38" s="222">
        <f t="shared" ref="C38:G38" si="6">C39/C8</f>
        <v>5.0715429572289882E-2</v>
      </c>
      <c r="D38" s="222">
        <f t="shared" si="6"/>
        <v>3.9437055719028669E-2</v>
      </c>
      <c r="E38" s="222">
        <f>E39/E8</f>
        <v>0.11096845781692492</v>
      </c>
      <c r="F38" s="222">
        <f>F39/F8</f>
        <v>5.0715429572289882E-2</v>
      </c>
      <c r="G38" s="222">
        <f t="shared" si="6"/>
        <v>9.2086872034273431E-2</v>
      </c>
      <c r="H38" s="222">
        <f>H39/H8</f>
        <v>5.194546300846873E-2</v>
      </c>
    </row>
    <row r="39" spans="2:15">
      <c r="B39" t="s">
        <v>323</v>
      </c>
      <c r="C39" s="34">
        <f>C32</f>
        <v>20234999.960477509</v>
      </c>
      <c r="D39" s="34">
        <f>$C$32-SUM(E39:H39)</f>
        <v>12669438.914425705</v>
      </c>
      <c r="E39" s="34">
        <f>E8*E37*$C$32/$C$8</f>
        <v>6574241.7730670851</v>
      </c>
      <c r="F39" s="34">
        <f>F8*F37*$C$32/$C$8</f>
        <v>1.1199302426342012E-2</v>
      </c>
      <c r="G39" s="34">
        <f>G8*G37*$C$32/$C$8</f>
        <v>70821.160096562919</v>
      </c>
      <c r="H39" s="34">
        <f>H8*H37*$C$32/$C$8</f>
        <v>920498.10168885428</v>
      </c>
      <c r="I39" s="223">
        <f t="shared" ref="I39:I46" si="7">ROUND(C39-SUM(D39:H39),0)</f>
        <v>0</v>
      </c>
    </row>
    <row r="40" spans="2:15">
      <c r="B40" t="s">
        <v>324</v>
      </c>
      <c r="C40" s="34">
        <f t="shared" ref="C40:H40" si="8">C39-C23</f>
        <v>9980999.9604775086</v>
      </c>
      <c r="D40" s="34">
        <f t="shared" si="8"/>
        <v>4413183.6568933567</v>
      </c>
      <c r="E40" s="34">
        <f t="shared" si="8"/>
        <v>5051675.0463570468</v>
      </c>
      <c r="F40" s="34">
        <f t="shared" si="8"/>
        <v>5.5241036468011697E-3</v>
      </c>
      <c r="G40" s="34">
        <f t="shared" si="8"/>
        <v>51056.218797330817</v>
      </c>
      <c r="H40" s="34">
        <f t="shared" si="8"/>
        <v>465085.03290567116</v>
      </c>
      <c r="I40" s="223">
        <f>ROUND(C40-SUM(D40:H40),0)</f>
        <v>0</v>
      </c>
    </row>
    <row r="41" spans="2:15">
      <c r="B41" t="s">
        <v>325</v>
      </c>
      <c r="C41" s="34">
        <f>C40+C16+C31+C23</f>
        <v>22066999.960477509</v>
      </c>
      <c r="D41" s="34">
        <f>D40+D23+D40/$C40*SUM($C$16,$C$31)</f>
        <v>13479473.228767274</v>
      </c>
      <c r="E41" s="34">
        <f>E40+E23+E40/$C40*SUM($C$16,$C$31)</f>
        <v>7501470.3795767026</v>
      </c>
      <c r="F41" s="34">
        <f>F40+F23+F40/$C40*SUM($C$16,$C$31)</f>
        <v>1.221324470877997E-2</v>
      </c>
      <c r="G41" s="34">
        <f>G40+G23+G40/$C40*SUM($C$16,$C$31)</f>
        <v>80192.464896391321</v>
      </c>
      <c r="H41" s="34">
        <f>H40+H23+H40/$C40*SUM($C$16,$C$31)</f>
        <v>1005863.8750238966</v>
      </c>
      <c r="I41" s="223">
        <f t="shared" si="7"/>
        <v>0</v>
      </c>
    </row>
    <row r="42" spans="2:15">
      <c r="B42" t="s">
        <v>326</v>
      </c>
      <c r="C42" s="34">
        <f t="shared" ref="C42:F42" si="9">C41-C11-$C$25*C35</f>
        <v>20013999.960477509</v>
      </c>
      <c r="D42" s="34">
        <f>D41-D11-$C$25*D35</f>
        <v>11787701.631527631</v>
      </c>
      <c r="E42" s="34">
        <f t="shared" si="9"/>
        <v>7241689.0511219064</v>
      </c>
      <c r="F42" s="34">
        <f t="shared" si="9"/>
        <v>1.090481220935244E-2</v>
      </c>
      <c r="G42" s="34">
        <f>G41-G11-$C$25*G35</f>
        <v>77243.691181351809</v>
      </c>
      <c r="H42" s="34">
        <f>H41-H11-$C$25*H35</f>
        <v>907365.57574180723</v>
      </c>
      <c r="I42" s="223">
        <f t="shared" si="7"/>
        <v>0</v>
      </c>
    </row>
    <row r="43" spans="2:15">
      <c r="B43" t="str">
        <f t="shared" ref="B43:F43" si="10">B14</f>
        <v>Total Operating Exp b4 conv items &amp; taxes</v>
      </c>
      <c r="C43" s="34">
        <f t="shared" si="10"/>
        <v>67633000.039522499</v>
      </c>
      <c r="D43" s="34">
        <f t="shared" si="10"/>
        <v>57883054.437609337</v>
      </c>
      <c r="E43" s="34">
        <f t="shared" si="10"/>
        <v>7604856.3663164359</v>
      </c>
      <c r="F43" s="34">
        <f t="shared" si="10"/>
        <v>2.6439783700658678E-2</v>
      </c>
      <c r="G43" s="34">
        <f>G14</f>
        <v>97108.848378712923</v>
      </c>
      <c r="H43" s="34">
        <f>H14</f>
        <v>2047980.3607782235</v>
      </c>
      <c r="I43" s="223">
        <f t="shared" si="7"/>
        <v>0</v>
      </c>
    </row>
    <row r="44" spans="2:15">
      <c r="B44" t="s">
        <v>327</v>
      </c>
      <c r="C44" s="34">
        <f>C15+C30</f>
        <v>4340000</v>
      </c>
      <c r="D44" s="34">
        <f>$C44*D46/$C46</f>
        <v>3449873.7131910329</v>
      </c>
      <c r="E44" s="34">
        <f>$C44*E46/$C46</f>
        <v>735153.59466590302</v>
      </c>
      <c r="F44" s="34">
        <f>$C44*F46/$C46</f>
        <v>1.8491853257892254E-3</v>
      </c>
      <c r="G44" s="34">
        <f>$C44*G46/$C46</f>
        <v>8633.3818806197687</v>
      </c>
      <c r="H44" s="34">
        <f>$C44*H46/$C46</f>
        <v>146339.30841325925</v>
      </c>
      <c r="I44" s="223">
        <f t="shared" si="7"/>
        <v>0</v>
      </c>
    </row>
    <row r="45" spans="2:15">
      <c r="B45" s="29" t="s">
        <v>328</v>
      </c>
      <c r="C45" s="213">
        <f>C26</f>
        <v>0</v>
      </c>
      <c r="D45" s="213">
        <f>(D42-D10+D14+($C$44*D10)/$C$29)/(1-$C$44/$C$29)</f>
        <v>1988629.7823280022</v>
      </c>
      <c r="E45" s="213">
        <f>(E42-E10+E14+($C$44*E10)/$C$29)/(1-$C$44/$C$29)</f>
        <v>-1836300.9878957556</v>
      </c>
      <c r="F45" s="213">
        <f>(F42-F10+F14+($C$44*F10)/$C$29)/(1-$C$44/$C$29)</f>
        <v>3.9193781235800342E-2</v>
      </c>
      <c r="G45" s="213">
        <f>(G42-G10+G14+($C$44*G10)/$C$29)/(1-$C$44/$C$29)</f>
        <v>-18014.078559315498</v>
      </c>
      <c r="H45" s="213">
        <f>(H42-H10+H14+($C$44*H10)/$C$29)/(1-$C$44/$C$29)</f>
        <v>-134314.75506671026</v>
      </c>
      <c r="I45" s="223">
        <f t="shared" si="7"/>
        <v>0</v>
      </c>
      <c r="K45" s="95"/>
      <c r="L45" s="95"/>
      <c r="M45" s="95"/>
      <c r="N45" s="95"/>
      <c r="O45" s="95"/>
    </row>
    <row r="46" spans="2:15">
      <c r="B46" s="29" t="s">
        <v>329</v>
      </c>
      <c r="C46" s="213">
        <f>C42+C43+C44</f>
        <v>91987000</v>
      </c>
      <c r="D46" s="213">
        <f>D10+D45</f>
        <v>73120629.78232801</v>
      </c>
      <c r="E46" s="213">
        <f>E10+E45</f>
        <v>15581699.012104245</v>
      </c>
      <c r="F46" s="213">
        <f>F10+F45</f>
        <v>3.9193781235800342E-2</v>
      </c>
      <c r="G46" s="213">
        <f>G10+G45</f>
        <v>182985.9214406845</v>
      </c>
      <c r="H46" s="213">
        <f>H10+H45</f>
        <v>3101685.2449332899</v>
      </c>
      <c r="I46" s="223">
        <f t="shared" si="7"/>
        <v>0</v>
      </c>
      <c r="K46" s="95"/>
      <c r="L46" s="313"/>
      <c r="M46" s="95"/>
      <c r="N46" s="95"/>
      <c r="O46" s="95"/>
    </row>
    <row r="47" spans="2:15">
      <c r="B47" s="29" t="s">
        <v>330</v>
      </c>
      <c r="C47" s="161">
        <f>C46/C10-1</f>
        <v>0</v>
      </c>
      <c r="D47" s="161">
        <f>D46/D10-1</f>
        <v>2.7956893976382124E-2</v>
      </c>
      <c r="E47" s="161">
        <f>E46/E10-1</f>
        <v>-0.10542547869421026</v>
      </c>
      <c r="F47" s="161" t="e">
        <f>F46/F10-1</f>
        <v>#DIV/0!</v>
      </c>
      <c r="G47" s="161">
        <f t="shared" ref="G47" si="11">G46/G10-1</f>
        <v>-8.9622281389629355E-2</v>
      </c>
      <c r="H47" s="161">
        <f>H46/H10-1</f>
        <v>-4.1506413803062414E-2</v>
      </c>
      <c r="I47" s="223"/>
      <c r="K47" s="456"/>
      <c r="L47" s="456"/>
      <c r="M47" s="456"/>
      <c r="N47" s="456"/>
      <c r="O47" s="456"/>
    </row>
    <row r="48" spans="2:15">
      <c r="D48" s="34"/>
      <c r="K48" s="95"/>
      <c r="L48" s="95"/>
      <c r="M48" s="95"/>
      <c r="N48" s="95"/>
      <c r="O48" s="95"/>
    </row>
    <row r="49" spans="2:15">
      <c r="B49" s="38" t="s">
        <v>331</v>
      </c>
      <c r="C49" s="34">
        <f>SUM(D49:H49)</f>
        <v>0</v>
      </c>
      <c r="D49" s="34">
        <f t="shared" ref="D49:H50" si="12">ROUND(D45,-3)</f>
        <v>1989000</v>
      </c>
      <c r="E49" s="34">
        <f>ROUND(E45,-3)</f>
        <v>-1836000</v>
      </c>
      <c r="F49" s="34">
        <f t="shared" si="12"/>
        <v>0</v>
      </c>
      <c r="G49" s="34">
        <f t="shared" si="12"/>
        <v>-18000</v>
      </c>
      <c r="H49" s="34">
        <f>ROUND(H45,-3)-1000</f>
        <v>-135000</v>
      </c>
      <c r="K49" s="485"/>
      <c r="L49" s="485"/>
      <c r="M49" s="485"/>
      <c r="N49" s="485"/>
      <c r="O49" s="485"/>
    </row>
    <row r="50" spans="2:15">
      <c r="B50" s="38" t="s">
        <v>332</v>
      </c>
      <c r="C50" s="34">
        <f>SUM(D50:H50)</f>
        <v>91988000</v>
      </c>
      <c r="D50" s="34">
        <f t="shared" si="12"/>
        <v>73121000</v>
      </c>
      <c r="E50" s="34">
        <f t="shared" si="12"/>
        <v>15582000</v>
      </c>
      <c r="F50" s="34">
        <f t="shared" si="12"/>
        <v>0</v>
      </c>
      <c r="G50" s="34">
        <f t="shared" si="12"/>
        <v>183000</v>
      </c>
      <c r="H50" s="34">
        <f t="shared" si="12"/>
        <v>3102000</v>
      </c>
      <c r="K50" s="486"/>
      <c r="L50" s="95"/>
      <c r="M50" s="95"/>
      <c r="N50" s="95"/>
      <c r="O50" s="95"/>
    </row>
    <row r="51" spans="2:15">
      <c r="D51" s="256"/>
      <c r="E51" s="256"/>
      <c r="F51" s="256"/>
      <c r="G51" s="256"/>
      <c r="H51" s="256"/>
      <c r="K51" s="309"/>
    </row>
    <row r="52" spans="2:15" hidden="1">
      <c r="B52" t="s">
        <v>366</v>
      </c>
      <c r="C52" s="268">
        <f>SUM(D52:I52)</f>
        <v>156193000</v>
      </c>
      <c r="D52" s="288">
        <v>112307000</v>
      </c>
      <c r="E52" s="288">
        <v>35342000</v>
      </c>
      <c r="F52" s="288">
        <v>3987000</v>
      </c>
      <c r="G52" s="288">
        <v>759000</v>
      </c>
      <c r="H52" s="288">
        <v>2254000</v>
      </c>
      <c r="I52" s="288">
        <v>1544000</v>
      </c>
      <c r="K52" s="358">
        <f>SUM(K49:O49)</f>
        <v>0</v>
      </c>
    </row>
    <row r="53" spans="2:15" hidden="1">
      <c r="B53" t="s">
        <v>367</v>
      </c>
      <c r="C53" s="266">
        <f>C45/C52</f>
        <v>0</v>
      </c>
      <c r="D53" s="266">
        <f>D45/D52</f>
        <v>1.7707086667153447E-2</v>
      </c>
      <c r="E53" s="266">
        <f t="shared" ref="E53:H53" si="13">E45/E52</f>
        <v>-5.1958038251818106E-2</v>
      </c>
      <c r="F53" s="266">
        <f t="shared" si="13"/>
        <v>9.8303940897417453E-9</v>
      </c>
      <c r="G53" s="266">
        <f t="shared" si="13"/>
        <v>-2.3733963846265478E-2</v>
      </c>
      <c r="H53" s="266">
        <f t="shared" si="13"/>
        <v>-5.9589509790022296E-2</v>
      </c>
      <c r="K53" s="310"/>
    </row>
    <row r="54" spans="2:15" hidden="1">
      <c r="K54" s="309"/>
    </row>
    <row r="55" spans="2:15" hidden="1">
      <c r="K55" s="311"/>
    </row>
    <row r="56" spans="2:15">
      <c r="D56" s="310"/>
    </row>
    <row r="57" spans="2:15">
      <c r="B57" t="s">
        <v>442</v>
      </c>
      <c r="D57" s="403">
        <f>(D37-D21)/(1-D21)</f>
        <v>0.30644384191883928</v>
      </c>
      <c r="E57" s="403">
        <f t="shared" ref="E57:H57" si="14">(E37-E21)/(1-E21)</f>
        <v>0.29283938484435551</v>
      </c>
      <c r="F57" s="403">
        <f t="shared" si="14"/>
        <v>1</v>
      </c>
      <c r="G57" s="403">
        <f t="shared" si="14"/>
        <v>0.31300378337934959</v>
      </c>
      <c r="H57" s="403">
        <f t="shared" si="14"/>
        <v>0.83233998287372801</v>
      </c>
    </row>
    <row r="58" spans="2:15">
      <c r="D58" s="403"/>
      <c r="E58" s="403"/>
      <c r="F58" s="403"/>
      <c r="G58" s="403"/>
      <c r="H58" s="403"/>
    </row>
    <row r="59" spans="2:15">
      <c r="D59" s="403"/>
      <c r="E59" s="403"/>
      <c r="F59" s="403"/>
      <c r="G59" s="403"/>
      <c r="H59" s="403"/>
    </row>
    <row r="60" spans="2:15">
      <c r="B60" t="s">
        <v>366</v>
      </c>
      <c r="C60" s="454">
        <f>SUM(D60:I60)</f>
        <v>164312926.07655999</v>
      </c>
      <c r="D60" s="358">
        <f>'Exh1'!H14*1000</f>
        <v>119132464.27</v>
      </c>
      <c r="E60" s="358">
        <f>'Exh1'!H15*1000</f>
        <v>39678664.100000001</v>
      </c>
      <c r="F60" s="358">
        <f>'Exh1'!H16*1000</f>
        <v>0</v>
      </c>
      <c r="G60" s="358">
        <f>'Exh1'!H17*1000</f>
        <v>453792.17000000004</v>
      </c>
      <c r="H60" s="358">
        <f>'Exh1'!H18*1000</f>
        <v>3287141.84656</v>
      </c>
      <c r="I60" s="358">
        <f>'Exh1'!H19*1000</f>
        <v>1760863.69</v>
      </c>
    </row>
    <row r="61" spans="2:15">
      <c r="C61" s="403">
        <f>C45/C60</f>
        <v>0</v>
      </c>
      <c r="D61" s="403">
        <f>D45/D60</f>
        <v>1.669259336246921E-2</v>
      </c>
      <c r="E61" s="403">
        <f t="shared" ref="E61:I61" si="15">E45/E60</f>
        <v>-4.6279304748461918E-2</v>
      </c>
      <c r="F61" s="403" t="e">
        <f t="shared" si="15"/>
        <v>#DIV/0!</v>
      </c>
      <c r="G61" s="403">
        <f t="shared" si="15"/>
        <v>-3.9696759332175112E-2</v>
      </c>
      <c r="H61" s="403">
        <f t="shared" si="15"/>
        <v>-4.0860650783071897E-2</v>
      </c>
      <c r="I61" s="403">
        <f t="shared" si="15"/>
        <v>0</v>
      </c>
    </row>
    <row r="62" spans="2:15">
      <c r="D62" s="310"/>
    </row>
    <row r="63" spans="2:15">
      <c r="B63" s="427" t="s">
        <v>452</v>
      </c>
      <c r="C63" s="428">
        <f>C19</f>
        <v>20234999.960477509</v>
      </c>
      <c r="D63" s="430">
        <f>$C$63*D8/$C$8</f>
        <v>16292697.95298023</v>
      </c>
      <c r="E63" s="430">
        <f t="shared" ref="E63:G63" si="16">$C$63*E8/$C$8</f>
        <v>3004597.0016385806</v>
      </c>
      <c r="F63" s="430">
        <f t="shared" si="16"/>
        <v>1.1199302426342012E-2</v>
      </c>
      <c r="G63" s="430">
        <f t="shared" si="16"/>
        <v>39003.665536259214</v>
      </c>
      <c r="H63" s="430">
        <f>$C$63*H8/$C$8</f>
        <v>898701.32912313752</v>
      </c>
      <c r="I63" s="430"/>
    </row>
    <row r="64" spans="2:15">
      <c r="B64" s="427" t="s">
        <v>453</v>
      </c>
      <c r="C64" s="428">
        <f>C16</f>
        <v>1831999.9999999995</v>
      </c>
      <c r="D64" s="430">
        <f>$C$64*D8/$C$8</f>
        <v>1475078.9576554764</v>
      </c>
      <c r="E64" s="430">
        <f t="shared" ref="E64:G64" si="17">$C$64*E8/$C$8</f>
        <v>272024.79455166671</v>
      </c>
      <c r="F64" s="430">
        <f t="shared" si="17"/>
        <v>1.0139422824379583E-3</v>
      </c>
      <c r="G64" s="430">
        <f t="shared" si="17"/>
        <v>3531.2436571282633</v>
      </c>
      <c r="H64" s="430">
        <f>$C$64*H8/$C$8</f>
        <v>81365.003121785776</v>
      </c>
      <c r="I64" s="430"/>
    </row>
    <row r="65" spans="2:11">
      <c r="B65" s="427" t="s">
        <v>454</v>
      </c>
      <c r="C65" s="425">
        <f>SUM(D65:H65)</f>
        <v>67633000.039522499</v>
      </c>
      <c r="D65" s="430">
        <f>D14</f>
        <v>57883054.437609337</v>
      </c>
      <c r="E65" s="430">
        <f t="shared" ref="E65:G65" si="18">E14</f>
        <v>7604856.3663164359</v>
      </c>
      <c r="F65" s="430">
        <f t="shared" si="18"/>
        <v>2.6439783700658678E-2</v>
      </c>
      <c r="G65" s="430">
        <f t="shared" si="18"/>
        <v>97108.848378712923</v>
      </c>
      <c r="H65" s="430">
        <f>H14</f>
        <v>2047980.3607782235</v>
      </c>
      <c r="I65" s="430"/>
    </row>
    <row r="66" spans="2:11">
      <c r="B66" s="427" t="s">
        <v>455</v>
      </c>
      <c r="C66" s="425">
        <f>SUM(D66:H66)</f>
        <v>-2053000.0000000009</v>
      </c>
      <c r="D66" s="431">
        <f>-D11</f>
        <v>-1691771.5972396433</v>
      </c>
      <c r="E66" s="431">
        <f t="shared" ref="E66:G66" si="19">-E11</f>
        <v>-259781.32845479622</v>
      </c>
      <c r="F66" s="431">
        <f t="shared" si="19"/>
        <v>-1.3084324994275299E-3</v>
      </c>
      <c r="G66" s="431">
        <f t="shared" si="19"/>
        <v>-2948.7737150395114</v>
      </c>
      <c r="H66" s="431">
        <f>-H11</f>
        <v>-98498.299282089341</v>
      </c>
      <c r="I66" s="431"/>
    </row>
    <row r="67" spans="2:11">
      <c r="B67" s="427" t="s">
        <v>456</v>
      </c>
      <c r="C67" s="428">
        <f>C15</f>
        <v>4340000</v>
      </c>
      <c r="D67" s="430">
        <f>$C67*(SUM(D63:D66)/SUM($C$63:$C$66))</f>
        <v>3662216.8393597431</v>
      </c>
      <c r="E67" s="430">
        <f t="shared" ref="E67:G67" si="20">$C67*(SUM(E63:E66)/SUM($C$63:$C$66))</f>
        <v>525952.56266369857</v>
      </c>
      <c r="F67" s="430">
        <f t="shared" si="20"/>
        <v>1.8491853257892256E-3</v>
      </c>
      <c r="G67" s="430">
        <f t="shared" si="20"/>
        <v>6768.6997836736473</v>
      </c>
      <c r="H67" s="430">
        <f>$C67*(SUM(H63:H66)/SUM($C$63:$C$66))</f>
        <v>145061.89634369907</v>
      </c>
      <c r="I67" s="430"/>
    </row>
    <row r="68" spans="2:11">
      <c r="B68" s="427" t="s">
        <v>457</v>
      </c>
      <c r="C68" s="429">
        <f>SUM(C63:C67)</f>
        <v>91987000</v>
      </c>
      <c r="D68" s="429">
        <f t="shared" ref="D68:H68" si="21">SUM(D63:D67)</f>
        <v>77621276.590365142</v>
      </c>
      <c r="E68" s="429">
        <f t="shared" si="21"/>
        <v>11147649.396715585</v>
      </c>
      <c r="F68" s="429">
        <f t="shared" si="21"/>
        <v>3.9193781235800342E-2</v>
      </c>
      <c r="G68" s="429">
        <f t="shared" si="21"/>
        <v>143463.68364073453</v>
      </c>
      <c r="H68" s="429">
        <f t="shared" si="21"/>
        <v>3074610.2900847569</v>
      </c>
      <c r="I68" s="428" t="s">
        <v>486</v>
      </c>
    </row>
    <row r="69" spans="2:11">
      <c r="B69" s="419" t="s">
        <v>466</v>
      </c>
      <c r="C69" s="420">
        <f>SUM(D69:H69)</f>
        <v>0</v>
      </c>
      <c r="D69" s="453">
        <v>0</v>
      </c>
      <c r="E69" s="453">
        <v>0</v>
      </c>
      <c r="F69" s="453">
        <v>0</v>
      </c>
      <c r="G69" s="453">
        <v>0</v>
      </c>
      <c r="H69" s="453">
        <v>0</v>
      </c>
      <c r="I69" s="428" t="s">
        <v>487</v>
      </c>
    </row>
    <row r="70" spans="2:11">
      <c r="B70" s="415" t="s">
        <v>467</v>
      </c>
      <c r="C70" s="428">
        <f>C68-C69</f>
        <v>91987000</v>
      </c>
      <c r="D70" s="428">
        <f t="shared" ref="D70:H70" si="22">D68-D69</f>
        <v>77621276.590365142</v>
      </c>
      <c r="E70" s="428">
        <f t="shared" si="22"/>
        <v>11147649.396715585</v>
      </c>
      <c r="F70" s="428">
        <f t="shared" si="22"/>
        <v>3.9193781235800342E-2</v>
      </c>
      <c r="G70" s="428">
        <f t="shared" si="22"/>
        <v>143463.68364073453</v>
      </c>
      <c r="H70" s="428">
        <f t="shared" si="22"/>
        <v>3074610.2900847569</v>
      </c>
      <c r="I70" s="428" t="s">
        <v>488</v>
      </c>
      <c r="K70" s="266">
        <f>C26/C70</f>
        <v>0</v>
      </c>
    </row>
    <row r="71" spans="2:11">
      <c r="B71" s="427"/>
      <c r="C71" s="435"/>
      <c r="D71" s="435"/>
      <c r="E71" s="435"/>
      <c r="F71" s="435"/>
      <c r="G71" s="435"/>
      <c r="H71" s="435"/>
      <c r="I71" s="435"/>
    </row>
    <row r="72" spans="2:11">
      <c r="B72" s="427" t="s">
        <v>458</v>
      </c>
      <c r="C72" s="428">
        <f>C32</f>
        <v>20234999.960477509</v>
      </c>
      <c r="D72" s="430">
        <f>$C$72*D8/$C$8</f>
        <v>16292697.95298023</v>
      </c>
      <c r="E72" s="430">
        <f t="shared" ref="E72:G72" si="23">$C$72*E8/$C$8</f>
        <v>3004597.0016385806</v>
      </c>
      <c r="F72" s="430">
        <f t="shared" si="23"/>
        <v>1.1199302426342012E-2</v>
      </c>
      <c r="G72" s="430">
        <f t="shared" si="23"/>
        <v>39003.665536259214</v>
      </c>
      <c r="H72" s="430">
        <f>$C$72*H8/$C$8</f>
        <v>898701.32912313752</v>
      </c>
      <c r="I72" s="430"/>
    </row>
    <row r="73" spans="2:11">
      <c r="B73" s="427" t="s">
        <v>459</v>
      </c>
      <c r="C73" s="428">
        <f>C16+C31</f>
        <v>1831999.9999999995</v>
      </c>
      <c r="D73" s="430">
        <f>$C$73*D8/$C$8</f>
        <v>1475078.9576554764</v>
      </c>
      <c r="E73" s="430">
        <f t="shared" ref="E73:H73" si="24">$C$73*E8/$C$8</f>
        <v>272024.79455166671</v>
      </c>
      <c r="F73" s="430">
        <f t="shared" si="24"/>
        <v>1.0139422824379583E-3</v>
      </c>
      <c r="G73" s="430">
        <f t="shared" si="24"/>
        <v>3531.2436571282633</v>
      </c>
      <c r="H73" s="430">
        <f t="shared" si="24"/>
        <v>81365.003121785776</v>
      </c>
      <c r="I73" s="430"/>
    </row>
    <row r="74" spans="2:11">
      <c r="B74" s="427" t="s">
        <v>454</v>
      </c>
      <c r="C74" s="425">
        <f>SUM(D74:H74)</f>
        <v>67633000.039522499</v>
      </c>
      <c r="D74" s="430">
        <f>D14</f>
        <v>57883054.437609337</v>
      </c>
      <c r="E74" s="430">
        <f t="shared" ref="E74:H74" si="25">E14</f>
        <v>7604856.3663164359</v>
      </c>
      <c r="F74" s="430">
        <f t="shared" si="25"/>
        <v>2.6439783700658678E-2</v>
      </c>
      <c r="G74" s="430">
        <f t="shared" si="25"/>
        <v>97108.848378712923</v>
      </c>
      <c r="H74" s="430">
        <f t="shared" si="25"/>
        <v>2047980.3607782235</v>
      </c>
      <c r="I74" s="430"/>
    </row>
    <row r="75" spans="2:11">
      <c r="B75" s="427" t="s">
        <v>455</v>
      </c>
      <c r="C75" s="425">
        <f>SUM(D75:H75)</f>
        <v>-2053000.0000000009</v>
      </c>
      <c r="D75" s="431">
        <f>-D11+C25*D35</f>
        <v>-1691771.5972396433</v>
      </c>
      <c r="E75" s="431">
        <f t="shared" ref="E75:H75" si="26">-E11+D25*E35</f>
        <v>-259781.32845479622</v>
      </c>
      <c r="F75" s="431">
        <f t="shared" si="26"/>
        <v>-1.3084324994275299E-3</v>
      </c>
      <c r="G75" s="431">
        <f t="shared" si="26"/>
        <v>-2948.7737150395114</v>
      </c>
      <c r="H75" s="431">
        <f t="shared" si="26"/>
        <v>-98498.299282089341</v>
      </c>
      <c r="I75" s="417"/>
    </row>
    <row r="76" spans="2:11">
      <c r="B76" s="427" t="s">
        <v>460</v>
      </c>
      <c r="C76" s="428">
        <f>C15+C30</f>
        <v>4340000</v>
      </c>
      <c r="D76" s="430">
        <f>$C76*(SUM(D72:D75)/SUM($C$72:$C$75))</f>
        <v>3662216.8393597431</v>
      </c>
      <c r="E76" s="430">
        <f>$C76*(SUM(E72:E75)/SUM($C$72:$C$75))</f>
        <v>525952.56266369857</v>
      </c>
      <c r="F76" s="430">
        <f>$C76*(SUM(F72:F75)/SUM($C$72:$C$75))</f>
        <v>1.8491853257892256E-3</v>
      </c>
      <c r="G76" s="430">
        <f>$C76*(SUM(G72:G75)/SUM($C$72:$C$75))</f>
        <v>6768.6997836736473</v>
      </c>
      <c r="H76" s="430">
        <f>$C76*(SUM(H72:H75)/SUM($C$72:$C$75))</f>
        <v>145061.89634369907</v>
      </c>
      <c r="I76" s="430"/>
    </row>
    <row r="77" spans="2:11">
      <c r="B77" s="427" t="s">
        <v>461</v>
      </c>
      <c r="C77" s="429">
        <f>SUM(C72:C76)</f>
        <v>91987000</v>
      </c>
      <c r="D77" s="429">
        <f t="shared" ref="D77:H77" si="27">SUM(D72:D76)</f>
        <v>77621276.590365142</v>
      </c>
      <c r="E77" s="429">
        <f t="shared" si="27"/>
        <v>11147649.396715585</v>
      </c>
      <c r="F77" s="429">
        <f t="shared" si="27"/>
        <v>3.9193781235800342E-2</v>
      </c>
      <c r="G77" s="429">
        <f t="shared" si="27"/>
        <v>143463.68364073453</v>
      </c>
      <c r="H77" s="429">
        <f t="shared" si="27"/>
        <v>3074610.2900847569</v>
      </c>
      <c r="I77" s="428" t="s">
        <v>489</v>
      </c>
    </row>
    <row r="78" spans="2:11">
      <c r="B78" s="419" t="s">
        <v>466</v>
      </c>
      <c r="C78" s="420">
        <f>SUM(D78:H78)</f>
        <v>0</v>
      </c>
      <c r="D78" s="453">
        <v>0</v>
      </c>
      <c r="E78" s="453">
        <v>0</v>
      </c>
      <c r="F78" s="453">
        <v>0</v>
      </c>
      <c r="G78" s="453">
        <v>0</v>
      </c>
      <c r="H78" s="453">
        <v>0</v>
      </c>
      <c r="I78" s="428" t="s">
        <v>491</v>
      </c>
      <c r="J78" s="455"/>
    </row>
    <row r="79" spans="2:11">
      <c r="B79" s="415" t="s">
        <v>471</v>
      </c>
      <c r="C79" s="428">
        <f>C77-C78</f>
        <v>91987000</v>
      </c>
      <c r="D79" s="428">
        <f t="shared" ref="D79" si="28">D77-D78</f>
        <v>77621276.590365142</v>
      </c>
      <c r="E79" s="428">
        <f t="shared" ref="E79" si="29">E77-E78</f>
        <v>11147649.396715585</v>
      </c>
      <c r="F79" s="428">
        <f t="shared" ref="F79" si="30">F77-F78</f>
        <v>3.9193781235800342E-2</v>
      </c>
      <c r="G79" s="428">
        <f t="shared" ref="G79" si="31">G77-G78</f>
        <v>143463.68364073453</v>
      </c>
      <c r="H79" s="428">
        <f t="shared" ref="H79" si="32">H77-H78</f>
        <v>3074610.2900847569</v>
      </c>
      <c r="I79" s="428" t="s">
        <v>490</v>
      </c>
    </row>
    <row r="80" spans="2:11">
      <c r="B80" s="427"/>
      <c r="C80" s="435"/>
      <c r="D80" s="435"/>
      <c r="E80" s="435"/>
      <c r="F80" s="435"/>
      <c r="G80" s="435"/>
      <c r="H80" s="435"/>
      <c r="I80" s="435"/>
    </row>
    <row r="81" spans="2:9">
      <c r="B81" s="427" t="s">
        <v>462</v>
      </c>
      <c r="C81" s="426">
        <f>SUM(D81:H81)</f>
        <v>-5.5297277867794037E-10</v>
      </c>
      <c r="D81" s="422">
        <f>D77-D10</f>
        <v>6489276.5903651416</v>
      </c>
      <c r="E81" s="422">
        <f t="shared" ref="E81:G81" si="33">E77-E10</f>
        <v>-6270350.6032844149</v>
      </c>
      <c r="F81" s="422">
        <f t="shared" si="33"/>
        <v>3.9193781235800342E-2</v>
      </c>
      <c r="G81" s="422">
        <f t="shared" si="33"/>
        <v>-57536.316359265475</v>
      </c>
      <c r="H81" s="422">
        <f>H77-H10</f>
        <v>-161389.70991524309</v>
      </c>
      <c r="I81" s="422"/>
    </row>
    <row r="82" spans="2:9">
      <c r="B82" s="421"/>
      <c r="C82" s="434"/>
      <c r="D82" s="434"/>
      <c r="E82" s="434"/>
      <c r="F82" s="434"/>
      <c r="G82" s="434"/>
      <c r="H82" s="434"/>
      <c r="I82" s="434"/>
    </row>
    <row r="83" spans="2:9">
      <c r="B83" s="424" t="s">
        <v>463</v>
      </c>
      <c r="C83" s="418">
        <f>C10/C68</f>
        <v>1</v>
      </c>
      <c r="D83" s="418">
        <f>D10/D68</f>
        <v>0.91639822384510183</v>
      </c>
      <c r="E83" s="418">
        <f t="shared" ref="E83:G83" si="34">E10/E68</f>
        <v>1.5624818632286586</v>
      </c>
      <c r="F83" s="418">
        <f t="shared" si="34"/>
        <v>0</v>
      </c>
      <c r="G83" s="418">
        <f t="shared" si="34"/>
        <v>1.4010514361484641</v>
      </c>
      <c r="H83" s="418">
        <f>H10/H68</f>
        <v>1.0524911109663899</v>
      </c>
      <c r="I83" s="432"/>
    </row>
    <row r="84" spans="2:9">
      <c r="B84" s="424" t="s">
        <v>464</v>
      </c>
      <c r="C84" s="418">
        <f>C46/C77</f>
        <v>1</v>
      </c>
      <c r="D84" s="418">
        <f>D46/D77</f>
        <v>0.9420178718292842</v>
      </c>
      <c r="E84" s="418">
        <f t="shared" ref="E84:H84" si="35">E46/E77</f>
        <v>1.3977564648467558</v>
      </c>
      <c r="F84" s="418">
        <f t="shared" si="35"/>
        <v>1</v>
      </c>
      <c r="G84" s="418">
        <f t="shared" si="35"/>
        <v>1.2754860100966219</v>
      </c>
      <c r="H84" s="418">
        <f t="shared" si="35"/>
        <v>1.0088059793905739</v>
      </c>
      <c r="I84" s="432"/>
    </row>
    <row r="85" spans="2:9">
      <c r="B85" s="423" t="s">
        <v>465</v>
      </c>
      <c r="C85" s="416">
        <f>ROUND(C84-C83,4)</f>
        <v>0</v>
      </c>
      <c r="D85" s="432">
        <f>ROUND(D84-D83,2)</f>
        <v>0.03</v>
      </c>
      <c r="E85" s="432">
        <f>ROUND(E84-E83,2)</f>
        <v>-0.16</v>
      </c>
      <c r="F85" s="432">
        <f>ROUND(F84-F83,2)</f>
        <v>1</v>
      </c>
      <c r="G85" s="432">
        <f>ROUND(G84-G83,2)</f>
        <v>-0.13</v>
      </c>
      <c r="H85" s="432">
        <f>ROUND(H84-H83,2)</f>
        <v>-0.04</v>
      </c>
      <c r="I85" s="433"/>
    </row>
    <row r="87" spans="2:9">
      <c r="B87" t="s">
        <v>442</v>
      </c>
      <c r="D87" s="403">
        <f>(D84-D83)/(1-D83)</f>
        <v>0.30644860866010842</v>
      </c>
      <c r="E87" s="403">
        <f t="shared" ref="E87:H87" si="36">(E84-E83)/(1-E83)</f>
        <v>0.29285459523330282</v>
      </c>
      <c r="F87" s="403">
        <f t="shared" si="36"/>
        <v>1</v>
      </c>
      <c r="G87" s="403">
        <f t="shared" si="36"/>
        <v>0.31309057825031572</v>
      </c>
      <c r="H87" s="403">
        <f t="shared" si="36"/>
        <v>0.83223865472741854</v>
      </c>
    </row>
    <row r="90" spans="2:9">
      <c r="B90" s="487" t="s">
        <v>468</v>
      </c>
      <c r="C90" s="488">
        <f>(C10-C69)/C70</f>
        <v>1</v>
      </c>
      <c r="D90" s="488">
        <f>(D10-D69)/D70</f>
        <v>0.91639822384510183</v>
      </c>
      <c r="E90" s="488">
        <f t="shared" ref="E90:G90" si="37">(E10-E69)/E70</f>
        <v>1.5624818632286586</v>
      </c>
      <c r="F90" s="488">
        <f t="shared" si="37"/>
        <v>0</v>
      </c>
      <c r="G90" s="488">
        <f t="shared" si="37"/>
        <v>1.4010514361484641</v>
      </c>
      <c r="H90" s="488">
        <f>(H10-H69)/H70</f>
        <v>1.0524911109663899</v>
      </c>
    </row>
    <row r="91" spans="2:9">
      <c r="B91" s="487" t="s">
        <v>469</v>
      </c>
      <c r="C91" s="488">
        <f>(C46-C78)/C79</f>
        <v>1</v>
      </c>
      <c r="D91" s="488">
        <f t="shared" ref="D91:G91" si="38">(D46-D78)/D79</f>
        <v>0.9420178718292842</v>
      </c>
      <c r="E91" s="488">
        <f t="shared" si="38"/>
        <v>1.3977564648467558</v>
      </c>
      <c r="F91" s="488">
        <f t="shared" si="38"/>
        <v>1</v>
      </c>
      <c r="G91" s="488">
        <f t="shared" si="38"/>
        <v>1.2754860100966219</v>
      </c>
      <c r="H91" s="488">
        <f>(H46-H78)/H79</f>
        <v>1.0088059793905739</v>
      </c>
    </row>
    <row r="92" spans="2:9">
      <c r="B92" s="489" t="s">
        <v>470</v>
      </c>
      <c r="C92" s="490">
        <f>ROUND(C91-C90,4)</f>
        <v>0</v>
      </c>
      <c r="D92" s="490">
        <f>ROUND(D91-D90,2)</f>
        <v>0.03</v>
      </c>
      <c r="E92" s="490">
        <f>ROUND(E91-E90,2)</f>
        <v>-0.16</v>
      </c>
      <c r="F92" s="490">
        <f>ROUND(F91-F90,2)</f>
        <v>1</v>
      </c>
      <c r="G92" s="490">
        <f>ROUND(G91-G90,2)</f>
        <v>-0.13</v>
      </c>
      <c r="H92" s="490">
        <f>ROUND(H91-H90,2)</f>
        <v>-0.04</v>
      </c>
    </row>
    <row r="94" spans="2:9">
      <c r="B94" t="s">
        <v>442</v>
      </c>
      <c r="D94" s="403">
        <f>(D91-D90)/(1-D90)</f>
        <v>0.30644860866010842</v>
      </c>
      <c r="E94" s="403">
        <f t="shared" ref="E94:H94" si="39">(E91-E90)/(1-E90)</f>
        <v>0.29285459523330282</v>
      </c>
      <c r="F94" s="403">
        <f t="shared" si="39"/>
        <v>1</v>
      </c>
      <c r="G94" s="403">
        <f t="shared" si="39"/>
        <v>0.31309057825031572</v>
      </c>
      <c r="H94" s="403">
        <f t="shared" si="39"/>
        <v>0.83223865472741854</v>
      </c>
    </row>
  </sheetData>
  <phoneticPr fontId="18" type="noConversion"/>
  <pageMargins left="0.5" right="0.5" top="0.5" bottom="1" header="0.5" footer="0.5"/>
  <pageSetup scale="77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autoPageBreaks="0"/>
  </sheetPr>
  <dimension ref="A1:H24"/>
  <sheetViews>
    <sheetView showGridLines="0" workbookViewId="0">
      <selection activeCell="A16" sqref="A16"/>
    </sheetView>
  </sheetViews>
  <sheetFormatPr defaultRowHeight="12.75"/>
  <cols>
    <col min="6" max="6" width="12.7109375" customWidth="1"/>
  </cols>
  <sheetData>
    <row r="1" spans="1:8">
      <c r="A1" s="37" t="s">
        <v>103</v>
      </c>
      <c r="B1" s="37"/>
      <c r="C1" s="37"/>
      <c r="D1" s="37"/>
      <c r="E1" s="37"/>
      <c r="F1" s="37"/>
    </row>
    <row r="2" spans="1:8">
      <c r="A2" s="37" t="s">
        <v>280</v>
      </c>
      <c r="B2" s="37"/>
      <c r="C2" s="37"/>
      <c r="D2" s="37"/>
      <c r="E2" s="37"/>
      <c r="F2" s="37"/>
    </row>
    <row r="3" spans="1:8">
      <c r="A3" s="37" t="s">
        <v>279</v>
      </c>
      <c r="B3" s="37"/>
      <c r="C3" s="37"/>
      <c r="D3" s="37"/>
      <c r="E3" s="37"/>
      <c r="F3" s="37"/>
    </row>
    <row r="4" spans="1:8">
      <c r="A4" s="37" t="s">
        <v>283</v>
      </c>
      <c r="B4" s="37"/>
      <c r="C4" s="37"/>
      <c r="D4" s="37"/>
      <c r="E4" s="37"/>
      <c r="F4" s="37"/>
    </row>
    <row r="5" spans="1:8">
      <c r="A5" s="236"/>
    </row>
    <row r="6" spans="1:8">
      <c r="F6" s="39" t="s">
        <v>277</v>
      </c>
    </row>
    <row r="7" spans="1:8">
      <c r="A7" t="s">
        <v>276</v>
      </c>
      <c r="F7" s="43">
        <v>10500000</v>
      </c>
    </row>
    <row r="8" spans="1:8">
      <c r="A8" t="s">
        <v>352</v>
      </c>
      <c r="F8" s="67">
        <f>SUMIF('Big Schedules'!$B$4:$B$47,"BF Goodrich",'Big Schedules'!$O$4:$O$47)</f>
        <v>0</v>
      </c>
    </row>
    <row r="9" spans="1:8">
      <c r="A9" s="35" t="s">
        <v>273</v>
      </c>
      <c r="F9" s="34">
        <f>F7-F8</f>
        <v>10500000</v>
      </c>
    </row>
    <row r="10" spans="1:8">
      <c r="A10" s="35" t="s">
        <v>274</v>
      </c>
      <c r="F10" s="202">
        <v>0</v>
      </c>
      <c r="H10" s="202"/>
    </row>
    <row r="11" spans="1:8">
      <c r="A11" s="177" t="s">
        <v>275</v>
      </c>
      <c r="F11" s="152">
        <f>F9*F10</f>
        <v>0</v>
      </c>
    </row>
    <row r="16" spans="1:8">
      <c r="A16" t="s">
        <v>347</v>
      </c>
    </row>
    <row r="17" spans="1:6">
      <c r="A17" t="s">
        <v>348</v>
      </c>
    </row>
    <row r="18" spans="1:6">
      <c r="A18" t="s">
        <v>349</v>
      </c>
    </row>
    <row r="21" spans="1:6">
      <c r="A21" s="248" t="s">
        <v>353</v>
      </c>
    </row>
    <row r="24" spans="1:6">
      <c r="F24" s="34">
        <f>ROUND(F11-'Pres &amp; Prop Rev'!J113,0)</f>
        <v>0</v>
      </c>
    </row>
  </sheetData>
  <phoneticPr fontId="18" type="noConversion"/>
  <conditionalFormatting sqref="F24">
    <cfRule type="cellIs" dxfId="3" priority="1" stopIfTrue="1" operator="notEqual">
      <formula>0</formula>
    </cfRule>
  </conditionalFormatting>
  <printOptions horizontalCentered="1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J23"/>
  <sheetViews>
    <sheetView workbookViewId="0">
      <selection activeCell="D15" sqref="D15"/>
    </sheetView>
  </sheetViews>
  <sheetFormatPr defaultRowHeight="12.75"/>
  <cols>
    <col min="1" max="1" width="4.42578125" customWidth="1"/>
    <col min="2" max="2" width="30.140625" customWidth="1"/>
    <col min="3" max="3" width="8.7109375" bestFit="1" customWidth="1"/>
    <col min="4" max="4" width="18.140625" bestFit="1" customWidth="1"/>
    <col min="5" max="5" width="11" bestFit="1" customWidth="1"/>
    <col min="6" max="6" width="8.7109375" bestFit="1" customWidth="1"/>
    <col min="7" max="7" width="8.85546875" bestFit="1" customWidth="1"/>
    <col min="8" max="8" width="18.140625" bestFit="1" customWidth="1"/>
    <col min="9" max="9" width="10.140625" bestFit="1" customWidth="1"/>
  </cols>
  <sheetData>
    <row r="2" spans="1:10">
      <c r="A2" s="29" t="s">
        <v>583</v>
      </c>
    </row>
    <row r="3" spans="1:10">
      <c r="A3" s="29" t="s">
        <v>584</v>
      </c>
    </row>
    <row r="4" spans="1:10">
      <c r="A4" s="29" t="s">
        <v>585</v>
      </c>
    </row>
    <row r="5" spans="1:10" ht="15.75">
      <c r="A5" s="515"/>
      <c r="B5" s="462"/>
      <c r="C5" s="460"/>
      <c r="D5" s="317"/>
      <c r="E5" s="166"/>
      <c r="F5" s="159"/>
      <c r="G5" s="462"/>
    </row>
    <row r="6" spans="1:10">
      <c r="A6" s="462"/>
      <c r="B6" s="462"/>
      <c r="C6" s="460"/>
      <c r="D6" s="317"/>
      <c r="E6" s="166"/>
      <c r="F6" s="159"/>
      <c r="G6" s="462"/>
    </row>
    <row r="7" spans="1:10">
      <c r="A7" s="462"/>
      <c r="B7" s="462"/>
      <c r="C7" s="318"/>
      <c r="D7" s="317" t="s">
        <v>173</v>
      </c>
      <c r="E7" s="319"/>
      <c r="F7" s="167" t="s">
        <v>241</v>
      </c>
      <c r="G7" s="462"/>
      <c r="H7" s="317" t="s">
        <v>173</v>
      </c>
      <c r="I7" s="462" t="s">
        <v>253</v>
      </c>
      <c r="J7" s="461" t="s">
        <v>254</v>
      </c>
    </row>
    <row r="8" spans="1:10">
      <c r="A8" s="462"/>
      <c r="B8" s="462"/>
      <c r="C8" s="318"/>
      <c r="D8" s="462" t="s">
        <v>513</v>
      </c>
      <c r="E8" s="317" t="s">
        <v>581</v>
      </c>
      <c r="F8" s="167" t="s">
        <v>242</v>
      </c>
      <c r="G8" s="462" t="s">
        <v>232</v>
      </c>
      <c r="H8" s="462" t="s">
        <v>513</v>
      </c>
      <c r="I8" s="462" t="s">
        <v>230</v>
      </c>
      <c r="J8" s="461" t="s">
        <v>226</v>
      </c>
    </row>
    <row r="9" spans="1:10">
      <c r="A9" s="462" t="s">
        <v>202</v>
      </c>
      <c r="B9" s="462" t="s">
        <v>231</v>
      </c>
      <c r="C9" s="462" t="s">
        <v>207</v>
      </c>
      <c r="D9" s="317" t="s">
        <v>255</v>
      </c>
      <c r="E9" s="317" t="s">
        <v>586</v>
      </c>
      <c r="F9" s="159" t="s">
        <v>233</v>
      </c>
      <c r="G9" s="462" t="s">
        <v>256</v>
      </c>
      <c r="H9" s="317" t="s">
        <v>257</v>
      </c>
      <c r="I9" s="462" t="s">
        <v>258</v>
      </c>
      <c r="J9" s="461" t="s">
        <v>259</v>
      </c>
    </row>
    <row r="10" spans="1:10">
      <c r="A10" s="320" t="s">
        <v>206</v>
      </c>
      <c r="B10" s="320" t="s">
        <v>234</v>
      </c>
      <c r="C10" s="320" t="s">
        <v>235</v>
      </c>
      <c r="D10" s="321" t="s">
        <v>261</v>
      </c>
      <c r="E10" s="321" t="s">
        <v>226</v>
      </c>
      <c r="F10" s="160" t="s">
        <v>226</v>
      </c>
      <c r="G10" s="320" t="s">
        <v>226</v>
      </c>
      <c r="H10" s="321" t="s">
        <v>261</v>
      </c>
      <c r="I10" s="320" t="s">
        <v>514</v>
      </c>
      <c r="J10" s="168" t="s">
        <v>230</v>
      </c>
    </row>
    <row r="11" spans="1:10">
      <c r="A11" s="462"/>
      <c r="B11" s="462" t="s">
        <v>209</v>
      </c>
      <c r="C11" s="462" t="s">
        <v>210</v>
      </c>
      <c r="D11" s="317" t="s">
        <v>211</v>
      </c>
      <c r="E11" s="462" t="s">
        <v>212</v>
      </c>
      <c r="F11" s="159" t="s">
        <v>213</v>
      </c>
      <c r="G11" s="462" t="s">
        <v>214</v>
      </c>
      <c r="I11" s="462" t="s">
        <v>227</v>
      </c>
      <c r="J11" s="461" t="s">
        <v>335</v>
      </c>
    </row>
    <row r="12" spans="1:10">
      <c r="A12" s="462"/>
      <c r="B12" s="460"/>
      <c r="C12" s="462"/>
      <c r="D12" s="322"/>
      <c r="E12" s="323"/>
      <c r="F12" s="161"/>
      <c r="G12" s="460"/>
      <c r="I12" s="460"/>
      <c r="J12" s="29"/>
    </row>
    <row r="13" spans="1:10">
      <c r="A13" s="462">
        <v>1</v>
      </c>
      <c r="B13" s="460" t="s">
        <v>215</v>
      </c>
      <c r="C13" s="324" t="s">
        <v>573</v>
      </c>
      <c r="D13" s="317">
        <f ca="1">'Exh1'!D14</f>
        <v>79468.390430000014</v>
      </c>
      <c r="E13" s="517">
        <v>1</v>
      </c>
      <c r="F13" s="518">
        <f ca="1">$E$23*E13</f>
        <v>0</v>
      </c>
      <c r="G13" s="317">
        <f ca="1">D13*F13+0.1</f>
        <v>0.1</v>
      </c>
      <c r="H13" s="317">
        <f ca="1">D13+G13</f>
        <v>79468.49043000002</v>
      </c>
      <c r="I13" s="452">
        <f>'Exh1'!H14</f>
        <v>119132.46427</v>
      </c>
      <c r="J13" s="518">
        <f ca="1">(G13)/I13</f>
        <v>8.3940175847753418E-7</v>
      </c>
    </row>
    <row r="14" spans="1:10">
      <c r="A14" s="462">
        <v>2</v>
      </c>
      <c r="B14" s="460" t="s">
        <v>216</v>
      </c>
      <c r="C14" s="324" t="s">
        <v>387</v>
      </c>
      <c r="D14" s="317">
        <f ca="1">'Exh1'!D15</f>
        <v>20145.480680000004</v>
      </c>
      <c r="E14" s="517">
        <v>1</v>
      </c>
      <c r="F14" s="518">
        <f t="shared" ref="F14:F16" ca="1" si="0">$E$23*E14</f>
        <v>0</v>
      </c>
      <c r="G14" s="317">
        <f ca="1">D14*F14</f>
        <v>0</v>
      </c>
      <c r="H14" s="317">
        <f t="shared" ref="H14:H18" ca="1" si="1">D14+G14</f>
        <v>20145.480680000004</v>
      </c>
      <c r="I14" s="452">
        <f>'Exh1'!H15</f>
        <v>39678.664100000002</v>
      </c>
      <c r="J14" s="518">
        <f t="shared" ref="J14:J18" ca="1" si="2">(G14)/I14</f>
        <v>0</v>
      </c>
    </row>
    <row r="15" spans="1:10" ht="25.5">
      <c r="A15" s="462">
        <v>3</v>
      </c>
      <c r="B15" s="326" t="s">
        <v>245</v>
      </c>
      <c r="C15" s="324" t="s">
        <v>389</v>
      </c>
      <c r="D15" s="317">
        <f>'Exh1'!D16</f>
        <v>0</v>
      </c>
      <c r="E15" s="517">
        <v>1</v>
      </c>
      <c r="F15" s="518">
        <f ca="1">$E$23*E15</f>
        <v>0</v>
      </c>
      <c r="G15" s="317">
        <f t="shared" ref="G15:G18" ca="1" si="3">D15*F15</f>
        <v>0</v>
      </c>
      <c r="H15" s="317">
        <f t="shared" ca="1" si="1"/>
        <v>0</v>
      </c>
      <c r="I15" s="452">
        <f>'Exh1'!H16</f>
        <v>0</v>
      </c>
      <c r="J15" s="518" t="e">
        <f t="shared" ca="1" si="2"/>
        <v>#DIV/0!</v>
      </c>
    </row>
    <row r="16" spans="1:10">
      <c r="A16" s="462">
        <v>4</v>
      </c>
      <c r="B16" s="460" t="s">
        <v>237</v>
      </c>
      <c r="C16" s="462" t="s">
        <v>390</v>
      </c>
      <c r="D16" s="317">
        <f ca="1">'Exh1'!D17</f>
        <v>216.98343000000003</v>
      </c>
      <c r="E16" s="517">
        <v>1</v>
      </c>
      <c r="F16" s="518">
        <f t="shared" ca="1" si="0"/>
        <v>0</v>
      </c>
      <c r="G16" s="317">
        <f t="shared" ca="1" si="3"/>
        <v>0</v>
      </c>
      <c r="H16" s="317">
        <f t="shared" ca="1" si="1"/>
        <v>216.98343000000003</v>
      </c>
      <c r="I16" s="452">
        <f>'Exh1'!H17</f>
        <v>453.79217000000006</v>
      </c>
      <c r="J16" s="518">
        <f t="shared" ca="1" si="2"/>
        <v>0</v>
      </c>
    </row>
    <row r="17" spans="1:10">
      <c r="A17" s="462">
        <v>5</v>
      </c>
      <c r="B17" s="460" t="s">
        <v>217</v>
      </c>
      <c r="C17" s="324" t="s">
        <v>250</v>
      </c>
      <c r="D17" s="317">
        <f ca="1">'Exh1'!D18</f>
        <v>3580.8606365599999</v>
      </c>
      <c r="E17" s="517">
        <v>1</v>
      </c>
      <c r="F17" s="518">
        <f ca="1">$E$23*E17</f>
        <v>0</v>
      </c>
      <c r="G17" s="317">
        <f t="shared" ca="1" si="3"/>
        <v>0</v>
      </c>
      <c r="H17" s="317">
        <f t="shared" ca="1" si="1"/>
        <v>3580.8606365599999</v>
      </c>
      <c r="I17" s="452">
        <f>'Exh1'!H18</f>
        <v>3287.14184656</v>
      </c>
      <c r="J17" s="518">
        <f t="shared" ca="1" si="2"/>
        <v>0</v>
      </c>
    </row>
    <row r="18" spans="1:10">
      <c r="A18" s="462">
        <v>6</v>
      </c>
      <c r="B18" s="460" t="s">
        <v>238</v>
      </c>
      <c r="C18" s="324" t="s">
        <v>260</v>
      </c>
      <c r="D18" s="271">
        <f>'Exh1'!D19</f>
        <v>1760.8636899999999</v>
      </c>
      <c r="E18" s="517">
        <v>0</v>
      </c>
      <c r="F18" s="518">
        <v>0</v>
      </c>
      <c r="G18" s="271">
        <f t="shared" si="3"/>
        <v>0</v>
      </c>
      <c r="H18" s="317">
        <f t="shared" si="1"/>
        <v>1760.8636899999999</v>
      </c>
      <c r="I18" s="516">
        <f>'Exh1'!H19</f>
        <v>1760.8636899999999</v>
      </c>
      <c r="J18" s="518">
        <f t="shared" si="2"/>
        <v>0</v>
      </c>
    </row>
    <row r="19" spans="1:10">
      <c r="A19" s="462">
        <v>7</v>
      </c>
      <c r="B19" s="327" t="s">
        <v>59</v>
      </c>
      <c r="C19" s="462"/>
      <c r="D19" s="317">
        <f ca="1">'Pres &amp; Prop Rev'!$C$145/1000-0.2</f>
        <v>105172.37886656003</v>
      </c>
      <c r="E19" s="317"/>
      <c r="F19" s="518">
        <f ca="1">D23/D19</f>
        <v>0</v>
      </c>
      <c r="G19" s="317">
        <f ca="1">SUM(G13:G18)+0.2</f>
        <v>0.30000000000000004</v>
      </c>
      <c r="H19" s="452">
        <f ca="1">SUM(H13:H18)</f>
        <v>105172.67886656002</v>
      </c>
      <c r="I19" s="452">
        <f>SUM(I13:I18)+0.4</f>
        <v>164313.32607655998</v>
      </c>
      <c r="J19" s="518">
        <f ca="1">(G19)/I19</f>
        <v>1.8257800944289713E-6</v>
      </c>
    </row>
    <row r="23" spans="1:10">
      <c r="B23" t="s">
        <v>582</v>
      </c>
      <c r="D23" s="514">
        <v>0</v>
      </c>
      <c r="E23" s="413">
        <f ca="1">D23/(D19-D18)</f>
        <v>0</v>
      </c>
    </row>
  </sheetData>
  <pageMargins left="0.7" right="0.7" top="0.75" bottom="0.75" header="0.3" footer="0.3"/>
  <pageSetup scale="98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pageSetUpPr fitToPage="1"/>
  </sheetPr>
  <dimension ref="A2:R102"/>
  <sheetViews>
    <sheetView workbookViewId="0">
      <selection activeCell="P32" sqref="P32"/>
    </sheetView>
  </sheetViews>
  <sheetFormatPr defaultRowHeight="12.75"/>
  <cols>
    <col min="1" max="1" width="6.5703125" customWidth="1"/>
    <col min="2" max="2" width="12.140625" bestFit="1" customWidth="1"/>
    <col min="3" max="3" width="10.7109375" bestFit="1" customWidth="1"/>
    <col min="4" max="5" width="11.28515625" bestFit="1" customWidth="1"/>
    <col min="6" max="6" width="8.7109375" bestFit="1" customWidth="1"/>
    <col min="7" max="7" width="15.140625" bestFit="1" customWidth="1"/>
    <col min="8" max="8" width="15.140625" customWidth="1"/>
    <col min="9" max="12" width="9.7109375" bestFit="1" customWidth="1"/>
    <col min="13" max="13" width="12.7109375" bestFit="1" customWidth="1"/>
    <col min="15" max="15" width="13" customWidth="1"/>
    <col min="18" max="18" width="9.5703125" bestFit="1" customWidth="1"/>
  </cols>
  <sheetData>
    <row r="2" spans="1:18" ht="15.75">
      <c r="A2" s="388" t="s">
        <v>409</v>
      </c>
    </row>
    <row r="6" spans="1:18">
      <c r="A6" s="29" t="s">
        <v>406</v>
      </c>
      <c r="B6" s="29"/>
      <c r="G6" s="29" t="s">
        <v>405</v>
      </c>
      <c r="H6" s="29"/>
    </row>
    <row r="7" spans="1:18">
      <c r="B7" s="32" t="s">
        <v>228</v>
      </c>
      <c r="C7" s="32" t="s">
        <v>399</v>
      </c>
      <c r="D7" s="32" t="s">
        <v>400</v>
      </c>
      <c r="E7" s="32" t="s">
        <v>401</v>
      </c>
      <c r="F7" s="32"/>
      <c r="G7" s="32" t="s">
        <v>228</v>
      </c>
      <c r="H7" s="32" t="s">
        <v>399</v>
      </c>
      <c r="I7" s="32" t="s">
        <v>400</v>
      </c>
      <c r="J7" s="32" t="s">
        <v>401</v>
      </c>
      <c r="K7" s="32"/>
      <c r="L7" s="32" t="s">
        <v>407</v>
      </c>
      <c r="M7" s="32" t="s">
        <v>408</v>
      </c>
      <c r="P7" t="s">
        <v>633</v>
      </c>
    </row>
    <row r="8" spans="1:18">
      <c r="B8" s="365">
        <f>'Rate Design'!D4</f>
        <v>9.5</v>
      </c>
      <c r="C8" s="366">
        <f>'Rate Design'!D16/100</f>
        <v>0.71111000000000002</v>
      </c>
      <c r="D8" s="366">
        <f>'Rate Design'!D17/100</f>
        <v>0.83409000000000011</v>
      </c>
      <c r="E8" s="292"/>
      <c r="F8" s="265"/>
      <c r="G8" s="365">
        <f>'Rate Design'!D26</f>
        <v>9.5</v>
      </c>
      <c r="H8" s="366">
        <f>'Rate Design'!D38/100</f>
        <v>0.71111000000000002</v>
      </c>
      <c r="I8" s="366">
        <f>'Rate Design'!D39/100</f>
        <v>0.83409000000000011</v>
      </c>
    </row>
    <row r="9" spans="1:18">
      <c r="A9">
        <v>10</v>
      </c>
      <c r="B9" s="265">
        <f>$B$8</f>
        <v>9.5</v>
      </c>
      <c r="C9" s="265">
        <f t="shared" ref="C9:C14" si="0">A9*$C$8</f>
        <v>7.1111000000000004</v>
      </c>
      <c r="D9" s="265"/>
      <c r="E9" s="265">
        <f>SUM(B9:D9)</f>
        <v>16.6111</v>
      </c>
      <c r="F9" s="265"/>
      <c r="G9" s="265">
        <f>$G$8</f>
        <v>9.5</v>
      </c>
      <c r="H9" s="265">
        <f>A9*$H$8</f>
        <v>7.1111000000000004</v>
      </c>
      <c r="I9" s="265"/>
      <c r="J9" s="361">
        <f t="shared" ref="J9:J39" si="1">SUM(G9:I9)</f>
        <v>16.6111</v>
      </c>
      <c r="L9" s="369">
        <f t="shared" ref="L9:L49" si="2">J9-E9</f>
        <v>0</v>
      </c>
      <c r="M9" s="370">
        <f t="shared" ref="M9:M49" si="3">L9/E9</f>
        <v>0</v>
      </c>
    </row>
    <row r="10" spans="1:18">
      <c r="A10">
        <f>A9+10</f>
        <v>20</v>
      </c>
      <c r="B10" s="265">
        <f t="shared" ref="B10:B49" si="4">$B$8</f>
        <v>9.5</v>
      </c>
      <c r="C10" s="265">
        <f t="shared" si="0"/>
        <v>14.222200000000001</v>
      </c>
      <c r="D10" s="265"/>
      <c r="E10" s="265">
        <f t="shared" ref="E10:E39" si="5">SUM(B10:D10)</f>
        <v>23.722200000000001</v>
      </c>
      <c r="F10" s="265"/>
      <c r="G10" s="265">
        <f t="shared" ref="G10:G49" si="6">$G$8</f>
        <v>9.5</v>
      </c>
      <c r="H10" s="265">
        <f t="shared" ref="H10:H14" si="7">A10*$H$8</f>
        <v>14.222200000000001</v>
      </c>
      <c r="I10" s="265"/>
      <c r="J10" s="361">
        <f t="shared" si="1"/>
        <v>23.722200000000001</v>
      </c>
      <c r="L10" s="369">
        <f t="shared" si="2"/>
        <v>0</v>
      </c>
      <c r="M10" s="370">
        <f t="shared" si="3"/>
        <v>0</v>
      </c>
    </row>
    <row r="11" spans="1:18">
      <c r="A11">
        <f t="shared" ref="A11:A49" si="8">A10+10</f>
        <v>30</v>
      </c>
      <c r="B11" s="265">
        <f t="shared" si="4"/>
        <v>9.5</v>
      </c>
      <c r="C11" s="265">
        <f t="shared" si="0"/>
        <v>21.333300000000001</v>
      </c>
      <c r="D11" s="265"/>
      <c r="E11" s="265">
        <f t="shared" si="5"/>
        <v>30.833300000000001</v>
      </c>
      <c r="F11" s="265"/>
      <c r="G11" s="265">
        <f t="shared" si="6"/>
        <v>9.5</v>
      </c>
      <c r="H11" s="265">
        <f t="shared" si="7"/>
        <v>21.333300000000001</v>
      </c>
      <c r="I11" s="265"/>
      <c r="J11" s="361">
        <f t="shared" si="1"/>
        <v>30.833300000000001</v>
      </c>
      <c r="L11" s="369">
        <f t="shared" si="2"/>
        <v>0</v>
      </c>
      <c r="M11" s="370">
        <f t="shared" si="3"/>
        <v>0</v>
      </c>
    </row>
    <row r="12" spans="1:18">
      <c r="A12">
        <f t="shared" si="8"/>
        <v>40</v>
      </c>
      <c r="B12" s="265">
        <f t="shared" si="4"/>
        <v>9.5</v>
      </c>
      <c r="C12" s="265">
        <f t="shared" si="0"/>
        <v>28.444400000000002</v>
      </c>
      <c r="D12" s="265"/>
      <c r="E12" s="265">
        <f t="shared" si="5"/>
        <v>37.944400000000002</v>
      </c>
      <c r="F12" s="265"/>
      <c r="G12" s="265">
        <f t="shared" si="6"/>
        <v>9.5</v>
      </c>
      <c r="H12" s="265">
        <f t="shared" si="7"/>
        <v>28.444400000000002</v>
      </c>
      <c r="I12" s="265"/>
      <c r="J12" s="361">
        <f t="shared" si="1"/>
        <v>37.944400000000002</v>
      </c>
      <c r="L12" s="369">
        <f t="shared" si="2"/>
        <v>0</v>
      </c>
      <c r="M12" s="370">
        <f t="shared" si="3"/>
        <v>0</v>
      </c>
    </row>
    <row r="13" spans="1:18">
      <c r="A13">
        <f t="shared" si="8"/>
        <v>50</v>
      </c>
      <c r="B13" s="265">
        <f t="shared" si="4"/>
        <v>9.5</v>
      </c>
      <c r="C13" s="265">
        <f t="shared" si="0"/>
        <v>35.555500000000002</v>
      </c>
      <c r="D13" s="265"/>
      <c r="E13" s="265">
        <f t="shared" si="5"/>
        <v>45.055500000000002</v>
      </c>
      <c r="F13" s="265"/>
      <c r="G13" s="265">
        <f t="shared" si="6"/>
        <v>9.5</v>
      </c>
      <c r="H13" s="265">
        <f t="shared" si="7"/>
        <v>35.555500000000002</v>
      </c>
      <c r="I13" s="265"/>
      <c r="J13" s="361">
        <f t="shared" si="1"/>
        <v>45.055500000000002</v>
      </c>
      <c r="L13" s="369">
        <f t="shared" si="2"/>
        <v>0</v>
      </c>
      <c r="M13" s="370">
        <f t="shared" si="3"/>
        <v>0</v>
      </c>
    </row>
    <row r="14" spans="1:18" ht="13.5" thickBot="1">
      <c r="A14">
        <f t="shared" si="8"/>
        <v>60</v>
      </c>
      <c r="B14" s="265">
        <f t="shared" si="4"/>
        <v>9.5</v>
      </c>
      <c r="C14" s="265">
        <f t="shared" si="0"/>
        <v>42.666600000000003</v>
      </c>
      <c r="D14" s="265"/>
      <c r="E14" s="265">
        <f t="shared" si="5"/>
        <v>52.166600000000003</v>
      </c>
      <c r="F14" s="265"/>
      <c r="G14" s="265">
        <f t="shared" si="6"/>
        <v>9.5</v>
      </c>
      <c r="H14" s="265">
        <f t="shared" si="7"/>
        <v>42.666600000000003</v>
      </c>
      <c r="I14" s="265"/>
      <c r="J14" s="361">
        <f t="shared" si="1"/>
        <v>52.166600000000003</v>
      </c>
      <c r="L14" s="369">
        <f t="shared" si="2"/>
        <v>0</v>
      </c>
      <c r="M14" s="370">
        <f t="shared" si="3"/>
        <v>0</v>
      </c>
    </row>
    <row r="15" spans="1:18" ht="13.5" thickBot="1">
      <c r="A15" s="362">
        <f>ROUND('Pres &amp; Prop Rev'!D46/'Pres &amp; Prop Rev'!D48,0)</f>
        <v>67</v>
      </c>
      <c r="B15" s="363">
        <f t="shared" si="4"/>
        <v>9.5</v>
      </c>
      <c r="C15" s="363">
        <f>ROUND(A15*$C$8,2)</f>
        <v>47.64</v>
      </c>
      <c r="D15" s="363"/>
      <c r="E15" s="363">
        <f>SUM(B15:D15)</f>
        <v>57.14</v>
      </c>
      <c r="F15" s="363"/>
      <c r="G15" s="363">
        <f t="shared" si="6"/>
        <v>9.5</v>
      </c>
      <c r="H15" s="363">
        <f>ROUND(A15*$H$8,2)</f>
        <v>47.64</v>
      </c>
      <c r="I15" s="363"/>
      <c r="J15" s="373">
        <f t="shared" ref="J15" si="9">SUM(G15:I15)</f>
        <v>57.14</v>
      </c>
      <c r="K15" s="374"/>
      <c r="L15" s="404">
        <f t="shared" si="2"/>
        <v>0</v>
      </c>
      <c r="M15" s="406">
        <f t="shared" si="3"/>
        <v>0</v>
      </c>
      <c r="P15" s="265">
        <f>A15*ROUND('Exh5'!F16,5)</f>
        <v>0</v>
      </c>
      <c r="Q15" s="361">
        <f>J15+P15</f>
        <v>57.14</v>
      </c>
      <c r="R15" s="413">
        <f>P15/J15</f>
        <v>0</v>
      </c>
    </row>
    <row r="16" spans="1:18">
      <c r="A16">
        <f>A14+10</f>
        <v>70</v>
      </c>
      <c r="B16" s="265">
        <f t="shared" si="4"/>
        <v>9.5</v>
      </c>
      <c r="C16" s="265">
        <f>ROUND(A16*$C$8,2)</f>
        <v>49.78</v>
      </c>
      <c r="D16" s="265"/>
      <c r="E16" s="265">
        <f t="shared" si="5"/>
        <v>59.28</v>
      </c>
      <c r="F16" s="265"/>
      <c r="G16" s="265">
        <f t="shared" si="6"/>
        <v>9.5</v>
      </c>
      <c r="H16" s="265">
        <f>ROUND(A16*$H$8,2)</f>
        <v>49.78</v>
      </c>
      <c r="I16" s="265"/>
      <c r="J16" s="361">
        <f t="shared" si="1"/>
        <v>59.28</v>
      </c>
      <c r="L16" s="369">
        <f>J16-E16</f>
        <v>0</v>
      </c>
      <c r="M16" s="370">
        <f t="shared" si="3"/>
        <v>0</v>
      </c>
    </row>
    <row r="17" spans="1:17">
      <c r="A17">
        <f t="shared" si="8"/>
        <v>80</v>
      </c>
      <c r="B17" s="265">
        <f t="shared" si="4"/>
        <v>9.5</v>
      </c>
      <c r="C17" s="265">
        <f>70*$C$8</f>
        <v>49.777700000000003</v>
      </c>
      <c r="D17" s="265">
        <f>(A17-70)*$D$8</f>
        <v>8.3409000000000013</v>
      </c>
      <c r="E17" s="265">
        <f>SUM(B17:D17)</f>
        <v>67.618600000000001</v>
      </c>
      <c r="F17" s="265"/>
      <c r="G17" s="265">
        <f t="shared" si="6"/>
        <v>9.5</v>
      </c>
      <c r="H17" s="265">
        <f>70*$H$8</f>
        <v>49.777700000000003</v>
      </c>
      <c r="I17" s="265">
        <f>(A17-70)*$I$8</f>
        <v>8.3409000000000013</v>
      </c>
      <c r="J17" s="361">
        <f t="shared" si="1"/>
        <v>67.618600000000001</v>
      </c>
      <c r="L17" s="369">
        <f t="shared" si="2"/>
        <v>0</v>
      </c>
      <c r="M17" s="370">
        <f t="shared" si="3"/>
        <v>0</v>
      </c>
    </row>
    <row r="18" spans="1:17">
      <c r="A18">
        <f t="shared" si="8"/>
        <v>90</v>
      </c>
      <c r="B18" s="265">
        <f t="shared" si="4"/>
        <v>9.5</v>
      </c>
      <c r="C18" s="265">
        <f t="shared" ref="C18:C49" si="10">70*$C$8</f>
        <v>49.777700000000003</v>
      </c>
      <c r="D18" s="265">
        <f>(A18-70)*$D$8</f>
        <v>16.681800000000003</v>
      </c>
      <c r="E18" s="265">
        <f t="shared" si="5"/>
        <v>75.959500000000006</v>
      </c>
      <c r="F18" s="265"/>
      <c r="G18" s="265">
        <f t="shared" si="6"/>
        <v>9.5</v>
      </c>
      <c r="H18" s="265">
        <f t="shared" ref="H18:H49" si="11">70*$H$8</f>
        <v>49.777700000000003</v>
      </c>
      <c r="I18" s="265">
        <f t="shared" ref="I18:I39" si="12">(A18-70)*$I$8</f>
        <v>16.681800000000003</v>
      </c>
      <c r="J18" s="361">
        <f t="shared" si="1"/>
        <v>75.959500000000006</v>
      </c>
      <c r="L18" s="369">
        <f t="shared" si="2"/>
        <v>0</v>
      </c>
      <c r="M18" s="370">
        <f t="shared" si="3"/>
        <v>0</v>
      </c>
    </row>
    <row r="19" spans="1:17">
      <c r="A19">
        <f t="shared" si="8"/>
        <v>100</v>
      </c>
      <c r="B19" s="265">
        <f t="shared" si="4"/>
        <v>9.5</v>
      </c>
      <c r="C19" s="265">
        <f t="shared" si="10"/>
        <v>49.777700000000003</v>
      </c>
      <c r="D19" s="265">
        <f t="shared" ref="D19:D39" si="13">(A19-70)*$D$8</f>
        <v>25.022700000000004</v>
      </c>
      <c r="E19" s="265">
        <f t="shared" si="5"/>
        <v>84.30040000000001</v>
      </c>
      <c r="F19" s="265"/>
      <c r="G19" s="265">
        <f t="shared" si="6"/>
        <v>9.5</v>
      </c>
      <c r="H19" s="265">
        <f t="shared" si="11"/>
        <v>49.777700000000003</v>
      </c>
      <c r="I19" s="265">
        <f t="shared" si="12"/>
        <v>25.022700000000004</v>
      </c>
      <c r="J19" s="361">
        <f t="shared" si="1"/>
        <v>84.30040000000001</v>
      </c>
      <c r="L19" s="369">
        <f t="shared" si="2"/>
        <v>0</v>
      </c>
      <c r="M19" s="370">
        <f t="shared" si="3"/>
        <v>0</v>
      </c>
      <c r="Q19" s="361"/>
    </row>
    <row r="20" spans="1:17">
      <c r="A20">
        <f t="shared" si="8"/>
        <v>110</v>
      </c>
      <c r="B20" s="265">
        <f t="shared" si="4"/>
        <v>9.5</v>
      </c>
      <c r="C20" s="265">
        <f t="shared" si="10"/>
        <v>49.777700000000003</v>
      </c>
      <c r="D20" s="265">
        <f t="shared" si="13"/>
        <v>33.363600000000005</v>
      </c>
      <c r="E20" s="265">
        <f t="shared" si="5"/>
        <v>92.641300000000001</v>
      </c>
      <c r="F20" s="265"/>
      <c r="G20" s="265">
        <f t="shared" si="6"/>
        <v>9.5</v>
      </c>
      <c r="H20" s="265">
        <f t="shared" si="11"/>
        <v>49.777700000000003</v>
      </c>
      <c r="I20" s="265">
        <f t="shared" si="12"/>
        <v>33.363600000000005</v>
      </c>
      <c r="J20" s="361">
        <f t="shared" si="1"/>
        <v>92.641300000000001</v>
      </c>
      <c r="L20" s="369">
        <f t="shared" si="2"/>
        <v>0</v>
      </c>
      <c r="M20" s="370">
        <f t="shared" si="3"/>
        <v>0</v>
      </c>
    </row>
    <row r="21" spans="1:17">
      <c r="A21">
        <f t="shared" si="8"/>
        <v>120</v>
      </c>
      <c r="B21" s="265">
        <f t="shared" si="4"/>
        <v>9.5</v>
      </c>
      <c r="C21" s="265">
        <f t="shared" si="10"/>
        <v>49.777700000000003</v>
      </c>
      <c r="D21" s="265">
        <f t="shared" si="13"/>
        <v>41.704500000000003</v>
      </c>
      <c r="E21" s="265">
        <f t="shared" si="5"/>
        <v>100.98220000000001</v>
      </c>
      <c r="F21" s="265"/>
      <c r="G21" s="265">
        <f t="shared" si="6"/>
        <v>9.5</v>
      </c>
      <c r="H21" s="265">
        <f t="shared" si="11"/>
        <v>49.777700000000003</v>
      </c>
      <c r="I21" s="265">
        <f t="shared" si="12"/>
        <v>41.704500000000003</v>
      </c>
      <c r="J21" s="361">
        <f t="shared" si="1"/>
        <v>100.98220000000001</v>
      </c>
      <c r="L21" s="369">
        <f t="shared" si="2"/>
        <v>0</v>
      </c>
      <c r="M21" s="370">
        <f t="shared" si="3"/>
        <v>0</v>
      </c>
    </row>
    <row r="22" spans="1:17">
      <c r="A22">
        <f t="shared" si="8"/>
        <v>130</v>
      </c>
      <c r="B22" s="265">
        <f t="shared" si="4"/>
        <v>9.5</v>
      </c>
      <c r="C22" s="265">
        <f t="shared" si="10"/>
        <v>49.777700000000003</v>
      </c>
      <c r="D22" s="265">
        <f t="shared" si="13"/>
        <v>50.045400000000008</v>
      </c>
      <c r="E22" s="265">
        <f t="shared" si="5"/>
        <v>109.32310000000001</v>
      </c>
      <c r="F22" s="265"/>
      <c r="G22" s="265">
        <f t="shared" si="6"/>
        <v>9.5</v>
      </c>
      <c r="H22" s="265">
        <f t="shared" si="11"/>
        <v>49.777700000000003</v>
      </c>
      <c r="I22" s="265">
        <f t="shared" si="12"/>
        <v>50.045400000000008</v>
      </c>
      <c r="J22" s="361">
        <f t="shared" si="1"/>
        <v>109.32310000000001</v>
      </c>
      <c r="L22" s="369">
        <f t="shared" si="2"/>
        <v>0</v>
      </c>
      <c r="M22" s="370">
        <f t="shared" si="3"/>
        <v>0</v>
      </c>
    </row>
    <row r="23" spans="1:17">
      <c r="A23">
        <f t="shared" si="8"/>
        <v>140</v>
      </c>
      <c r="B23" s="265">
        <f t="shared" si="4"/>
        <v>9.5</v>
      </c>
      <c r="C23" s="265">
        <f t="shared" si="10"/>
        <v>49.777700000000003</v>
      </c>
      <c r="D23" s="265">
        <f t="shared" si="13"/>
        <v>58.386300000000006</v>
      </c>
      <c r="E23" s="265">
        <f t="shared" si="5"/>
        <v>117.66400000000002</v>
      </c>
      <c r="F23" s="265"/>
      <c r="G23" s="265">
        <f t="shared" si="6"/>
        <v>9.5</v>
      </c>
      <c r="H23" s="265">
        <f t="shared" si="11"/>
        <v>49.777700000000003</v>
      </c>
      <c r="I23" s="265">
        <f t="shared" si="12"/>
        <v>58.386300000000006</v>
      </c>
      <c r="J23" s="361">
        <f t="shared" si="1"/>
        <v>117.66400000000002</v>
      </c>
      <c r="L23" s="369">
        <f t="shared" si="2"/>
        <v>0</v>
      </c>
      <c r="M23" s="370">
        <f t="shared" si="3"/>
        <v>0</v>
      </c>
    </row>
    <row r="24" spans="1:17">
      <c r="A24">
        <f t="shared" si="8"/>
        <v>150</v>
      </c>
      <c r="B24" s="265">
        <f t="shared" si="4"/>
        <v>9.5</v>
      </c>
      <c r="C24" s="265">
        <f t="shared" si="10"/>
        <v>49.777700000000003</v>
      </c>
      <c r="D24" s="265">
        <f t="shared" si="13"/>
        <v>66.727200000000011</v>
      </c>
      <c r="E24" s="265">
        <f t="shared" si="5"/>
        <v>126.00490000000002</v>
      </c>
      <c r="F24" s="265"/>
      <c r="G24" s="265">
        <f t="shared" si="6"/>
        <v>9.5</v>
      </c>
      <c r="H24" s="265">
        <f t="shared" si="11"/>
        <v>49.777700000000003</v>
      </c>
      <c r="I24" s="265">
        <f t="shared" si="12"/>
        <v>66.727200000000011</v>
      </c>
      <c r="J24" s="361">
        <f t="shared" si="1"/>
        <v>126.00490000000002</v>
      </c>
      <c r="L24" s="369">
        <f t="shared" si="2"/>
        <v>0</v>
      </c>
      <c r="M24" s="370">
        <f t="shared" si="3"/>
        <v>0</v>
      </c>
    </row>
    <row r="25" spans="1:17">
      <c r="A25">
        <f t="shared" si="8"/>
        <v>160</v>
      </c>
      <c r="B25" s="265">
        <f t="shared" si="4"/>
        <v>9.5</v>
      </c>
      <c r="C25" s="265">
        <f t="shared" si="10"/>
        <v>49.777700000000003</v>
      </c>
      <c r="D25" s="265">
        <f t="shared" si="13"/>
        <v>75.068100000000015</v>
      </c>
      <c r="E25" s="265">
        <f t="shared" si="5"/>
        <v>134.34580000000003</v>
      </c>
      <c r="F25" s="265"/>
      <c r="G25" s="265">
        <f t="shared" si="6"/>
        <v>9.5</v>
      </c>
      <c r="H25" s="265">
        <f t="shared" si="11"/>
        <v>49.777700000000003</v>
      </c>
      <c r="I25" s="265">
        <f t="shared" si="12"/>
        <v>75.068100000000015</v>
      </c>
      <c r="J25" s="361">
        <f t="shared" si="1"/>
        <v>134.34580000000003</v>
      </c>
      <c r="L25" s="369">
        <f t="shared" si="2"/>
        <v>0</v>
      </c>
      <c r="M25" s="370">
        <f t="shared" si="3"/>
        <v>0</v>
      </c>
    </row>
    <row r="26" spans="1:17">
      <c r="A26">
        <f t="shared" si="8"/>
        <v>170</v>
      </c>
      <c r="B26" s="265">
        <f t="shared" si="4"/>
        <v>9.5</v>
      </c>
      <c r="C26" s="265">
        <f t="shared" si="10"/>
        <v>49.777700000000003</v>
      </c>
      <c r="D26" s="265">
        <f t="shared" si="13"/>
        <v>83.409000000000006</v>
      </c>
      <c r="E26" s="265">
        <f t="shared" si="5"/>
        <v>142.6867</v>
      </c>
      <c r="F26" s="265"/>
      <c r="G26" s="265">
        <f t="shared" si="6"/>
        <v>9.5</v>
      </c>
      <c r="H26" s="265">
        <f t="shared" si="11"/>
        <v>49.777700000000003</v>
      </c>
      <c r="I26" s="265">
        <f t="shared" si="12"/>
        <v>83.409000000000006</v>
      </c>
      <c r="J26" s="361">
        <f t="shared" si="1"/>
        <v>142.6867</v>
      </c>
      <c r="L26" s="369">
        <f t="shared" si="2"/>
        <v>0</v>
      </c>
      <c r="M26" s="370">
        <f t="shared" si="3"/>
        <v>0</v>
      </c>
    </row>
    <row r="27" spans="1:17">
      <c r="A27">
        <f t="shared" si="8"/>
        <v>180</v>
      </c>
      <c r="B27" s="265">
        <f t="shared" si="4"/>
        <v>9.5</v>
      </c>
      <c r="C27" s="265">
        <f t="shared" si="10"/>
        <v>49.777700000000003</v>
      </c>
      <c r="D27" s="265">
        <f t="shared" si="13"/>
        <v>91.749900000000011</v>
      </c>
      <c r="E27" s="265">
        <f t="shared" si="5"/>
        <v>151.02760000000001</v>
      </c>
      <c r="F27" s="265"/>
      <c r="G27" s="265">
        <f t="shared" si="6"/>
        <v>9.5</v>
      </c>
      <c r="H27" s="265">
        <f t="shared" si="11"/>
        <v>49.777700000000003</v>
      </c>
      <c r="I27" s="265">
        <f t="shared" si="12"/>
        <v>91.749900000000011</v>
      </c>
      <c r="J27" s="361">
        <f t="shared" si="1"/>
        <v>151.02760000000001</v>
      </c>
      <c r="L27" s="369">
        <f t="shared" si="2"/>
        <v>0</v>
      </c>
      <c r="M27" s="370">
        <f t="shared" si="3"/>
        <v>0</v>
      </c>
    </row>
    <row r="28" spans="1:17">
      <c r="A28">
        <f t="shared" si="8"/>
        <v>190</v>
      </c>
      <c r="B28" s="265">
        <f t="shared" si="4"/>
        <v>9.5</v>
      </c>
      <c r="C28" s="265">
        <f t="shared" si="10"/>
        <v>49.777700000000003</v>
      </c>
      <c r="D28" s="265">
        <f t="shared" si="13"/>
        <v>100.09080000000002</v>
      </c>
      <c r="E28" s="265">
        <f t="shared" si="5"/>
        <v>159.36850000000001</v>
      </c>
      <c r="F28" s="265"/>
      <c r="G28" s="265">
        <f t="shared" si="6"/>
        <v>9.5</v>
      </c>
      <c r="H28" s="265">
        <f t="shared" si="11"/>
        <v>49.777700000000003</v>
      </c>
      <c r="I28" s="265">
        <f t="shared" si="12"/>
        <v>100.09080000000002</v>
      </c>
      <c r="J28" s="361">
        <f t="shared" si="1"/>
        <v>159.36850000000001</v>
      </c>
      <c r="L28" s="369">
        <f t="shared" si="2"/>
        <v>0</v>
      </c>
      <c r="M28" s="370">
        <f t="shared" si="3"/>
        <v>0</v>
      </c>
    </row>
    <row r="29" spans="1:17">
      <c r="A29" s="95">
        <f t="shared" si="8"/>
        <v>200</v>
      </c>
      <c r="B29" s="367">
        <f t="shared" si="4"/>
        <v>9.5</v>
      </c>
      <c r="C29" s="265">
        <f t="shared" si="10"/>
        <v>49.777700000000003</v>
      </c>
      <c r="D29" s="265">
        <f t="shared" si="13"/>
        <v>108.43170000000002</v>
      </c>
      <c r="E29" s="367">
        <f t="shared" si="5"/>
        <v>167.70940000000002</v>
      </c>
      <c r="F29" s="367"/>
      <c r="G29" s="367">
        <f t="shared" si="6"/>
        <v>9.5</v>
      </c>
      <c r="H29" s="367">
        <f t="shared" si="11"/>
        <v>49.777700000000003</v>
      </c>
      <c r="I29" s="367">
        <f t="shared" si="12"/>
        <v>108.43170000000002</v>
      </c>
      <c r="J29" s="368">
        <f t="shared" si="1"/>
        <v>167.70940000000002</v>
      </c>
      <c r="K29" s="95"/>
      <c r="L29" s="371">
        <f t="shared" si="2"/>
        <v>0</v>
      </c>
      <c r="M29" s="372">
        <f t="shared" si="3"/>
        <v>0</v>
      </c>
    </row>
    <row r="30" spans="1:17">
      <c r="A30">
        <f t="shared" si="8"/>
        <v>210</v>
      </c>
      <c r="B30" s="265">
        <f t="shared" si="4"/>
        <v>9.5</v>
      </c>
      <c r="C30" s="265">
        <f t="shared" si="10"/>
        <v>49.777700000000003</v>
      </c>
      <c r="D30" s="265">
        <f t="shared" si="13"/>
        <v>116.77260000000001</v>
      </c>
      <c r="E30" s="265">
        <f t="shared" si="5"/>
        <v>176.05030000000002</v>
      </c>
      <c r="F30" s="265"/>
      <c r="G30" s="265">
        <f t="shared" si="6"/>
        <v>9.5</v>
      </c>
      <c r="H30" s="265">
        <f t="shared" si="11"/>
        <v>49.777700000000003</v>
      </c>
      <c r="I30" s="265">
        <f t="shared" si="12"/>
        <v>116.77260000000001</v>
      </c>
      <c r="J30" s="361">
        <f t="shared" si="1"/>
        <v>176.05030000000002</v>
      </c>
      <c r="L30" s="369">
        <f t="shared" si="2"/>
        <v>0</v>
      </c>
      <c r="M30" s="370">
        <f t="shared" si="3"/>
        <v>0</v>
      </c>
    </row>
    <row r="31" spans="1:17">
      <c r="A31">
        <f t="shared" si="8"/>
        <v>220</v>
      </c>
      <c r="B31" s="265">
        <f t="shared" si="4"/>
        <v>9.5</v>
      </c>
      <c r="C31" s="265">
        <f t="shared" si="10"/>
        <v>49.777700000000003</v>
      </c>
      <c r="D31" s="265">
        <f t="shared" si="13"/>
        <v>125.11350000000002</v>
      </c>
      <c r="E31" s="265">
        <f t="shared" si="5"/>
        <v>184.39120000000003</v>
      </c>
      <c r="F31" s="265"/>
      <c r="G31" s="265">
        <f t="shared" si="6"/>
        <v>9.5</v>
      </c>
      <c r="H31" s="265">
        <f t="shared" si="11"/>
        <v>49.777700000000003</v>
      </c>
      <c r="I31" s="265">
        <f t="shared" si="12"/>
        <v>125.11350000000002</v>
      </c>
      <c r="J31" s="361">
        <f t="shared" si="1"/>
        <v>184.39120000000003</v>
      </c>
      <c r="L31" s="369">
        <f t="shared" si="2"/>
        <v>0</v>
      </c>
      <c r="M31" s="370">
        <f t="shared" si="3"/>
        <v>0</v>
      </c>
    </row>
    <row r="32" spans="1:17">
      <c r="A32">
        <f t="shared" si="8"/>
        <v>230</v>
      </c>
      <c r="B32" s="265">
        <f t="shared" si="4"/>
        <v>9.5</v>
      </c>
      <c r="C32" s="265">
        <f t="shared" si="10"/>
        <v>49.777700000000003</v>
      </c>
      <c r="D32" s="265">
        <f t="shared" si="13"/>
        <v>133.45440000000002</v>
      </c>
      <c r="E32" s="265">
        <f t="shared" si="5"/>
        <v>192.73210000000003</v>
      </c>
      <c r="F32" s="265"/>
      <c r="G32" s="265">
        <f t="shared" si="6"/>
        <v>9.5</v>
      </c>
      <c r="H32" s="265">
        <f t="shared" si="11"/>
        <v>49.777700000000003</v>
      </c>
      <c r="I32" s="265">
        <f t="shared" si="12"/>
        <v>133.45440000000002</v>
      </c>
      <c r="J32" s="361">
        <f t="shared" si="1"/>
        <v>192.73210000000003</v>
      </c>
      <c r="L32" s="369">
        <f t="shared" si="2"/>
        <v>0</v>
      </c>
      <c r="M32" s="370">
        <f t="shared" si="3"/>
        <v>0</v>
      </c>
    </row>
    <row r="33" spans="1:13">
      <c r="A33">
        <f t="shared" si="8"/>
        <v>240</v>
      </c>
      <c r="B33" s="265">
        <f t="shared" si="4"/>
        <v>9.5</v>
      </c>
      <c r="C33" s="265">
        <f t="shared" si="10"/>
        <v>49.777700000000003</v>
      </c>
      <c r="D33" s="265">
        <f t="shared" si="13"/>
        <v>141.79530000000003</v>
      </c>
      <c r="E33" s="265">
        <f t="shared" si="5"/>
        <v>201.07300000000004</v>
      </c>
      <c r="F33" s="265"/>
      <c r="G33" s="265">
        <f t="shared" si="6"/>
        <v>9.5</v>
      </c>
      <c r="H33" s="265">
        <f t="shared" si="11"/>
        <v>49.777700000000003</v>
      </c>
      <c r="I33" s="265">
        <f t="shared" si="12"/>
        <v>141.79530000000003</v>
      </c>
      <c r="J33" s="361">
        <f t="shared" si="1"/>
        <v>201.07300000000004</v>
      </c>
      <c r="L33" s="369">
        <f t="shared" si="2"/>
        <v>0</v>
      </c>
      <c r="M33" s="370">
        <f t="shared" si="3"/>
        <v>0</v>
      </c>
    </row>
    <row r="34" spans="1:13">
      <c r="A34">
        <f t="shared" si="8"/>
        <v>250</v>
      </c>
      <c r="B34" s="265">
        <f t="shared" si="4"/>
        <v>9.5</v>
      </c>
      <c r="C34" s="265">
        <f t="shared" si="10"/>
        <v>49.777700000000003</v>
      </c>
      <c r="D34" s="265">
        <f t="shared" si="13"/>
        <v>150.13620000000003</v>
      </c>
      <c r="E34" s="265">
        <f t="shared" si="5"/>
        <v>209.41390000000004</v>
      </c>
      <c r="F34" s="265"/>
      <c r="G34" s="265">
        <f t="shared" si="6"/>
        <v>9.5</v>
      </c>
      <c r="H34" s="265">
        <f t="shared" si="11"/>
        <v>49.777700000000003</v>
      </c>
      <c r="I34" s="265">
        <f t="shared" si="12"/>
        <v>150.13620000000003</v>
      </c>
      <c r="J34" s="361">
        <f t="shared" si="1"/>
        <v>209.41390000000004</v>
      </c>
      <c r="L34" s="369">
        <f t="shared" si="2"/>
        <v>0</v>
      </c>
      <c r="M34" s="370">
        <f t="shared" si="3"/>
        <v>0</v>
      </c>
    </row>
    <row r="35" spans="1:13">
      <c r="A35">
        <f t="shared" si="8"/>
        <v>260</v>
      </c>
      <c r="B35" s="265">
        <f t="shared" si="4"/>
        <v>9.5</v>
      </c>
      <c r="C35" s="265">
        <f t="shared" si="10"/>
        <v>49.777700000000003</v>
      </c>
      <c r="D35" s="265">
        <f t="shared" si="13"/>
        <v>158.47710000000001</v>
      </c>
      <c r="E35" s="265">
        <f t="shared" si="5"/>
        <v>217.75480000000002</v>
      </c>
      <c r="F35" s="265"/>
      <c r="G35" s="265">
        <f t="shared" si="6"/>
        <v>9.5</v>
      </c>
      <c r="H35" s="265">
        <f t="shared" si="11"/>
        <v>49.777700000000003</v>
      </c>
      <c r="I35" s="265">
        <f t="shared" si="12"/>
        <v>158.47710000000001</v>
      </c>
      <c r="J35" s="361">
        <f t="shared" si="1"/>
        <v>217.75480000000002</v>
      </c>
      <c r="L35" s="369">
        <f t="shared" si="2"/>
        <v>0</v>
      </c>
      <c r="M35" s="370">
        <f t="shared" si="3"/>
        <v>0</v>
      </c>
    </row>
    <row r="36" spans="1:13">
      <c r="A36">
        <f t="shared" si="8"/>
        <v>270</v>
      </c>
      <c r="B36" s="265">
        <f t="shared" si="4"/>
        <v>9.5</v>
      </c>
      <c r="C36" s="265">
        <f t="shared" si="10"/>
        <v>49.777700000000003</v>
      </c>
      <c r="D36" s="265">
        <f t="shared" si="13"/>
        <v>166.81800000000001</v>
      </c>
      <c r="E36" s="265">
        <f t="shared" si="5"/>
        <v>226.09570000000002</v>
      </c>
      <c r="F36" s="265"/>
      <c r="G36" s="265">
        <f t="shared" si="6"/>
        <v>9.5</v>
      </c>
      <c r="H36" s="265">
        <f t="shared" si="11"/>
        <v>49.777700000000003</v>
      </c>
      <c r="I36" s="265">
        <f t="shared" si="12"/>
        <v>166.81800000000001</v>
      </c>
      <c r="J36" s="361">
        <f t="shared" si="1"/>
        <v>226.09570000000002</v>
      </c>
      <c r="L36" s="369">
        <f t="shared" si="2"/>
        <v>0</v>
      </c>
      <c r="M36" s="370">
        <f t="shared" si="3"/>
        <v>0</v>
      </c>
    </row>
    <row r="37" spans="1:13">
      <c r="A37">
        <f t="shared" si="8"/>
        <v>280</v>
      </c>
      <c r="B37" s="265">
        <f t="shared" si="4"/>
        <v>9.5</v>
      </c>
      <c r="C37" s="265">
        <f t="shared" si="10"/>
        <v>49.777700000000003</v>
      </c>
      <c r="D37" s="265">
        <f t="shared" si="13"/>
        <v>175.15890000000002</v>
      </c>
      <c r="E37" s="265">
        <f t="shared" si="5"/>
        <v>234.43660000000003</v>
      </c>
      <c r="F37" s="265"/>
      <c r="G37" s="265">
        <f t="shared" si="6"/>
        <v>9.5</v>
      </c>
      <c r="H37" s="265">
        <f t="shared" si="11"/>
        <v>49.777700000000003</v>
      </c>
      <c r="I37" s="265">
        <f t="shared" si="12"/>
        <v>175.15890000000002</v>
      </c>
      <c r="J37" s="361">
        <f t="shared" si="1"/>
        <v>234.43660000000003</v>
      </c>
      <c r="L37" s="369">
        <f t="shared" si="2"/>
        <v>0</v>
      </c>
      <c r="M37" s="370">
        <f t="shared" si="3"/>
        <v>0</v>
      </c>
    </row>
    <row r="38" spans="1:13">
      <c r="A38">
        <f t="shared" si="8"/>
        <v>290</v>
      </c>
      <c r="B38" s="265">
        <f t="shared" si="4"/>
        <v>9.5</v>
      </c>
      <c r="C38" s="265">
        <f t="shared" si="10"/>
        <v>49.777700000000003</v>
      </c>
      <c r="D38" s="265">
        <f t="shared" si="13"/>
        <v>183.49980000000002</v>
      </c>
      <c r="E38" s="265">
        <f>SUM(B38:D38)</f>
        <v>242.77750000000003</v>
      </c>
      <c r="F38" s="265"/>
      <c r="G38" s="265">
        <f t="shared" si="6"/>
        <v>9.5</v>
      </c>
      <c r="H38" s="265">
        <f t="shared" si="11"/>
        <v>49.777700000000003</v>
      </c>
      <c r="I38" s="265">
        <f t="shared" si="12"/>
        <v>183.49980000000002</v>
      </c>
      <c r="J38" s="361">
        <f t="shared" si="1"/>
        <v>242.77750000000003</v>
      </c>
      <c r="L38" s="369">
        <f t="shared" si="2"/>
        <v>0</v>
      </c>
      <c r="M38" s="370">
        <f t="shared" si="3"/>
        <v>0</v>
      </c>
    </row>
    <row r="39" spans="1:13">
      <c r="A39">
        <f t="shared" si="8"/>
        <v>300</v>
      </c>
      <c r="B39" s="265">
        <f t="shared" si="4"/>
        <v>9.5</v>
      </c>
      <c r="C39" s="265">
        <f t="shared" si="10"/>
        <v>49.777700000000003</v>
      </c>
      <c r="D39" s="265">
        <f t="shared" si="13"/>
        <v>191.84070000000003</v>
      </c>
      <c r="E39" s="265">
        <f t="shared" si="5"/>
        <v>251.11840000000004</v>
      </c>
      <c r="F39" s="265"/>
      <c r="G39" s="265">
        <f t="shared" si="6"/>
        <v>9.5</v>
      </c>
      <c r="H39" s="265">
        <f t="shared" si="11"/>
        <v>49.777700000000003</v>
      </c>
      <c r="I39" s="265">
        <f t="shared" si="12"/>
        <v>191.84070000000003</v>
      </c>
      <c r="J39" s="361">
        <f t="shared" si="1"/>
        <v>251.11840000000004</v>
      </c>
      <c r="L39" s="369">
        <f t="shared" si="2"/>
        <v>0</v>
      </c>
      <c r="M39" s="370">
        <f t="shared" si="3"/>
        <v>0</v>
      </c>
    </row>
    <row r="40" spans="1:13">
      <c r="A40">
        <f t="shared" si="8"/>
        <v>310</v>
      </c>
      <c r="B40" s="265">
        <f t="shared" si="4"/>
        <v>9.5</v>
      </c>
      <c r="C40" s="265">
        <f t="shared" si="10"/>
        <v>49.777700000000003</v>
      </c>
      <c r="D40" s="265">
        <f t="shared" ref="D40:D49" si="14">(A40-70)*$D$8</f>
        <v>200.18160000000003</v>
      </c>
      <c r="E40" s="265">
        <f t="shared" ref="E40:E49" si="15">SUM(B40:D40)</f>
        <v>259.45930000000004</v>
      </c>
      <c r="F40" s="265"/>
      <c r="G40" s="265">
        <f t="shared" si="6"/>
        <v>9.5</v>
      </c>
      <c r="H40" s="265">
        <f t="shared" si="11"/>
        <v>49.777700000000003</v>
      </c>
      <c r="I40" s="265">
        <f t="shared" ref="I40:I49" si="16">(A40-70)*$I$8</f>
        <v>200.18160000000003</v>
      </c>
      <c r="J40" s="361">
        <f t="shared" ref="J40:J49" si="17">SUM(G40:I40)</f>
        <v>259.45930000000004</v>
      </c>
      <c r="L40" s="369">
        <f t="shared" si="2"/>
        <v>0</v>
      </c>
      <c r="M40" s="370">
        <f t="shared" si="3"/>
        <v>0</v>
      </c>
    </row>
    <row r="41" spans="1:13">
      <c r="A41">
        <f t="shared" si="8"/>
        <v>320</v>
      </c>
      <c r="B41" s="265">
        <f t="shared" si="4"/>
        <v>9.5</v>
      </c>
      <c r="C41" s="265">
        <f t="shared" si="10"/>
        <v>49.777700000000003</v>
      </c>
      <c r="D41" s="265">
        <f t="shared" si="14"/>
        <v>208.52250000000004</v>
      </c>
      <c r="E41" s="265">
        <f t="shared" si="15"/>
        <v>267.80020000000002</v>
      </c>
      <c r="F41" s="265"/>
      <c r="G41" s="265">
        <f t="shared" si="6"/>
        <v>9.5</v>
      </c>
      <c r="H41" s="265">
        <f t="shared" si="11"/>
        <v>49.777700000000003</v>
      </c>
      <c r="I41" s="265">
        <f t="shared" si="16"/>
        <v>208.52250000000004</v>
      </c>
      <c r="J41" s="361">
        <f t="shared" si="17"/>
        <v>267.80020000000002</v>
      </c>
      <c r="L41" s="369">
        <f t="shared" si="2"/>
        <v>0</v>
      </c>
      <c r="M41" s="370">
        <f t="shared" si="3"/>
        <v>0</v>
      </c>
    </row>
    <row r="42" spans="1:13">
      <c r="A42">
        <f t="shared" si="8"/>
        <v>330</v>
      </c>
      <c r="B42" s="265">
        <f t="shared" si="4"/>
        <v>9.5</v>
      </c>
      <c r="C42" s="265">
        <f t="shared" si="10"/>
        <v>49.777700000000003</v>
      </c>
      <c r="D42" s="265">
        <f t="shared" si="14"/>
        <v>216.86340000000004</v>
      </c>
      <c r="E42" s="265">
        <f t="shared" si="15"/>
        <v>276.14110000000005</v>
      </c>
      <c r="F42" s="265"/>
      <c r="G42" s="265">
        <f t="shared" si="6"/>
        <v>9.5</v>
      </c>
      <c r="H42" s="265">
        <f t="shared" si="11"/>
        <v>49.777700000000003</v>
      </c>
      <c r="I42" s="265">
        <f t="shared" si="16"/>
        <v>216.86340000000004</v>
      </c>
      <c r="J42" s="361">
        <f t="shared" si="17"/>
        <v>276.14110000000005</v>
      </c>
      <c r="L42" s="369">
        <f t="shared" si="2"/>
        <v>0</v>
      </c>
      <c r="M42" s="370">
        <f t="shared" si="3"/>
        <v>0</v>
      </c>
    </row>
    <row r="43" spans="1:13">
      <c r="A43">
        <f t="shared" si="8"/>
        <v>340</v>
      </c>
      <c r="B43" s="265">
        <f t="shared" si="4"/>
        <v>9.5</v>
      </c>
      <c r="C43" s="265">
        <f t="shared" si="10"/>
        <v>49.777700000000003</v>
      </c>
      <c r="D43" s="265">
        <f t="shared" si="14"/>
        <v>225.20430000000002</v>
      </c>
      <c r="E43" s="265">
        <f t="shared" si="15"/>
        <v>284.48200000000003</v>
      </c>
      <c r="F43" s="265"/>
      <c r="G43" s="265">
        <f t="shared" si="6"/>
        <v>9.5</v>
      </c>
      <c r="H43" s="265">
        <f t="shared" si="11"/>
        <v>49.777700000000003</v>
      </c>
      <c r="I43" s="265">
        <f t="shared" si="16"/>
        <v>225.20430000000002</v>
      </c>
      <c r="J43" s="361">
        <f t="shared" si="17"/>
        <v>284.48200000000003</v>
      </c>
      <c r="L43" s="369">
        <f t="shared" si="2"/>
        <v>0</v>
      </c>
      <c r="M43" s="370">
        <f t="shared" si="3"/>
        <v>0</v>
      </c>
    </row>
    <row r="44" spans="1:13">
      <c r="A44">
        <f t="shared" si="8"/>
        <v>350</v>
      </c>
      <c r="B44" s="265">
        <f t="shared" si="4"/>
        <v>9.5</v>
      </c>
      <c r="C44" s="265">
        <f t="shared" si="10"/>
        <v>49.777700000000003</v>
      </c>
      <c r="D44" s="265">
        <f t="shared" si="14"/>
        <v>233.54520000000002</v>
      </c>
      <c r="E44" s="265">
        <f t="shared" si="15"/>
        <v>292.8229</v>
      </c>
      <c r="F44" s="265"/>
      <c r="G44" s="265">
        <f t="shared" si="6"/>
        <v>9.5</v>
      </c>
      <c r="H44" s="265">
        <f t="shared" si="11"/>
        <v>49.777700000000003</v>
      </c>
      <c r="I44" s="265">
        <f t="shared" si="16"/>
        <v>233.54520000000002</v>
      </c>
      <c r="J44" s="361">
        <f t="shared" si="17"/>
        <v>292.8229</v>
      </c>
      <c r="L44" s="369">
        <f t="shared" si="2"/>
        <v>0</v>
      </c>
      <c r="M44" s="370">
        <f t="shared" si="3"/>
        <v>0</v>
      </c>
    </row>
    <row r="45" spans="1:13">
      <c r="A45">
        <f t="shared" si="8"/>
        <v>360</v>
      </c>
      <c r="B45" s="265">
        <f t="shared" si="4"/>
        <v>9.5</v>
      </c>
      <c r="C45" s="265">
        <f t="shared" si="10"/>
        <v>49.777700000000003</v>
      </c>
      <c r="D45" s="265">
        <f t="shared" si="14"/>
        <v>241.88610000000003</v>
      </c>
      <c r="E45" s="265">
        <f t="shared" si="15"/>
        <v>301.16380000000004</v>
      </c>
      <c r="F45" s="265"/>
      <c r="G45" s="265">
        <f t="shared" si="6"/>
        <v>9.5</v>
      </c>
      <c r="H45" s="265">
        <f t="shared" si="11"/>
        <v>49.777700000000003</v>
      </c>
      <c r="I45" s="265">
        <f t="shared" si="16"/>
        <v>241.88610000000003</v>
      </c>
      <c r="J45" s="361">
        <f t="shared" si="17"/>
        <v>301.16380000000004</v>
      </c>
      <c r="L45" s="369">
        <f t="shared" si="2"/>
        <v>0</v>
      </c>
      <c r="M45" s="370">
        <f t="shared" si="3"/>
        <v>0</v>
      </c>
    </row>
    <row r="46" spans="1:13">
      <c r="A46">
        <f t="shared" si="8"/>
        <v>370</v>
      </c>
      <c r="B46" s="265">
        <f t="shared" si="4"/>
        <v>9.5</v>
      </c>
      <c r="C46" s="265">
        <f t="shared" si="10"/>
        <v>49.777700000000003</v>
      </c>
      <c r="D46" s="265">
        <f t="shared" si="14"/>
        <v>250.22700000000003</v>
      </c>
      <c r="E46" s="265">
        <f t="shared" si="15"/>
        <v>309.50470000000001</v>
      </c>
      <c r="F46" s="265"/>
      <c r="G46" s="265">
        <f t="shared" si="6"/>
        <v>9.5</v>
      </c>
      <c r="H46" s="265">
        <f t="shared" si="11"/>
        <v>49.777700000000003</v>
      </c>
      <c r="I46" s="265">
        <f t="shared" si="16"/>
        <v>250.22700000000003</v>
      </c>
      <c r="J46" s="361">
        <f t="shared" si="17"/>
        <v>309.50470000000001</v>
      </c>
      <c r="L46" s="369">
        <f t="shared" si="2"/>
        <v>0</v>
      </c>
      <c r="M46" s="370">
        <f t="shared" si="3"/>
        <v>0</v>
      </c>
    </row>
    <row r="47" spans="1:13">
      <c r="A47">
        <f t="shared" si="8"/>
        <v>380</v>
      </c>
      <c r="B47" s="265">
        <f t="shared" si="4"/>
        <v>9.5</v>
      </c>
      <c r="C47" s="265">
        <f t="shared" si="10"/>
        <v>49.777700000000003</v>
      </c>
      <c r="D47" s="265">
        <f>(A47-70)*$D$8</f>
        <v>258.56790000000001</v>
      </c>
      <c r="E47" s="265">
        <f>SUM(B47:D47)</f>
        <v>317.84559999999999</v>
      </c>
      <c r="F47" s="265"/>
      <c r="G47" s="265">
        <f t="shared" si="6"/>
        <v>9.5</v>
      </c>
      <c r="H47" s="265">
        <f t="shared" si="11"/>
        <v>49.777700000000003</v>
      </c>
      <c r="I47" s="265">
        <f t="shared" si="16"/>
        <v>258.56790000000001</v>
      </c>
      <c r="J47" s="361">
        <f t="shared" si="17"/>
        <v>317.84559999999999</v>
      </c>
      <c r="L47" s="369">
        <f t="shared" si="2"/>
        <v>0</v>
      </c>
      <c r="M47" s="370">
        <f t="shared" si="3"/>
        <v>0</v>
      </c>
    </row>
    <row r="48" spans="1:13">
      <c r="A48">
        <f t="shared" si="8"/>
        <v>390</v>
      </c>
      <c r="B48" s="265">
        <f t="shared" si="4"/>
        <v>9.5</v>
      </c>
      <c r="C48" s="265">
        <f t="shared" si="10"/>
        <v>49.777700000000003</v>
      </c>
      <c r="D48" s="265">
        <f t="shared" si="14"/>
        <v>266.90880000000004</v>
      </c>
      <c r="E48" s="265">
        <f t="shared" si="15"/>
        <v>326.18650000000002</v>
      </c>
      <c r="F48" s="265"/>
      <c r="G48" s="265">
        <f t="shared" si="6"/>
        <v>9.5</v>
      </c>
      <c r="H48" s="265">
        <f t="shared" si="11"/>
        <v>49.777700000000003</v>
      </c>
      <c r="I48" s="265">
        <f t="shared" si="16"/>
        <v>266.90880000000004</v>
      </c>
      <c r="J48" s="361">
        <f t="shared" si="17"/>
        <v>326.18650000000002</v>
      </c>
      <c r="L48" s="369">
        <f t="shared" si="2"/>
        <v>0</v>
      </c>
      <c r="M48" s="370">
        <f t="shared" si="3"/>
        <v>0</v>
      </c>
    </row>
    <row r="49" spans="1:13">
      <c r="A49">
        <f t="shared" si="8"/>
        <v>400</v>
      </c>
      <c r="B49" s="265">
        <f t="shared" si="4"/>
        <v>9.5</v>
      </c>
      <c r="C49" s="265">
        <f t="shared" si="10"/>
        <v>49.777700000000003</v>
      </c>
      <c r="D49" s="265">
        <f t="shared" si="14"/>
        <v>275.24970000000002</v>
      </c>
      <c r="E49" s="265">
        <f t="shared" si="15"/>
        <v>334.5274</v>
      </c>
      <c r="F49" s="265"/>
      <c r="G49" s="265">
        <f t="shared" si="6"/>
        <v>9.5</v>
      </c>
      <c r="H49" s="265">
        <f t="shared" si="11"/>
        <v>49.777700000000003</v>
      </c>
      <c r="I49" s="265">
        <f t="shared" si="16"/>
        <v>275.24970000000002</v>
      </c>
      <c r="J49" s="361">
        <f t="shared" si="17"/>
        <v>334.5274</v>
      </c>
      <c r="L49" s="369">
        <f t="shared" si="2"/>
        <v>0</v>
      </c>
      <c r="M49" s="370">
        <f t="shared" si="3"/>
        <v>0</v>
      </c>
    </row>
    <row r="53" spans="1:13" ht="15.75">
      <c r="A53" s="388" t="s">
        <v>446</v>
      </c>
      <c r="B53" s="154"/>
    </row>
    <row r="55" spans="1:13">
      <c r="A55" s="29" t="s">
        <v>68</v>
      </c>
      <c r="G55" s="29" t="s">
        <v>402</v>
      </c>
    </row>
    <row r="56" spans="1:13">
      <c r="B56" t="s">
        <v>228</v>
      </c>
      <c r="C56" t="s">
        <v>399</v>
      </c>
      <c r="D56" t="s">
        <v>400</v>
      </c>
      <c r="E56" t="s">
        <v>401</v>
      </c>
      <c r="G56" t="s">
        <v>403</v>
      </c>
      <c r="H56" t="s">
        <v>399</v>
      </c>
      <c r="I56" t="s">
        <v>400</v>
      </c>
      <c r="J56" t="s">
        <v>404</v>
      </c>
      <c r="K56" t="s">
        <v>401</v>
      </c>
      <c r="M56" t="s">
        <v>410</v>
      </c>
    </row>
    <row r="57" spans="1:13">
      <c r="B57" s="365">
        <f>'Exh3'!I13</f>
        <v>9.5</v>
      </c>
      <c r="C57" s="366">
        <f>'Rate Design'!D28/100</f>
        <v>0.41034999999999999</v>
      </c>
      <c r="D57" s="366">
        <f>'Rate Design'!D29/100</f>
        <v>0.53332999999999997</v>
      </c>
      <c r="E57" s="292"/>
      <c r="F57" s="265"/>
      <c r="G57" s="365">
        <f>'Rate Design'!E27</f>
        <v>107.56</v>
      </c>
      <c r="H57" s="366">
        <f>'Rate Design'!E28/100</f>
        <v>0</v>
      </c>
      <c r="I57" s="366">
        <f>'Rate Design'!E29/100</f>
        <v>0.36158999999999997</v>
      </c>
      <c r="J57" s="366">
        <f>'Rate Design'!E30/100</f>
        <v>0.27562000000000003</v>
      </c>
    </row>
    <row r="58" spans="1:13">
      <c r="A58">
        <v>10</v>
      </c>
      <c r="B58" s="265">
        <f t="shared" ref="B58:B93" si="18">$B$57</f>
        <v>9.5</v>
      </c>
      <c r="C58" s="265">
        <f>A58*$C$57</f>
        <v>4.1035000000000004</v>
      </c>
      <c r="D58" s="265"/>
      <c r="E58" s="265">
        <f>SUM(B58:D58)</f>
        <v>13.6035</v>
      </c>
      <c r="F58" s="265"/>
      <c r="G58" s="265">
        <f>$G$57</f>
        <v>107.56</v>
      </c>
      <c r="H58" s="265">
        <f>A58*$H$57</f>
        <v>0</v>
      </c>
      <c r="I58" s="265"/>
      <c r="J58" s="265"/>
      <c r="K58" s="361">
        <f>SUM(G58:J58)</f>
        <v>107.56</v>
      </c>
      <c r="M58" s="361">
        <f t="shared" ref="M58:M93" si="19">K58-E58</f>
        <v>93.956500000000005</v>
      </c>
    </row>
    <row r="59" spans="1:13">
      <c r="A59">
        <f>A58+10</f>
        <v>20</v>
      </c>
      <c r="B59" s="265">
        <f t="shared" si="18"/>
        <v>9.5</v>
      </c>
      <c r="C59" s="265">
        <f t="shared" ref="C59:C63" si="20">A59*$C$57</f>
        <v>8.2070000000000007</v>
      </c>
      <c r="D59" s="265"/>
      <c r="E59" s="265">
        <f t="shared" ref="E59:E92" si="21">SUM(B59:D59)</f>
        <v>17.707000000000001</v>
      </c>
      <c r="F59" s="265"/>
      <c r="G59" s="265">
        <f t="shared" ref="G59:G93" si="22">$G$57</f>
        <v>107.56</v>
      </c>
      <c r="H59" s="265">
        <f t="shared" ref="H59:H77" si="23">A59*$H$57</f>
        <v>0</v>
      </c>
      <c r="I59" s="265"/>
      <c r="J59" s="265"/>
      <c r="K59" s="361">
        <f t="shared" ref="K59:K92" si="24">SUM(G59:J59)</f>
        <v>107.56</v>
      </c>
      <c r="M59" s="361">
        <f t="shared" si="19"/>
        <v>89.853000000000009</v>
      </c>
    </row>
    <row r="60" spans="1:13">
      <c r="A60">
        <f t="shared" ref="A60:A92" si="25">A59+10</f>
        <v>30</v>
      </c>
      <c r="B60" s="265">
        <f t="shared" si="18"/>
        <v>9.5</v>
      </c>
      <c r="C60" s="265">
        <f t="shared" si="20"/>
        <v>12.310499999999999</v>
      </c>
      <c r="D60" s="265"/>
      <c r="E60" s="265">
        <f t="shared" si="21"/>
        <v>21.810499999999998</v>
      </c>
      <c r="F60" s="265"/>
      <c r="G60" s="265">
        <f t="shared" si="22"/>
        <v>107.56</v>
      </c>
      <c r="H60" s="265">
        <f t="shared" si="23"/>
        <v>0</v>
      </c>
      <c r="I60" s="265"/>
      <c r="J60" s="265"/>
      <c r="K60" s="361">
        <f t="shared" si="24"/>
        <v>107.56</v>
      </c>
      <c r="M60" s="361">
        <f t="shared" si="19"/>
        <v>85.749500000000012</v>
      </c>
    </row>
    <row r="61" spans="1:13">
      <c r="A61">
        <f t="shared" si="25"/>
        <v>40</v>
      </c>
      <c r="B61" s="265">
        <f t="shared" si="18"/>
        <v>9.5</v>
      </c>
      <c r="C61" s="265">
        <f t="shared" si="20"/>
        <v>16.414000000000001</v>
      </c>
      <c r="D61" s="265"/>
      <c r="E61" s="265">
        <f t="shared" si="21"/>
        <v>25.914000000000001</v>
      </c>
      <c r="F61" s="265"/>
      <c r="G61" s="265">
        <f t="shared" si="22"/>
        <v>107.56</v>
      </c>
      <c r="H61" s="265">
        <f t="shared" si="23"/>
        <v>0</v>
      </c>
      <c r="I61" s="265"/>
      <c r="J61" s="265"/>
      <c r="K61" s="361">
        <f t="shared" si="24"/>
        <v>107.56</v>
      </c>
      <c r="M61" s="361">
        <f t="shared" si="19"/>
        <v>81.646000000000001</v>
      </c>
    </row>
    <row r="62" spans="1:13">
      <c r="A62">
        <f t="shared" si="25"/>
        <v>50</v>
      </c>
      <c r="B62" s="265">
        <f t="shared" si="18"/>
        <v>9.5</v>
      </c>
      <c r="C62" s="265">
        <f t="shared" si="20"/>
        <v>20.517499999999998</v>
      </c>
      <c r="D62" s="265"/>
      <c r="E62" s="265">
        <f t="shared" si="21"/>
        <v>30.017499999999998</v>
      </c>
      <c r="F62" s="265"/>
      <c r="G62" s="265">
        <f t="shared" si="22"/>
        <v>107.56</v>
      </c>
      <c r="H62" s="265">
        <f t="shared" si="23"/>
        <v>0</v>
      </c>
      <c r="I62" s="265"/>
      <c r="J62" s="265"/>
      <c r="K62" s="361">
        <f t="shared" si="24"/>
        <v>107.56</v>
      </c>
      <c r="M62" s="361">
        <f t="shared" si="19"/>
        <v>77.542500000000004</v>
      </c>
    </row>
    <row r="63" spans="1:13">
      <c r="A63">
        <f t="shared" si="25"/>
        <v>60</v>
      </c>
      <c r="B63" s="265">
        <f t="shared" si="18"/>
        <v>9.5</v>
      </c>
      <c r="C63" s="265">
        <f t="shared" si="20"/>
        <v>24.620999999999999</v>
      </c>
      <c r="D63" s="265"/>
      <c r="E63" s="265">
        <f t="shared" si="21"/>
        <v>34.120999999999995</v>
      </c>
      <c r="F63" s="265"/>
      <c r="G63" s="265">
        <f t="shared" si="22"/>
        <v>107.56</v>
      </c>
      <c r="H63" s="265">
        <f t="shared" si="23"/>
        <v>0</v>
      </c>
      <c r="I63" s="265"/>
      <c r="J63" s="265"/>
      <c r="K63" s="361">
        <f t="shared" si="24"/>
        <v>107.56</v>
      </c>
      <c r="M63" s="361">
        <f t="shared" si="19"/>
        <v>73.439000000000007</v>
      </c>
    </row>
    <row r="64" spans="1:13">
      <c r="A64">
        <f t="shared" si="25"/>
        <v>70</v>
      </c>
      <c r="B64" s="265">
        <f t="shared" si="18"/>
        <v>9.5</v>
      </c>
      <c r="C64" s="265">
        <f>A64*$C$57</f>
        <v>28.724499999999999</v>
      </c>
      <c r="D64" s="265"/>
      <c r="E64" s="265">
        <f t="shared" si="21"/>
        <v>38.224499999999999</v>
      </c>
      <c r="F64" s="265"/>
      <c r="G64" s="265">
        <f t="shared" si="22"/>
        <v>107.56</v>
      </c>
      <c r="H64" s="265">
        <f t="shared" si="23"/>
        <v>0</v>
      </c>
      <c r="I64" s="265"/>
      <c r="J64" s="265"/>
      <c r="K64" s="361">
        <f t="shared" si="24"/>
        <v>107.56</v>
      </c>
      <c r="M64" s="361">
        <f t="shared" si="19"/>
        <v>69.335499999999996</v>
      </c>
    </row>
    <row r="65" spans="1:13">
      <c r="A65">
        <f t="shared" si="25"/>
        <v>80</v>
      </c>
      <c r="B65" s="265">
        <f t="shared" si="18"/>
        <v>9.5</v>
      </c>
      <c r="C65" s="265">
        <f>70*$C$57</f>
        <v>28.724499999999999</v>
      </c>
      <c r="D65" s="265">
        <f>(A65-70)*$D$57</f>
        <v>5.3332999999999995</v>
      </c>
      <c r="E65" s="265">
        <f t="shared" si="21"/>
        <v>43.5578</v>
      </c>
      <c r="F65" s="265"/>
      <c r="G65" s="265">
        <f t="shared" si="22"/>
        <v>107.56</v>
      </c>
      <c r="H65" s="265">
        <f t="shared" si="23"/>
        <v>0</v>
      </c>
      <c r="I65" s="265"/>
      <c r="J65" s="265"/>
      <c r="K65" s="361">
        <f t="shared" si="24"/>
        <v>107.56</v>
      </c>
      <c r="M65" s="361">
        <f t="shared" si="19"/>
        <v>64.002200000000002</v>
      </c>
    </row>
    <row r="66" spans="1:13">
      <c r="A66">
        <f t="shared" si="25"/>
        <v>90</v>
      </c>
      <c r="B66" s="265">
        <f t="shared" si="18"/>
        <v>9.5</v>
      </c>
      <c r="C66" s="265">
        <f t="shared" ref="C66:C93" si="26">70*$C$57</f>
        <v>28.724499999999999</v>
      </c>
      <c r="D66" s="265">
        <f t="shared" ref="D66:D92" si="27">(A66-70)*$D$57</f>
        <v>10.666599999999999</v>
      </c>
      <c r="E66" s="265">
        <f t="shared" si="21"/>
        <v>48.891099999999994</v>
      </c>
      <c r="F66" s="265"/>
      <c r="G66" s="265">
        <f t="shared" si="22"/>
        <v>107.56</v>
      </c>
      <c r="H66" s="265">
        <f t="shared" si="23"/>
        <v>0</v>
      </c>
      <c r="I66" s="265"/>
      <c r="J66" s="265"/>
      <c r="K66" s="361">
        <f t="shared" si="24"/>
        <v>107.56</v>
      </c>
      <c r="M66" s="361">
        <f t="shared" si="19"/>
        <v>58.668900000000008</v>
      </c>
    </row>
    <row r="67" spans="1:13">
      <c r="A67">
        <f t="shared" si="25"/>
        <v>100</v>
      </c>
      <c r="B67" s="265">
        <f t="shared" si="18"/>
        <v>9.5</v>
      </c>
      <c r="C67" s="265">
        <f t="shared" si="26"/>
        <v>28.724499999999999</v>
      </c>
      <c r="D67" s="265">
        <f t="shared" si="27"/>
        <v>15.999899999999998</v>
      </c>
      <c r="E67" s="265">
        <f t="shared" si="21"/>
        <v>54.224399999999996</v>
      </c>
      <c r="F67" s="265"/>
      <c r="G67" s="265">
        <f t="shared" si="22"/>
        <v>107.56</v>
      </c>
      <c r="H67" s="265">
        <f t="shared" si="23"/>
        <v>0</v>
      </c>
      <c r="I67" s="265"/>
      <c r="J67" s="265"/>
      <c r="K67" s="361">
        <f t="shared" si="24"/>
        <v>107.56</v>
      </c>
      <c r="M67" s="361">
        <f t="shared" si="19"/>
        <v>53.335600000000007</v>
      </c>
    </row>
    <row r="68" spans="1:13">
      <c r="A68">
        <f t="shared" si="25"/>
        <v>110</v>
      </c>
      <c r="B68" s="265">
        <f t="shared" si="18"/>
        <v>9.5</v>
      </c>
      <c r="C68" s="265">
        <f t="shared" si="26"/>
        <v>28.724499999999999</v>
      </c>
      <c r="D68" s="265">
        <f t="shared" si="27"/>
        <v>21.333199999999998</v>
      </c>
      <c r="E68" s="265">
        <f t="shared" si="21"/>
        <v>59.557699999999997</v>
      </c>
      <c r="F68" s="265"/>
      <c r="G68" s="265">
        <f t="shared" si="22"/>
        <v>107.56</v>
      </c>
      <c r="H68" s="265">
        <f t="shared" si="23"/>
        <v>0</v>
      </c>
      <c r="I68" s="265"/>
      <c r="J68" s="265"/>
      <c r="K68" s="361">
        <f t="shared" si="24"/>
        <v>107.56</v>
      </c>
      <c r="M68" s="361">
        <f t="shared" si="19"/>
        <v>48.002300000000005</v>
      </c>
    </row>
    <row r="69" spans="1:13">
      <c r="A69">
        <f t="shared" si="25"/>
        <v>120</v>
      </c>
      <c r="B69" s="265">
        <f t="shared" si="18"/>
        <v>9.5</v>
      </c>
      <c r="C69" s="265">
        <f t="shared" si="26"/>
        <v>28.724499999999999</v>
      </c>
      <c r="D69" s="265">
        <f t="shared" si="27"/>
        <v>26.666499999999999</v>
      </c>
      <c r="E69" s="265">
        <f t="shared" si="21"/>
        <v>64.890999999999991</v>
      </c>
      <c r="F69" s="265"/>
      <c r="G69" s="265">
        <f t="shared" si="22"/>
        <v>107.56</v>
      </c>
      <c r="H69" s="265">
        <f t="shared" si="23"/>
        <v>0</v>
      </c>
      <c r="I69" s="265"/>
      <c r="J69" s="265"/>
      <c r="K69" s="361">
        <f t="shared" si="24"/>
        <v>107.56</v>
      </c>
      <c r="M69" s="361">
        <f t="shared" si="19"/>
        <v>42.669000000000011</v>
      </c>
    </row>
    <row r="70" spans="1:13">
      <c r="A70">
        <f t="shared" si="25"/>
        <v>130</v>
      </c>
      <c r="B70" s="265">
        <f t="shared" si="18"/>
        <v>9.5</v>
      </c>
      <c r="C70" s="265">
        <f t="shared" si="26"/>
        <v>28.724499999999999</v>
      </c>
      <c r="D70" s="265">
        <f t="shared" si="27"/>
        <v>31.999799999999997</v>
      </c>
      <c r="E70" s="265">
        <f t="shared" si="21"/>
        <v>70.224299999999999</v>
      </c>
      <c r="F70" s="265"/>
      <c r="G70" s="265">
        <f t="shared" si="22"/>
        <v>107.56</v>
      </c>
      <c r="H70" s="265">
        <f t="shared" si="23"/>
        <v>0</v>
      </c>
      <c r="I70" s="265"/>
      <c r="J70" s="265"/>
      <c r="K70" s="361">
        <f t="shared" si="24"/>
        <v>107.56</v>
      </c>
      <c r="M70" s="361">
        <f t="shared" si="19"/>
        <v>37.335700000000003</v>
      </c>
    </row>
    <row r="71" spans="1:13">
      <c r="A71">
        <f t="shared" si="25"/>
        <v>140</v>
      </c>
      <c r="B71" s="265">
        <f t="shared" si="18"/>
        <v>9.5</v>
      </c>
      <c r="C71" s="265">
        <f t="shared" si="26"/>
        <v>28.724499999999999</v>
      </c>
      <c r="D71" s="265">
        <f t="shared" si="27"/>
        <v>37.333099999999995</v>
      </c>
      <c r="E71" s="265">
        <f t="shared" si="21"/>
        <v>75.557599999999994</v>
      </c>
      <c r="F71" s="265"/>
      <c r="G71" s="265">
        <f t="shared" si="22"/>
        <v>107.56</v>
      </c>
      <c r="H71" s="265">
        <f t="shared" si="23"/>
        <v>0</v>
      </c>
      <c r="I71" s="265"/>
      <c r="J71" s="265"/>
      <c r="K71" s="361">
        <f t="shared" si="24"/>
        <v>107.56</v>
      </c>
      <c r="M71" s="361">
        <f t="shared" si="19"/>
        <v>32.002400000000009</v>
      </c>
    </row>
    <row r="72" spans="1:13">
      <c r="A72">
        <f t="shared" si="25"/>
        <v>150</v>
      </c>
      <c r="B72" s="265">
        <f t="shared" si="18"/>
        <v>9.5</v>
      </c>
      <c r="C72" s="265">
        <f t="shared" si="26"/>
        <v>28.724499999999999</v>
      </c>
      <c r="D72" s="265">
        <f t="shared" si="27"/>
        <v>42.666399999999996</v>
      </c>
      <c r="E72" s="265">
        <f t="shared" si="21"/>
        <v>80.890899999999988</v>
      </c>
      <c r="F72" s="265"/>
      <c r="G72" s="265">
        <f t="shared" si="22"/>
        <v>107.56</v>
      </c>
      <c r="H72" s="265">
        <f t="shared" si="23"/>
        <v>0</v>
      </c>
      <c r="I72" s="265"/>
      <c r="J72" s="265"/>
      <c r="K72" s="361">
        <f t="shared" si="24"/>
        <v>107.56</v>
      </c>
      <c r="M72" s="361">
        <f t="shared" si="19"/>
        <v>26.669100000000014</v>
      </c>
    </row>
    <row r="73" spans="1:13">
      <c r="A73">
        <f t="shared" si="25"/>
        <v>160</v>
      </c>
      <c r="B73" s="265">
        <f t="shared" si="18"/>
        <v>9.5</v>
      </c>
      <c r="C73" s="265">
        <f t="shared" si="26"/>
        <v>28.724499999999999</v>
      </c>
      <c r="D73" s="265">
        <f t="shared" si="27"/>
        <v>47.999699999999997</v>
      </c>
      <c r="E73" s="265">
        <f t="shared" si="21"/>
        <v>86.224199999999996</v>
      </c>
      <c r="F73" s="265"/>
      <c r="G73" s="265">
        <f t="shared" si="22"/>
        <v>107.56</v>
      </c>
      <c r="H73" s="265">
        <f t="shared" si="23"/>
        <v>0</v>
      </c>
      <c r="I73" s="265"/>
      <c r="J73" s="265"/>
      <c r="K73" s="361">
        <f t="shared" si="24"/>
        <v>107.56</v>
      </c>
      <c r="M73" s="361">
        <f t="shared" si="19"/>
        <v>21.335800000000006</v>
      </c>
    </row>
    <row r="74" spans="1:13">
      <c r="A74">
        <f t="shared" si="25"/>
        <v>170</v>
      </c>
      <c r="B74" s="265">
        <f t="shared" si="18"/>
        <v>9.5</v>
      </c>
      <c r="C74" s="265">
        <f t="shared" si="26"/>
        <v>28.724499999999999</v>
      </c>
      <c r="D74" s="265">
        <f t="shared" si="27"/>
        <v>53.332999999999998</v>
      </c>
      <c r="E74" s="265">
        <f t="shared" si="21"/>
        <v>91.557500000000005</v>
      </c>
      <c r="F74" s="265"/>
      <c r="G74" s="265">
        <f t="shared" si="22"/>
        <v>107.56</v>
      </c>
      <c r="H74" s="265">
        <f t="shared" si="23"/>
        <v>0</v>
      </c>
      <c r="I74" s="265"/>
      <c r="J74" s="265"/>
      <c r="K74" s="361">
        <f t="shared" si="24"/>
        <v>107.56</v>
      </c>
      <c r="M74" s="361">
        <f t="shared" si="19"/>
        <v>16.002499999999998</v>
      </c>
    </row>
    <row r="75" spans="1:13">
      <c r="A75">
        <f t="shared" si="25"/>
        <v>180</v>
      </c>
      <c r="B75" s="265">
        <f t="shared" si="18"/>
        <v>9.5</v>
      </c>
      <c r="C75" s="265">
        <f t="shared" si="26"/>
        <v>28.724499999999999</v>
      </c>
      <c r="D75" s="265">
        <f t="shared" si="27"/>
        <v>58.6663</v>
      </c>
      <c r="E75" s="265">
        <f t="shared" si="21"/>
        <v>96.890799999999999</v>
      </c>
      <c r="F75" s="265"/>
      <c r="G75" s="265">
        <f t="shared" si="22"/>
        <v>107.56</v>
      </c>
      <c r="H75" s="265">
        <f t="shared" si="23"/>
        <v>0</v>
      </c>
      <c r="I75" s="265"/>
      <c r="J75" s="265"/>
      <c r="K75" s="361">
        <f t="shared" si="24"/>
        <v>107.56</v>
      </c>
      <c r="M75" s="361">
        <f t="shared" si="19"/>
        <v>10.669200000000004</v>
      </c>
    </row>
    <row r="76" spans="1:13" ht="13.5" thickBot="1">
      <c r="A76">
        <f t="shared" si="25"/>
        <v>190</v>
      </c>
      <c r="B76" s="265">
        <f t="shared" si="18"/>
        <v>9.5</v>
      </c>
      <c r="C76" s="265">
        <f t="shared" si="26"/>
        <v>28.724499999999999</v>
      </c>
      <c r="D76" s="265">
        <f t="shared" si="27"/>
        <v>63.999599999999994</v>
      </c>
      <c r="E76" s="265">
        <f t="shared" si="21"/>
        <v>102.22409999999999</v>
      </c>
      <c r="F76" s="265"/>
      <c r="G76" s="265">
        <f t="shared" si="22"/>
        <v>107.56</v>
      </c>
      <c r="H76" s="265">
        <f t="shared" si="23"/>
        <v>0</v>
      </c>
      <c r="I76" s="265"/>
      <c r="J76" s="265"/>
      <c r="K76" s="361">
        <f t="shared" si="24"/>
        <v>107.56</v>
      </c>
      <c r="M76" s="361">
        <f t="shared" si="19"/>
        <v>5.3359000000000094</v>
      </c>
    </row>
    <row r="77" spans="1:13" ht="13.5" thickBot="1">
      <c r="A77" s="362">
        <f t="shared" si="25"/>
        <v>200</v>
      </c>
      <c r="B77" s="363">
        <f t="shared" si="18"/>
        <v>9.5</v>
      </c>
      <c r="C77" s="363">
        <f t="shared" si="26"/>
        <v>28.724499999999999</v>
      </c>
      <c r="D77" s="363">
        <f t="shared" si="27"/>
        <v>69.332899999999995</v>
      </c>
      <c r="E77" s="363">
        <f t="shared" si="21"/>
        <v>107.5574</v>
      </c>
      <c r="F77" s="363"/>
      <c r="G77" s="363">
        <f t="shared" si="22"/>
        <v>107.56</v>
      </c>
      <c r="H77" s="363">
        <f t="shared" si="23"/>
        <v>0</v>
      </c>
      <c r="I77" s="363"/>
      <c r="J77" s="363"/>
      <c r="K77" s="373">
        <f t="shared" si="24"/>
        <v>107.56</v>
      </c>
      <c r="L77" s="374"/>
      <c r="M77" s="364">
        <f t="shared" si="19"/>
        <v>2.6000000000010459E-3</v>
      </c>
    </row>
    <row r="78" spans="1:13">
      <c r="A78">
        <f t="shared" si="25"/>
        <v>210</v>
      </c>
      <c r="B78" s="265">
        <f t="shared" si="18"/>
        <v>9.5</v>
      </c>
      <c r="C78" s="265">
        <f t="shared" si="26"/>
        <v>28.724499999999999</v>
      </c>
      <c r="D78" s="265">
        <f t="shared" si="27"/>
        <v>74.666199999999989</v>
      </c>
      <c r="E78" s="265">
        <f t="shared" si="21"/>
        <v>112.89069999999998</v>
      </c>
      <c r="F78" s="265"/>
      <c r="G78" s="265">
        <f t="shared" si="22"/>
        <v>107.56</v>
      </c>
      <c r="H78" s="265">
        <f t="shared" ref="H78:H93" si="28">200*$H$57</f>
        <v>0</v>
      </c>
      <c r="I78" s="265">
        <f>(A78-200)*$I$57</f>
        <v>3.6158999999999999</v>
      </c>
      <c r="J78" s="265"/>
      <c r="K78" s="361">
        <f t="shared" si="24"/>
        <v>111.1759</v>
      </c>
      <c r="M78" s="361">
        <f t="shared" si="19"/>
        <v>-1.7147999999999826</v>
      </c>
    </row>
    <row r="79" spans="1:13">
      <c r="A79">
        <f t="shared" si="25"/>
        <v>220</v>
      </c>
      <c r="B79" s="265">
        <f t="shared" si="18"/>
        <v>9.5</v>
      </c>
      <c r="C79" s="265">
        <f t="shared" si="26"/>
        <v>28.724499999999999</v>
      </c>
      <c r="D79" s="265">
        <f t="shared" si="27"/>
        <v>79.999499999999998</v>
      </c>
      <c r="E79" s="265">
        <f t="shared" si="21"/>
        <v>118.22399999999999</v>
      </c>
      <c r="F79" s="265"/>
      <c r="G79" s="265">
        <f t="shared" si="22"/>
        <v>107.56</v>
      </c>
      <c r="H79" s="265">
        <f t="shared" si="28"/>
        <v>0</v>
      </c>
      <c r="I79" s="265">
        <f t="shared" ref="I79:I92" si="29">(A79-200)*$I$57</f>
        <v>7.2317999999999998</v>
      </c>
      <c r="J79" s="265"/>
      <c r="K79" s="361">
        <f t="shared" si="24"/>
        <v>114.79179999999999</v>
      </c>
      <c r="M79" s="361">
        <f t="shared" si="19"/>
        <v>-3.4321999999999946</v>
      </c>
    </row>
    <row r="80" spans="1:13">
      <c r="A80">
        <f t="shared" si="25"/>
        <v>230</v>
      </c>
      <c r="B80" s="265">
        <f t="shared" si="18"/>
        <v>9.5</v>
      </c>
      <c r="C80" s="265">
        <f t="shared" si="26"/>
        <v>28.724499999999999</v>
      </c>
      <c r="D80" s="265">
        <f t="shared" si="27"/>
        <v>85.332799999999992</v>
      </c>
      <c r="E80" s="265">
        <f t="shared" si="21"/>
        <v>123.5573</v>
      </c>
      <c r="F80" s="265"/>
      <c r="G80" s="265">
        <f t="shared" si="22"/>
        <v>107.56</v>
      </c>
      <c r="H80" s="265">
        <f t="shared" si="28"/>
        <v>0</v>
      </c>
      <c r="I80" s="265">
        <f t="shared" si="29"/>
        <v>10.8477</v>
      </c>
      <c r="J80" s="265"/>
      <c r="K80" s="361">
        <f t="shared" si="24"/>
        <v>118.40770000000001</v>
      </c>
      <c r="M80" s="361">
        <f t="shared" si="19"/>
        <v>-5.1495999999999924</v>
      </c>
    </row>
    <row r="81" spans="1:13">
      <c r="A81">
        <f t="shared" si="25"/>
        <v>240</v>
      </c>
      <c r="B81" s="265">
        <f t="shared" si="18"/>
        <v>9.5</v>
      </c>
      <c r="C81" s="265">
        <f t="shared" si="26"/>
        <v>28.724499999999999</v>
      </c>
      <c r="D81" s="265">
        <f t="shared" si="27"/>
        <v>90.6661</v>
      </c>
      <c r="E81" s="265">
        <f t="shared" si="21"/>
        <v>128.89060000000001</v>
      </c>
      <c r="F81" s="265"/>
      <c r="G81" s="265">
        <f t="shared" si="22"/>
        <v>107.56</v>
      </c>
      <c r="H81" s="265">
        <f t="shared" si="28"/>
        <v>0</v>
      </c>
      <c r="I81" s="265">
        <f t="shared" si="29"/>
        <v>14.4636</v>
      </c>
      <c r="J81" s="265"/>
      <c r="K81" s="361">
        <f t="shared" si="24"/>
        <v>122.0236</v>
      </c>
      <c r="M81" s="361">
        <f t="shared" si="19"/>
        <v>-6.8670000000000044</v>
      </c>
    </row>
    <row r="82" spans="1:13">
      <c r="A82">
        <f t="shared" si="25"/>
        <v>250</v>
      </c>
      <c r="B82" s="265">
        <f t="shared" si="18"/>
        <v>9.5</v>
      </c>
      <c r="C82" s="265">
        <f t="shared" si="26"/>
        <v>28.724499999999999</v>
      </c>
      <c r="D82" s="265">
        <f t="shared" si="27"/>
        <v>95.999399999999994</v>
      </c>
      <c r="E82" s="265">
        <f t="shared" si="21"/>
        <v>134.22389999999999</v>
      </c>
      <c r="F82" s="265"/>
      <c r="G82" s="265">
        <f t="shared" si="22"/>
        <v>107.56</v>
      </c>
      <c r="H82" s="265">
        <f t="shared" si="28"/>
        <v>0</v>
      </c>
      <c r="I82" s="265">
        <f t="shared" si="29"/>
        <v>18.079499999999999</v>
      </c>
      <c r="J82" s="265"/>
      <c r="K82" s="361">
        <f t="shared" si="24"/>
        <v>125.6395</v>
      </c>
      <c r="M82" s="361">
        <f t="shared" si="19"/>
        <v>-8.584399999999988</v>
      </c>
    </row>
    <row r="83" spans="1:13">
      <c r="A83">
        <f t="shared" si="25"/>
        <v>260</v>
      </c>
      <c r="B83" s="265">
        <f t="shared" si="18"/>
        <v>9.5</v>
      </c>
      <c r="C83" s="265">
        <f t="shared" si="26"/>
        <v>28.724499999999999</v>
      </c>
      <c r="D83" s="265">
        <f t="shared" si="27"/>
        <v>101.33269999999999</v>
      </c>
      <c r="E83" s="265">
        <f t="shared" si="21"/>
        <v>139.55719999999999</v>
      </c>
      <c r="F83" s="265"/>
      <c r="G83" s="265">
        <f t="shared" si="22"/>
        <v>107.56</v>
      </c>
      <c r="H83" s="265">
        <f t="shared" si="28"/>
        <v>0</v>
      </c>
      <c r="I83" s="265">
        <f t="shared" si="29"/>
        <v>21.695399999999999</v>
      </c>
      <c r="J83" s="265"/>
      <c r="K83" s="361">
        <f t="shared" si="24"/>
        <v>129.25540000000001</v>
      </c>
      <c r="M83" s="361">
        <f t="shared" si="19"/>
        <v>-10.301799999999986</v>
      </c>
    </row>
    <row r="84" spans="1:13">
      <c r="A84">
        <f t="shared" si="25"/>
        <v>270</v>
      </c>
      <c r="B84" s="265">
        <f t="shared" si="18"/>
        <v>9.5</v>
      </c>
      <c r="C84" s="265">
        <f t="shared" si="26"/>
        <v>28.724499999999999</v>
      </c>
      <c r="D84" s="265">
        <f t="shared" si="27"/>
        <v>106.666</v>
      </c>
      <c r="E84" s="265">
        <f t="shared" si="21"/>
        <v>144.8905</v>
      </c>
      <c r="F84" s="265"/>
      <c r="G84" s="265">
        <f t="shared" si="22"/>
        <v>107.56</v>
      </c>
      <c r="H84" s="265">
        <f t="shared" si="28"/>
        <v>0</v>
      </c>
      <c r="I84" s="265">
        <f t="shared" si="29"/>
        <v>25.311299999999999</v>
      </c>
      <c r="J84" s="265"/>
      <c r="K84" s="361">
        <f t="shared" si="24"/>
        <v>132.87129999999999</v>
      </c>
      <c r="M84" s="361">
        <f t="shared" si="19"/>
        <v>-12.019200000000012</v>
      </c>
    </row>
    <row r="85" spans="1:13">
      <c r="A85">
        <f t="shared" si="25"/>
        <v>280</v>
      </c>
      <c r="B85" s="265">
        <f t="shared" si="18"/>
        <v>9.5</v>
      </c>
      <c r="C85" s="265">
        <f t="shared" si="26"/>
        <v>28.724499999999999</v>
      </c>
      <c r="D85" s="265">
        <f t="shared" si="27"/>
        <v>111.99929999999999</v>
      </c>
      <c r="E85" s="265">
        <f t="shared" si="21"/>
        <v>150.22379999999998</v>
      </c>
      <c r="F85" s="265"/>
      <c r="G85" s="265">
        <f t="shared" si="22"/>
        <v>107.56</v>
      </c>
      <c r="H85" s="265">
        <f t="shared" si="28"/>
        <v>0</v>
      </c>
      <c r="I85" s="265">
        <f t="shared" si="29"/>
        <v>28.927199999999999</v>
      </c>
      <c r="J85" s="265"/>
      <c r="K85" s="361">
        <f t="shared" si="24"/>
        <v>136.4872</v>
      </c>
      <c r="M85" s="361">
        <f t="shared" si="19"/>
        <v>-13.736599999999981</v>
      </c>
    </row>
    <row r="86" spans="1:13">
      <c r="A86">
        <f t="shared" si="25"/>
        <v>290</v>
      </c>
      <c r="B86" s="265">
        <f t="shared" si="18"/>
        <v>9.5</v>
      </c>
      <c r="C86" s="265">
        <f t="shared" si="26"/>
        <v>28.724499999999999</v>
      </c>
      <c r="D86" s="265">
        <f t="shared" si="27"/>
        <v>117.3326</v>
      </c>
      <c r="E86" s="265">
        <f t="shared" si="21"/>
        <v>155.55709999999999</v>
      </c>
      <c r="F86" s="265"/>
      <c r="G86" s="265">
        <f t="shared" si="22"/>
        <v>107.56</v>
      </c>
      <c r="H86" s="265">
        <f t="shared" si="28"/>
        <v>0</v>
      </c>
      <c r="I86" s="265">
        <f t="shared" si="29"/>
        <v>32.543099999999995</v>
      </c>
      <c r="J86" s="265"/>
      <c r="K86" s="361">
        <f t="shared" si="24"/>
        <v>140.10309999999998</v>
      </c>
      <c r="M86" s="361">
        <f t="shared" si="19"/>
        <v>-15.454000000000008</v>
      </c>
    </row>
    <row r="87" spans="1:13">
      <c r="A87">
        <f t="shared" si="25"/>
        <v>300</v>
      </c>
      <c r="B87" s="265">
        <f t="shared" si="18"/>
        <v>9.5</v>
      </c>
      <c r="C87" s="265">
        <f t="shared" si="26"/>
        <v>28.724499999999999</v>
      </c>
      <c r="D87" s="265">
        <f t="shared" si="27"/>
        <v>122.66589999999999</v>
      </c>
      <c r="E87" s="265">
        <f t="shared" si="21"/>
        <v>160.8904</v>
      </c>
      <c r="F87" s="265"/>
      <c r="G87" s="265">
        <f t="shared" si="22"/>
        <v>107.56</v>
      </c>
      <c r="H87" s="265">
        <f t="shared" si="28"/>
        <v>0</v>
      </c>
      <c r="I87" s="265">
        <f t="shared" si="29"/>
        <v>36.158999999999999</v>
      </c>
      <c r="J87" s="265"/>
      <c r="K87" s="361">
        <f t="shared" si="24"/>
        <v>143.71899999999999</v>
      </c>
      <c r="M87" s="361">
        <f t="shared" si="19"/>
        <v>-17.171400000000006</v>
      </c>
    </row>
    <row r="88" spans="1:13">
      <c r="A88">
        <f t="shared" si="25"/>
        <v>310</v>
      </c>
      <c r="B88" s="265">
        <f t="shared" si="18"/>
        <v>9.5</v>
      </c>
      <c r="C88" s="265">
        <f t="shared" si="26"/>
        <v>28.724499999999999</v>
      </c>
      <c r="D88" s="265">
        <f t="shared" si="27"/>
        <v>127.99919999999999</v>
      </c>
      <c r="E88" s="265">
        <f t="shared" si="21"/>
        <v>166.22369999999998</v>
      </c>
      <c r="F88" s="265"/>
      <c r="G88" s="265">
        <f t="shared" si="22"/>
        <v>107.56</v>
      </c>
      <c r="H88" s="265">
        <f t="shared" si="28"/>
        <v>0</v>
      </c>
      <c r="I88" s="265">
        <f t="shared" si="29"/>
        <v>39.774899999999995</v>
      </c>
      <c r="J88" s="265"/>
      <c r="K88" s="361">
        <f t="shared" si="24"/>
        <v>147.3349</v>
      </c>
      <c r="M88" s="361">
        <f t="shared" si="19"/>
        <v>-18.888799999999975</v>
      </c>
    </row>
    <row r="89" spans="1:13">
      <c r="A89">
        <f t="shared" si="25"/>
        <v>320</v>
      </c>
      <c r="B89" s="265">
        <f t="shared" si="18"/>
        <v>9.5</v>
      </c>
      <c r="C89" s="265">
        <f t="shared" si="26"/>
        <v>28.724499999999999</v>
      </c>
      <c r="D89" s="265">
        <f t="shared" si="27"/>
        <v>133.33249999999998</v>
      </c>
      <c r="E89" s="265">
        <f t="shared" si="21"/>
        <v>171.55699999999999</v>
      </c>
      <c r="F89" s="265"/>
      <c r="G89" s="265">
        <f t="shared" si="22"/>
        <v>107.56</v>
      </c>
      <c r="H89" s="265">
        <f t="shared" si="28"/>
        <v>0</v>
      </c>
      <c r="I89" s="265">
        <f t="shared" si="29"/>
        <v>43.390799999999999</v>
      </c>
      <c r="J89" s="265"/>
      <c r="K89" s="361">
        <f t="shared" si="24"/>
        <v>150.95080000000002</v>
      </c>
      <c r="M89" s="361">
        <f t="shared" si="19"/>
        <v>-20.606199999999973</v>
      </c>
    </row>
    <row r="90" spans="1:13">
      <c r="A90">
        <f t="shared" si="25"/>
        <v>330</v>
      </c>
      <c r="B90" s="265">
        <f t="shared" si="18"/>
        <v>9.5</v>
      </c>
      <c r="C90" s="265">
        <f t="shared" si="26"/>
        <v>28.724499999999999</v>
      </c>
      <c r="D90" s="265">
        <f t="shared" si="27"/>
        <v>138.66579999999999</v>
      </c>
      <c r="E90" s="265">
        <f t="shared" si="21"/>
        <v>176.8903</v>
      </c>
      <c r="F90" s="265"/>
      <c r="G90" s="265">
        <f t="shared" si="22"/>
        <v>107.56</v>
      </c>
      <c r="H90" s="265">
        <f t="shared" si="28"/>
        <v>0</v>
      </c>
      <c r="I90" s="265">
        <f t="shared" si="29"/>
        <v>47.006699999999995</v>
      </c>
      <c r="J90" s="265"/>
      <c r="K90" s="361">
        <f t="shared" si="24"/>
        <v>154.5667</v>
      </c>
      <c r="M90" s="361">
        <f t="shared" si="19"/>
        <v>-22.323599999999999</v>
      </c>
    </row>
    <row r="91" spans="1:13">
      <c r="A91">
        <f t="shared" si="25"/>
        <v>340</v>
      </c>
      <c r="B91" s="265">
        <f t="shared" si="18"/>
        <v>9.5</v>
      </c>
      <c r="C91" s="265">
        <f t="shared" si="26"/>
        <v>28.724499999999999</v>
      </c>
      <c r="D91" s="265">
        <f t="shared" si="27"/>
        <v>143.9991</v>
      </c>
      <c r="E91" s="265">
        <f t="shared" si="21"/>
        <v>182.2236</v>
      </c>
      <c r="F91" s="265"/>
      <c r="G91" s="265">
        <f t="shared" si="22"/>
        <v>107.56</v>
      </c>
      <c r="H91" s="265">
        <f t="shared" si="28"/>
        <v>0</v>
      </c>
      <c r="I91" s="265">
        <f t="shared" si="29"/>
        <v>50.622599999999998</v>
      </c>
      <c r="J91" s="265"/>
      <c r="K91" s="361">
        <f t="shared" si="24"/>
        <v>158.18260000000001</v>
      </c>
      <c r="M91" s="361">
        <f t="shared" si="19"/>
        <v>-24.040999999999997</v>
      </c>
    </row>
    <row r="92" spans="1:13">
      <c r="A92">
        <f t="shared" si="25"/>
        <v>350</v>
      </c>
      <c r="B92" s="265">
        <f t="shared" si="18"/>
        <v>9.5</v>
      </c>
      <c r="C92" s="265">
        <f t="shared" si="26"/>
        <v>28.724499999999999</v>
      </c>
      <c r="D92" s="265">
        <f t="shared" si="27"/>
        <v>149.33239999999998</v>
      </c>
      <c r="E92" s="265">
        <f t="shared" si="21"/>
        <v>187.55689999999998</v>
      </c>
      <c r="F92" s="265"/>
      <c r="G92" s="265">
        <f t="shared" si="22"/>
        <v>107.56</v>
      </c>
      <c r="H92" s="265">
        <f t="shared" si="28"/>
        <v>0</v>
      </c>
      <c r="I92" s="265">
        <f t="shared" si="29"/>
        <v>54.238499999999995</v>
      </c>
      <c r="J92" s="265"/>
      <c r="K92" s="361">
        <f t="shared" si="24"/>
        <v>161.79849999999999</v>
      </c>
      <c r="M92" s="361">
        <f t="shared" si="19"/>
        <v>-25.758399999999995</v>
      </c>
    </row>
    <row r="93" spans="1:13">
      <c r="A93">
        <v>500</v>
      </c>
      <c r="B93" s="265">
        <f t="shared" si="18"/>
        <v>9.5</v>
      </c>
      <c r="C93" s="265">
        <f t="shared" si="26"/>
        <v>28.724499999999999</v>
      </c>
      <c r="D93" s="265">
        <f t="shared" ref="D93" si="30">(A93-70)*$D$57</f>
        <v>229.33189999999999</v>
      </c>
      <c r="E93" s="265">
        <f t="shared" ref="E93" si="31">SUM(B93:D93)</f>
        <v>267.5564</v>
      </c>
      <c r="F93" s="265"/>
      <c r="G93" s="265">
        <f t="shared" si="22"/>
        <v>107.56</v>
      </c>
      <c r="H93" s="265">
        <f t="shared" si="28"/>
        <v>0</v>
      </c>
      <c r="I93" s="265">
        <f>(A93-200)*$I$57</f>
        <v>108.47699999999999</v>
      </c>
      <c r="J93" s="265"/>
      <c r="K93" s="361">
        <f t="shared" ref="K93" si="32">SUM(G93:J93)</f>
        <v>216.03699999999998</v>
      </c>
      <c r="M93" s="361">
        <f t="shared" si="19"/>
        <v>-51.519400000000019</v>
      </c>
    </row>
    <row r="96" spans="1:13" ht="15.75">
      <c r="A96" s="388" t="s">
        <v>446</v>
      </c>
      <c r="B96" s="154"/>
    </row>
    <row r="98" spans="1:15">
      <c r="A98" s="29" t="s">
        <v>68</v>
      </c>
      <c r="H98" s="29" t="s">
        <v>447</v>
      </c>
    </row>
    <row r="99" spans="1:15">
      <c r="B99" t="s">
        <v>228</v>
      </c>
      <c r="C99" t="s">
        <v>399</v>
      </c>
      <c r="D99" t="s">
        <v>400</v>
      </c>
      <c r="E99" t="s">
        <v>404</v>
      </c>
      <c r="F99" t="s">
        <v>401</v>
      </c>
      <c r="H99" t="s">
        <v>403</v>
      </c>
      <c r="I99" t="s">
        <v>399</v>
      </c>
      <c r="J99" t="s">
        <v>400</v>
      </c>
      <c r="K99" t="s">
        <v>404</v>
      </c>
      <c r="L99" t="s">
        <v>448</v>
      </c>
      <c r="M99" t="s">
        <v>401</v>
      </c>
      <c r="O99" t="s">
        <v>410</v>
      </c>
    </row>
    <row r="100" spans="1:15">
      <c r="B100" s="365">
        <f>B57</f>
        <v>9.5</v>
      </c>
      <c r="C100" s="366">
        <f t="shared" ref="C100:E100" si="33">C57</f>
        <v>0.41034999999999999</v>
      </c>
      <c r="D100" s="366">
        <f t="shared" si="33"/>
        <v>0.53332999999999997</v>
      </c>
      <c r="E100" s="366">
        <f t="shared" si="33"/>
        <v>0</v>
      </c>
      <c r="F100" s="292"/>
      <c r="G100" s="265"/>
      <c r="H100" s="365">
        <f>'Rate Design'!F27</f>
        <v>0</v>
      </c>
      <c r="I100" s="366">
        <f>'Rate Design'!F28/100</f>
        <v>0</v>
      </c>
      <c r="J100" s="366">
        <f>'Rate Design'!F29/100</f>
        <v>0</v>
      </c>
      <c r="K100" s="366">
        <f>'Rate Design'!F30/100</f>
        <v>0</v>
      </c>
      <c r="L100" s="366">
        <f>'Rate Design'!F31/100</f>
        <v>0</v>
      </c>
    </row>
    <row r="101" spans="1:15">
      <c r="A101">
        <v>200</v>
      </c>
      <c r="B101" s="265">
        <f>$B$100</f>
        <v>9.5</v>
      </c>
      <c r="C101" s="265">
        <f>70*$C$100</f>
        <v>28.724499999999999</v>
      </c>
      <c r="D101" s="265">
        <f>D100*(A101-70)</f>
        <v>69.332899999999995</v>
      </c>
      <c r="E101" s="265"/>
      <c r="F101" s="265">
        <f>SUM(B101:E101)</f>
        <v>107.5574</v>
      </c>
      <c r="G101" s="265"/>
      <c r="H101" s="265">
        <f>$H$100</f>
        <v>0</v>
      </c>
      <c r="I101" s="265">
        <f>A101*$I$100</f>
        <v>0</v>
      </c>
      <c r="J101" s="265"/>
      <c r="K101" s="265"/>
      <c r="L101" s="265"/>
      <c r="M101" s="361">
        <f>SUM(H101:L101)</f>
        <v>0</v>
      </c>
      <c r="O101" s="361">
        <f t="shared" ref="O101" si="34">M101-F101</f>
        <v>-107.5574</v>
      </c>
    </row>
    <row r="102" spans="1:15">
      <c r="A102">
        <v>500</v>
      </c>
      <c r="B102" s="265">
        <f t="shared" ref="B102" si="35">$B$100</f>
        <v>9.5</v>
      </c>
      <c r="C102" s="265">
        <f>$C$101</f>
        <v>28.724499999999999</v>
      </c>
      <c r="D102" s="265">
        <f>D100*(A102-70)</f>
        <v>229.33189999999999</v>
      </c>
      <c r="E102" s="265"/>
      <c r="F102" s="265">
        <f t="shared" ref="F102" si="36">SUM(B102:E102)</f>
        <v>267.5564</v>
      </c>
      <c r="G102" s="265"/>
      <c r="H102" s="265">
        <f t="shared" ref="H102" si="37">$H$100</f>
        <v>0</v>
      </c>
      <c r="I102" s="265">
        <f>A102*$I$100</f>
        <v>0</v>
      </c>
      <c r="J102" s="265"/>
      <c r="K102" s="265"/>
      <c r="L102" s="265"/>
      <c r="M102" s="361">
        <f t="shared" ref="M102" si="38">SUM(H102:L102)</f>
        <v>0</v>
      </c>
      <c r="O102" s="361">
        <f>M102-F102</f>
        <v>-267.5564</v>
      </c>
    </row>
  </sheetData>
  <pageMargins left="0.18" right="0.18" top="0.75" bottom="0.75" header="0.3" footer="0.3"/>
  <pageSetup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>
    <pageSetUpPr fitToPage="1"/>
  </sheetPr>
  <dimension ref="A1:K99"/>
  <sheetViews>
    <sheetView showGridLines="0" view="pageBreakPreview" zoomScale="85" zoomScaleNormal="85" workbookViewId="0">
      <selection activeCell="H22" sqref="H22"/>
    </sheetView>
  </sheetViews>
  <sheetFormatPr defaultRowHeight="12.75"/>
  <cols>
    <col min="1" max="1" width="35.7109375" customWidth="1"/>
    <col min="2" max="2" width="11.42578125" bestFit="1" customWidth="1"/>
    <col min="3" max="3" width="13" customWidth="1"/>
    <col min="4" max="4" width="11.140625" customWidth="1"/>
    <col min="5" max="5" width="11.85546875" customWidth="1"/>
    <col min="6" max="6" width="11.42578125" customWidth="1"/>
    <col min="7" max="7" width="13.140625" bestFit="1" customWidth="1"/>
    <col min="8" max="8" width="12.5703125" bestFit="1" customWidth="1"/>
  </cols>
  <sheetData>
    <row r="1" spans="1:8" ht="14.1" customHeight="1">
      <c r="A1" s="207" t="s">
        <v>103</v>
      </c>
      <c r="B1" s="51"/>
      <c r="C1" s="195"/>
      <c r="D1" s="195"/>
      <c r="E1" s="195"/>
      <c r="F1" s="195"/>
      <c r="G1" s="195"/>
      <c r="H1" s="195"/>
    </row>
    <row r="2" spans="1:8" ht="14.1" customHeight="1">
      <c r="A2" s="207" t="s">
        <v>340</v>
      </c>
      <c r="B2" s="51"/>
      <c r="C2" s="195"/>
      <c r="D2" s="195"/>
      <c r="E2" s="195"/>
      <c r="F2" s="195"/>
      <c r="G2" s="195"/>
      <c r="H2" s="195"/>
    </row>
    <row r="3" spans="1:8" ht="14.1" customHeight="1">
      <c r="A3" s="207" t="s">
        <v>278</v>
      </c>
      <c r="B3" s="51"/>
      <c r="C3" s="195"/>
      <c r="D3" s="195"/>
      <c r="E3" s="195"/>
      <c r="F3" s="195"/>
      <c r="G3" s="195"/>
      <c r="H3" s="195"/>
    </row>
    <row r="4" spans="1:8" ht="14.1" customHeight="1">
      <c r="A4" s="207" t="s">
        <v>650</v>
      </c>
      <c r="B4" s="51"/>
      <c r="C4" s="195"/>
      <c r="D4" s="195"/>
      <c r="E4" s="195"/>
      <c r="F4" s="195"/>
      <c r="G4" s="195"/>
      <c r="H4" s="195"/>
    </row>
    <row r="5" spans="1:8">
      <c r="C5" s="50"/>
      <c r="D5" s="50"/>
      <c r="E5" s="349"/>
      <c r="F5" s="349"/>
      <c r="G5" s="349"/>
      <c r="H5" s="349"/>
    </row>
    <row r="6" spans="1:8">
      <c r="A6" s="41" t="s">
        <v>590</v>
      </c>
      <c r="B6" s="42" t="s">
        <v>69</v>
      </c>
      <c r="C6" s="196" t="s">
        <v>287</v>
      </c>
      <c r="D6" s="50"/>
      <c r="E6" s="356" t="s">
        <v>411</v>
      </c>
      <c r="F6" s="356" t="s">
        <v>397</v>
      </c>
      <c r="G6" s="354" t="s">
        <v>398</v>
      </c>
      <c r="H6" s="354"/>
    </row>
    <row r="7" spans="1:8">
      <c r="A7" t="s">
        <v>449</v>
      </c>
      <c r="B7" s="73">
        <f>'12MEDEC19'!P162</f>
        <v>137563490.95253003</v>
      </c>
      <c r="C7" s="464">
        <f>'12MEDEC19'!O26</f>
        <v>1984339</v>
      </c>
      <c r="D7" s="50"/>
      <c r="E7" s="400">
        <f>'Block Usage'!O17</f>
        <v>83030622.512147844</v>
      </c>
      <c r="F7" s="400">
        <f>'Block Usage'!O18</f>
        <v>54532868.440382153</v>
      </c>
      <c r="G7" s="355">
        <f>SUM(D7:F7)</f>
        <v>137563490.95253</v>
      </c>
      <c r="H7" s="355"/>
    </row>
    <row r="8" spans="1:8">
      <c r="B8" s="197"/>
      <c r="C8" s="197"/>
      <c r="D8" s="197"/>
      <c r="E8" s="349"/>
      <c r="F8" s="349"/>
      <c r="G8" s="357">
        <f>'12MEDEC19'!P162</f>
        <v>137563490.95253003</v>
      </c>
      <c r="H8" s="347"/>
    </row>
    <row r="9" spans="1:8">
      <c r="A9" s="41" t="s">
        <v>656</v>
      </c>
      <c r="B9" s="196" t="s">
        <v>70</v>
      </c>
      <c r="C9" s="196" t="s">
        <v>71</v>
      </c>
      <c r="D9" s="196" t="s">
        <v>72</v>
      </c>
      <c r="E9" s="196" t="s">
        <v>59</v>
      </c>
      <c r="F9" s="196" t="s">
        <v>570</v>
      </c>
      <c r="G9" s="355">
        <f>G8-G7</f>
        <v>0</v>
      </c>
      <c r="H9" s="355"/>
    </row>
    <row r="10" spans="1:8">
      <c r="A10" t="s">
        <v>74</v>
      </c>
      <c r="B10" s="76">
        <f>'Block Usage'!O35</f>
        <v>6545798.1454840573</v>
      </c>
      <c r="C10" s="76">
        <f>'Block Usage'!O36</f>
        <v>17475325.304404866</v>
      </c>
      <c r="D10" s="76">
        <f>'Block Usage'!O37</f>
        <v>35005100.206671074</v>
      </c>
      <c r="E10" s="281">
        <f>SUM(B10:D10)</f>
        <v>59026223.656559996</v>
      </c>
      <c r="G10" s="50"/>
      <c r="H10" s="50"/>
    </row>
    <row r="11" spans="1:8">
      <c r="A11" t="s">
        <v>374</v>
      </c>
      <c r="B11" s="282">
        <v>0</v>
      </c>
      <c r="C11" s="282">
        <v>0</v>
      </c>
      <c r="D11" s="282">
        <v>0</v>
      </c>
      <c r="E11" s="280">
        <f>SUM(B11:D11)</f>
        <v>0</v>
      </c>
      <c r="G11" s="50"/>
      <c r="H11" s="50"/>
    </row>
    <row r="12" spans="1:8">
      <c r="A12" t="s">
        <v>375</v>
      </c>
      <c r="B12" s="76">
        <f>SUM(B10:B11)</f>
        <v>6545798.1454840573</v>
      </c>
      <c r="C12" s="76">
        <f>SUM(C10:C11)</f>
        <v>17475325.304404866</v>
      </c>
      <c r="D12" s="76">
        <f>SUM(D10:D11)</f>
        <v>35005100.206671074</v>
      </c>
      <c r="E12" s="76">
        <f>SUM(E10:E11)</f>
        <v>59026223.656559996</v>
      </c>
      <c r="G12" s="50"/>
      <c r="H12" s="50"/>
    </row>
    <row r="13" spans="1:8">
      <c r="A13" s="35" t="s">
        <v>298</v>
      </c>
      <c r="B13" s="199"/>
      <c r="C13" s="199"/>
      <c r="D13" s="199"/>
      <c r="E13" s="281">
        <f>'12MEDEC19'!P163</f>
        <v>59026223.656560011</v>
      </c>
      <c r="F13" s="76">
        <f>'12MEDEC19'!O27</f>
        <v>37192</v>
      </c>
      <c r="G13" s="50"/>
      <c r="H13" s="50"/>
    </row>
    <row r="14" spans="1:8">
      <c r="A14" s="35" t="s">
        <v>592</v>
      </c>
      <c r="B14" s="199">
        <v>0</v>
      </c>
      <c r="C14" s="199">
        <v>0</v>
      </c>
      <c r="D14" s="199">
        <v>0</v>
      </c>
      <c r="E14" s="281">
        <f>SUM(B14:D14)</f>
        <v>0</v>
      </c>
      <c r="F14" s="198">
        <v>0</v>
      </c>
      <c r="G14" s="50"/>
      <c r="H14" s="50"/>
    </row>
    <row r="15" spans="1:8">
      <c r="A15" s="35" t="s">
        <v>372</v>
      </c>
      <c r="B15" s="199"/>
      <c r="C15" s="199"/>
      <c r="D15" s="199"/>
      <c r="E15" s="283">
        <v>0</v>
      </c>
      <c r="F15" s="284">
        <v>0</v>
      </c>
      <c r="G15" s="50"/>
      <c r="H15" s="50"/>
    </row>
    <row r="16" spans="1:8">
      <c r="A16" s="35" t="s">
        <v>59</v>
      </c>
      <c r="B16" s="199"/>
      <c r="C16" s="199"/>
      <c r="D16" s="199"/>
      <c r="E16" s="74">
        <f>E13+E14+E15</f>
        <v>59026223.656560011</v>
      </c>
      <c r="F16" s="76">
        <f>F13+F14+F15</f>
        <v>37192</v>
      </c>
      <c r="G16" s="50"/>
      <c r="H16" s="50"/>
    </row>
    <row r="17" spans="1:8">
      <c r="A17" s="177" t="s">
        <v>286</v>
      </c>
      <c r="B17" s="199"/>
      <c r="C17" s="199"/>
      <c r="D17" s="199"/>
      <c r="E17" s="199">
        <f>E16-E12</f>
        <v>0</v>
      </c>
      <c r="F17" s="199"/>
      <c r="G17" s="50"/>
      <c r="H17" s="50"/>
    </row>
    <row r="18" spans="1:8">
      <c r="A18" s="177"/>
      <c r="B18" s="197"/>
      <c r="C18" s="197"/>
      <c r="D18" s="197" t="s">
        <v>75</v>
      </c>
      <c r="E18" s="197" t="s">
        <v>76</v>
      </c>
      <c r="F18" s="349"/>
      <c r="G18" s="197" t="s">
        <v>59</v>
      </c>
      <c r="H18" s="197"/>
    </row>
    <row r="19" spans="1:8">
      <c r="A19" s="41" t="s">
        <v>702</v>
      </c>
      <c r="B19" s="196" t="s">
        <v>70</v>
      </c>
      <c r="C19" s="196" t="s">
        <v>71</v>
      </c>
      <c r="D19" s="196" t="s">
        <v>73</v>
      </c>
      <c r="E19" s="196" t="s">
        <v>79</v>
      </c>
      <c r="F19" s="185" t="s">
        <v>80</v>
      </c>
      <c r="G19" s="196" t="s">
        <v>73</v>
      </c>
      <c r="H19" s="196" t="s">
        <v>287</v>
      </c>
    </row>
    <row r="20" spans="1:8">
      <c r="A20" t="s">
        <v>74</v>
      </c>
      <c r="B20" s="76">
        <f>B12</f>
        <v>6545798.1454840573</v>
      </c>
      <c r="C20" s="76">
        <f>C12</f>
        <v>17475325.304404866</v>
      </c>
      <c r="D20" s="76">
        <f>D12</f>
        <v>35005100.206671074</v>
      </c>
      <c r="E20" s="281"/>
      <c r="G20" s="199">
        <f>SUM(B20:F20)</f>
        <v>59026223.656559996</v>
      </c>
      <c r="H20" s="199">
        <f>F16</f>
        <v>37192</v>
      </c>
    </row>
    <row r="21" spans="1:8">
      <c r="A21" s="460" t="s">
        <v>696</v>
      </c>
      <c r="B21" s="76">
        <f>'Big Schedules'!Q52</f>
        <v>2200</v>
      </c>
      <c r="C21" s="76">
        <f>'Big Schedules'!R52</f>
        <v>8800</v>
      </c>
      <c r="D21" s="76">
        <f>'Big Schedules'!S52</f>
        <v>99000</v>
      </c>
      <c r="E21" s="76">
        <f>'Big Schedules'!T52</f>
        <v>120033</v>
      </c>
      <c r="F21" s="76">
        <f>'Big Schedules'!U52</f>
        <v>233247</v>
      </c>
      <c r="G21" s="199">
        <f t="shared" ref="G21:G23" si="0">SUM(B21:F21)</f>
        <v>463280</v>
      </c>
      <c r="H21" s="76">
        <v>11</v>
      </c>
    </row>
    <row r="22" spans="1:8">
      <c r="A22" s="460" t="s">
        <v>701</v>
      </c>
      <c r="B22" s="76">
        <f>-'Big Schedules'!Q51</f>
        <v>-400</v>
      </c>
      <c r="C22" s="76">
        <f>-'Big Schedules'!R51</f>
        <v>-1600</v>
      </c>
      <c r="D22" s="76">
        <f>-'Big Schedules'!S51</f>
        <v>-18000</v>
      </c>
      <c r="E22" s="76">
        <f>-'Big Schedules'!T51</f>
        <v>-30000</v>
      </c>
      <c r="F22" s="76">
        <f>-'Big Schedules'!U51</f>
        <v>-505228.86800003052</v>
      </c>
      <c r="G22" s="199">
        <f t="shared" si="0"/>
        <v>-555228.86800003052</v>
      </c>
      <c r="H22" s="76">
        <v>-2</v>
      </c>
    </row>
    <row r="23" spans="1:8">
      <c r="A23" t="s">
        <v>627</v>
      </c>
      <c r="B23" s="282">
        <f>H28*200</f>
        <v>10600</v>
      </c>
      <c r="C23" s="282">
        <f>B28+C28-B23</f>
        <v>38884.667000000001</v>
      </c>
      <c r="D23" s="282">
        <f>D28</f>
        <v>390425.995</v>
      </c>
      <c r="E23" s="282">
        <f>E28</f>
        <v>648840.23558999994</v>
      </c>
      <c r="F23" s="282">
        <f>F28</f>
        <v>1614135.0786700002</v>
      </c>
      <c r="G23" s="282">
        <f t="shared" si="0"/>
        <v>2702885.9762599999</v>
      </c>
      <c r="H23" s="282">
        <f>H30</f>
        <v>53</v>
      </c>
    </row>
    <row r="24" spans="1:8">
      <c r="A24" t="s">
        <v>59</v>
      </c>
      <c r="B24" s="76">
        <f t="shared" ref="B24:H24" si="1">SUM(B20:B23)</f>
        <v>6558198.1454840573</v>
      </c>
      <c r="C24" s="76">
        <f t="shared" si="1"/>
        <v>17521409.971404865</v>
      </c>
      <c r="D24" s="76">
        <f t="shared" si="1"/>
        <v>35476526.201671071</v>
      </c>
      <c r="E24" s="76">
        <f t="shared" si="1"/>
        <v>738873.23558999994</v>
      </c>
      <c r="F24" s="76">
        <f t="shared" si="1"/>
        <v>1342153.2106699697</v>
      </c>
      <c r="G24" s="76">
        <f t="shared" si="1"/>
        <v>61637160.764819965</v>
      </c>
      <c r="H24" s="76">
        <f t="shared" si="1"/>
        <v>37254</v>
      </c>
    </row>
    <row r="25" spans="1:8">
      <c r="B25" s="76"/>
      <c r="C25" s="76"/>
      <c r="D25" s="76"/>
      <c r="E25" s="281"/>
      <c r="G25" s="349"/>
      <c r="H25" s="349"/>
    </row>
    <row r="26" spans="1:8">
      <c r="B26" s="197"/>
      <c r="C26" s="197"/>
      <c r="D26" s="197" t="s">
        <v>75</v>
      </c>
      <c r="E26" s="197" t="s">
        <v>76</v>
      </c>
      <c r="F26" s="50"/>
      <c r="G26" s="197" t="s">
        <v>59</v>
      </c>
      <c r="H26" s="197"/>
    </row>
    <row r="27" spans="1:8">
      <c r="A27" s="41" t="s">
        <v>703</v>
      </c>
      <c r="B27" s="196" t="s">
        <v>77</v>
      </c>
      <c r="C27" s="196" t="s">
        <v>78</v>
      </c>
      <c r="D27" s="196" t="s">
        <v>73</v>
      </c>
      <c r="E27" s="196" t="s">
        <v>79</v>
      </c>
      <c r="F27" s="185" t="s">
        <v>80</v>
      </c>
      <c r="G27" s="196" t="s">
        <v>73</v>
      </c>
      <c r="H27" s="196" t="s">
        <v>287</v>
      </c>
    </row>
    <row r="28" spans="1:8">
      <c r="A28" t="s">
        <v>81</v>
      </c>
      <c r="B28" s="76">
        <f>'Block Usage'!O60</f>
        <v>25079.767</v>
      </c>
      <c r="C28" s="76">
        <f>'Block Usage'!O61</f>
        <v>24404.9</v>
      </c>
      <c r="D28" s="76">
        <f>'Block Usage'!O62</f>
        <v>390425.995</v>
      </c>
      <c r="E28" s="76">
        <f>'Block Usage'!O63</f>
        <v>648840.23558999994</v>
      </c>
      <c r="F28" s="76">
        <f>'Block Usage'!O64</f>
        <v>1614135.0786700002</v>
      </c>
      <c r="G28" s="76">
        <f>SUM(B28:F28)</f>
        <v>2702885.9762599999</v>
      </c>
      <c r="H28" s="243">
        <f>'12MEDEC19'!O28</f>
        <v>53</v>
      </c>
    </row>
    <row r="29" spans="1:8">
      <c r="A29" t="s">
        <v>598</v>
      </c>
      <c r="B29" s="282">
        <v>0</v>
      </c>
      <c r="C29" s="282">
        <v>0</v>
      </c>
      <c r="D29" s="282">
        <v>0</v>
      </c>
      <c r="E29" s="282">
        <v>0</v>
      </c>
      <c r="F29" s="282">
        <v>0</v>
      </c>
      <c r="G29" s="282">
        <f>SUM(B29:F29)</f>
        <v>0</v>
      </c>
      <c r="H29" s="282">
        <v>0</v>
      </c>
    </row>
    <row r="30" spans="1:8">
      <c r="A30" t="s">
        <v>375</v>
      </c>
      <c r="B30" s="199">
        <f>SUM(B28:B29)</f>
        <v>25079.767</v>
      </c>
      <c r="C30" s="199">
        <f t="shared" ref="C30:H30" si="2">SUM(C28:C29)</f>
        <v>24404.9</v>
      </c>
      <c r="D30" s="199">
        <f t="shared" si="2"/>
        <v>390425.995</v>
      </c>
      <c r="E30" s="199">
        <f t="shared" si="2"/>
        <v>648840.23558999994</v>
      </c>
      <c r="F30" s="199">
        <f t="shared" si="2"/>
        <v>1614135.0786700002</v>
      </c>
      <c r="G30" s="199">
        <f t="shared" si="2"/>
        <v>2702885.9762599999</v>
      </c>
      <c r="H30" s="199">
        <f t="shared" si="2"/>
        <v>53</v>
      </c>
    </row>
    <row r="31" spans="1:8">
      <c r="A31" s="35" t="s">
        <v>298</v>
      </c>
      <c r="B31" s="199"/>
      <c r="C31" s="199"/>
      <c r="D31" s="199"/>
      <c r="E31" s="199"/>
      <c r="F31" s="199"/>
      <c r="G31" s="199">
        <f>'12MEDEC19'!P164</f>
        <v>2702885.9762599999</v>
      </c>
      <c r="H31" s="199"/>
    </row>
    <row r="32" spans="1:8">
      <c r="A32" s="35" t="s">
        <v>599</v>
      </c>
      <c r="B32" s="199"/>
      <c r="C32" s="199"/>
      <c r="D32" s="199"/>
      <c r="E32" s="199"/>
      <c r="F32" s="199"/>
      <c r="G32" s="199">
        <f>G29</f>
        <v>0</v>
      </c>
      <c r="H32" s="199"/>
    </row>
    <row r="33" spans="1:8">
      <c r="A33" s="35" t="s">
        <v>59</v>
      </c>
      <c r="B33" s="199"/>
      <c r="C33" s="199"/>
      <c r="D33" s="199"/>
      <c r="E33" s="199"/>
      <c r="F33" s="199"/>
      <c r="G33" s="199">
        <f>G31+G32</f>
        <v>2702885.9762599999</v>
      </c>
      <c r="H33" s="199"/>
    </row>
    <row r="34" spans="1:8">
      <c r="B34" s="199"/>
      <c r="C34" s="199"/>
      <c r="D34" s="199"/>
      <c r="E34" s="199"/>
      <c r="F34" s="199"/>
      <c r="G34" s="199">
        <f>G30-G33</f>
        <v>0</v>
      </c>
      <c r="H34" s="199"/>
    </row>
    <row r="35" spans="1:8">
      <c r="B35" s="197" t="s">
        <v>82</v>
      </c>
      <c r="C35" s="197" t="s">
        <v>83</v>
      </c>
      <c r="D35" s="197" t="s">
        <v>83</v>
      </c>
      <c r="E35" s="197" t="s">
        <v>84</v>
      </c>
      <c r="F35" s="197" t="s">
        <v>59</v>
      </c>
      <c r="G35" s="50"/>
      <c r="H35" s="50"/>
    </row>
    <row r="36" spans="1:8">
      <c r="A36" s="41" t="s">
        <v>115</v>
      </c>
      <c r="B36" s="196" t="s">
        <v>85</v>
      </c>
      <c r="C36" s="196" t="s">
        <v>86</v>
      </c>
      <c r="D36" s="196" t="s">
        <v>79</v>
      </c>
      <c r="E36" s="196" t="s">
        <v>87</v>
      </c>
      <c r="F36" s="196" t="s">
        <v>73</v>
      </c>
      <c r="G36" s="196" t="s">
        <v>287</v>
      </c>
      <c r="H36" s="50"/>
    </row>
    <row r="37" spans="1:8">
      <c r="A37" t="s">
        <v>394</v>
      </c>
      <c r="B37" s="73">
        <f>'Big Schedules'!Q79</f>
        <v>220000</v>
      </c>
      <c r="C37" s="73">
        <f>'Big Schedules'!R79</f>
        <v>285403.25800000003</v>
      </c>
      <c r="D37" s="73">
        <f>'Big Schedules'!S79</f>
        <v>317689.05499999993</v>
      </c>
      <c r="E37" s="73">
        <f>'Big Schedules'!T79</f>
        <v>170107.97699999809</v>
      </c>
      <c r="F37" s="75">
        <f>SUM(B37:E37)</f>
        <v>993200.28999999806</v>
      </c>
      <c r="G37" s="473">
        <v>24</v>
      </c>
      <c r="H37" s="50"/>
    </row>
    <row r="38" spans="1:8">
      <c r="B38" s="75"/>
      <c r="C38" s="50"/>
      <c r="D38" s="50"/>
      <c r="E38" s="50"/>
      <c r="F38" s="50"/>
      <c r="G38" s="50"/>
      <c r="H38" s="75"/>
    </row>
    <row r="39" spans="1:8">
      <c r="B39" s="197" t="s">
        <v>82</v>
      </c>
      <c r="C39" s="197" t="s">
        <v>83</v>
      </c>
      <c r="D39" s="197" t="s">
        <v>83</v>
      </c>
      <c r="E39" s="197" t="s">
        <v>83</v>
      </c>
      <c r="F39" s="197" t="s">
        <v>84</v>
      </c>
      <c r="G39" s="197" t="s">
        <v>59</v>
      </c>
      <c r="H39" s="50"/>
    </row>
    <row r="40" spans="1:8">
      <c r="A40" s="41" t="s">
        <v>89</v>
      </c>
      <c r="B40" s="196" t="s">
        <v>90</v>
      </c>
      <c r="C40" s="196" t="s">
        <v>91</v>
      </c>
      <c r="D40" s="196" t="s">
        <v>92</v>
      </c>
      <c r="E40" s="196" t="s">
        <v>93</v>
      </c>
      <c r="F40" s="185" t="s">
        <v>94</v>
      </c>
      <c r="G40" s="196" t="s">
        <v>73</v>
      </c>
      <c r="H40" s="196" t="s">
        <v>287</v>
      </c>
    </row>
    <row r="41" spans="1:8">
      <c r="A41" t="s">
        <v>88</v>
      </c>
      <c r="B41" s="73">
        <f>'Big Schedules'!Q47</f>
        <v>8146142</v>
      </c>
      <c r="C41" s="73">
        <f>'Big Schedules'!R47</f>
        <v>8282125</v>
      </c>
      <c r="D41" s="73">
        <f>'Big Schedules'!S47</f>
        <v>14410467</v>
      </c>
      <c r="E41" s="73">
        <f>'Big Schedules'!T47</f>
        <v>2975780.8679999998</v>
      </c>
      <c r="F41" s="73">
        <f>'Big Schedules'!U47</f>
        <v>3355717</v>
      </c>
      <c r="G41" s="75">
        <f>SUM(B41:F41)</f>
        <v>37170231.868000001</v>
      </c>
      <c r="H41" s="473">
        <f>38*12</f>
        <v>456</v>
      </c>
    </row>
    <row r="42" spans="1:8">
      <c r="B42" s="50"/>
      <c r="C42" s="50"/>
      <c r="D42" s="50"/>
      <c r="E42" s="50"/>
      <c r="F42" s="50"/>
      <c r="G42" s="50"/>
      <c r="H42" s="50"/>
    </row>
    <row r="43" spans="1:8">
      <c r="A43" s="41" t="s">
        <v>395</v>
      </c>
      <c r="B43" s="196" t="s">
        <v>69</v>
      </c>
      <c r="C43" s="50"/>
      <c r="D43" s="50"/>
      <c r="E43" s="50"/>
      <c r="F43" s="50"/>
      <c r="G43" s="50"/>
      <c r="H43" s="50"/>
    </row>
    <row r="44" spans="1:8">
      <c r="A44" t="s">
        <v>112</v>
      </c>
      <c r="B44" s="73">
        <f>'12MEDEC19'!P146</f>
        <v>7907179</v>
      </c>
      <c r="C44" s="50"/>
      <c r="D44" s="50"/>
      <c r="E44" s="50"/>
      <c r="F44" s="50"/>
      <c r="G44" s="50"/>
      <c r="H44" s="50"/>
    </row>
    <row r="45" spans="1:8">
      <c r="B45" s="50"/>
      <c r="C45" s="50"/>
      <c r="D45" s="50"/>
      <c r="E45" s="50"/>
      <c r="F45" s="50"/>
      <c r="G45" s="50"/>
      <c r="H45" s="50"/>
    </row>
    <row r="46" spans="1:8">
      <c r="A46" s="41" t="s">
        <v>396</v>
      </c>
      <c r="B46" s="196" t="s">
        <v>69</v>
      </c>
      <c r="C46" s="196" t="s">
        <v>287</v>
      </c>
      <c r="D46" s="50"/>
      <c r="E46" s="50"/>
      <c r="F46" s="50"/>
      <c r="G46" s="50"/>
      <c r="H46" s="50"/>
    </row>
    <row r="47" spans="1:8">
      <c r="A47" s="497" t="s">
        <v>193</v>
      </c>
      <c r="B47" s="73">
        <f>'Big Schedules'!O87</f>
        <v>24245810</v>
      </c>
      <c r="C47" s="483">
        <v>12</v>
      </c>
      <c r="D47" s="50"/>
      <c r="E47" s="50"/>
      <c r="F47" s="50"/>
      <c r="G47" s="50"/>
      <c r="H47" s="50"/>
    </row>
    <row r="48" spans="1:8">
      <c r="A48" s="497" t="s">
        <v>99</v>
      </c>
      <c r="B48" s="73">
        <f>'Big Schedules'!O88</f>
        <v>6193304</v>
      </c>
      <c r="C48" s="483">
        <v>12</v>
      </c>
      <c r="D48" s="50"/>
      <c r="E48" s="50"/>
      <c r="F48" s="50"/>
      <c r="G48" s="50"/>
      <c r="H48" s="50"/>
    </row>
    <row r="49" spans="1:11">
      <c r="A49" s="497" t="s">
        <v>194</v>
      </c>
      <c r="B49" s="73">
        <f>'Big Schedules'!O89</f>
        <v>2132147</v>
      </c>
      <c r="C49" s="483">
        <v>12</v>
      </c>
      <c r="D49" s="50"/>
      <c r="E49" s="50"/>
      <c r="F49" s="50"/>
      <c r="G49" s="50"/>
      <c r="H49" s="50"/>
    </row>
    <row r="50" spans="1:11">
      <c r="A50" s="497" t="s">
        <v>98</v>
      </c>
      <c r="B50" s="201">
        <f>'Big Schedules'!O90</f>
        <v>5419126</v>
      </c>
      <c r="C50" s="484">
        <v>12</v>
      </c>
      <c r="D50" s="50"/>
      <c r="E50" s="50"/>
      <c r="F50" s="50"/>
      <c r="G50" s="50"/>
      <c r="H50" s="50"/>
    </row>
    <row r="51" spans="1:11">
      <c r="A51" s="35" t="s">
        <v>59</v>
      </c>
      <c r="B51" s="75">
        <f>SUM(B47:B50)</f>
        <v>37990387</v>
      </c>
      <c r="C51" s="75">
        <f>SUM(C47:C50)</f>
        <v>48</v>
      </c>
      <c r="D51" s="50"/>
      <c r="E51" s="50"/>
      <c r="F51" s="50"/>
      <c r="G51" s="50"/>
      <c r="H51" s="50"/>
    </row>
    <row r="52" spans="1:11">
      <c r="B52" s="75"/>
      <c r="C52" s="75"/>
      <c r="D52" s="50"/>
      <c r="E52" s="50"/>
      <c r="F52" s="50"/>
      <c r="G52" s="50"/>
      <c r="H52" s="50"/>
    </row>
    <row r="53" spans="1:11">
      <c r="A53" t="s">
        <v>195</v>
      </c>
      <c r="B53" s="73">
        <f>MAX(8000000,'Big Schedules'!O91)</f>
        <v>10933465</v>
      </c>
      <c r="C53" s="473">
        <v>12</v>
      </c>
      <c r="D53" s="50"/>
      <c r="E53" s="50"/>
      <c r="F53" s="197"/>
      <c r="G53" s="197"/>
      <c r="H53" s="197"/>
      <c r="I53" s="32"/>
      <c r="K53" s="32"/>
    </row>
    <row r="54" spans="1:11">
      <c r="B54" s="75"/>
      <c r="C54" s="75"/>
      <c r="D54" s="50"/>
      <c r="E54" s="50"/>
      <c r="F54" s="197"/>
      <c r="G54" s="197"/>
      <c r="H54" s="197"/>
      <c r="I54" s="32"/>
      <c r="K54" s="32"/>
    </row>
    <row r="55" spans="1:11">
      <c r="A55" t="s">
        <v>645</v>
      </c>
      <c r="B55" s="50"/>
      <c r="C55" s="50"/>
      <c r="D55" s="50"/>
      <c r="E55" s="50"/>
      <c r="F55" s="50"/>
      <c r="G55" s="50"/>
      <c r="H55" s="50"/>
    </row>
    <row r="56" spans="1:11">
      <c r="A56" t="s">
        <v>646</v>
      </c>
      <c r="B56" s="50"/>
      <c r="C56" s="50"/>
      <c r="D56" s="50"/>
      <c r="E56" s="50"/>
      <c r="F56" s="50"/>
      <c r="G56" s="50"/>
      <c r="H56" s="50"/>
    </row>
    <row r="57" spans="1:11">
      <c r="A57" t="s">
        <v>647</v>
      </c>
      <c r="B57" s="50"/>
      <c r="C57" s="50"/>
      <c r="D57" s="50"/>
      <c r="E57" s="50"/>
      <c r="F57" s="50"/>
      <c r="G57" s="50"/>
      <c r="H57" s="50"/>
    </row>
    <row r="58" spans="1:11">
      <c r="A58" t="s">
        <v>648</v>
      </c>
      <c r="B58" s="50"/>
      <c r="C58" s="50"/>
      <c r="D58" s="50"/>
      <c r="E58" s="50"/>
      <c r="F58" s="50"/>
      <c r="G58" s="50"/>
      <c r="H58" s="50"/>
    </row>
    <row r="59" spans="1:11">
      <c r="B59" s="50"/>
      <c r="C59" s="50"/>
      <c r="D59" s="50"/>
      <c r="E59" s="50"/>
      <c r="F59" s="50"/>
      <c r="G59" s="50"/>
      <c r="H59" s="50"/>
    </row>
    <row r="60" spans="1:11">
      <c r="B60" s="50"/>
      <c r="C60" s="50"/>
      <c r="D60" s="50"/>
      <c r="E60" s="50"/>
      <c r="F60" s="50"/>
      <c r="G60" s="50"/>
      <c r="H60" s="50"/>
    </row>
    <row r="61" spans="1:11">
      <c r="B61" s="50"/>
      <c r="C61" s="50"/>
      <c r="D61" s="50"/>
      <c r="E61" s="50"/>
      <c r="F61" s="50"/>
      <c r="G61" s="50"/>
      <c r="H61" s="50"/>
    </row>
    <row r="62" spans="1:11">
      <c r="B62" s="50"/>
      <c r="C62" s="50"/>
      <c r="D62" s="50"/>
      <c r="E62" s="50"/>
      <c r="F62" s="50"/>
      <c r="G62" s="50"/>
      <c r="H62" s="50"/>
    </row>
    <row r="63" spans="1:11">
      <c r="B63" s="50"/>
      <c r="C63" s="50"/>
      <c r="D63" s="50"/>
      <c r="E63" s="50"/>
      <c r="F63" s="50"/>
      <c r="G63" s="50"/>
      <c r="H63" s="50"/>
    </row>
    <row r="64" spans="1:11">
      <c r="B64" s="50"/>
      <c r="C64" s="50"/>
      <c r="D64" s="50"/>
      <c r="E64" s="50"/>
      <c r="F64" s="50"/>
      <c r="G64" s="50"/>
      <c r="H64" s="50"/>
    </row>
    <row r="66" spans="1:7">
      <c r="A66" s="206" t="s">
        <v>355</v>
      </c>
    </row>
    <row r="67" spans="1:7" ht="13.5" thickBot="1">
      <c r="A67" s="69" t="s">
        <v>345</v>
      </c>
      <c r="B67" s="189">
        <f>B7+E16+F37+G41+B44+B51+B53+G28</f>
        <v>294287063.74335003</v>
      </c>
    </row>
    <row r="68" spans="1:7" ht="13.5" thickTop="1">
      <c r="A68" s="69"/>
      <c r="B68" s="70"/>
    </row>
    <row r="69" spans="1:7">
      <c r="A69" s="69" t="s">
        <v>346</v>
      </c>
      <c r="B69" s="72">
        <f>'12MEDEC19'!P169</f>
        <v>294195114.87535</v>
      </c>
    </row>
    <row r="70" spans="1:7">
      <c r="A70" s="71" t="s">
        <v>113</v>
      </c>
      <c r="B70" s="72"/>
    </row>
    <row r="71" spans="1:7">
      <c r="A71" s="71" t="s">
        <v>576</v>
      </c>
      <c r="B71" s="72">
        <f>-'Big Schedules'!C84</f>
        <v>0</v>
      </c>
      <c r="E71" s="34"/>
      <c r="F71" s="34"/>
      <c r="G71" s="34"/>
    </row>
    <row r="72" spans="1:7">
      <c r="A72" s="71" t="s">
        <v>577</v>
      </c>
      <c r="B72" s="72">
        <f>G29</f>
        <v>0</v>
      </c>
      <c r="E72" s="34"/>
      <c r="F72" s="34"/>
      <c r="G72" s="34"/>
    </row>
    <row r="73" spans="1:7">
      <c r="A73" s="71" t="s">
        <v>578</v>
      </c>
      <c r="B73" s="72">
        <f>-'Big Schedules'!O47+G41</f>
        <v>0</v>
      </c>
      <c r="E73" s="34"/>
      <c r="F73" s="34"/>
      <c r="G73" s="34"/>
    </row>
    <row r="74" spans="1:7">
      <c r="A74" s="71" t="s">
        <v>373</v>
      </c>
      <c r="B74" s="72">
        <f>-E15-E14</f>
        <v>0</v>
      </c>
      <c r="E74" s="34"/>
      <c r="F74" s="34"/>
      <c r="G74" s="34"/>
    </row>
    <row r="75" spans="1:7" ht="13.5" thickBot="1">
      <c r="A75" s="69"/>
      <c r="B75" s="190">
        <f>B69-SUM(B70:B74)</f>
        <v>294195114.87535</v>
      </c>
      <c r="E75" s="34"/>
      <c r="F75" s="34"/>
      <c r="G75" s="34"/>
    </row>
    <row r="76" spans="1:7" ht="13.5" thickTop="1">
      <c r="A76" s="69" t="s">
        <v>114</v>
      </c>
      <c r="B76" s="187">
        <f>B67-B75</f>
        <v>91948.868000030518</v>
      </c>
      <c r="E76" s="34"/>
      <c r="F76" s="34"/>
      <c r="G76" s="34"/>
    </row>
    <row r="77" spans="1:7">
      <c r="A77" s="69"/>
      <c r="B77" s="72"/>
      <c r="E77" s="34"/>
      <c r="F77" s="34"/>
      <c r="G77" s="34"/>
    </row>
    <row r="78" spans="1:7">
      <c r="A78" s="38" t="s">
        <v>288</v>
      </c>
      <c r="B78" s="72">
        <f>SUM('Pres &amp; Prop Rev'!D20:J20)</f>
        <v>294195114.87534994</v>
      </c>
      <c r="E78" s="34"/>
      <c r="F78" s="34"/>
      <c r="G78" s="34"/>
    </row>
    <row r="79" spans="1:7">
      <c r="A79" s="38" t="s">
        <v>289</v>
      </c>
      <c r="B79" s="149">
        <f>B67</f>
        <v>294287063.74335003</v>
      </c>
      <c r="E79" s="34"/>
      <c r="F79" s="34"/>
      <c r="G79" s="34"/>
    </row>
    <row r="80" spans="1:7">
      <c r="A80" s="69" t="s">
        <v>114</v>
      </c>
      <c r="B80" s="187">
        <f>B78-B79</f>
        <v>-91948.868000090122</v>
      </c>
      <c r="E80" s="34"/>
      <c r="F80" s="34"/>
      <c r="G80" s="34"/>
    </row>
    <row r="81" spans="1:7">
      <c r="A81" s="192"/>
      <c r="B81" s="191"/>
      <c r="E81" s="34"/>
      <c r="F81" s="34"/>
      <c r="G81" s="34"/>
    </row>
    <row r="82" spans="1:7">
      <c r="B82" s="38"/>
      <c r="G82" s="34"/>
    </row>
    <row r="83" spans="1:7">
      <c r="A83" s="206" t="s">
        <v>104</v>
      </c>
      <c r="B83" s="38"/>
      <c r="G83" s="34"/>
    </row>
    <row r="84" spans="1:7" ht="13.5" thickBot="1">
      <c r="A84" s="69" t="s">
        <v>292</v>
      </c>
      <c r="B84" s="194">
        <f>C7+F16+G37+H41+C51+C53+H28</f>
        <v>2022124</v>
      </c>
    </row>
    <row r="85" spans="1:7" ht="13.5" thickTop="1">
      <c r="B85" s="38"/>
    </row>
    <row r="86" spans="1:7">
      <c r="A86" s="38" t="s">
        <v>290</v>
      </c>
      <c r="B86" s="40">
        <f>'12MEDEC19'!O33</f>
        <v>2022164</v>
      </c>
    </row>
    <row r="87" spans="1:7">
      <c r="A87" s="71" t="s">
        <v>113</v>
      </c>
      <c r="B87" s="40"/>
    </row>
    <row r="88" spans="1:7">
      <c r="A88" s="71" t="s">
        <v>61</v>
      </c>
      <c r="B88" s="40">
        <f>-F14</f>
        <v>0</v>
      </c>
    </row>
    <row r="89" spans="1:7">
      <c r="A89" s="71" t="s">
        <v>351</v>
      </c>
      <c r="B89" s="40">
        <v>0</v>
      </c>
    </row>
    <row r="90" spans="1:7">
      <c r="A90" s="71" t="s">
        <v>343</v>
      </c>
      <c r="B90" s="186">
        <v>0</v>
      </c>
      <c r="C90" s="200"/>
    </row>
    <row r="91" spans="1:7">
      <c r="A91" s="71" t="s">
        <v>350</v>
      </c>
      <c r="B91" s="232">
        <v>0</v>
      </c>
    </row>
    <row r="92" spans="1:7">
      <c r="A92" s="71" t="s">
        <v>291</v>
      </c>
      <c r="B92" s="186">
        <f>'12MEDEC19'!O30-'Bill Determ'!H41</f>
        <v>7</v>
      </c>
    </row>
    <row r="93" spans="1:7">
      <c r="A93" s="71" t="s">
        <v>293</v>
      </c>
      <c r="B93" s="40">
        <f>'12MEDEC19'!O31</f>
        <v>34</v>
      </c>
    </row>
    <row r="94" spans="1:7">
      <c r="A94" s="71" t="s">
        <v>344</v>
      </c>
      <c r="B94" s="40">
        <v>0</v>
      </c>
    </row>
    <row r="95" spans="1:7" ht="13.5" thickBot="1">
      <c r="A95" s="38"/>
      <c r="B95" s="193">
        <f>B86-SUM(B87:B94)</f>
        <v>2022123</v>
      </c>
    </row>
    <row r="96" spans="1:7" ht="13.5" thickTop="1">
      <c r="A96" s="69" t="s">
        <v>114</v>
      </c>
      <c r="B96" s="187">
        <f>B84-B95</f>
        <v>1</v>
      </c>
    </row>
    <row r="97" spans="1:2">
      <c r="A97" s="38"/>
      <c r="B97" s="191"/>
    </row>
    <row r="98" spans="1:2" ht="13.5" thickBot="1">
      <c r="A98" s="38" t="s">
        <v>288</v>
      </c>
      <c r="B98" s="194">
        <f>SUM('Pres &amp; Prop Rev'!D25:J26)</f>
        <v>2022133</v>
      </c>
    </row>
    <row r="99" spans="1:2" ht="13.5" thickTop="1">
      <c r="A99" s="69" t="s">
        <v>114</v>
      </c>
      <c r="B99" s="187">
        <f>B95-B98</f>
        <v>-10</v>
      </c>
    </row>
  </sheetData>
  <phoneticPr fontId="0" type="noConversion"/>
  <conditionalFormatting sqref="B99 B96 B80:B81 B76">
    <cfRule type="expression" dxfId="2" priority="1" stopIfTrue="1">
      <formula>ABS(B76)&gt;0.5</formula>
    </cfRule>
  </conditionalFormatting>
  <pageMargins left="0.75" right="0.75" top="0.5" bottom="0.25" header="0.5" footer="0.5"/>
  <pageSetup scale="76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>
    <pageSetUpPr fitToPage="1"/>
  </sheetPr>
  <dimension ref="A1:P66"/>
  <sheetViews>
    <sheetView workbookViewId="0">
      <selection activeCell="E49" sqref="E49"/>
    </sheetView>
  </sheetViews>
  <sheetFormatPr defaultRowHeight="12.75"/>
  <cols>
    <col min="1" max="1" width="11.7109375" customWidth="1"/>
    <col min="2" max="2" width="16.5703125" bestFit="1" customWidth="1"/>
    <col min="3" max="7" width="12.85546875" bestFit="1" customWidth="1"/>
    <col min="8" max="11" width="14" bestFit="1" customWidth="1"/>
    <col min="12" max="12" width="12.85546875" bestFit="1" customWidth="1"/>
    <col min="13" max="13" width="12.28515625" bestFit="1" customWidth="1"/>
    <col min="14" max="14" width="12.85546875" bestFit="1" customWidth="1"/>
    <col min="15" max="15" width="14.5703125" bestFit="1" customWidth="1"/>
    <col min="16" max="16" width="7.42578125" customWidth="1"/>
  </cols>
  <sheetData>
    <row r="1" spans="1:16">
      <c r="A1" t="s">
        <v>440</v>
      </c>
    </row>
    <row r="2" spans="1:16">
      <c r="C2" s="32" t="s">
        <v>429</v>
      </c>
      <c r="D2" s="32" t="s">
        <v>430</v>
      </c>
      <c r="E2" s="32" t="s">
        <v>431</v>
      </c>
      <c r="F2" s="32" t="s">
        <v>432</v>
      </c>
      <c r="G2" s="32" t="s">
        <v>433</v>
      </c>
      <c r="H2" s="32" t="s">
        <v>434</v>
      </c>
      <c r="I2" s="32" t="s">
        <v>423</v>
      </c>
      <c r="J2" s="32" t="s">
        <v>424</v>
      </c>
      <c r="K2" s="32" t="s">
        <v>425</v>
      </c>
      <c r="L2" s="32" t="s">
        <v>426</v>
      </c>
      <c r="M2" s="32" t="s">
        <v>427</v>
      </c>
      <c r="N2" s="32" t="s">
        <v>428</v>
      </c>
      <c r="O2" s="32" t="s">
        <v>435</v>
      </c>
    </row>
    <row r="3" spans="1:16">
      <c r="A3" t="s">
        <v>436</v>
      </c>
    </row>
    <row r="4" spans="1:16">
      <c r="A4" s="349"/>
      <c r="B4" s="401" t="s">
        <v>590</v>
      </c>
      <c r="O4" s="389"/>
    </row>
    <row r="5" spans="1:16">
      <c r="B5" t="s">
        <v>399</v>
      </c>
      <c r="C5" s="390">
        <f>'12MEDEC19'!D54+'12MEDEC19'!D67</f>
        <v>10610601.1073</v>
      </c>
      <c r="D5" s="390">
        <f>'12MEDEC19'!E54+'12MEDEC19'!E67</f>
        <v>10486299.11736</v>
      </c>
      <c r="E5" s="390">
        <f>'12MEDEC19'!F54+'12MEDEC19'!F67</f>
        <v>10910412.131150002</v>
      </c>
      <c r="F5" s="390">
        <f>'12MEDEC19'!G54+'12MEDEC19'!G67</f>
        <v>8797187.1996599995</v>
      </c>
      <c r="G5" s="390">
        <f>'12MEDEC19'!H54+'12MEDEC19'!H67</f>
        <v>5885884.22315</v>
      </c>
      <c r="H5" s="390">
        <f>'12MEDEC19'!I54+'12MEDEC19'!I67</f>
        <v>2897129.94001</v>
      </c>
      <c r="I5" s="390">
        <f>'12MEDEC19'!J54+'12MEDEC19'!J67</f>
        <v>2322824.8435300002</v>
      </c>
      <c r="J5" s="390">
        <f>'12MEDEC19'!K54+'12MEDEC19'!K67</f>
        <v>1984671.03452</v>
      </c>
      <c r="K5" s="390">
        <f>'12MEDEC19'!L54+'12MEDEC19'!L67</f>
        <v>2237133.5785599998</v>
      </c>
      <c r="L5" s="390">
        <f>'12MEDEC19'!M54+'12MEDEC19'!M67</f>
        <v>6569382.8929300001</v>
      </c>
      <c r="M5" s="390">
        <f>'12MEDEC19'!N54+'12MEDEC19'!N67</f>
        <v>9629226.2274099998</v>
      </c>
      <c r="N5" s="390">
        <f>'12MEDEC19'!O54+'12MEDEC19'!O67</f>
        <v>10707855.479810001</v>
      </c>
      <c r="O5" s="389">
        <f>SUM(C5:N5)</f>
        <v>83038607.775389999</v>
      </c>
    </row>
    <row r="6" spans="1:16">
      <c r="B6" t="s">
        <v>400</v>
      </c>
      <c r="C6" s="390">
        <f>'12MEDEC19'!D55+'12MEDEC19'!D68</f>
        <v>10581701.580189999</v>
      </c>
      <c r="D6" s="390">
        <f>'12MEDEC19'!E55+'12MEDEC19'!E68</f>
        <v>11447521.42058</v>
      </c>
      <c r="E6" s="390">
        <f>'12MEDEC19'!F55+'12MEDEC19'!F68</f>
        <v>13032219.303749999</v>
      </c>
      <c r="F6" s="390">
        <f>'12MEDEC19'!G55+'12MEDEC19'!G68</f>
        <v>3084148.6071700002</v>
      </c>
      <c r="G6" s="390">
        <f>'12MEDEC19'!H55+'12MEDEC19'!H68</f>
        <v>703411.48149999999</v>
      </c>
      <c r="H6" s="390">
        <f>'12MEDEC19'!I55+'12MEDEC19'!I68</f>
        <v>184270.97279</v>
      </c>
      <c r="I6" s="390">
        <f>'12MEDEC19'!J55+'12MEDEC19'!J68</f>
        <v>212771.11794000003</v>
      </c>
      <c r="J6" s="390">
        <f>'12MEDEC19'!K55+'12MEDEC19'!K68</f>
        <v>157927.09281</v>
      </c>
      <c r="K6" s="390">
        <f>'12MEDEC19'!L55+'12MEDEC19'!L68</f>
        <v>206884.56177</v>
      </c>
      <c r="L6" s="390">
        <f>'12MEDEC19'!M55+'12MEDEC19'!M68</f>
        <v>1038308.0353100001</v>
      </c>
      <c r="M6" s="390">
        <f>'12MEDEC19'!N55+'12MEDEC19'!N68</f>
        <v>4317670.0186799997</v>
      </c>
      <c r="N6" s="390">
        <f>'12MEDEC19'!O55+'12MEDEC19'!O68</f>
        <v>9570046.6046500001</v>
      </c>
      <c r="O6" s="389">
        <f>SUM(C6:N6)</f>
        <v>54536880.797139995</v>
      </c>
    </row>
    <row r="7" spans="1:16">
      <c r="A7" t="s">
        <v>381</v>
      </c>
      <c r="B7" s="32" t="s">
        <v>59</v>
      </c>
      <c r="C7" s="391">
        <f t="shared" ref="C7:O7" si="0">SUM(C5:C6)</f>
        <v>21192302.687490001</v>
      </c>
      <c r="D7" s="391">
        <f t="shared" si="0"/>
        <v>21933820.537939999</v>
      </c>
      <c r="E7" s="391">
        <f t="shared" si="0"/>
        <v>23942631.434900001</v>
      </c>
      <c r="F7" s="391">
        <f t="shared" si="0"/>
        <v>11881335.80683</v>
      </c>
      <c r="G7" s="391">
        <f t="shared" si="0"/>
        <v>6589295.7046499997</v>
      </c>
      <c r="H7" s="391">
        <f t="shared" si="0"/>
        <v>3081400.9128</v>
      </c>
      <c r="I7" s="391">
        <f t="shared" si="0"/>
        <v>2535595.9614700004</v>
      </c>
      <c r="J7" s="391">
        <f t="shared" si="0"/>
        <v>2142598.12733</v>
      </c>
      <c r="K7" s="391">
        <f t="shared" si="0"/>
        <v>2444018.1403299998</v>
      </c>
      <c r="L7" s="391">
        <f t="shared" si="0"/>
        <v>7607690.9282400003</v>
      </c>
      <c r="M7" s="391">
        <f t="shared" si="0"/>
        <v>13946896.246089999</v>
      </c>
      <c r="N7" s="391">
        <f t="shared" si="0"/>
        <v>20277902.084460001</v>
      </c>
      <c r="O7" s="391">
        <f t="shared" si="0"/>
        <v>137575488.57253</v>
      </c>
    </row>
    <row r="8" spans="1:16">
      <c r="B8" t="s">
        <v>437</v>
      </c>
      <c r="C8" s="392">
        <f>'12MEDEC19'!C26</f>
        <v>164455</v>
      </c>
      <c r="D8" s="392">
        <f>'12MEDEC19'!D26</f>
        <v>161561</v>
      </c>
      <c r="E8" s="392">
        <f>'12MEDEC19'!E26</f>
        <v>167095</v>
      </c>
      <c r="F8" s="392">
        <f>'12MEDEC19'!F26</f>
        <v>163106</v>
      </c>
      <c r="G8" s="392">
        <f>'12MEDEC19'!G26</f>
        <v>166886</v>
      </c>
      <c r="H8" s="392">
        <f>'12MEDEC19'!H26</f>
        <v>164587</v>
      </c>
      <c r="I8" s="392">
        <f>'12MEDEC19'!I26</f>
        <v>165355</v>
      </c>
      <c r="J8" s="392">
        <f>'12MEDEC19'!J26</f>
        <v>165693</v>
      </c>
      <c r="K8" s="392">
        <f>'12MEDEC19'!K26</f>
        <v>162332</v>
      </c>
      <c r="L8" s="392">
        <f>'12MEDEC19'!L26</f>
        <v>169448</v>
      </c>
      <c r="M8" s="392">
        <f>'12MEDEC19'!M26</f>
        <v>166729</v>
      </c>
      <c r="N8" s="392">
        <f>'12MEDEC19'!N26</f>
        <v>167092</v>
      </c>
      <c r="O8" s="393">
        <f>SUM(C8:N8)</f>
        <v>1984339</v>
      </c>
    </row>
    <row r="9" spans="1:16">
      <c r="B9" t="s">
        <v>438</v>
      </c>
      <c r="C9" s="389">
        <f>C8*70</f>
        <v>11511850</v>
      </c>
      <c r="D9" s="389">
        <f t="shared" ref="D9:N9" si="1">D8*70</f>
        <v>11309270</v>
      </c>
      <c r="E9" s="389">
        <f t="shared" si="1"/>
        <v>11696650</v>
      </c>
      <c r="F9" s="389">
        <f t="shared" si="1"/>
        <v>11417420</v>
      </c>
      <c r="G9" s="389">
        <f t="shared" si="1"/>
        <v>11682020</v>
      </c>
      <c r="H9" s="389">
        <f t="shared" si="1"/>
        <v>11521090</v>
      </c>
      <c r="I9" s="389">
        <f t="shared" si="1"/>
        <v>11574850</v>
      </c>
      <c r="J9" s="389">
        <f t="shared" si="1"/>
        <v>11598510</v>
      </c>
      <c r="K9" s="389">
        <f t="shared" si="1"/>
        <v>11363240</v>
      </c>
      <c r="L9" s="389">
        <f t="shared" si="1"/>
        <v>11861360</v>
      </c>
      <c r="M9" s="389">
        <f t="shared" si="1"/>
        <v>11671030</v>
      </c>
      <c r="N9" s="389">
        <f t="shared" si="1"/>
        <v>11696440</v>
      </c>
      <c r="O9" s="393">
        <f>SUM(C9:N9)</f>
        <v>138903730</v>
      </c>
    </row>
    <row r="10" spans="1:16">
      <c r="B10" t="s">
        <v>439</v>
      </c>
      <c r="C10" s="392">
        <f>'12MEDEC19'!D162</f>
        <v>21191020.06749</v>
      </c>
      <c r="D10" s="392">
        <f>'12MEDEC19'!E162</f>
        <v>21932387.537939999</v>
      </c>
      <c r="E10" s="392">
        <f>'12MEDEC19'!F162</f>
        <v>23941573.434899997</v>
      </c>
      <c r="F10" s="392">
        <f>'12MEDEC19'!G162</f>
        <v>11880514.80683</v>
      </c>
      <c r="G10" s="392">
        <f>'12MEDEC19'!H162</f>
        <v>6587646.7046499997</v>
      </c>
      <c r="H10" s="392">
        <f>'12MEDEC19'!I162</f>
        <v>3080579.9127999996</v>
      </c>
      <c r="I10" s="392">
        <f>'12MEDEC19'!J162</f>
        <v>2535595.96147</v>
      </c>
      <c r="J10" s="392">
        <f>'12MEDEC19'!K162</f>
        <v>2142554.12733</v>
      </c>
      <c r="K10" s="392">
        <f>'12MEDEC19'!L162</f>
        <v>2443888.1403299998</v>
      </c>
      <c r="L10" s="392">
        <f>'12MEDEC19'!M162</f>
        <v>7606580.9282399993</v>
      </c>
      <c r="M10" s="392">
        <f>'12MEDEC19'!N162</f>
        <v>13945184.24609</v>
      </c>
      <c r="N10" s="392">
        <f>'12MEDEC19'!O162</f>
        <v>20275965.084459998</v>
      </c>
      <c r="O10" s="393">
        <f>SUM(C10:N10)</f>
        <v>137563490.95253</v>
      </c>
    </row>
    <row r="11" spans="1:16">
      <c r="B11" t="s">
        <v>365</v>
      </c>
      <c r="C11" s="389">
        <f t="shared" ref="C11:N11" si="2">C10-C7</f>
        <v>-1282.6200000010431</v>
      </c>
      <c r="D11" s="389">
        <f t="shared" si="2"/>
        <v>-1433</v>
      </c>
      <c r="E11" s="389">
        <f t="shared" si="2"/>
        <v>-1058.0000000037253</v>
      </c>
      <c r="F11" s="389">
        <f t="shared" si="2"/>
        <v>-821</v>
      </c>
      <c r="G11" s="389">
        <f t="shared" si="2"/>
        <v>-1649</v>
      </c>
      <c r="H11" s="389">
        <f t="shared" si="2"/>
        <v>-821.00000000046566</v>
      </c>
      <c r="I11" s="394">
        <f t="shared" si="2"/>
        <v>0</v>
      </c>
      <c r="J11" s="394">
        <f t="shared" si="2"/>
        <v>-44</v>
      </c>
      <c r="K11" s="394">
        <f t="shared" si="2"/>
        <v>-130</v>
      </c>
      <c r="L11" s="394">
        <f t="shared" si="2"/>
        <v>-1110.0000000009313</v>
      </c>
      <c r="M11" s="394">
        <f t="shared" si="2"/>
        <v>-1711.9999999981374</v>
      </c>
      <c r="N11" s="394">
        <f t="shared" si="2"/>
        <v>-1937.0000000037253</v>
      </c>
      <c r="O11" s="393">
        <f>SUM(C11:N11)</f>
        <v>-11997.620000008028</v>
      </c>
      <c r="P11" s="395">
        <f>O11/O10</f>
        <v>-8.721514638028582E-5</v>
      </c>
    </row>
    <row r="12" spans="1:16">
      <c r="C12" s="389"/>
      <c r="D12" s="389"/>
      <c r="E12" s="389"/>
      <c r="F12" s="389"/>
      <c r="G12" s="389"/>
      <c r="H12" s="389"/>
      <c r="I12" s="394"/>
      <c r="J12" s="394"/>
      <c r="K12" s="394"/>
      <c r="L12" s="394"/>
      <c r="M12" s="394"/>
      <c r="N12" s="394"/>
      <c r="O12" s="393"/>
      <c r="P12" s="395"/>
    </row>
    <row r="13" spans="1:16">
      <c r="B13" t="s">
        <v>399</v>
      </c>
      <c r="C13" s="396">
        <f>(C5/C$7)*C$11</f>
        <v>-642.18454185679047</v>
      </c>
      <c r="D13" s="396">
        <f t="shared" ref="D13:N13" si="3">(D5/D$7)*D$11</f>
        <v>-685.10028196793962</v>
      </c>
      <c r="E13" s="396">
        <f t="shared" si="3"/>
        <v>-482.11977309943325</v>
      </c>
      <c r="F13" s="396">
        <f t="shared" si="3"/>
        <v>-607.88541022205618</v>
      </c>
      <c r="G13" s="396">
        <f t="shared" si="3"/>
        <v>-1472.9682076834174</v>
      </c>
      <c r="H13" s="396">
        <f t="shared" si="3"/>
        <v>-771.90334787959466</v>
      </c>
      <c r="I13" s="396">
        <f t="shared" si="3"/>
        <v>0</v>
      </c>
      <c r="J13" s="396">
        <f t="shared" si="3"/>
        <v>-40.756838347329627</v>
      </c>
      <c r="K13" s="396">
        <f t="shared" si="3"/>
        <v>-118.99558371261985</v>
      </c>
      <c r="L13" s="396">
        <f t="shared" si="3"/>
        <v>-958.50568588298165</v>
      </c>
      <c r="M13" s="396">
        <f t="shared" si="3"/>
        <v>-1182.0002823875316</v>
      </c>
      <c r="N13" s="396">
        <f t="shared" si="3"/>
        <v>-1022.8432891155365</v>
      </c>
      <c r="O13" s="396">
        <f>SUM(C13:N13)</f>
        <v>-7985.2632421552307</v>
      </c>
      <c r="P13" s="395"/>
    </row>
    <row r="14" spans="1:16">
      <c r="B14" t="s">
        <v>400</v>
      </c>
      <c r="C14" s="397">
        <f>(C6/C$7)*C$11</f>
        <v>-640.43545814425261</v>
      </c>
      <c r="D14" s="397">
        <f t="shared" ref="D14:N14" si="4">(D6/D$7)*D$11</f>
        <v>-747.89971803206026</v>
      </c>
      <c r="E14" s="397">
        <f t="shared" si="4"/>
        <v>-575.88022690429204</v>
      </c>
      <c r="F14" s="397">
        <f t="shared" si="4"/>
        <v>-213.11458977794376</v>
      </c>
      <c r="G14" s="397">
        <f t="shared" si="4"/>
        <v>-176.03179231658282</v>
      </c>
      <c r="H14" s="397">
        <f t="shared" si="4"/>
        <v>-49.096652120870957</v>
      </c>
      <c r="I14" s="397">
        <f t="shared" si="4"/>
        <v>0</v>
      </c>
      <c r="J14" s="397">
        <f t="shared" si="4"/>
        <v>-3.243161652670369</v>
      </c>
      <c r="K14" s="397">
        <f t="shared" si="4"/>
        <v>-11.004416287380153</v>
      </c>
      <c r="L14" s="397">
        <f t="shared" si="4"/>
        <v>-151.49431411794973</v>
      </c>
      <c r="M14" s="397">
        <f t="shared" si="4"/>
        <v>-529.99971761060579</v>
      </c>
      <c r="N14" s="397">
        <f t="shared" si="4"/>
        <v>-914.15671088818874</v>
      </c>
      <c r="O14" s="397">
        <f t="shared" ref="O14" si="5">SUM(C14:N14)</f>
        <v>-4012.3567578527973</v>
      </c>
      <c r="P14" s="395"/>
    </row>
    <row r="15" spans="1:16">
      <c r="C15" s="396">
        <f t="shared" ref="C15:O15" si="6">SUM(C13:C14)</f>
        <v>-1282.6200000010431</v>
      </c>
      <c r="D15" s="396">
        <f t="shared" si="6"/>
        <v>-1433</v>
      </c>
      <c r="E15" s="396">
        <f t="shared" si="6"/>
        <v>-1058.0000000037253</v>
      </c>
      <c r="F15" s="396">
        <f t="shared" si="6"/>
        <v>-821</v>
      </c>
      <c r="G15" s="396">
        <f t="shared" si="6"/>
        <v>-1649.0000000000002</v>
      </c>
      <c r="H15" s="396">
        <f t="shared" si="6"/>
        <v>-821.00000000046566</v>
      </c>
      <c r="I15" s="396">
        <f t="shared" si="6"/>
        <v>0</v>
      </c>
      <c r="J15" s="396">
        <f t="shared" si="6"/>
        <v>-43.999999999999993</v>
      </c>
      <c r="K15" s="396">
        <f t="shared" si="6"/>
        <v>-130</v>
      </c>
      <c r="L15" s="396">
        <f t="shared" si="6"/>
        <v>-1110.0000000009313</v>
      </c>
      <c r="M15" s="396">
        <f t="shared" si="6"/>
        <v>-1711.9999999981374</v>
      </c>
      <c r="N15" s="396">
        <f t="shared" si="6"/>
        <v>-1937.0000000037253</v>
      </c>
      <c r="O15" s="396">
        <f t="shared" si="6"/>
        <v>-11997.620000008028</v>
      </c>
      <c r="P15" s="395"/>
    </row>
    <row r="16" spans="1:16">
      <c r="C16" s="396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5"/>
    </row>
    <row r="17" spans="1:16">
      <c r="B17" t="s">
        <v>399</v>
      </c>
      <c r="C17" s="396">
        <f t="shared" ref="C17:N17" si="7">C5+C13</f>
        <v>10609958.922758143</v>
      </c>
      <c r="D17" s="396">
        <f t="shared" si="7"/>
        <v>10485614.017078031</v>
      </c>
      <c r="E17" s="396">
        <f t="shared" si="7"/>
        <v>10909930.011376902</v>
      </c>
      <c r="F17" s="396">
        <f t="shared" si="7"/>
        <v>8796579.3142497782</v>
      </c>
      <c r="G17" s="396">
        <f t="shared" si="7"/>
        <v>5884411.2549423166</v>
      </c>
      <c r="H17" s="396">
        <f t="shared" si="7"/>
        <v>2896358.0366621204</v>
      </c>
      <c r="I17" s="396">
        <f t="shared" si="7"/>
        <v>2322824.8435300002</v>
      </c>
      <c r="J17" s="396">
        <f t="shared" si="7"/>
        <v>1984630.2776816527</v>
      </c>
      <c r="K17" s="396">
        <f t="shared" si="7"/>
        <v>2237014.5829762872</v>
      </c>
      <c r="L17" s="396">
        <f t="shared" si="7"/>
        <v>6568424.3872441174</v>
      </c>
      <c r="M17" s="396">
        <f t="shared" si="7"/>
        <v>9628044.2271276116</v>
      </c>
      <c r="N17" s="396">
        <f t="shared" si="7"/>
        <v>10706832.636520885</v>
      </c>
      <c r="O17" s="396">
        <f>SUM(C17:N17)</f>
        <v>83030622.512147844</v>
      </c>
      <c r="P17" s="395"/>
    </row>
    <row r="18" spans="1:16">
      <c r="B18" t="s">
        <v>400</v>
      </c>
      <c r="C18" s="397">
        <f t="shared" ref="C18:N18" si="8">C6+C14</f>
        <v>10581061.144731855</v>
      </c>
      <c r="D18" s="397">
        <f t="shared" si="8"/>
        <v>11446773.520861968</v>
      </c>
      <c r="E18" s="397">
        <f t="shared" si="8"/>
        <v>13031643.423523095</v>
      </c>
      <c r="F18" s="397">
        <f t="shared" si="8"/>
        <v>3083935.4925802224</v>
      </c>
      <c r="G18" s="397">
        <f t="shared" si="8"/>
        <v>703235.44970768341</v>
      </c>
      <c r="H18" s="397">
        <f t="shared" si="8"/>
        <v>184221.87613787912</v>
      </c>
      <c r="I18" s="397">
        <f t="shared" si="8"/>
        <v>212771.11794000003</v>
      </c>
      <c r="J18" s="397">
        <f t="shared" si="8"/>
        <v>157923.84964834733</v>
      </c>
      <c r="K18" s="397">
        <f t="shared" si="8"/>
        <v>206873.55735371262</v>
      </c>
      <c r="L18" s="397">
        <f t="shared" si="8"/>
        <v>1038156.5409958821</v>
      </c>
      <c r="M18" s="397">
        <f t="shared" si="8"/>
        <v>4317140.0189623889</v>
      </c>
      <c r="N18" s="397">
        <f t="shared" si="8"/>
        <v>9569132.4479391128</v>
      </c>
      <c r="O18" s="397">
        <f t="shared" ref="O18" si="9">SUM(C18:N18)</f>
        <v>54532868.440382153</v>
      </c>
      <c r="P18" s="395"/>
    </row>
    <row r="19" spans="1:16">
      <c r="C19" s="396">
        <f t="shared" ref="C19:O19" si="10">SUM(C17:C18)</f>
        <v>21191020.067489997</v>
      </c>
      <c r="D19" s="396">
        <f t="shared" si="10"/>
        <v>21932387.537939999</v>
      </c>
      <c r="E19" s="396">
        <f t="shared" si="10"/>
        <v>23941573.434899997</v>
      </c>
      <c r="F19" s="396">
        <f t="shared" si="10"/>
        <v>11880514.80683</v>
      </c>
      <c r="G19" s="396">
        <f t="shared" si="10"/>
        <v>6587646.7046499997</v>
      </c>
      <c r="H19" s="396">
        <f t="shared" si="10"/>
        <v>3080579.9127999996</v>
      </c>
      <c r="I19" s="396">
        <f t="shared" si="10"/>
        <v>2535595.9614700004</v>
      </c>
      <c r="J19" s="396">
        <f t="shared" si="10"/>
        <v>2142554.12733</v>
      </c>
      <c r="K19" s="396">
        <f t="shared" si="10"/>
        <v>2443888.1403299998</v>
      </c>
      <c r="L19" s="396">
        <f t="shared" si="10"/>
        <v>7606580.9282399993</v>
      </c>
      <c r="M19" s="396">
        <f t="shared" si="10"/>
        <v>13945184.24609</v>
      </c>
      <c r="N19" s="396">
        <f t="shared" si="10"/>
        <v>20275965.084459998</v>
      </c>
      <c r="O19" s="396">
        <f t="shared" si="10"/>
        <v>137563490.95253</v>
      </c>
      <c r="P19" s="395"/>
    </row>
    <row r="20" spans="1:16">
      <c r="C20" s="389">
        <f t="shared" ref="C20:O20" si="11">C19-C10</f>
        <v>0</v>
      </c>
      <c r="D20" s="389">
        <f t="shared" si="11"/>
        <v>0</v>
      </c>
      <c r="E20" s="389">
        <f t="shared" si="11"/>
        <v>0</v>
      </c>
      <c r="F20" s="389">
        <f t="shared" si="11"/>
        <v>0</v>
      </c>
      <c r="G20" s="389">
        <f t="shared" si="11"/>
        <v>0</v>
      </c>
      <c r="H20" s="389">
        <f t="shared" si="11"/>
        <v>0</v>
      </c>
      <c r="I20" s="389">
        <f t="shared" si="11"/>
        <v>0</v>
      </c>
      <c r="J20" s="389">
        <f t="shared" si="11"/>
        <v>0</v>
      </c>
      <c r="K20" s="389">
        <f t="shared" si="11"/>
        <v>0</v>
      </c>
      <c r="L20" s="389">
        <f t="shared" si="11"/>
        <v>0</v>
      </c>
      <c r="M20" s="389">
        <f t="shared" si="11"/>
        <v>0</v>
      </c>
      <c r="N20" s="389">
        <f t="shared" si="11"/>
        <v>0</v>
      </c>
      <c r="O20" s="389">
        <f t="shared" si="11"/>
        <v>0</v>
      </c>
      <c r="P20" s="395"/>
    </row>
    <row r="21" spans="1:16">
      <c r="C21" s="389"/>
      <c r="D21" s="389"/>
      <c r="E21" s="389"/>
      <c r="F21" s="389"/>
      <c r="G21" s="389"/>
      <c r="H21" s="389"/>
      <c r="I21" s="394"/>
      <c r="J21" s="394"/>
      <c r="K21" s="394"/>
      <c r="L21" s="394"/>
      <c r="M21" s="394"/>
      <c r="N21" s="394"/>
      <c r="O21" s="393"/>
      <c r="P21" s="395"/>
    </row>
    <row r="22" spans="1:16">
      <c r="A22" s="349"/>
      <c r="B22" s="401" t="s">
        <v>379</v>
      </c>
      <c r="C22" s="395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</row>
    <row r="23" spans="1:16">
      <c r="B23" t="s">
        <v>399</v>
      </c>
      <c r="C23" s="390">
        <f>'12MEDEC19'!D78</f>
        <v>614056.35540999996</v>
      </c>
      <c r="D23" s="390">
        <f>'12MEDEC19'!E78</f>
        <v>602122.74292999995</v>
      </c>
      <c r="E23" s="390">
        <f>'12MEDEC19'!F78</f>
        <v>622422.34710999997</v>
      </c>
      <c r="F23" s="390">
        <f>'12MEDEC19'!G78</f>
        <v>609380.26335999998</v>
      </c>
      <c r="G23" s="390">
        <f>'12MEDEC19'!H78</f>
        <v>576533.97387999995</v>
      </c>
      <c r="H23" s="390">
        <f>'12MEDEC19'!I78</f>
        <v>475143.39107999997</v>
      </c>
      <c r="I23" s="390">
        <f>'12MEDEC19'!J78</f>
        <v>418973.52477000002</v>
      </c>
      <c r="J23" s="390">
        <f>'12MEDEC19'!K78</f>
        <v>390683.52333</v>
      </c>
      <c r="K23" s="390">
        <f>'12MEDEC19'!L78</f>
        <v>412392.87789</v>
      </c>
      <c r="L23" s="390">
        <f>'12MEDEC19'!M78</f>
        <v>583775.72603999998</v>
      </c>
      <c r="M23" s="390">
        <f>'12MEDEC19'!N78</f>
        <v>605892.19857999997</v>
      </c>
      <c r="N23" s="390">
        <f>'12MEDEC19'!O78</f>
        <v>617103.10869000002</v>
      </c>
      <c r="O23" s="389">
        <f>SUM(C23:N23)</f>
        <v>6528480.0330699999</v>
      </c>
    </row>
    <row r="24" spans="1:16">
      <c r="B24" t="s">
        <v>400</v>
      </c>
      <c r="C24" s="390">
        <f>'12MEDEC19'!D79</f>
        <v>2138595.4322799998</v>
      </c>
      <c r="D24" s="390">
        <f>'12MEDEC19'!E79</f>
        <v>2126686.93463</v>
      </c>
      <c r="E24" s="390">
        <f>'12MEDEC19'!F79</f>
        <v>2204489.0396699999</v>
      </c>
      <c r="F24" s="390">
        <f>'12MEDEC19'!G79</f>
        <v>1740453.23205</v>
      </c>
      <c r="G24" s="390">
        <f>'12MEDEC19'!H79</f>
        <v>1233274.3351400001</v>
      </c>
      <c r="H24" s="390">
        <f>'12MEDEC19'!I79</f>
        <v>790386.61638000002</v>
      </c>
      <c r="I24" s="390">
        <f>'12MEDEC19'!J79</f>
        <v>661102.01732999994</v>
      </c>
      <c r="J24" s="390">
        <f>'12MEDEC19'!K79</f>
        <v>598927.16105</v>
      </c>
      <c r="K24" s="390">
        <f>'12MEDEC19'!L79</f>
        <v>653630.31680999999</v>
      </c>
      <c r="L24" s="390">
        <f>'12MEDEC19'!M79</f>
        <v>1291112.3426399999</v>
      </c>
      <c r="M24" s="390">
        <f>'12MEDEC19'!N79</f>
        <v>1852542.1540000001</v>
      </c>
      <c r="N24" s="390">
        <f>'12MEDEC19'!O79</f>
        <v>2139447.9695700002</v>
      </c>
      <c r="O24" s="389">
        <f>SUM(C24:N24)</f>
        <v>17430647.551550001</v>
      </c>
    </row>
    <row r="25" spans="1:16">
      <c r="B25" t="s">
        <v>404</v>
      </c>
      <c r="C25" s="390">
        <f>'12MEDEC19'!D80</f>
        <v>5155066.8745499998</v>
      </c>
      <c r="D25" s="390">
        <f>'12MEDEC19'!E80</f>
        <v>5631083.6064299997</v>
      </c>
      <c r="E25" s="390">
        <f>'12MEDEC19'!F80</f>
        <v>6052517.2962100003</v>
      </c>
      <c r="F25" s="390">
        <f>'12MEDEC19'!G80</f>
        <v>3000246.7173700002</v>
      </c>
      <c r="G25" s="390">
        <f>'12MEDEC19'!H80</f>
        <v>1482782.7072099999</v>
      </c>
      <c r="H25" s="390">
        <f>'12MEDEC19'!I80</f>
        <v>1094702.3844999999</v>
      </c>
      <c r="I25" s="390">
        <f>'12MEDEC19'!J80</f>
        <v>849960.72112999996</v>
      </c>
      <c r="J25" s="390">
        <f>'12MEDEC19'!K80</f>
        <v>736777.64992999996</v>
      </c>
      <c r="K25" s="390">
        <f>'12MEDEC19'!L80</f>
        <v>911913.09623000002</v>
      </c>
      <c r="L25" s="390">
        <f>'12MEDEC19'!M80</f>
        <v>1783804.8626699999</v>
      </c>
      <c r="M25" s="390">
        <f>'12MEDEC19'!N80</f>
        <v>3226679.9686099999</v>
      </c>
      <c r="N25" s="390">
        <f>'12MEDEC19'!O80</f>
        <v>4992833.8671000004</v>
      </c>
      <c r="O25" s="389">
        <f>SUM(C25:N25)</f>
        <v>34918369.751939997</v>
      </c>
    </row>
    <row r="26" spans="1:16">
      <c r="A26" t="s">
        <v>381</v>
      </c>
      <c r="B26" s="32" t="s">
        <v>59</v>
      </c>
      <c r="C26" s="391">
        <f>SUM(C23:C25)</f>
        <v>7907718.6622399995</v>
      </c>
      <c r="D26" s="391">
        <f t="shared" ref="D26:H26" si="12">SUM(D23:D25)</f>
        <v>8359893.2839899994</v>
      </c>
      <c r="E26" s="391">
        <f t="shared" si="12"/>
        <v>8879428.6829899997</v>
      </c>
      <c r="F26" s="391">
        <f t="shared" si="12"/>
        <v>5350080.2127800006</v>
      </c>
      <c r="G26" s="391">
        <f t="shared" si="12"/>
        <v>3292591.0162300002</v>
      </c>
      <c r="H26" s="391">
        <f t="shared" si="12"/>
        <v>2360232.3919599997</v>
      </c>
      <c r="I26" s="391">
        <f>SUM(I23:I25)</f>
        <v>1930036.2632299999</v>
      </c>
      <c r="J26" s="391">
        <f t="shared" ref="J26:O26" si="13">SUM(J23:J25)</f>
        <v>1726388.3343099998</v>
      </c>
      <c r="K26" s="391">
        <f t="shared" si="13"/>
        <v>1977936.2909299999</v>
      </c>
      <c r="L26" s="391">
        <f t="shared" si="13"/>
        <v>3658692.9313500002</v>
      </c>
      <c r="M26" s="391">
        <f t="shared" si="13"/>
        <v>5685114.3211899996</v>
      </c>
      <c r="N26" s="391">
        <f t="shared" si="13"/>
        <v>7749384.9453600012</v>
      </c>
      <c r="O26" s="391">
        <f t="shared" si="13"/>
        <v>58877497.336559996</v>
      </c>
    </row>
    <row r="27" spans="1:16">
      <c r="B27" t="s">
        <v>439</v>
      </c>
      <c r="C27" s="398">
        <f>'12MEDEC19'!D163</f>
        <v>7925020.0882399995</v>
      </c>
      <c r="D27" s="398">
        <f>'12MEDEC19'!E163</f>
        <v>8382073.837989999</v>
      </c>
      <c r="E27" s="398">
        <f>'12MEDEC19'!F163</f>
        <v>8896947.8489899989</v>
      </c>
      <c r="F27" s="398">
        <f>'12MEDEC19'!G163</f>
        <v>5362314.0007800004</v>
      </c>
      <c r="G27" s="398">
        <f>'12MEDEC19'!H163</f>
        <v>3301881.1222300003</v>
      </c>
      <c r="H27" s="398">
        <f>'12MEDEC19'!I163</f>
        <v>2366158.6159599996</v>
      </c>
      <c r="I27" s="398">
        <f>'12MEDEC19'!J163</f>
        <v>1935589.2532299999</v>
      </c>
      <c r="J27" s="398">
        <f>'12MEDEC19'!K163</f>
        <v>1732053.4203099997</v>
      </c>
      <c r="K27" s="398">
        <f>'12MEDEC19'!L163</f>
        <v>1984701.5849299999</v>
      </c>
      <c r="L27" s="398">
        <f>'12MEDEC19'!M163</f>
        <v>3670233.1733500003</v>
      </c>
      <c r="M27" s="398">
        <f>'12MEDEC19'!N163</f>
        <v>5701042.6331899995</v>
      </c>
      <c r="N27" s="398">
        <f>'12MEDEC19'!O163</f>
        <v>7768208.0773600014</v>
      </c>
      <c r="O27" s="389">
        <f>SUM(C27:N27)</f>
        <v>59026223.656560004</v>
      </c>
    </row>
    <row r="28" spans="1:16">
      <c r="C28" s="393">
        <f t="shared" ref="C28:N28" si="14">C27-C26</f>
        <v>17301.425999999978</v>
      </c>
      <c r="D28" s="393">
        <f t="shared" si="14"/>
        <v>22180.553999999538</v>
      </c>
      <c r="E28" s="393">
        <f t="shared" si="14"/>
        <v>17519.16599999927</v>
      </c>
      <c r="F28" s="393">
        <f t="shared" si="14"/>
        <v>12233.787999999709</v>
      </c>
      <c r="G28" s="393">
        <f t="shared" si="14"/>
        <v>9290.1060000001453</v>
      </c>
      <c r="H28" s="393">
        <f t="shared" si="14"/>
        <v>5926.2239999999292</v>
      </c>
      <c r="I28" s="393">
        <f t="shared" si="14"/>
        <v>5552.9899999999907</v>
      </c>
      <c r="J28" s="399">
        <f t="shared" si="14"/>
        <v>5665.0859999998938</v>
      </c>
      <c r="K28" s="393">
        <f t="shared" si="14"/>
        <v>6765.2939999999944</v>
      </c>
      <c r="L28" s="399">
        <f t="shared" si="14"/>
        <v>11540.242000000086</v>
      </c>
      <c r="M28" s="393">
        <f t="shared" si="14"/>
        <v>15928.311999999918</v>
      </c>
      <c r="N28" s="393">
        <f t="shared" si="14"/>
        <v>18823.132000000216</v>
      </c>
      <c r="O28" s="389">
        <f>SUM(C28:N28)</f>
        <v>148726.31999999867</v>
      </c>
      <c r="P28" s="395">
        <f>O28/O27</f>
        <v>2.5196651723029492E-3</v>
      </c>
    </row>
    <row r="29" spans="1:16">
      <c r="C29" s="393"/>
      <c r="D29" s="393"/>
      <c r="E29" s="393"/>
      <c r="F29" s="393"/>
      <c r="G29" s="393"/>
      <c r="H29" s="393"/>
      <c r="I29" s="393"/>
      <c r="J29" s="399"/>
      <c r="K29" s="393"/>
      <c r="L29" s="399"/>
      <c r="M29" s="393"/>
      <c r="N29" s="393"/>
      <c r="O29" s="389"/>
      <c r="P29" s="395"/>
    </row>
    <row r="30" spans="1:16">
      <c r="B30" t="s">
        <v>399</v>
      </c>
      <c r="C30" s="396">
        <f>(C23/C$26)*C$28</f>
        <v>1343.5038658730371</v>
      </c>
      <c r="D30" s="396">
        <f t="shared" ref="D30:N30" si="15">(D23/D$26)*D$28</f>
        <v>1597.5581936869471</v>
      </c>
      <c r="E30" s="396">
        <f t="shared" si="15"/>
        <v>1228.043020607651</v>
      </c>
      <c r="F30" s="396">
        <f t="shared" si="15"/>
        <v>1393.4424638198946</v>
      </c>
      <c r="G30" s="396">
        <f t="shared" si="15"/>
        <v>1626.7011917195769</v>
      </c>
      <c r="H30" s="396">
        <f t="shared" si="15"/>
        <v>1193.0207284890823</v>
      </c>
      <c r="I30" s="396">
        <f t="shared" si="15"/>
        <v>1205.4466735350172</v>
      </c>
      <c r="J30" s="396">
        <f t="shared" si="15"/>
        <v>1282.0150104478118</v>
      </c>
      <c r="K30" s="396">
        <f t="shared" si="15"/>
        <v>1410.5404078106808</v>
      </c>
      <c r="L30" s="396">
        <f t="shared" si="15"/>
        <v>1841.3442392230322</v>
      </c>
      <c r="M30" s="396">
        <f t="shared" si="15"/>
        <v>1697.5630448409429</v>
      </c>
      <c r="N30" s="396">
        <f t="shared" si="15"/>
        <v>1498.9335740041408</v>
      </c>
      <c r="O30" s="396">
        <f>SUM(C30:N30)</f>
        <v>17318.112414057814</v>
      </c>
      <c r="P30" s="395"/>
    </row>
    <row r="31" spans="1:16">
      <c r="B31" t="s">
        <v>400</v>
      </c>
      <c r="C31" s="396">
        <f>(C24/C$26)*C$28</f>
        <v>4679.0676547727953</v>
      </c>
      <c r="D31" s="396">
        <f t="shared" ref="D31:N31" si="16">(D24/D$26)*D$28</f>
        <v>5642.5474335888221</v>
      </c>
      <c r="E31" s="396">
        <f t="shared" si="16"/>
        <v>4349.4700852930091</v>
      </c>
      <c r="F31" s="396">
        <f t="shared" si="16"/>
        <v>3979.8161930267784</v>
      </c>
      <c r="G31" s="396">
        <f t="shared" si="16"/>
        <v>3479.7061779172309</v>
      </c>
      <c r="H31" s="396">
        <f t="shared" si="16"/>
        <v>1984.5537885276494</v>
      </c>
      <c r="I31" s="396">
        <f t="shared" si="16"/>
        <v>1902.0849302953386</v>
      </c>
      <c r="J31" s="396">
        <f t="shared" si="16"/>
        <v>1965.3595935819012</v>
      </c>
      <c r="K31" s="396">
        <f t="shared" si="16"/>
        <v>2235.6641519801533</v>
      </c>
      <c r="L31" s="396">
        <f t="shared" si="16"/>
        <v>4072.4239948048485</v>
      </c>
      <c r="M31" s="396">
        <f t="shared" si="16"/>
        <v>5190.3739757844223</v>
      </c>
      <c r="N31" s="396">
        <f t="shared" si="16"/>
        <v>5196.6848752895121</v>
      </c>
      <c r="O31" s="396">
        <f>SUM(C31:N31)</f>
        <v>44677.752854862454</v>
      </c>
      <c r="P31" s="395"/>
    </row>
    <row r="32" spans="1:16">
      <c r="B32" t="s">
        <v>404</v>
      </c>
      <c r="C32" s="397">
        <f>(C25/C$26)*C$28</f>
        <v>11278.854479354146</v>
      </c>
      <c r="D32" s="397">
        <f t="shared" ref="D32:N32" si="17">(D25/D$26)*D$28</f>
        <v>14940.448372723769</v>
      </c>
      <c r="E32" s="397">
        <f t="shared" si="17"/>
        <v>11941.65289409861</v>
      </c>
      <c r="F32" s="397">
        <f t="shared" si="17"/>
        <v>6860.5293431530354</v>
      </c>
      <c r="G32" s="397">
        <f t="shared" si="17"/>
        <v>4183.6986303633366</v>
      </c>
      <c r="H32" s="397">
        <f t="shared" si="17"/>
        <v>2748.6494829831981</v>
      </c>
      <c r="I32" s="397">
        <f t="shared" si="17"/>
        <v>2445.4583961696349</v>
      </c>
      <c r="J32" s="397">
        <f t="shared" si="17"/>
        <v>2417.7113959701815</v>
      </c>
      <c r="K32" s="397">
        <f t="shared" si="17"/>
        <v>3119.0894402091603</v>
      </c>
      <c r="L32" s="397">
        <f t="shared" si="17"/>
        <v>5626.4737659722041</v>
      </c>
      <c r="M32" s="397">
        <f t="shared" si="17"/>
        <v>9040.3749793745537</v>
      </c>
      <c r="N32" s="397">
        <f t="shared" si="17"/>
        <v>12127.513550706561</v>
      </c>
      <c r="O32" s="397">
        <f>SUM(C32:N32)</f>
        <v>86730.454731078382</v>
      </c>
      <c r="P32" s="395"/>
    </row>
    <row r="33" spans="1:16">
      <c r="C33" s="396">
        <f>SUM(C30:C32)</f>
        <v>17301.425999999978</v>
      </c>
      <c r="D33" s="396">
        <f t="shared" ref="D33:N33" si="18">SUM(D30:D32)</f>
        <v>22180.553999999538</v>
      </c>
      <c r="E33" s="396">
        <f t="shared" si="18"/>
        <v>17519.16599999927</v>
      </c>
      <c r="F33" s="396">
        <f t="shared" si="18"/>
        <v>12233.787999999709</v>
      </c>
      <c r="G33" s="396">
        <f t="shared" si="18"/>
        <v>9290.1060000001453</v>
      </c>
      <c r="H33" s="396">
        <f t="shared" si="18"/>
        <v>5926.2239999999301</v>
      </c>
      <c r="I33" s="396">
        <f t="shared" si="18"/>
        <v>5552.9899999999907</v>
      </c>
      <c r="J33" s="396">
        <f t="shared" si="18"/>
        <v>5665.0859999998938</v>
      </c>
      <c r="K33" s="396">
        <f t="shared" si="18"/>
        <v>6765.2939999999944</v>
      </c>
      <c r="L33" s="396">
        <f t="shared" si="18"/>
        <v>11540.242000000086</v>
      </c>
      <c r="M33" s="396">
        <f t="shared" si="18"/>
        <v>15928.311999999918</v>
      </c>
      <c r="N33" s="396">
        <f t="shared" si="18"/>
        <v>18823.132000000212</v>
      </c>
      <c r="O33" s="396">
        <f>SUM(O30:O32)</f>
        <v>148726.31999999867</v>
      </c>
      <c r="P33" s="395"/>
    </row>
    <row r="34" spans="1:16">
      <c r="C34" s="396"/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396"/>
      <c r="P34" s="395"/>
    </row>
    <row r="35" spans="1:16">
      <c r="B35" t="s">
        <v>399</v>
      </c>
      <c r="C35" s="396">
        <f>C23+C30</f>
        <v>615399.85927587305</v>
      </c>
      <c r="D35" s="396">
        <f t="shared" ref="D35:N35" si="19">D23+D30</f>
        <v>603720.30112368695</v>
      </c>
      <c r="E35" s="396">
        <f t="shared" si="19"/>
        <v>623650.39013060764</v>
      </c>
      <c r="F35" s="396">
        <f t="shared" si="19"/>
        <v>610773.70582381985</v>
      </c>
      <c r="G35" s="396">
        <f t="shared" si="19"/>
        <v>578160.67507171957</v>
      </c>
      <c r="H35" s="396">
        <f t="shared" si="19"/>
        <v>476336.41180848907</v>
      </c>
      <c r="I35" s="396">
        <f t="shared" si="19"/>
        <v>420178.97144353506</v>
      </c>
      <c r="J35" s="396">
        <f t="shared" si="19"/>
        <v>391965.53834044782</v>
      </c>
      <c r="K35" s="396">
        <f t="shared" si="19"/>
        <v>413803.41829781071</v>
      </c>
      <c r="L35" s="396">
        <f t="shared" si="19"/>
        <v>585617.07027922303</v>
      </c>
      <c r="M35" s="396">
        <f t="shared" si="19"/>
        <v>607589.7616248409</v>
      </c>
      <c r="N35" s="396">
        <f t="shared" si="19"/>
        <v>618602.04226400412</v>
      </c>
      <c r="O35" s="396">
        <f>SUM(C35:N35)</f>
        <v>6545798.1454840573</v>
      </c>
      <c r="P35" s="395"/>
    </row>
    <row r="36" spans="1:16">
      <c r="B36" t="s">
        <v>400</v>
      </c>
      <c r="C36" s="396">
        <f t="shared" ref="C36:N37" si="20">C24+C31</f>
        <v>2143274.4999347725</v>
      </c>
      <c r="D36" s="396">
        <f t="shared" si="20"/>
        <v>2132329.4820635887</v>
      </c>
      <c r="E36" s="396">
        <f t="shared" si="20"/>
        <v>2208838.5097552929</v>
      </c>
      <c r="F36" s="396">
        <f t="shared" si="20"/>
        <v>1744433.0482430267</v>
      </c>
      <c r="G36" s="396">
        <f t="shared" si="20"/>
        <v>1236754.0413179174</v>
      </c>
      <c r="H36" s="396">
        <f t="shared" si="20"/>
        <v>792371.17016852763</v>
      </c>
      <c r="I36" s="396">
        <f t="shared" si="20"/>
        <v>663004.1022602953</v>
      </c>
      <c r="J36" s="396">
        <f t="shared" si="20"/>
        <v>600892.52064358187</v>
      </c>
      <c r="K36" s="396">
        <f t="shared" si="20"/>
        <v>655865.98096198018</v>
      </c>
      <c r="L36" s="396">
        <f t="shared" si="20"/>
        <v>1295184.7666348047</v>
      </c>
      <c r="M36" s="396">
        <f t="shared" si="20"/>
        <v>1857732.5279757846</v>
      </c>
      <c r="N36" s="396">
        <f t="shared" si="20"/>
        <v>2144644.6544452896</v>
      </c>
      <c r="O36" s="396">
        <f>SUM(C36:N36)</f>
        <v>17475325.304404866</v>
      </c>
      <c r="P36" s="395"/>
    </row>
    <row r="37" spans="1:16">
      <c r="B37" t="s">
        <v>404</v>
      </c>
      <c r="C37" s="397">
        <f t="shared" si="20"/>
        <v>5166345.7290293537</v>
      </c>
      <c r="D37" s="397">
        <f t="shared" si="20"/>
        <v>5646024.0548027232</v>
      </c>
      <c r="E37" s="397">
        <f t="shared" si="20"/>
        <v>6064458.9491040986</v>
      </c>
      <c r="F37" s="397">
        <f t="shared" si="20"/>
        <v>3007107.2467131531</v>
      </c>
      <c r="G37" s="397">
        <f t="shared" si="20"/>
        <v>1486966.4058403634</v>
      </c>
      <c r="H37" s="397">
        <f t="shared" si="20"/>
        <v>1097451.0339829831</v>
      </c>
      <c r="I37" s="397">
        <f t="shared" si="20"/>
        <v>852406.17952616955</v>
      </c>
      <c r="J37" s="397">
        <f t="shared" si="20"/>
        <v>739195.36132597015</v>
      </c>
      <c r="K37" s="397">
        <f t="shared" si="20"/>
        <v>915032.18567020923</v>
      </c>
      <c r="L37" s="397">
        <f t="shared" si="20"/>
        <v>1789431.3364359722</v>
      </c>
      <c r="M37" s="397">
        <f t="shared" si="20"/>
        <v>3235720.3435893743</v>
      </c>
      <c r="N37" s="397">
        <f t="shared" si="20"/>
        <v>5004961.3806507066</v>
      </c>
      <c r="O37" s="397">
        <f t="shared" ref="O37" si="21">SUM(C37:N37)</f>
        <v>35005100.206671074</v>
      </c>
      <c r="P37" s="395"/>
    </row>
    <row r="38" spans="1:16">
      <c r="C38" s="396">
        <f t="shared" ref="C38:O38" si="22">SUM(C35:C37)</f>
        <v>7925020.0882399995</v>
      </c>
      <c r="D38" s="396">
        <f t="shared" si="22"/>
        <v>8382073.837989999</v>
      </c>
      <c r="E38" s="396">
        <f t="shared" si="22"/>
        <v>8896947.8489899989</v>
      </c>
      <c r="F38" s="396">
        <f t="shared" si="22"/>
        <v>5362314.0007799994</v>
      </c>
      <c r="G38" s="396">
        <f t="shared" si="22"/>
        <v>3301881.1222300003</v>
      </c>
      <c r="H38" s="396">
        <f t="shared" si="22"/>
        <v>2366158.6159600001</v>
      </c>
      <c r="I38" s="396">
        <f t="shared" si="22"/>
        <v>1935589.2532299999</v>
      </c>
      <c r="J38" s="396">
        <f t="shared" si="22"/>
        <v>1732053.42031</v>
      </c>
      <c r="K38" s="396">
        <f t="shared" si="22"/>
        <v>1984701.5849299999</v>
      </c>
      <c r="L38" s="396">
        <f t="shared" si="22"/>
        <v>3670233.1733499998</v>
      </c>
      <c r="M38" s="396">
        <f t="shared" si="22"/>
        <v>5701042.6331900004</v>
      </c>
      <c r="N38" s="396">
        <f t="shared" si="22"/>
        <v>7768208.0773600005</v>
      </c>
      <c r="O38" s="396">
        <f t="shared" si="22"/>
        <v>59026223.656559996</v>
      </c>
      <c r="P38" s="395"/>
    </row>
    <row r="39" spans="1:16">
      <c r="C39" s="389">
        <f t="shared" ref="C39:O39" si="23">C38-C27</f>
        <v>0</v>
      </c>
      <c r="D39" s="389">
        <f t="shared" si="23"/>
        <v>0</v>
      </c>
      <c r="E39" s="389">
        <f t="shared" si="23"/>
        <v>0</v>
      </c>
      <c r="F39" s="389">
        <f t="shared" si="23"/>
        <v>0</v>
      </c>
      <c r="G39" s="389">
        <f t="shared" si="23"/>
        <v>0</v>
      </c>
      <c r="H39" s="389">
        <f t="shared" si="23"/>
        <v>0</v>
      </c>
      <c r="I39" s="389">
        <f t="shared" si="23"/>
        <v>0</v>
      </c>
      <c r="J39" s="389">
        <f t="shared" si="23"/>
        <v>0</v>
      </c>
      <c r="K39" s="389">
        <f t="shared" si="23"/>
        <v>0</v>
      </c>
      <c r="L39" s="389">
        <f t="shared" si="23"/>
        <v>0</v>
      </c>
      <c r="M39" s="389">
        <f t="shared" si="23"/>
        <v>0</v>
      </c>
      <c r="N39" s="389">
        <f t="shared" si="23"/>
        <v>0</v>
      </c>
      <c r="O39" s="389">
        <f t="shared" si="23"/>
        <v>0</v>
      </c>
      <c r="P39" s="395"/>
    </row>
    <row r="40" spans="1:16">
      <c r="C40" s="393"/>
      <c r="D40" s="393"/>
      <c r="E40" s="393"/>
      <c r="F40" s="393"/>
      <c r="G40" s="393"/>
      <c r="H40" s="393"/>
      <c r="I40" s="393"/>
      <c r="J40" s="399"/>
      <c r="K40" s="393"/>
      <c r="L40" s="399"/>
      <c r="M40" s="393"/>
      <c r="N40" s="393"/>
      <c r="O40" s="389"/>
      <c r="P40" s="395"/>
    </row>
    <row r="43" spans="1:16">
      <c r="A43" s="349"/>
      <c r="B43" s="401" t="s">
        <v>378</v>
      </c>
      <c r="C43" s="395"/>
      <c r="D43" s="395"/>
      <c r="E43" s="395"/>
      <c r="F43" s="395"/>
      <c r="G43" s="395"/>
      <c r="H43" s="395"/>
      <c r="I43" s="395"/>
      <c r="J43" s="395"/>
      <c r="K43" s="395"/>
      <c r="L43" s="395"/>
      <c r="M43" s="395"/>
      <c r="N43" s="395"/>
    </row>
    <row r="44" spans="1:16">
      <c r="B44" t="s">
        <v>399</v>
      </c>
      <c r="C44" s="390">
        <f>'12MEDEC19'!D102+'12MEDEC19'!D116</f>
        <v>2000</v>
      </c>
      <c r="D44" s="390">
        <f>'12MEDEC19'!E102+'12MEDEC19'!E116</f>
        <v>2000</v>
      </c>
      <c r="E44" s="390">
        <f>'12MEDEC19'!F102+'12MEDEC19'!F116</f>
        <v>2000</v>
      </c>
      <c r="F44" s="390">
        <f>'12MEDEC19'!G102+'12MEDEC19'!G116</f>
        <v>2762.183</v>
      </c>
      <c r="G44" s="390">
        <f>'12MEDEC19'!H102+'12MEDEC19'!H116</f>
        <v>3000</v>
      </c>
      <c r="H44" s="390">
        <f>'12MEDEC19'!I102+'12MEDEC19'!I116</f>
        <v>-3099.0826699999998</v>
      </c>
      <c r="I44" s="390">
        <f>'12MEDEC19'!J102+'12MEDEC19'!J116</f>
        <v>2000</v>
      </c>
      <c r="J44" s="390">
        <f>'12MEDEC19'!K102+'12MEDEC19'!K116</f>
        <v>2416.6666700000001</v>
      </c>
      <c r="K44" s="390">
        <f>'12MEDEC19'!L102+'12MEDEC19'!L116</f>
        <v>2500</v>
      </c>
      <c r="L44" s="390">
        <f>'12MEDEC19'!M102+'12MEDEC19'!M116</f>
        <v>2500</v>
      </c>
      <c r="M44" s="390">
        <f>'12MEDEC19'!N102+'12MEDEC19'!N116</f>
        <v>3000</v>
      </c>
      <c r="N44" s="390">
        <f>'12MEDEC19'!O102+'12MEDEC19'!O116</f>
        <v>4000</v>
      </c>
      <c r="O44" s="389">
        <f>SUM(C44:N44)</f>
        <v>25079.767</v>
      </c>
    </row>
    <row r="45" spans="1:16">
      <c r="B45" t="s">
        <v>400</v>
      </c>
      <c r="C45" s="390">
        <f>'12MEDEC19'!D103+'12MEDEC19'!D117</f>
        <v>2000</v>
      </c>
      <c r="D45" s="390">
        <f>'12MEDEC19'!E103+'12MEDEC19'!E117</f>
        <v>2000</v>
      </c>
      <c r="E45" s="390">
        <f>'12MEDEC19'!F103+'12MEDEC19'!F117</f>
        <v>2000</v>
      </c>
      <c r="F45" s="390">
        <f>'12MEDEC19'!G103+'12MEDEC19'!G117</f>
        <v>2233.6999999999998</v>
      </c>
      <c r="G45" s="390">
        <f>'12MEDEC19'!H103+'12MEDEC19'!H117</f>
        <v>2871.2</v>
      </c>
      <c r="H45" s="390">
        <f>'12MEDEC19'!I103+'12MEDEC19'!I117</f>
        <v>-3116.6666599999999</v>
      </c>
      <c r="I45" s="390">
        <f>'12MEDEC19'!J103+'12MEDEC19'!J117</f>
        <v>2000</v>
      </c>
      <c r="J45" s="390">
        <f>'12MEDEC19'!K103+'12MEDEC19'!K117</f>
        <v>2416.6666599999999</v>
      </c>
      <c r="K45" s="390">
        <f>'12MEDEC19'!L103+'12MEDEC19'!L117</f>
        <v>2500</v>
      </c>
      <c r="L45" s="390">
        <f>'12MEDEC19'!M103+'12MEDEC19'!M117</f>
        <v>2500</v>
      </c>
      <c r="M45" s="390">
        <f>'12MEDEC19'!N103+'12MEDEC19'!N117</f>
        <v>3000</v>
      </c>
      <c r="N45" s="390">
        <f>'12MEDEC19'!O103+'12MEDEC19'!O117</f>
        <v>4000</v>
      </c>
      <c r="O45" s="389">
        <f t="shared" ref="O45:O46" si="24">SUM(C45:N45)</f>
        <v>24404.9</v>
      </c>
    </row>
    <row r="46" spans="1:16">
      <c r="B46" t="s">
        <v>404</v>
      </c>
      <c r="C46" s="390">
        <f>'12MEDEC19'!D104+'12MEDEC19'!D118</f>
        <v>36000</v>
      </c>
      <c r="D46" s="390">
        <f>'12MEDEC19'!E104+'12MEDEC19'!E118</f>
        <v>36000</v>
      </c>
      <c r="E46" s="390">
        <f>'12MEDEC19'!F104+'12MEDEC19'!F118</f>
        <v>36000</v>
      </c>
      <c r="F46" s="390">
        <f>'12MEDEC19'!G104+'12MEDEC19'!G118</f>
        <v>35504.148000000001</v>
      </c>
      <c r="G46" s="390">
        <f>'12MEDEC19'!H104+'12MEDEC19'!H118</f>
        <v>38844.404999999999</v>
      </c>
      <c r="H46" s="390">
        <f>'12MEDEC19'!I104+'12MEDEC19'!I118</f>
        <v>-54941.101000000002</v>
      </c>
      <c r="I46" s="390">
        <f>'12MEDEC19'!J104+'12MEDEC19'!J118</f>
        <v>30935.782999999999</v>
      </c>
      <c r="J46" s="390">
        <f>'12MEDEC19'!K104+'12MEDEC19'!K118</f>
        <v>37270.388999999996</v>
      </c>
      <c r="K46" s="390">
        <f>'12MEDEC19'!L104+'12MEDEC19'!L118</f>
        <v>36289.354999999996</v>
      </c>
      <c r="L46" s="390">
        <f>'12MEDEC19'!M104+'12MEDEC19'!M118</f>
        <v>39125</v>
      </c>
      <c r="M46" s="390">
        <f>'12MEDEC19'!N104+'12MEDEC19'!N118</f>
        <v>50833.216</v>
      </c>
      <c r="N46" s="390">
        <f>'12MEDEC19'!O104+'12MEDEC19'!O118</f>
        <v>68564.800000000003</v>
      </c>
      <c r="O46" s="389">
        <f t="shared" si="24"/>
        <v>390425.995</v>
      </c>
    </row>
    <row r="47" spans="1:16">
      <c r="B47" t="s">
        <v>448</v>
      </c>
      <c r="C47" s="390">
        <f>'12MEDEC19'!D105+'12MEDEC19'!D119</f>
        <v>51521.375</v>
      </c>
      <c r="D47" s="390">
        <f>'12MEDEC19'!E105+'12MEDEC19'!E119</f>
        <v>51230.735999999997</v>
      </c>
      <c r="E47" s="390">
        <f>'12MEDEC19'!F105+'12MEDEC19'!F119</f>
        <v>50818.733999999997</v>
      </c>
      <c r="F47" s="390">
        <f>'12MEDEC19'!G105+'12MEDEC19'!G119</f>
        <v>45000</v>
      </c>
      <c r="G47" s="390">
        <f>'12MEDEC19'!H105+'12MEDEC19'!H119</f>
        <v>45000</v>
      </c>
      <c r="H47" s="390">
        <f>'12MEDEC19'!I105+'12MEDEC19'!I119</f>
        <v>18070.438590000002</v>
      </c>
      <c r="I47" s="390">
        <f>'12MEDEC19'!J105+'12MEDEC19'!J119</f>
        <v>45000</v>
      </c>
      <c r="J47" s="390">
        <f>'12MEDEC19'!K105+'12MEDEC19'!K119</f>
        <v>57500</v>
      </c>
      <c r="K47" s="390">
        <f>'12MEDEC19'!L105+'12MEDEC19'!L119</f>
        <v>44698.951999999997</v>
      </c>
      <c r="L47" s="390">
        <f>'12MEDEC19'!M105+'12MEDEC19'!M119</f>
        <v>60000</v>
      </c>
      <c r="M47" s="390">
        <f>'12MEDEC19'!N105+'12MEDEC19'!N119</f>
        <v>75000</v>
      </c>
      <c r="N47" s="390">
        <f>'12MEDEC19'!O105+'12MEDEC19'!O119</f>
        <v>105000</v>
      </c>
      <c r="O47" s="389">
        <f>SUM(C47:N47)</f>
        <v>648840.23558999994</v>
      </c>
    </row>
    <row r="48" spans="1:16">
      <c r="B48" t="s">
        <v>511</v>
      </c>
      <c r="C48" s="390">
        <f>'12MEDEC19'!D106+'12MEDEC19'!D120</f>
        <v>139840.61800000002</v>
      </c>
      <c r="D48" s="390">
        <f>'12MEDEC19'!E106+'12MEDEC19'!E120</f>
        <v>134685.74400000001</v>
      </c>
      <c r="E48" s="390">
        <f>'12MEDEC19'!F106+'12MEDEC19'!F120</f>
        <v>143454.33000000002</v>
      </c>
      <c r="F48" s="390">
        <f>'12MEDEC19'!G106+'12MEDEC19'!G120</f>
        <v>79910.603000000003</v>
      </c>
      <c r="G48" s="390">
        <f>'12MEDEC19'!H106+'12MEDEC19'!H120</f>
        <v>58672.896999999997</v>
      </c>
      <c r="H48" s="390">
        <f>'12MEDEC19'!I106+'12MEDEC19'!I120</f>
        <v>27615.303</v>
      </c>
      <c r="I48" s="390">
        <f>'12MEDEC19'!J106+'12MEDEC19'!J120</f>
        <v>28238.733</v>
      </c>
      <c r="J48" s="390">
        <f>'12MEDEC19'!K106+'12MEDEC19'!K120</f>
        <v>35104.967670000005</v>
      </c>
      <c r="K48" s="390">
        <f>'12MEDEC19'!L106+'12MEDEC19'!L120</f>
        <v>25157.077000000001</v>
      </c>
      <c r="L48" s="390">
        <f>'12MEDEC19'!M106+'12MEDEC19'!M120</f>
        <v>63989.418000000005</v>
      </c>
      <c r="M48" s="390">
        <f>'12MEDEC19'!N106+'12MEDEC19'!N120</f>
        <v>317806.15899999999</v>
      </c>
      <c r="N48" s="390">
        <f>'12MEDEC19'!O106+'12MEDEC19'!O120</f>
        <v>559659.22900000005</v>
      </c>
      <c r="O48" s="389">
        <f>SUM(C48:N48)</f>
        <v>1614135.0786700002</v>
      </c>
    </row>
    <row r="49" spans="1:16">
      <c r="A49" t="s">
        <v>381</v>
      </c>
      <c r="B49" s="32" t="s">
        <v>59</v>
      </c>
      <c r="C49" s="391">
        <f>SUM(C44:C48)</f>
        <v>231361.99300000002</v>
      </c>
      <c r="D49" s="391">
        <f t="shared" ref="D49:H49" si="25">SUM(D44:D48)</f>
        <v>225916.48</v>
      </c>
      <c r="E49" s="391">
        <f t="shared" si="25"/>
        <v>234273.06400000001</v>
      </c>
      <c r="F49" s="391">
        <f t="shared" si="25"/>
        <v>165410.63400000002</v>
      </c>
      <c r="G49" s="391">
        <f t="shared" si="25"/>
        <v>148388.50199999998</v>
      </c>
      <c r="H49" s="391">
        <f t="shared" si="25"/>
        <v>-15471.108739999996</v>
      </c>
      <c r="I49" s="391">
        <f>SUM(I44:I48)</f>
        <v>108174.516</v>
      </c>
      <c r="J49" s="391">
        <f t="shared" ref="J49:O49" si="26">SUM(J44:J48)</f>
        <v>134708.69</v>
      </c>
      <c r="K49" s="391">
        <f t="shared" si="26"/>
        <v>111145.38400000001</v>
      </c>
      <c r="L49" s="391">
        <f t="shared" si="26"/>
        <v>168114.41800000001</v>
      </c>
      <c r="M49" s="391">
        <f t="shared" si="26"/>
        <v>449639.375</v>
      </c>
      <c r="N49" s="391">
        <f t="shared" si="26"/>
        <v>741224.0290000001</v>
      </c>
      <c r="O49" s="391">
        <f t="shared" si="26"/>
        <v>2702885.9762599999</v>
      </c>
    </row>
    <row r="50" spans="1:16">
      <c r="B50" t="s">
        <v>439</v>
      </c>
      <c r="C50" s="398">
        <f>'12MEDEC19'!D164</f>
        <v>231361.99300000002</v>
      </c>
      <c r="D50" s="398">
        <f>'12MEDEC19'!E164</f>
        <v>225916.48</v>
      </c>
      <c r="E50" s="398">
        <f>'12MEDEC19'!F164</f>
        <v>234273.06400000001</v>
      </c>
      <c r="F50" s="398">
        <f>'12MEDEC19'!G164</f>
        <v>165410.63400000002</v>
      </c>
      <c r="G50" s="398">
        <f>'12MEDEC19'!H164</f>
        <v>148388.50200000001</v>
      </c>
      <c r="H50" s="398">
        <f>'12MEDEC19'!I164</f>
        <v>-15471.108739999992</v>
      </c>
      <c r="I50" s="398">
        <f>'12MEDEC19'!J164</f>
        <v>108174.516</v>
      </c>
      <c r="J50" s="398">
        <f>'12MEDEC19'!K164</f>
        <v>134708.69</v>
      </c>
      <c r="K50" s="398">
        <f>'12MEDEC19'!L164</f>
        <v>111145.38399999999</v>
      </c>
      <c r="L50" s="398">
        <f>'12MEDEC19'!M164</f>
        <v>168114.41799999998</v>
      </c>
      <c r="M50" s="398">
        <f>'12MEDEC19'!N164</f>
        <v>449639.375</v>
      </c>
      <c r="N50" s="398">
        <f>'12MEDEC19'!O164</f>
        <v>741224.02899999998</v>
      </c>
      <c r="O50" s="389">
        <f>SUM(C50:N50)</f>
        <v>2702885.9762600004</v>
      </c>
    </row>
    <row r="51" spans="1:16">
      <c r="C51" s="393">
        <f t="shared" ref="C51:N51" si="27">C50-C49</f>
        <v>0</v>
      </c>
      <c r="D51" s="393">
        <f t="shared" si="27"/>
        <v>0</v>
      </c>
      <c r="E51" s="393">
        <f t="shared" si="27"/>
        <v>0</v>
      </c>
      <c r="F51" s="393">
        <f t="shared" si="27"/>
        <v>0</v>
      </c>
      <c r="G51" s="393">
        <f t="shared" si="27"/>
        <v>0</v>
      </c>
      <c r="H51" s="393">
        <f t="shared" si="27"/>
        <v>0</v>
      </c>
      <c r="I51" s="393">
        <f t="shared" si="27"/>
        <v>0</v>
      </c>
      <c r="J51" s="399">
        <f t="shared" si="27"/>
        <v>0</v>
      </c>
      <c r="K51" s="393">
        <f t="shared" si="27"/>
        <v>0</v>
      </c>
      <c r="L51" s="399">
        <f t="shared" si="27"/>
        <v>0</v>
      </c>
      <c r="M51" s="393">
        <f t="shared" si="27"/>
        <v>0</v>
      </c>
      <c r="N51" s="393">
        <f t="shared" si="27"/>
        <v>0</v>
      </c>
      <c r="O51" s="389">
        <f>SUM(C51:N51)</f>
        <v>0</v>
      </c>
      <c r="P51" s="395">
        <f>O51/O50</f>
        <v>0</v>
      </c>
    </row>
    <row r="52" spans="1:16">
      <c r="C52" s="393"/>
      <c r="D52" s="393"/>
      <c r="E52" s="393"/>
      <c r="F52" s="393"/>
      <c r="G52" s="393"/>
      <c r="H52" s="393"/>
      <c r="I52" s="393"/>
      <c r="J52" s="399"/>
      <c r="K52" s="393"/>
      <c r="L52" s="399"/>
      <c r="M52" s="393"/>
      <c r="N52" s="393"/>
      <c r="O52" s="389"/>
      <c r="P52" s="395"/>
    </row>
    <row r="53" spans="1:16">
      <c r="B53" t="s">
        <v>399</v>
      </c>
      <c r="C53" s="396">
        <f>(C44/C$49)*C$51</f>
        <v>0</v>
      </c>
      <c r="D53" s="396">
        <f t="shared" ref="D53:N53" si="28">(D44/D$49)*D$51</f>
        <v>0</v>
      </c>
      <c r="E53" s="396">
        <f t="shared" si="28"/>
        <v>0</v>
      </c>
      <c r="F53" s="396">
        <f t="shared" si="28"/>
        <v>0</v>
      </c>
      <c r="G53" s="396">
        <f t="shared" si="28"/>
        <v>0</v>
      </c>
      <c r="H53" s="396">
        <f t="shared" si="28"/>
        <v>0</v>
      </c>
      <c r="I53" s="396">
        <f t="shared" si="28"/>
        <v>0</v>
      </c>
      <c r="J53" s="396">
        <f t="shared" si="28"/>
        <v>0</v>
      </c>
      <c r="K53" s="396">
        <f t="shared" si="28"/>
        <v>0</v>
      </c>
      <c r="L53" s="396">
        <f t="shared" si="28"/>
        <v>0</v>
      </c>
      <c r="M53" s="396">
        <f t="shared" si="28"/>
        <v>0</v>
      </c>
      <c r="N53" s="396">
        <f t="shared" si="28"/>
        <v>0</v>
      </c>
      <c r="O53" s="396">
        <f>SUM(C53:N53)</f>
        <v>0</v>
      </c>
      <c r="P53" s="395"/>
    </row>
    <row r="54" spans="1:16">
      <c r="B54" t="s">
        <v>400</v>
      </c>
      <c r="C54" s="396">
        <f t="shared" ref="C54:N54" si="29">(C45/C$49)*C$51</f>
        <v>0</v>
      </c>
      <c r="D54" s="396">
        <f t="shared" si="29"/>
        <v>0</v>
      </c>
      <c r="E54" s="396">
        <f t="shared" si="29"/>
        <v>0</v>
      </c>
      <c r="F54" s="396">
        <f t="shared" si="29"/>
        <v>0</v>
      </c>
      <c r="G54" s="396">
        <f t="shared" si="29"/>
        <v>0</v>
      </c>
      <c r="H54" s="396">
        <f t="shared" si="29"/>
        <v>0</v>
      </c>
      <c r="I54" s="396">
        <f t="shared" si="29"/>
        <v>0</v>
      </c>
      <c r="J54" s="396">
        <f t="shared" si="29"/>
        <v>0</v>
      </c>
      <c r="K54" s="396">
        <f t="shared" si="29"/>
        <v>0</v>
      </c>
      <c r="L54" s="396">
        <f t="shared" si="29"/>
        <v>0</v>
      </c>
      <c r="M54" s="396">
        <f t="shared" si="29"/>
        <v>0</v>
      </c>
      <c r="N54" s="396">
        <f t="shared" si="29"/>
        <v>0</v>
      </c>
      <c r="O54" s="396">
        <f t="shared" ref="O54:O55" si="30">SUM(C54:N54)</f>
        <v>0</v>
      </c>
      <c r="P54" s="395"/>
    </row>
    <row r="55" spans="1:16">
      <c r="B55" t="s">
        <v>404</v>
      </c>
      <c r="C55" s="396">
        <f t="shared" ref="C55:N57" si="31">(C46/C$49)*C$51</f>
        <v>0</v>
      </c>
      <c r="D55" s="396">
        <f t="shared" si="31"/>
        <v>0</v>
      </c>
      <c r="E55" s="396">
        <f t="shared" si="31"/>
        <v>0</v>
      </c>
      <c r="F55" s="396">
        <f t="shared" si="31"/>
        <v>0</v>
      </c>
      <c r="G55" s="396">
        <f t="shared" si="31"/>
        <v>0</v>
      </c>
      <c r="H55" s="396">
        <f t="shared" si="31"/>
        <v>0</v>
      </c>
      <c r="I55" s="396">
        <f t="shared" si="31"/>
        <v>0</v>
      </c>
      <c r="J55" s="396">
        <f t="shared" si="31"/>
        <v>0</v>
      </c>
      <c r="K55" s="396">
        <f t="shared" si="31"/>
        <v>0</v>
      </c>
      <c r="L55" s="396">
        <f t="shared" si="31"/>
        <v>0</v>
      </c>
      <c r="M55" s="396">
        <f t="shared" si="31"/>
        <v>0</v>
      </c>
      <c r="N55" s="396">
        <f t="shared" si="31"/>
        <v>0</v>
      </c>
      <c r="O55" s="396">
        <f t="shared" si="30"/>
        <v>0</v>
      </c>
      <c r="P55" s="395"/>
    </row>
    <row r="56" spans="1:16">
      <c r="B56" t="s">
        <v>448</v>
      </c>
      <c r="C56" s="396">
        <f t="shared" si="31"/>
        <v>0</v>
      </c>
      <c r="D56" s="396">
        <f t="shared" si="31"/>
        <v>0</v>
      </c>
      <c r="E56" s="396">
        <f t="shared" si="31"/>
        <v>0</v>
      </c>
      <c r="F56" s="396">
        <f t="shared" si="31"/>
        <v>0</v>
      </c>
      <c r="G56" s="396">
        <f t="shared" si="31"/>
        <v>0</v>
      </c>
      <c r="H56" s="396">
        <f t="shared" si="31"/>
        <v>0</v>
      </c>
      <c r="I56" s="396">
        <f t="shared" si="31"/>
        <v>0</v>
      </c>
      <c r="J56" s="396">
        <f t="shared" si="31"/>
        <v>0</v>
      </c>
      <c r="K56" s="396">
        <f t="shared" si="31"/>
        <v>0</v>
      </c>
      <c r="L56" s="396">
        <f t="shared" si="31"/>
        <v>0</v>
      </c>
      <c r="M56" s="396">
        <f t="shared" si="31"/>
        <v>0</v>
      </c>
      <c r="N56" s="396">
        <f t="shared" si="31"/>
        <v>0</v>
      </c>
      <c r="O56" s="396">
        <f>SUM(C56:N56)</f>
        <v>0</v>
      </c>
      <c r="P56" s="395"/>
    </row>
    <row r="57" spans="1:16">
      <c r="B57" t="s">
        <v>511</v>
      </c>
      <c r="C57" s="397">
        <f t="shared" si="31"/>
        <v>0</v>
      </c>
      <c r="D57" s="397">
        <f t="shared" si="31"/>
        <v>0</v>
      </c>
      <c r="E57" s="397">
        <f t="shared" si="31"/>
        <v>0</v>
      </c>
      <c r="F57" s="397">
        <f t="shared" si="31"/>
        <v>0</v>
      </c>
      <c r="G57" s="397">
        <f t="shared" si="31"/>
        <v>0</v>
      </c>
      <c r="H57" s="397">
        <f t="shared" si="31"/>
        <v>0</v>
      </c>
      <c r="I57" s="397">
        <f t="shared" si="31"/>
        <v>0</v>
      </c>
      <c r="J57" s="397">
        <f t="shared" si="31"/>
        <v>0</v>
      </c>
      <c r="K57" s="397">
        <f t="shared" si="31"/>
        <v>0</v>
      </c>
      <c r="L57" s="397">
        <f t="shared" si="31"/>
        <v>0</v>
      </c>
      <c r="M57" s="397">
        <f t="shared" si="31"/>
        <v>0</v>
      </c>
      <c r="N57" s="397">
        <f t="shared" si="31"/>
        <v>0</v>
      </c>
      <c r="O57" s="397">
        <f>SUM(C57:N57)</f>
        <v>0</v>
      </c>
      <c r="P57" s="395"/>
    </row>
    <row r="58" spans="1:16">
      <c r="C58" s="396">
        <f>SUM(C53:C57)</f>
        <v>0</v>
      </c>
      <c r="D58" s="396">
        <f t="shared" ref="D58:N58" si="32">SUM(D53:D57)</f>
        <v>0</v>
      </c>
      <c r="E58" s="396">
        <f t="shared" si="32"/>
        <v>0</v>
      </c>
      <c r="F58" s="396">
        <f t="shared" si="32"/>
        <v>0</v>
      </c>
      <c r="G58" s="396">
        <f t="shared" si="32"/>
        <v>0</v>
      </c>
      <c r="H58" s="396">
        <f t="shared" si="32"/>
        <v>0</v>
      </c>
      <c r="I58" s="396">
        <f t="shared" si="32"/>
        <v>0</v>
      </c>
      <c r="J58" s="396">
        <f t="shared" si="32"/>
        <v>0</v>
      </c>
      <c r="K58" s="396">
        <f t="shared" si="32"/>
        <v>0</v>
      </c>
      <c r="L58" s="396">
        <f t="shared" si="32"/>
        <v>0</v>
      </c>
      <c r="M58" s="396">
        <f t="shared" si="32"/>
        <v>0</v>
      </c>
      <c r="N58" s="396">
        <f t="shared" si="32"/>
        <v>0</v>
      </c>
      <c r="O58" s="396">
        <f>SUM(O53:O57)</f>
        <v>0</v>
      </c>
      <c r="P58" s="395"/>
    </row>
    <row r="59" spans="1:16">
      <c r="C59" s="396"/>
      <c r="D59" s="396"/>
      <c r="E59" s="396"/>
      <c r="F59" s="396"/>
      <c r="G59" s="396"/>
      <c r="H59" s="396"/>
      <c r="I59" s="396"/>
      <c r="J59" s="396"/>
      <c r="K59" s="396"/>
      <c r="L59" s="396"/>
      <c r="M59" s="396"/>
      <c r="N59" s="396"/>
      <c r="O59" s="396"/>
      <c r="P59" s="395"/>
    </row>
    <row r="60" spans="1:16">
      <c r="B60" t="s">
        <v>399</v>
      </c>
      <c r="C60" s="396">
        <f>C44+C53</f>
        <v>2000</v>
      </c>
      <c r="D60" s="396">
        <f t="shared" ref="D60:N60" si="33">D44+D53</f>
        <v>2000</v>
      </c>
      <c r="E60" s="396">
        <f t="shared" si="33"/>
        <v>2000</v>
      </c>
      <c r="F60" s="396">
        <f t="shared" si="33"/>
        <v>2762.183</v>
      </c>
      <c r="G60" s="396">
        <f t="shared" si="33"/>
        <v>3000</v>
      </c>
      <c r="H60" s="396">
        <f t="shared" si="33"/>
        <v>-3099.0826699999998</v>
      </c>
      <c r="I60" s="396">
        <f t="shared" si="33"/>
        <v>2000</v>
      </c>
      <c r="J60" s="396">
        <f t="shared" si="33"/>
        <v>2416.6666700000001</v>
      </c>
      <c r="K60" s="396">
        <f t="shared" si="33"/>
        <v>2500</v>
      </c>
      <c r="L60" s="396">
        <f t="shared" si="33"/>
        <v>2500</v>
      </c>
      <c r="M60" s="396">
        <f t="shared" si="33"/>
        <v>3000</v>
      </c>
      <c r="N60" s="396">
        <f t="shared" si="33"/>
        <v>4000</v>
      </c>
      <c r="O60" s="396">
        <f>SUM(C60:N60)</f>
        <v>25079.767</v>
      </c>
      <c r="P60" s="395"/>
    </row>
    <row r="61" spans="1:16">
      <c r="B61" t="s">
        <v>400</v>
      </c>
      <c r="C61" s="396">
        <f t="shared" ref="C61:N61" si="34">C45+C54</f>
        <v>2000</v>
      </c>
      <c r="D61" s="396">
        <f t="shared" si="34"/>
        <v>2000</v>
      </c>
      <c r="E61" s="396">
        <f t="shared" si="34"/>
        <v>2000</v>
      </c>
      <c r="F61" s="396">
        <f t="shared" si="34"/>
        <v>2233.6999999999998</v>
      </c>
      <c r="G61" s="396">
        <f t="shared" si="34"/>
        <v>2871.2</v>
      </c>
      <c r="H61" s="396">
        <f t="shared" si="34"/>
        <v>-3116.6666599999999</v>
      </c>
      <c r="I61" s="396">
        <f t="shared" si="34"/>
        <v>2000</v>
      </c>
      <c r="J61" s="396">
        <f t="shared" si="34"/>
        <v>2416.6666599999999</v>
      </c>
      <c r="K61" s="396">
        <f t="shared" si="34"/>
        <v>2500</v>
      </c>
      <c r="L61" s="396">
        <f t="shared" si="34"/>
        <v>2500</v>
      </c>
      <c r="M61" s="396">
        <f t="shared" si="34"/>
        <v>3000</v>
      </c>
      <c r="N61" s="396">
        <f t="shared" si="34"/>
        <v>4000</v>
      </c>
      <c r="O61" s="396">
        <f t="shared" ref="O61:O62" si="35">SUM(C61:N61)</f>
        <v>24404.9</v>
      </c>
      <c r="P61" s="395"/>
    </row>
    <row r="62" spans="1:16">
      <c r="B62" t="s">
        <v>404</v>
      </c>
      <c r="C62" s="396">
        <f t="shared" ref="C62:N62" si="36">C46+C55</f>
        <v>36000</v>
      </c>
      <c r="D62" s="396">
        <f t="shared" si="36"/>
        <v>36000</v>
      </c>
      <c r="E62" s="396">
        <f t="shared" si="36"/>
        <v>36000</v>
      </c>
      <c r="F62" s="396">
        <f t="shared" si="36"/>
        <v>35504.148000000001</v>
      </c>
      <c r="G62" s="396">
        <f t="shared" si="36"/>
        <v>38844.404999999999</v>
      </c>
      <c r="H62" s="396">
        <f t="shared" si="36"/>
        <v>-54941.101000000002</v>
      </c>
      <c r="I62" s="396">
        <f t="shared" si="36"/>
        <v>30935.782999999999</v>
      </c>
      <c r="J62" s="396">
        <f t="shared" si="36"/>
        <v>37270.388999999996</v>
      </c>
      <c r="K62" s="396">
        <f t="shared" si="36"/>
        <v>36289.354999999996</v>
      </c>
      <c r="L62" s="396">
        <f t="shared" si="36"/>
        <v>39125</v>
      </c>
      <c r="M62" s="396">
        <f t="shared" si="36"/>
        <v>50833.216</v>
      </c>
      <c r="N62" s="396">
        <f t="shared" si="36"/>
        <v>68564.800000000003</v>
      </c>
      <c r="O62" s="396">
        <f t="shared" si="35"/>
        <v>390425.995</v>
      </c>
      <c r="P62" s="395"/>
    </row>
    <row r="63" spans="1:16">
      <c r="B63" t="s">
        <v>448</v>
      </c>
      <c r="C63" s="396">
        <f t="shared" ref="C63:N63" si="37">C47+C56</f>
        <v>51521.375</v>
      </c>
      <c r="D63" s="396">
        <f t="shared" si="37"/>
        <v>51230.735999999997</v>
      </c>
      <c r="E63" s="396">
        <f t="shared" si="37"/>
        <v>50818.733999999997</v>
      </c>
      <c r="F63" s="396">
        <f t="shared" si="37"/>
        <v>45000</v>
      </c>
      <c r="G63" s="396">
        <f t="shared" si="37"/>
        <v>45000</v>
      </c>
      <c r="H63" s="396">
        <f t="shared" si="37"/>
        <v>18070.438590000002</v>
      </c>
      <c r="I63" s="396">
        <f t="shared" si="37"/>
        <v>45000</v>
      </c>
      <c r="J63" s="396">
        <f t="shared" si="37"/>
        <v>57500</v>
      </c>
      <c r="K63" s="396">
        <f t="shared" si="37"/>
        <v>44698.951999999997</v>
      </c>
      <c r="L63" s="396">
        <f t="shared" si="37"/>
        <v>60000</v>
      </c>
      <c r="M63" s="396">
        <f t="shared" si="37"/>
        <v>75000</v>
      </c>
      <c r="N63" s="396">
        <f t="shared" si="37"/>
        <v>105000</v>
      </c>
      <c r="O63" s="396">
        <f>SUM(C63:N63)</f>
        <v>648840.23558999994</v>
      </c>
      <c r="P63" s="395"/>
    </row>
    <row r="64" spans="1:16">
      <c r="B64" t="s">
        <v>511</v>
      </c>
      <c r="C64" s="397">
        <f t="shared" ref="C64:N64" si="38">C48+C57</f>
        <v>139840.61800000002</v>
      </c>
      <c r="D64" s="397">
        <f t="shared" si="38"/>
        <v>134685.74400000001</v>
      </c>
      <c r="E64" s="397">
        <f t="shared" si="38"/>
        <v>143454.33000000002</v>
      </c>
      <c r="F64" s="397">
        <f t="shared" si="38"/>
        <v>79910.603000000003</v>
      </c>
      <c r="G64" s="397">
        <f t="shared" si="38"/>
        <v>58672.896999999997</v>
      </c>
      <c r="H64" s="397">
        <f t="shared" si="38"/>
        <v>27615.303</v>
      </c>
      <c r="I64" s="397">
        <f t="shared" si="38"/>
        <v>28238.733</v>
      </c>
      <c r="J64" s="397">
        <f t="shared" si="38"/>
        <v>35104.967670000005</v>
      </c>
      <c r="K64" s="397">
        <f t="shared" si="38"/>
        <v>25157.077000000001</v>
      </c>
      <c r="L64" s="397">
        <f t="shared" si="38"/>
        <v>63989.418000000005</v>
      </c>
      <c r="M64" s="397">
        <f t="shared" si="38"/>
        <v>317806.15899999999</v>
      </c>
      <c r="N64" s="397">
        <f t="shared" si="38"/>
        <v>559659.22900000005</v>
      </c>
      <c r="O64" s="397">
        <f t="shared" ref="O64" si="39">SUM(C64:N64)</f>
        <v>1614135.0786700002</v>
      </c>
      <c r="P64" s="395"/>
    </row>
    <row r="65" spans="3:16">
      <c r="C65" s="396">
        <f t="shared" ref="C65:O65" si="40">SUM(C60:C64)</f>
        <v>231361.99300000002</v>
      </c>
      <c r="D65" s="396">
        <f t="shared" si="40"/>
        <v>225916.48</v>
      </c>
      <c r="E65" s="396">
        <f t="shared" si="40"/>
        <v>234273.06400000001</v>
      </c>
      <c r="F65" s="396">
        <f t="shared" si="40"/>
        <v>165410.63400000002</v>
      </c>
      <c r="G65" s="396">
        <f t="shared" si="40"/>
        <v>148388.50199999998</v>
      </c>
      <c r="H65" s="396">
        <f t="shared" si="40"/>
        <v>-15471.108739999996</v>
      </c>
      <c r="I65" s="396">
        <f t="shared" si="40"/>
        <v>108174.516</v>
      </c>
      <c r="J65" s="396">
        <f t="shared" si="40"/>
        <v>134708.69</v>
      </c>
      <c r="K65" s="396">
        <f t="shared" si="40"/>
        <v>111145.38400000001</v>
      </c>
      <c r="L65" s="396">
        <f t="shared" si="40"/>
        <v>168114.41800000001</v>
      </c>
      <c r="M65" s="396">
        <f t="shared" si="40"/>
        <v>449639.375</v>
      </c>
      <c r="N65" s="396">
        <f t="shared" si="40"/>
        <v>741224.0290000001</v>
      </c>
      <c r="O65" s="396">
        <f t="shared" si="40"/>
        <v>2702885.9762599999</v>
      </c>
      <c r="P65" s="395"/>
    </row>
    <row r="66" spans="3:16">
      <c r="C66" s="389">
        <f t="shared" ref="C66:O66" si="41">C65-C50</f>
        <v>0</v>
      </c>
      <c r="D66" s="389">
        <f t="shared" si="41"/>
        <v>0</v>
      </c>
      <c r="E66" s="389">
        <f t="shared" si="41"/>
        <v>0</v>
      </c>
      <c r="F66" s="389">
        <f t="shared" si="41"/>
        <v>0</v>
      </c>
      <c r="G66" s="389">
        <f t="shared" si="41"/>
        <v>0</v>
      </c>
      <c r="H66" s="389">
        <f t="shared" si="41"/>
        <v>0</v>
      </c>
      <c r="I66" s="389">
        <f t="shared" si="41"/>
        <v>0</v>
      </c>
      <c r="J66" s="389">
        <f t="shared" si="41"/>
        <v>0</v>
      </c>
      <c r="K66" s="389">
        <f t="shared" si="41"/>
        <v>0</v>
      </c>
      <c r="L66" s="389">
        <f t="shared" si="41"/>
        <v>0</v>
      </c>
      <c r="M66" s="389">
        <f t="shared" si="41"/>
        <v>0</v>
      </c>
      <c r="N66" s="389">
        <f t="shared" si="41"/>
        <v>0</v>
      </c>
      <c r="O66" s="389">
        <f t="shared" si="41"/>
        <v>0</v>
      </c>
      <c r="P66" s="395"/>
    </row>
  </sheetData>
  <pageMargins left="0.38" right="0.41" top="0.75" bottom="0.75" header="0.3" footer="0.3"/>
  <pageSetup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>
    <pageSetUpPr autoPageBreaks="0"/>
  </sheetPr>
  <dimension ref="A1:AT112"/>
  <sheetViews>
    <sheetView showGridLines="0" zoomScale="75" zoomScaleNormal="75" workbookViewId="0">
      <pane xSplit="2" ySplit="4" topLeftCell="C50" activePane="bottomRight" state="frozen"/>
      <selection activeCell="B5" sqref="B5"/>
      <selection pane="topRight" activeCell="B5" sqref="B5"/>
      <selection pane="bottomLeft" activeCell="B5" sqref="B5"/>
      <selection pane="bottomRight" activeCell="E79" sqref="E79"/>
    </sheetView>
  </sheetViews>
  <sheetFormatPr defaultRowHeight="12.75" outlineLevelCol="1"/>
  <cols>
    <col min="1" max="1" width="3.5703125" bestFit="1" customWidth="1"/>
    <col min="2" max="2" width="35" style="460" customWidth="1"/>
    <col min="3" max="3" width="11.140625" bestFit="1" customWidth="1"/>
    <col min="4" max="13" width="11.140625" bestFit="1" customWidth="1" outlineLevel="1"/>
    <col min="14" max="14" width="11.140625" bestFit="1" customWidth="1"/>
    <col min="15" max="15" width="12.85546875" bestFit="1" customWidth="1"/>
    <col min="16" max="16" width="1.7109375" customWidth="1"/>
    <col min="17" max="18" width="10.42578125" bestFit="1" customWidth="1"/>
    <col min="19" max="19" width="12.7109375" bestFit="1" customWidth="1"/>
    <col min="20" max="20" width="10.140625" customWidth="1"/>
    <col min="21" max="21" width="11.140625" bestFit="1" customWidth="1"/>
    <col min="22" max="22" width="10.42578125" bestFit="1" customWidth="1"/>
    <col min="25" max="25" width="13.42578125" bestFit="1" customWidth="1"/>
    <col min="26" max="26" width="14.85546875" bestFit="1" customWidth="1"/>
    <col min="27" max="27" width="10.140625" bestFit="1" customWidth="1"/>
    <col min="28" max="28" width="12.7109375" bestFit="1" customWidth="1"/>
    <col min="29" max="29" width="11.28515625" bestFit="1" customWidth="1"/>
    <col min="30" max="31" width="9.28515625" bestFit="1" customWidth="1"/>
    <col min="32" max="32" width="11.28515625" bestFit="1" customWidth="1"/>
  </cols>
  <sheetData>
    <row r="1" spans="1:32" ht="15">
      <c r="B1" s="79" t="s">
        <v>341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Q1" s="51"/>
      <c r="R1" s="51"/>
      <c r="S1" s="51"/>
      <c r="T1" s="51"/>
      <c r="U1" s="51"/>
    </row>
    <row r="2" spans="1:32">
      <c r="Q2" s="30" t="s">
        <v>96</v>
      </c>
      <c r="R2" s="45">
        <f>Q3</f>
        <v>20000</v>
      </c>
      <c r="S2" s="45">
        <f>R3</f>
        <v>50000</v>
      </c>
      <c r="T2" s="45">
        <f>S3</f>
        <v>300000</v>
      </c>
      <c r="U2" s="45">
        <f>T3</f>
        <v>500000</v>
      </c>
      <c r="W2" s="236" t="s">
        <v>220</v>
      </c>
      <c r="X2" s="236" t="s">
        <v>232</v>
      </c>
    </row>
    <row r="3" spans="1:32">
      <c r="B3" s="29" t="s">
        <v>108</v>
      </c>
      <c r="O3" s="229" t="s">
        <v>342</v>
      </c>
      <c r="Q3" s="47">
        <v>20000</v>
      </c>
      <c r="R3" s="47">
        <v>50000</v>
      </c>
      <c r="S3" s="47">
        <v>300000</v>
      </c>
      <c r="T3" s="47">
        <v>500000</v>
      </c>
      <c r="U3" s="48">
        <v>99999999</v>
      </c>
      <c r="W3" s="236" t="s">
        <v>478</v>
      </c>
      <c r="X3" s="236" t="s">
        <v>478</v>
      </c>
      <c r="Y3" t="s">
        <v>450</v>
      </c>
      <c r="Z3" t="s">
        <v>451</v>
      </c>
    </row>
    <row r="4" spans="1:32">
      <c r="B4" s="29" t="s">
        <v>58</v>
      </c>
      <c r="C4" s="237">
        <v>43466</v>
      </c>
      <c r="D4" s="237">
        <v>43497</v>
      </c>
      <c r="E4" s="237">
        <v>43525</v>
      </c>
      <c r="F4" s="237">
        <v>43556</v>
      </c>
      <c r="G4" s="237">
        <v>43586</v>
      </c>
      <c r="H4" s="237">
        <v>43617</v>
      </c>
      <c r="I4" s="237">
        <v>43647</v>
      </c>
      <c r="J4" s="237">
        <v>43678</v>
      </c>
      <c r="K4" s="237">
        <v>43709</v>
      </c>
      <c r="L4" s="237">
        <v>43739</v>
      </c>
      <c r="M4" s="237">
        <v>43770</v>
      </c>
      <c r="N4" s="237">
        <v>43800</v>
      </c>
      <c r="O4" s="231" t="s">
        <v>59</v>
      </c>
      <c r="P4" s="31"/>
      <c r="Q4" s="46" t="s">
        <v>95</v>
      </c>
      <c r="R4" s="46" t="s">
        <v>95</v>
      </c>
      <c r="S4" s="46" t="s">
        <v>95</v>
      </c>
      <c r="T4" s="46" t="s">
        <v>95</v>
      </c>
      <c r="U4" s="46" t="s">
        <v>95</v>
      </c>
      <c r="W4" s="450" t="s">
        <v>477</v>
      </c>
      <c r="X4" s="450" t="s">
        <v>477</v>
      </c>
      <c r="Y4" s="414" t="s">
        <v>230</v>
      </c>
      <c r="Z4" s="414" t="s">
        <v>230</v>
      </c>
    </row>
    <row r="5" spans="1:32">
      <c r="A5">
        <v>1</v>
      </c>
      <c r="B5" s="543" t="s">
        <v>689</v>
      </c>
      <c r="C5" s="502">
        <v>136935</v>
      </c>
      <c r="D5" s="502">
        <v>141948</v>
      </c>
      <c r="E5" s="502">
        <v>159270</v>
      </c>
      <c r="F5" s="502">
        <v>130278</v>
      </c>
      <c r="G5" s="502">
        <v>94746</v>
      </c>
      <c r="H5" s="502">
        <v>87324</v>
      </c>
      <c r="I5" s="502">
        <v>76742</v>
      </c>
      <c r="J5" s="502">
        <v>74037</v>
      </c>
      <c r="K5" s="502">
        <v>68716</v>
      </c>
      <c r="L5" s="502">
        <v>77822</v>
      </c>
      <c r="M5" s="502">
        <v>111113</v>
      </c>
      <c r="N5" s="502">
        <v>127723</v>
      </c>
      <c r="O5" s="504">
        <f t="shared" ref="O5" si="0">SUM(C5:N5)</f>
        <v>1286654</v>
      </c>
      <c r="P5" s="33"/>
      <c r="Q5" s="33">
        <f t="shared" ref="Q5:Q43" si="1">Q$3*12-SUMPRODUCT(--($C5:$N5&lt;=Q$3),Q$3-$C5:$N5)</f>
        <v>240000</v>
      </c>
      <c r="R5" s="33">
        <f>R$3*12-SUM($Q5:Q5)-SUMPRODUCT(--($C5:$N5&lt;=R$3),R$3-$C5:$N5)</f>
        <v>360000</v>
      </c>
      <c r="S5" s="33">
        <f>S$3*12-SUM($Q5:R5)-SUMPRODUCT(--($C5:$N5&lt;=S$3),S$3-$C5:$N5)</f>
        <v>686654</v>
      </c>
      <c r="T5" s="33">
        <f>T$3*12-SUM($Q5:S5)-SUMPRODUCT(--($C5:$N5&lt;=T$3),T$3-$C5:$N5)</f>
        <v>0</v>
      </c>
      <c r="U5" s="33">
        <f>U$3*12-SUM($Q5:T5)-SUMPRODUCT(--($C5:$N5&lt;=U$3),U$3-$C5:$N5)</f>
        <v>0</v>
      </c>
      <c r="W5" s="33">
        <f>IF(O5&lt;250000,(250000-O5)*'Exh3'!$E$56,0)</f>
        <v>0</v>
      </c>
      <c r="X5" s="33">
        <f>IF(O5&lt;250000,(250000-O5)*'Exh3'!$I$56,0)</f>
        <v>0</v>
      </c>
      <c r="Y5" s="411">
        <f>Q5*'Exh3'!$D$51+'Big Schedules'!R5*'Exh3'!$D$52+'Big Schedules'!S5*'Exh3'!$D$53+'Big Schedules'!T5*'Exh3'!$D$54+'Big Schedules'!U5*'Exh3'!$D$55+'Exh3'!$D$49*12+W5</f>
        <v>124104.60026000001</v>
      </c>
      <c r="Z5" s="411">
        <f>Q5*'Exh3'!$I$51+'Big Schedules'!R5*'Exh3'!$I$52+'Big Schedules'!S5*'Exh3'!$I$53+'Big Schedules'!T5*'Exh3'!$I$54+'Big Schedules'!U5*'Exh3'!$I$55+'Exh3'!$I$49*12+X5</f>
        <v>124104.60026000001</v>
      </c>
      <c r="AA5" s="413">
        <f>Z5/Y5-1</f>
        <v>0</v>
      </c>
    </row>
    <row r="6" spans="1:32">
      <c r="A6">
        <f>A5+1</f>
        <v>2</v>
      </c>
      <c r="B6" s="543" t="s">
        <v>697</v>
      </c>
      <c r="C6" s="502">
        <v>398669</v>
      </c>
      <c r="D6" s="502">
        <v>423181</v>
      </c>
      <c r="E6" s="502">
        <v>468841</v>
      </c>
      <c r="F6" s="502">
        <v>335580</v>
      </c>
      <c r="G6" s="502">
        <v>183201</v>
      </c>
      <c r="H6" s="502">
        <v>55128</v>
      </c>
      <c r="I6" s="502">
        <v>24793</v>
      </c>
      <c r="J6" s="502">
        <v>16538</v>
      </c>
      <c r="K6" s="502">
        <v>15451</v>
      </c>
      <c r="L6" s="502">
        <v>56217</v>
      </c>
      <c r="M6" s="502">
        <f>25000+193461</f>
        <v>218461</v>
      </c>
      <c r="N6" s="502">
        <f>25000+9447.51115+302320.35685</f>
        <v>336767.86799999996</v>
      </c>
      <c r="O6" s="504">
        <f t="shared" ref="O6" si="2">SUM(C6:N6)</f>
        <v>2532827.8679999998</v>
      </c>
      <c r="P6" s="33"/>
      <c r="Q6" s="33">
        <f t="shared" si="1"/>
        <v>231989</v>
      </c>
      <c r="R6" s="33">
        <f>R$3*12-SUM($Q6:Q6)-SUMPRODUCT(--($C6:$N6&lt;=R$3),R$3-$C6:$N6)</f>
        <v>274793</v>
      </c>
      <c r="S6" s="33">
        <f>S$3*12-SUM($Q6:R6)-SUMPRODUCT(--($C6:$N6&lt;=S$3),S$3-$C6:$N6)</f>
        <v>1563007</v>
      </c>
      <c r="T6" s="33">
        <f>T$3*12-SUM($Q6:S6)-SUMPRODUCT(--($C6:$N6&lt;=T$3),T$3-$C6:$N6)</f>
        <v>463038.86799999978</v>
      </c>
      <c r="U6" s="33">
        <f>U$3*12-SUM($Q6:T6)-SUMPRODUCT(--($C6:$N6&lt;=U$3),U$3-$C6:$N6)</f>
        <v>0</v>
      </c>
      <c r="W6" s="33">
        <f>IF(O6&lt;250000,(250000-O6)*'Exh3'!$E$56,0)</f>
        <v>0</v>
      </c>
      <c r="X6" s="33">
        <f>IF(O6&lt;250000,(250000-O6)*'Exh3'!$I$56,0)</f>
        <v>0</v>
      </c>
      <c r="Y6" s="411">
        <f>Q6*'Exh3'!$D$51+'Big Schedules'!R6*'Exh3'!$D$52+'Big Schedules'!S6*'Exh3'!$D$53+'Big Schedules'!T6*'Exh3'!$D$54+'Big Schedules'!U6*'Exh3'!$D$55+'Exh3'!$D$49*12+W6</f>
        <v>225136.73534379998</v>
      </c>
      <c r="Z6" s="411">
        <f>Q6*'Exh3'!$I$51+'Big Schedules'!R6*'Exh3'!$I$52+'Big Schedules'!S6*'Exh3'!$I$53+'Big Schedules'!T6*'Exh3'!$I$54+'Big Schedules'!U6*'Exh3'!$I$55+'Exh3'!$I$49*12+X6</f>
        <v>225136.73534379998</v>
      </c>
      <c r="AA6" s="413">
        <f>Z6/Y6-1</f>
        <v>0</v>
      </c>
    </row>
    <row r="7" spans="1:32">
      <c r="A7">
        <f t="shared" ref="A7:A42" si="3">A6+1</f>
        <v>3</v>
      </c>
      <c r="B7" s="543" t="s">
        <v>690</v>
      </c>
      <c r="C7" s="502">
        <v>37257</v>
      </c>
      <c r="D7" s="502">
        <v>52126</v>
      </c>
      <c r="E7" s="502">
        <v>36826</v>
      </c>
      <c r="F7" s="502">
        <v>37633</v>
      </c>
      <c r="G7" s="502">
        <v>46107</v>
      </c>
      <c r="H7" s="502">
        <v>37644</v>
      </c>
      <c r="I7" s="502">
        <v>32545</v>
      </c>
      <c r="J7" s="502">
        <v>40575</v>
      </c>
      <c r="K7" s="502">
        <v>33469</v>
      </c>
      <c r="L7" s="502">
        <v>33325</v>
      </c>
      <c r="M7" s="502">
        <v>46682</v>
      </c>
      <c r="N7" s="502">
        <v>36861</v>
      </c>
      <c r="O7" s="504">
        <f t="shared" ref="O7:O43" si="4">SUM(C7:N7)</f>
        <v>471050</v>
      </c>
      <c r="P7" s="33"/>
      <c r="Q7" s="33">
        <f t="shared" si="1"/>
        <v>240000</v>
      </c>
      <c r="R7" s="33">
        <f>R$3*12-SUM($Q7:Q7)-SUMPRODUCT(--($C7:$N7&lt;=R$3),R$3-$C7:$N7)</f>
        <v>228924</v>
      </c>
      <c r="S7" s="33">
        <f>S$3*12-SUM($Q7:R7)-SUMPRODUCT(--($C7:$N7&lt;=S$3),S$3-$C7:$N7)</f>
        <v>2126</v>
      </c>
      <c r="T7" s="33">
        <f>T$3*12-SUM($Q7:S7)-SUMPRODUCT(--($C7:$N7&lt;=T$3),T$3-$C7:$N7)</f>
        <v>0</v>
      </c>
      <c r="U7" s="33">
        <f>U$3*12-SUM($Q7:T7)-SUMPRODUCT(--($C7:$N7&lt;=U$3),U$3-$C7:$N7)</f>
        <v>0</v>
      </c>
      <c r="W7" s="33">
        <f>IF(O7&lt;250000,(250000-O7)*'Exh3'!$E$56,0)</f>
        <v>0</v>
      </c>
      <c r="X7" s="33">
        <f>IF(O7&lt;250000,(250000-O7)*'Exh3'!$I$56,0)</f>
        <v>0</v>
      </c>
      <c r="Y7" s="411">
        <f>Q7*'Exh3'!$D$51+'Big Schedules'!R7*'Exh3'!$D$52+'Big Schedules'!S7*'Exh3'!$D$53+'Big Schedules'!T7*'Exh3'!$D$54+'Big Schedules'!U7*'Exh3'!$D$55+'Exh3'!$D$49*12+W7</f>
        <v>54236.932580000001</v>
      </c>
      <c r="Z7" s="411">
        <f>Q7*'Exh3'!$I$51+'Big Schedules'!R7*'Exh3'!$I$52+'Big Schedules'!S7*'Exh3'!$I$53+'Big Schedules'!T7*'Exh3'!$I$54+'Big Schedules'!U7*'Exh3'!$I$55+'Exh3'!$I$49*12+X7</f>
        <v>54236.932580000001</v>
      </c>
      <c r="AA7" s="413">
        <f t="shared" ref="AA7:AA47" si="5">Z7/Y7-1</f>
        <v>0</v>
      </c>
      <c r="AB7" s="412"/>
      <c r="AC7" s="412"/>
      <c r="AD7" s="412"/>
      <c r="AE7" s="412"/>
      <c r="AF7" s="412"/>
    </row>
    <row r="8" spans="1:32">
      <c r="A8">
        <f t="shared" si="3"/>
        <v>4</v>
      </c>
      <c r="B8" s="543" t="s">
        <v>662</v>
      </c>
      <c r="C8" s="502">
        <v>382</v>
      </c>
      <c r="D8" s="502">
        <v>484</v>
      </c>
      <c r="E8" s="502">
        <v>573</v>
      </c>
      <c r="F8" s="502">
        <v>5051</v>
      </c>
      <c r="G8" s="502">
        <v>26227</v>
      </c>
      <c r="H8" s="502">
        <v>21219</v>
      </c>
      <c r="I8" s="502">
        <v>21075</v>
      </c>
      <c r="J8" s="502">
        <v>25610</v>
      </c>
      <c r="K8" s="502">
        <v>19545</v>
      </c>
      <c r="L8" s="502">
        <v>17065</v>
      </c>
      <c r="M8" s="502">
        <v>16614</v>
      </c>
      <c r="N8" s="502">
        <v>446</v>
      </c>
      <c r="O8" s="477">
        <f t="shared" si="4"/>
        <v>154291</v>
      </c>
      <c r="P8" s="33"/>
      <c r="Q8" s="33">
        <f t="shared" si="1"/>
        <v>140160</v>
      </c>
      <c r="R8" s="33">
        <f>R$3*12-SUM($Q8:Q8)-SUMPRODUCT(--($C8:$N8&lt;=R$3),R$3-$C8:$N8)</f>
        <v>14131</v>
      </c>
      <c r="S8" s="33">
        <f>S$3*12-SUM($Q8:R8)-SUMPRODUCT(--($C8:$N8&lt;=S$3),S$3-$C8:$N8)</f>
        <v>0</v>
      </c>
      <c r="T8" s="33">
        <f>T$3*12-SUM($Q8:S8)-SUMPRODUCT(--($C8:$N8&lt;=T$3),T$3-$C8:$N8)</f>
        <v>0</v>
      </c>
      <c r="U8" s="33">
        <f>U$3*12-SUM($Q8:T8)-SUMPRODUCT(--($C8:$N8&lt;=U$3),U$3-$C8:$N8)</f>
        <v>0</v>
      </c>
      <c r="W8" s="33">
        <f>IF(O8&lt;250000,(250000-O8)*'Exh3'!$E$56,0)</f>
        <v>8935.3922399999992</v>
      </c>
      <c r="X8" s="33">
        <f>IF(O8&lt;250000,(250000-O8)*'Exh3'!$I$56,0)</f>
        <v>8935.3922399999992</v>
      </c>
      <c r="Y8" s="411">
        <f>Q8*'Exh3'!$D$51+'Big Schedules'!R8*'Exh3'!$D$52+'Big Schedules'!S8*'Exh3'!$D$53+'Big Schedules'!T8*'Exh3'!$D$54+'Big Schedules'!U8*'Exh3'!$D$55+'Exh3'!$D$49*12+W8</f>
        <v>32463.052799999998</v>
      </c>
      <c r="Z8" s="411">
        <f>Q8*'Exh3'!$I$51+'Big Schedules'!R8*'Exh3'!$I$52+'Big Schedules'!S8*'Exh3'!$I$53+'Big Schedules'!T8*'Exh3'!$I$54+'Big Schedules'!U8*'Exh3'!$I$55+'Exh3'!$I$49*12+X8</f>
        <v>32463.052799999998</v>
      </c>
      <c r="AA8" s="413">
        <f t="shared" si="5"/>
        <v>0</v>
      </c>
    </row>
    <row r="9" spans="1:32">
      <c r="A9">
        <f t="shared" si="3"/>
        <v>5</v>
      </c>
      <c r="B9" s="543" t="s">
        <v>691</v>
      </c>
      <c r="C9" s="502">
        <v>29538</v>
      </c>
      <c r="D9" s="502">
        <v>30403</v>
      </c>
      <c r="E9" s="502">
        <v>28813</v>
      </c>
      <c r="F9" s="502">
        <v>27145</v>
      </c>
      <c r="G9" s="502">
        <v>22205</v>
      </c>
      <c r="H9" s="502">
        <v>19961</v>
      </c>
      <c r="I9" s="502">
        <v>17479</v>
      </c>
      <c r="J9" s="502">
        <v>17867</v>
      </c>
      <c r="K9" s="502">
        <v>17684</v>
      </c>
      <c r="L9" s="502">
        <v>19793</v>
      </c>
      <c r="M9" s="502">
        <v>25426</v>
      </c>
      <c r="N9" s="502">
        <v>26854</v>
      </c>
      <c r="O9" s="504">
        <f t="shared" si="4"/>
        <v>283168</v>
      </c>
      <c r="P9" s="33"/>
      <c r="Q9" s="33">
        <f t="shared" si="1"/>
        <v>232784</v>
      </c>
      <c r="R9" s="33">
        <f>R$3*12-SUM($Q9:Q9)-SUMPRODUCT(--($C9:$N9&lt;=R$3),R$3-$C9:$N9)</f>
        <v>50384</v>
      </c>
      <c r="S9" s="33">
        <f>S$3*12-SUM($Q9:R9)-SUMPRODUCT(--($C9:$N9&lt;=S$3),S$3-$C9:$N9)</f>
        <v>0</v>
      </c>
      <c r="T9" s="33">
        <f>T$3*12-SUM($Q9:S9)-SUMPRODUCT(--($C9:$N9&lt;=T$3),T$3-$C9:$N9)</f>
        <v>0</v>
      </c>
      <c r="U9" s="33">
        <f>U$3*12-SUM($Q9:T9)-SUMPRODUCT(--($C9:$N9&lt;=U$3),U$3-$C9:$N9)</f>
        <v>0</v>
      </c>
      <c r="W9" s="33">
        <f>IF(O9&lt;250000,(250000-O9)*'Exh3'!$E$56,0)</f>
        <v>0</v>
      </c>
      <c r="X9" s="33">
        <f>IF(O9&lt;250000,(250000-O9)*'Exh3'!$I$56,0)</f>
        <v>0</v>
      </c>
      <c r="Y9" s="411">
        <f>Q9*'Exh3'!$D$51+'Big Schedules'!R9*'Exh3'!$D$52+'Big Schedules'!S9*'Exh3'!$D$53+'Big Schedules'!T9*'Exh3'!$D$54+'Big Schedules'!U9*'Exh3'!$D$55+'Exh3'!$D$49*12+W9</f>
        <v>36632.203199999996</v>
      </c>
      <c r="Z9" s="411">
        <f>Q9*'Exh3'!$I$51+'Big Schedules'!R9*'Exh3'!$I$52+'Big Schedules'!S9*'Exh3'!$I$53+'Big Schedules'!T9*'Exh3'!$I$54+'Big Schedules'!U9*'Exh3'!$I$55+'Exh3'!$I$49*12+X9</f>
        <v>36632.203199999996</v>
      </c>
      <c r="AA9" s="413">
        <f t="shared" si="5"/>
        <v>0</v>
      </c>
    </row>
    <row r="10" spans="1:32">
      <c r="A10">
        <f t="shared" si="3"/>
        <v>6</v>
      </c>
      <c r="B10" s="543" t="s">
        <v>692</v>
      </c>
      <c r="C10" s="502">
        <v>20202</v>
      </c>
      <c r="D10" s="502">
        <v>31796</v>
      </c>
      <c r="E10" s="502">
        <v>25977</v>
      </c>
      <c r="F10" s="502">
        <v>26314</v>
      </c>
      <c r="G10" s="502">
        <v>30629</v>
      </c>
      <c r="H10" s="502">
        <v>36221</v>
      </c>
      <c r="I10" s="502">
        <v>32595</v>
      </c>
      <c r="J10" s="502">
        <v>31084</v>
      </c>
      <c r="K10" s="502">
        <v>29363</v>
      </c>
      <c r="L10" s="502">
        <v>26798</v>
      </c>
      <c r="M10" s="502">
        <v>30988</v>
      </c>
      <c r="N10" s="502">
        <v>23051</v>
      </c>
      <c r="O10" s="504">
        <f t="shared" si="4"/>
        <v>345018</v>
      </c>
      <c r="P10" s="33"/>
      <c r="Q10" s="33">
        <f t="shared" si="1"/>
        <v>240000</v>
      </c>
      <c r="R10" s="33">
        <f>R$3*12-SUM($Q10:Q10)-SUMPRODUCT(--($C10:$N10&lt;=R$3),R$3-$C10:$N10)</f>
        <v>105018</v>
      </c>
      <c r="S10" s="33">
        <f>S$3*12-SUM($Q10:R10)-SUMPRODUCT(--($C10:$N10&lt;=S$3),S$3-$C10:$N10)</f>
        <v>0</v>
      </c>
      <c r="T10" s="33">
        <f>T$3*12-SUM($Q10:S10)-SUMPRODUCT(--($C10:$N10&lt;=T$3),T$3-$C10:$N10)</f>
        <v>0</v>
      </c>
      <c r="U10" s="33">
        <f>U$3*12-SUM($Q10:T10)-SUMPRODUCT(--($C10:$N10&lt;=U$3),U$3-$C10:$N10)</f>
        <v>0</v>
      </c>
      <c r="W10" s="33">
        <f>IF(O10&lt;250000,(250000-O10)*'Exh3'!$E$56,0)</f>
        <v>0</v>
      </c>
      <c r="X10" s="33">
        <f>IF(O10&lt;250000,(250000-O10)*'Exh3'!$I$56,0)</f>
        <v>0</v>
      </c>
      <c r="Y10" s="411">
        <f>Q10*'Exh3'!$D$51+'Big Schedules'!R10*'Exh3'!$D$52+'Big Schedules'!S10*'Exh3'!$D$53+'Big Schedules'!T10*'Exh3'!$D$54+'Big Schedules'!U10*'Exh3'!$D$55+'Exh3'!$D$49*12+W10</f>
        <v>42490.080479999997</v>
      </c>
      <c r="Z10" s="411">
        <f>Q10*'Exh3'!$I$51+'Big Schedules'!R10*'Exh3'!$I$52+'Big Schedules'!S10*'Exh3'!$I$53+'Big Schedules'!T10*'Exh3'!$I$54+'Big Schedules'!U10*'Exh3'!$I$55+'Exh3'!$I$49*12+X10</f>
        <v>42490.080479999997</v>
      </c>
      <c r="AA10" s="413">
        <f t="shared" si="5"/>
        <v>0</v>
      </c>
    </row>
    <row r="11" spans="1:32">
      <c r="A11">
        <f t="shared" si="3"/>
        <v>7</v>
      </c>
      <c r="B11" s="543" t="s">
        <v>693</v>
      </c>
      <c r="C11" s="502">
        <v>29967</v>
      </c>
      <c r="D11" s="502">
        <v>32083</v>
      </c>
      <c r="E11" s="502">
        <v>25075</v>
      </c>
      <c r="F11" s="502">
        <v>24766</v>
      </c>
      <c r="G11" s="502">
        <v>27138</v>
      </c>
      <c r="H11" s="502">
        <v>26647</v>
      </c>
      <c r="I11" s="502">
        <v>20182</v>
      </c>
      <c r="J11" s="502">
        <v>20039</v>
      </c>
      <c r="K11" s="502">
        <v>25217</v>
      </c>
      <c r="L11" s="502">
        <v>28222</v>
      </c>
      <c r="M11" s="502">
        <v>34257</v>
      </c>
      <c r="N11" s="502">
        <v>26439</v>
      </c>
      <c r="O11" s="504">
        <f t="shared" si="4"/>
        <v>320032</v>
      </c>
      <c r="P11" s="33"/>
      <c r="Q11" s="33">
        <f t="shared" si="1"/>
        <v>240000</v>
      </c>
      <c r="R11" s="33">
        <f>R$3*12-SUM($Q11:Q11)-SUMPRODUCT(--($C11:$N11&lt;=R$3),R$3-$C11:$N11)</f>
        <v>80032</v>
      </c>
      <c r="S11" s="33">
        <f>S$3*12-SUM($Q11:R11)-SUMPRODUCT(--($C11:$N11&lt;=S$3),S$3-$C11:$N11)</f>
        <v>0</v>
      </c>
      <c r="T11" s="33">
        <f>T$3*12-SUM($Q11:S11)-SUMPRODUCT(--($C11:$N11&lt;=T$3),T$3-$C11:$N11)</f>
        <v>0</v>
      </c>
      <c r="U11" s="33">
        <f>U$3*12-SUM($Q11:T11)-SUMPRODUCT(--($C11:$N11&lt;=U$3),U$3-$C11:$N11)</f>
        <v>0</v>
      </c>
      <c r="W11" s="33">
        <f>IF(O11&lt;250000,(250000-O11)*'Exh3'!$E$56,0)</f>
        <v>0</v>
      </c>
      <c r="X11" s="33">
        <f>IF(O11&lt;250000,(250000-O11)*'Exh3'!$I$56,0)</f>
        <v>0</v>
      </c>
      <c r="Y11" s="411">
        <f>Q11*'Exh3'!$D$51+'Big Schedules'!R11*'Exh3'!$D$52+'Big Schedules'!S11*'Exh3'!$D$53+'Big Schedules'!T11*'Exh3'!$D$54+'Big Schedules'!U11*'Exh3'!$D$55+'Exh3'!$D$49*12+W11</f>
        <v>40157.387519999997</v>
      </c>
      <c r="Z11" s="411">
        <f>Q11*'Exh3'!$I$51+'Big Schedules'!R11*'Exh3'!$I$52+'Big Schedules'!S11*'Exh3'!$I$53+'Big Schedules'!T11*'Exh3'!$I$54+'Big Schedules'!U11*'Exh3'!$I$55+'Exh3'!$I$49*12+X11</f>
        <v>40157.387519999997</v>
      </c>
      <c r="AA11" s="413">
        <f t="shared" si="5"/>
        <v>0</v>
      </c>
    </row>
    <row r="12" spans="1:32">
      <c r="A12">
        <f t="shared" si="3"/>
        <v>8</v>
      </c>
      <c r="B12" s="543" t="s">
        <v>694</v>
      </c>
      <c r="C12" s="502">
        <v>74000</v>
      </c>
      <c r="D12" s="502">
        <v>74395</v>
      </c>
      <c r="E12" s="502">
        <v>81186</v>
      </c>
      <c r="F12" s="502">
        <v>70296</v>
      </c>
      <c r="G12" s="502">
        <v>50619</v>
      </c>
      <c r="H12" s="502">
        <v>43647</v>
      </c>
      <c r="I12" s="502">
        <v>41070</v>
      </c>
      <c r="J12" s="502">
        <v>41261</v>
      </c>
      <c r="K12" s="502">
        <v>38104</v>
      </c>
      <c r="L12" s="502">
        <v>43783</v>
      </c>
      <c r="M12" s="502">
        <v>62929</v>
      </c>
      <c r="N12" s="502">
        <v>70164</v>
      </c>
      <c r="O12" s="504">
        <f t="shared" si="4"/>
        <v>691454</v>
      </c>
      <c r="P12" s="33"/>
      <c r="Q12" s="33">
        <f t="shared" si="1"/>
        <v>240000</v>
      </c>
      <c r="R12" s="33">
        <f>R$3*12-SUM($Q12:Q12)-SUMPRODUCT(--($C12:$N12&lt;=R$3),R$3-$C12:$N12)</f>
        <v>317865</v>
      </c>
      <c r="S12" s="33">
        <f>S$3*12-SUM($Q12:R12)-SUMPRODUCT(--($C12:$N12&lt;=S$3),S$3-$C12:$N12)</f>
        <v>133589</v>
      </c>
      <c r="T12" s="33">
        <f>T$3*12-SUM($Q12:S12)-SUMPRODUCT(--($C12:$N12&lt;=T$3),T$3-$C12:$N12)</f>
        <v>0</v>
      </c>
      <c r="U12" s="33">
        <f>U$3*12-SUM($Q12:T12)-SUMPRODUCT(--($C12:$N12&lt;=U$3),U$3-$C12:$N12)</f>
        <v>0</v>
      </c>
      <c r="W12" s="33">
        <f>IF(O12&lt;250000,(250000-O12)*'Exh3'!$E$56,0)</f>
        <v>0</v>
      </c>
      <c r="X12" s="33">
        <f>IF(O12&lt;250000,(250000-O12)*'Exh3'!$I$56,0)</f>
        <v>0</v>
      </c>
      <c r="Y12" s="411">
        <f>Q12*'Exh3'!$D$51+'Big Schedules'!R12*'Exh3'!$D$52+'Big Schedules'!S12*'Exh3'!$D$53+'Big Schedules'!T12*'Exh3'!$D$54+'Big Schedules'!U12*'Exh3'!$D$55+'Exh3'!$D$49*12+W12</f>
        <v>73608.334310000006</v>
      </c>
      <c r="Z12" s="411">
        <f>Q12*'Exh3'!$I$51+'Big Schedules'!R12*'Exh3'!$I$52+'Big Schedules'!S12*'Exh3'!$I$53+'Big Schedules'!T12*'Exh3'!$I$54+'Big Schedules'!U12*'Exh3'!$I$55+'Exh3'!$I$49*12+X12</f>
        <v>73608.334310000006</v>
      </c>
      <c r="AA12" s="413">
        <f t="shared" si="5"/>
        <v>0</v>
      </c>
    </row>
    <row r="13" spans="1:32">
      <c r="A13">
        <f t="shared" si="3"/>
        <v>9</v>
      </c>
      <c r="B13" s="543" t="s">
        <v>695</v>
      </c>
      <c r="C13" s="502">
        <v>32070</v>
      </c>
      <c r="D13" s="502">
        <v>46618</v>
      </c>
      <c r="E13" s="502">
        <v>38888</v>
      </c>
      <c r="F13" s="502">
        <v>35668</v>
      </c>
      <c r="G13" s="502">
        <v>35882</v>
      </c>
      <c r="H13" s="502">
        <v>34597</v>
      </c>
      <c r="I13" s="502">
        <v>32442</v>
      </c>
      <c r="J13" s="502">
        <v>30124</v>
      </c>
      <c r="K13" s="502">
        <v>29699</v>
      </c>
      <c r="L13" s="502">
        <v>32206</v>
      </c>
      <c r="M13" s="502">
        <v>36719</v>
      </c>
      <c r="N13" s="502">
        <v>26680</v>
      </c>
      <c r="O13" s="504">
        <f t="shared" si="4"/>
        <v>411593</v>
      </c>
      <c r="P13" s="33"/>
      <c r="Q13" s="33">
        <f t="shared" si="1"/>
        <v>240000</v>
      </c>
      <c r="R13" s="33">
        <f>R$3*12-SUM($Q13:Q13)-SUMPRODUCT(--($C13:$N13&lt;=R$3),R$3-$C13:$N13)</f>
        <v>171593</v>
      </c>
      <c r="S13" s="33">
        <f>S$3*12-SUM($Q13:R13)-SUMPRODUCT(--($C13:$N13&lt;=S$3),S$3-$C13:$N13)</f>
        <v>0</v>
      </c>
      <c r="T13" s="33">
        <f>T$3*12-SUM($Q13:S13)-SUMPRODUCT(--($C13:$N13&lt;=T$3),T$3-$C13:$N13)</f>
        <v>0</v>
      </c>
      <c r="U13" s="33">
        <f>U$3*12-SUM($Q13:T13)-SUMPRODUCT(--($C13:$N13&lt;=U$3),U$3-$C13:$N13)</f>
        <v>0</v>
      </c>
      <c r="W13" s="33">
        <f>IF(O13&lt;250000,(250000-O13)*'Exh3'!$E$56,0)</f>
        <v>0</v>
      </c>
      <c r="X13" s="33">
        <f>IF(O13&lt;250000,(250000-O13)*'Exh3'!$I$56,0)</f>
        <v>0</v>
      </c>
      <c r="Y13" s="411">
        <f>Q13*'Exh3'!$D$51+'Big Schedules'!R13*'Exh3'!$D$52+'Big Schedules'!S13*'Exh3'!$D$53+'Big Schedules'!T13*'Exh3'!$D$54+'Big Schedules'!U13*'Exh3'!$D$55+'Exh3'!$D$49*12+W13</f>
        <v>48705.52248</v>
      </c>
      <c r="Z13" s="411">
        <f>Q13*'Exh3'!$I$51+'Big Schedules'!R13*'Exh3'!$I$52+'Big Schedules'!S13*'Exh3'!$I$53+'Big Schedules'!T13*'Exh3'!$I$54+'Big Schedules'!U13*'Exh3'!$I$55+'Exh3'!$I$49*12+X13</f>
        <v>48705.52248</v>
      </c>
      <c r="AA13" s="413">
        <f t="shared" si="5"/>
        <v>0</v>
      </c>
    </row>
    <row r="14" spans="1:32">
      <c r="A14">
        <f t="shared" si="3"/>
        <v>10</v>
      </c>
      <c r="B14" s="543" t="s">
        <v>661</v>
      </c>
      <c r="C14" s="502">
        <v>64921</v>
      </c>
      <c r="D14" s="502">
        <v>78918</v>
      </c>
      <c r="E14" s="502">
        <v>80962</v>
      </c>
      <c r="F14" s="502">
        <v>79522</v>
      </c>
      <c r="G14" s="502">
        <v>57594</v>
      </c>
      <c r="H14" s="502">
        <v>45969</v>
      </c>
      <c r="I14" s="502">
        <v>43203</v>
      </c>
      <c r="J14" s="502">
        <v>39862</v>
      </c>
      <c r="K14" s="502">
        <v>39826</v>
      </c>
      <c r="L14" s="502">
        <v>41704</v>
      </c>
      <c r="M14" s="502">
        <v>62557</v>
      </c>
      <c r="N14" s="502">
        <v>58393</v>
      </c>
      <c r="O14" s="504">
        <f t="shared" si="4"/>
        <v>693431</v>
      </c>
      <c r="P14" s="33"/>
      <c r="Q14" s="33">
        <f t="shared" si="1"/>
        <v>240000</v>
      </c>
      <c r="R14" s="33">
        <f>R$3*12-SUM($Q14:Q14)-SUMPRODUCT(--($C14:$N14&lt;=R$3),R$3-$C14:$N14)</f>
        <v>320564</v>
      </c>
      <c r="S14" s="33">
        <f>S$3*12-SUM($Q14:R14)-SUMPRODUCT(--($C14:$N14&lt;=S$3),S$3-$C14:$N14)</f>
        <v>132867</v>
      </c>
      <c r="T14" s="33">
        <f>T$3*12-SUM($Q14:S14)-SUMPRODUCT(--($C14:$N14&lt;=T$3),T$3-$C14:$N14)</f>
        <v>0</v>
      </c>
      <c r="U14" s="33">
        <f>U$3*12-SUM($Q14:T14)-SUMPRODUCT(--($C14:$N14&lt;=U$3),U$3-$C14:$N14)</f>
        <v>0</v>
      </c>
      <c r="W14" s="33">
        <f>IF(O14&lt;250000,(250000-O14)*'Exh3'!$E$56,0)</f>
        <v>0</v>
      </c>
      <c r="X14" s="33">
        <f>IF(O14&lt;250000,(250000-O14)*'Exh3'!$I$56,0)</f>
        <v>0</v>
      </c>
      <c r="Y14" s="411">
        <f>Q14*'Exh3'!$D$51+'Big Schedules'!R14*'Exh3'!$D$52+'Big Schedules'!S14*'Exh3'!$D$53+'Big Schedules'!T14*'Exh3'!$D$54+'Big Schedules'!U14*'Exh3'!$D$55+'Exh3'!$D$49*12+W14</f>
        <v>73799.527770000001</v>
      </c>
      <c r="Z14" s="411">
        <f>Q14*'Exh3'!$I$51+'Big Schedules'!R14*'Exh3'!$I$52+'Big Schedules'!S14*'Exh3'!$I$53+'Big Schedules'!T14*'Exh3'!$I$54+'Big Schedules'!U14*'Exh3'!$I$55+'Exh3'!$I$49*12+X14</f>
        <v>73799.527770000001</v>
      </c>
      <c r="AA14" s="413">
        <f t="shared" si="5"/>
        <v>0</v>
      </c>
    </row>
    <row r="15" spans="1:32">
      <c r="A15">
        <f t="shared" si="3"/>
        <v>11</v>
      </c>
      <c r="B15" s="543" t="s">
        <v>662</v>
      </c>
      <c r="C15" s="502">
        <v>38338</v>
      </c>
      <c r="D15" s="502">
        <v>35621</v>
      </c>
      <c r="E15" s="502">
        <v>37272</v>
      </c>
      <c r="F15" s="502">
        <v>96729</v>
      </c>
      <c r="G15" s="502">
        <v>81151</v>
      </c>
      <c r="H15" s="502">
        <v>77504</v>
      </c>
      <c r="I15" s="502">
        <v>77651</v>
      </c>
      <c r="J15" s="502">
        <v>71234</v>
      </c>
      <c r="K15" s="502">
        <v>67184</v>
      </c>
      <c r="L15" s="502">
        <v>59614</v>
      </c>
      <c r="M15" s="502">
        <v>62615</v>
      </c>
      <c r="N15" s="502">
        <v>57594</v>
      </c>
      <c r="O15" s="504">
        <f t="shared" si="4"/>
        <v>762507</v>
      </c>
      <c r="P15" s="33"/>
      <c r="Q15" s="33">
        <f t="shared" si="1"/>
        <v>240000</v>
      </c>
      <c r="R15" s="33">
        <f>R$3*12-SUM($Q15:Q15)-SUMPRODUCT(--($C15:$N15&lt;=R$3),R$3-$C15:$N15)</f>
        <v>321231</v>
      </c>
      <c r="S15" s="33">
        <f>S$3*12-SUM($Q15:R15)-SUMPRODUCT(--($C15:$N15&lt;=S$3),S$3-$C15:$N15)</f>
        <v>201276</v>
      </c>
      <c r="T15" s="33">
        <f>T$3*12-SUM($Q15:S15)-SUMPRODUCT(--($C15:$N15&lt;=T$3),T$3-$C15:$N15)</f>
        <v>0</v>
      </c>
      <c r="U15" s="33">
        <f>U$3*12-SUM($Q15:T15)-SUMPRODUCT(--($C15:$N15&lt;=U$3),U$3-$C15:$N15)</f>
        <v>0</v>
      </c>
      <c r="W15" s="33">
        <f>IF(O15&lt;250000,(250000-O15)*'Exh3'!$E$56,0)</f>
        <v>0</v>
      </c>
      <c r="X15" s="33">
        <f>IF(O15&lt;250000,(250000-O15)*'Exh3'!$I$56,0)</f>
        <v>0</v>
      </c>
      <c r="Y15" s="411">
        <f>Q15*'Exh3'!$D$51+'Big Schedules'!R15*'Exh3'!$D$52+'Big Schedules'!S15*'Exh3'!$D$53+'Big Schedules'!T15*'Exh3'!$D$54+'Big Schedules'!U15*'Exh3'!$D$55+'Exh3'!$D$49*12+W15</f>
        <v>79621.152600000001</v>
      </c>
      <c r="Z15" s="411">
        <f>Q15*'Exh3'!$I$51+'Big Schedules'!R15*'Exh3'!$I$52+'Big Schedules'!S15*'Exh3'!$I$53+'Big Schedules'!T15*'Exh3'!$I$54+'Big Schedules'!U15*'Exh3'!$I$55+'Exh3'!$I$49*12+X15</f>
        <v>79621.152600000001</v>
      </c>
      <c r="AA15" s="413">
        <f t="shared" si="5"/>
        <v>0</v>
      </c>
    </row>
    <row r="16" spans="1:32">
      <c r="A16">
        <f t="shared" si="3"/>
        <v>12</v>
      </c>
      <c r="B16" s="543" t="s">
        <v>663</v>
      </c>
      <c r="C16" s="502">
        <v>45846</v>
      </c>
      <c r="D16" s="502">
        <v>47156</v>
      </c>
      <c r="E16" s="502">
        <v>47974</v>
      </c>
      <c r="F16" s="502">
        <v>40493</v>
      </c>
      <c r="G16" s="502">
        <v>38172</v>
      </c>
      <c r="H16" s="502">
        <v>37798</v>
      </c>
      <c r="I16" s="502">
        <v>36926</v>
      </c>
      <c r="J16" s="502">
        <v>37391</v>
      </c>
      <c r="K16" s="502">
        <v>39924</v>
      </c>
      <c r="L16" s="502">
        <v>36696</v>
      </c>
      <c r="M16" s="502">
        <v>44814</v>
      </c>
      <c r="N16" s="502">
        <v>45944</v>
      </c>
      <c r="O16" s="504">
        <f t="shared" si="4"/>
        <v>499134</v>
      </c>
      <c r="P16" s="33"/>
      <c r="Q16" s="33">
        <f t="shared" si="1"/>
        <v>240000</v>
      </c>
      <c r="R16" s="33">
        <f>R$3*12-SUM($Q16:Q16)-SUMPRODUCT(--($C16:$N16&lt;=R$3),R$3-$C16:$N16)</f>
        <v>259134</v>
      </c>
      <c r="S16" s="33">
        <f>S$3*12-SUM($Q16:R16)-SUMPRODUCT(--($C16:$N16&lt;=S$3),S$3-$C16:$N16)</f>
        <v>0</v>
      </c>
      <c r="T16" s="33">
        <f>T$3*12-SUM($Q16:S16)-SUMPRODUCT(--($C16:$N16&lt;=T$3),T$3-$C16:$N16)</f>
        <v>0</v>
      </c>
      <c r="U16" s="33">
        <f>U$3*12-SUM($Q16:T16)-SUMPRODUCT(--($C16:$N16&lt;=U$3),U$3-$C16:$N16)</f>
        <v>0</v>
      </c>
      <c r="W16" s="33">
        <f>IF(O16&lt;250000,(250000-O16)*'Exh3'!$E$56,0)</f>
        <v>0</v>
      </c>
      <c r="X16" s="33">
        <f>IF(O16&lt;250000,(250000-O16)*'Exh3'!$I$56,0)</f>
        <v>0</v>
      </c>
      <c r="Y16" s="411">
        <f>Q16*'Exh3'!$D$51+'Big Schedules'!R16*'Exh3'!$D$52+'Big Schedules'!S16*'Exh3'!$D$53+'Big Schedules'!T16*'Exh3'!$D$54+'Big Schedules'!U16*'Exh3'!$D$55+'Exh3'!$D$49*12+W16</f>
        <v>56878.35024</v>
      </c>
      <c r="Z16" s="411">
        <f>Q16*'Exh3'!$I$51+'Big Schedules'!R16*'Exh3'!$I$52+'Big Schedules'!S16*'Exh3'!$I$53+'Big Schedules'!T16*'Exh3'!$I$54+'Big Schedules'!U16*'Exh3'!$I$55+'Exh3'!$I$49*12+X16</f>
        <v>56878.35024</v>
      </c>
      <c r="AA16" s="413">
        <f t="shared" si="5"/>
        <v>0</v>
      </c>
    </row>
    <row r="17" spans="1:27">
      <c r="A17">
        <f t="shared" si="3"/>
        <v>13</v>
      </c>
      <c r="B17" s="543" t="s">
        <v>664</v>
      </c>
      <c r="C17" s="502">
        <v>0</v>
      </c>
      <c r="D17" s="502">
        <v>0</v>
      </c>
      <c r="E17" s="502">
        <v>0</v>
      </c>
      <c r="F17" s="502">
        <v>0</v>
      </c>
      <c r="G17" s="502">
        <v>25026</v>
      </c>
      <c r="H17" s="502">
        <v>35256</v>
      </c>
      <c r="I17" s="502">
        <v>37434</v>
      </c>
      <c r="J17" s="502">
        <v>40410</v>
      </c>
      <c r="K17" s="502">
        <v>50098</v>
      </c>
      <c r="L17" s="502">
        <v>73747</v>
      </c>
      <c r="M17" s="502">
        <v>49717</v>
      </c>
      <c r="N17" s="502">
        <v>24865</v>
      </c>
      <c r="O17" s="504">
        <f t="shared" si="4"/>
        <v>336553</v>
      </c>
      <c r="P17" s="33"/>
      <c r="Q17" s="33">
        <f t="shared" si="1"/>
        <v>160000</v>
      </c>
      <c r="R17" s="33">
        <f>R$3*12-SUM($Q17:Q17)-SUMPRODUCT(--($C17:$N17&lt;=R$3),R$3-$C17:$N17)</f>
        <v>152708</v>
      </c>
      <c r="S17" s="33">
        <f>S$3*12-SUM($Q17:R17)-SUMPRODUCT(--($C17:$N17&lt;=S$3),S$3-$C17:$N17)</f>
        <v>23845</v>
      </c>
      <c r="T17" s="33">
        <f>T$3*12-SUM($Q17:S17)-SUMPRODUCT(--($C17:$N17&lt;=T$3),T$3-$C17:$N17)</f>
        <v>0</v>
      </c>
      <c r="U17" s="33">
        <f>U$3*12-SUM($Q17:T17)-SUMPRODUCT(--($C17:$N17&lt;=U$3),U$3-$C17:$N17)</f>
        <v>0</v>
      </c>
      <c r="W17" s="33">
        <f>IF(O17&lt;250000,(250000-O17)*'Exh3'!$E$56,0)</f>
        <v>0</v>
      </c>
      <c r="X17" s="33">
        <f>IF(O17&lt;250000,(250000-O17)*'Exh3'!$I$56,0)</f>
        <v>0</v>
      </c>
      <c r="Y17" s="411">
        <f>Q17*'Exh3'!$D$51+'Big Schedules'!R17*'Exh3'!$D$52+'Big Schedules'!S17*'Exh3'!$D$53+'Big Schedules'!T17*'Exh3'!$D$54+'Big Schedules'!U17*'Exh3'!$D$55+'Exh3'!$D$49*12+W17</f>
        <v>40554.729429999999</v>
      </c>
      <c r="Z17" s="411">
        <f>Q17*'Exh3'!$I$51+'Big Schedules'!R17*'Exh3'!$I$52+'Big Schedules'!S17*'Exh3'!$I$53+'Big Schedules'!T17*'Exh3'!$I$54+'Big Schedules'!U17*'Exh3'!$I$55+'Exh3'!$I$49*12+X17</f>
        <v>40554.729429999999</v>
      </c>
      <c r="AA17" s="413">
        <f t="shared" si="5"/>
        <v>0</v>
      </c>
    </row>
    <row r="18" spans="1:27">
      <c r="A18">
        <f t="shared" si="3"/>
        <v>14</v>
      </c>
      <c r="B18" s="543" t="s">
        <v>665</v>
      </c>
      <c r="C18" s="502">
        <v>39362</v>
      </c>
      <c r="D18" s="502">
        <v>39959</v>
      </c>
      <c r="E18" s="502">
        <v>42558</v>
      </c>
      <c r="F18" s="502">
        <v>37481</v>
      </c>
      <c r="G18" s="502">
        <v>28192</v>
      </c>
      <c r="H18" s="502">
        <v>23186</v>
      </c>
      <c r="I18" s="502">
        <v>21140</v>
      </c>
      <c r="J18" s="502">
        <v>19941</v>
      </c>
      <c r="K18" s="502">
        <v>20137</v>
      </c>
      <c r="L18" s="502">
        <v>22984</v>
      </c>
      <c r="M18" s="502">
        <v>34634</v>
      </c>
      <c r="N18" s="502">
        <v>37992</v>
      </c>
      <c r="O18" s="504">
        <f t="shared" si="4"/>
        <v>367566</v>
      </c>
      <c r="P18" s="33"/>
      <c r="Q18" s="33">
        <f t="shared" si="1"/>
        <v>239941</v>
      </c>
      <c r="R18" s="33">
        <f>R$3*12-SUM($Q18:Q18)-SUMPRODUCT(--($C18:$N18&lt;=R$3),R$3-$C18:$N18)</f>
        <v>127625</v>
      </c>
      <c r="S18" s="33">
        <f>S$3*12-SUM($Q18:R18)-SUMPRODUCT(--($C18:$N18&lt;=S$3),S$3-$C18:$N18)</f>
        <v>0</v>
      </c>
      <c r="T18" s="33">
        <f>T$3*12-SUM($Q18:S18)-SUMPRODUCT(--($C18:$N18&lt;=T$3),T$3-$C18:$N18)</f>
        <v>0</v>
      </c>
      <c r="U18" s="33">
        <f>U$3*12-SUM($Q18:T18)-SUMPRODUCT(--($C18:$N18&lt;=U$3),U$3-$C18:$N18)</f>
        <v>0</v>
      </c>
      <c r="W18" s="33">
        <f>IF(O18&lt;250000,(250000-O18)*'Exh3'!$E$56,0)</f>
        <v>0</v>
      </c>
      <c r="X18" s="33">
        <f>IF(O18&lt;250000,(250000-O18)*'Exh3'!$I$56,0)</f>
        <v>0</v>
      </c>
      <c r="Y18" s="411">
        <f>Q18*'Exh3'!$D$51+'Big Schedules'!R18*'Exh3'!$D$52+'Big Schedules'!S18*'Exh3'!$D$53+'Big Schedules'!T18*'Exh3'!$D$54+'Big Schedules'!U18*'Exh3'!$D$55+'Exh3'!$D$49*12+W18</f>
        <v>44594.478539999996</v>
      </c>
      <c r="Z18" s="411">
        <f>Q18*'Exh3'!$I$51+'Big Schedules'!R18*'Exh3'!$I$52+'Big Schedules'!S18*'Exh3'!$I$53+'Big Schedules'!T18*'Exh3'!$I$54+'Big Schedules'!U18*'Exh3'!$I$55+'Exh3'!$I$49*12+X18</f>
        <v>44594.478539999996</v>
      </c>
      <c r="AA18" s="413">
        <f t="shared" si="5"/>
        <v>0</v>
      </c>
    </row>
    <row r="19" spans="1:27">
      <c r="A19">
        <f t="shared" si="3"/>
        <v>15</v>
      </c>
      <c r="B19" s="543" t="s">
        <v>666</v>
      </c>
      <c r="C19" s="502">
        <v>0</v>
      </c>
      <c r="D19" s="502">
        <v>0</v>
      </c>
      <c r="E19" s="502">
        <v>0</v>
      </c>
      <c r="F19" s="502">
        <v>0</v>
      </c>
      <c r="G19" s="502">
        <v>161846</v>
      </c>
      <c r="H19" s="502">
        <v>65006</v>
      </c>
      <c r="I19" s="502">
        <v>35790</v>
      </c>
      <c r="J19" s="502">
        <v>165048</v>
      </c>
      <c r="K19" s="502">
        <v>12685</v>
      </c>
      <c r="L19" s="502">
        <v>40856</v>
      </c>
      <c r="M19" s="502">
        <v>1800</v>
      </c>
      <c r="N19" s="502">
        <v>0</v>
      </c>
      <c r="O19" s="504">
        <f t="shared" si="4"/>
        <v>483031</v>
      </c>
      <c r="P19" s="33"/>
      <c r="Q19" s="33">
        <f t="shared" si="1"/>
        <v>114485</v>
      </c>
      <c r="R19" s="33">
        <f>R$3*12-SUM($Q19:Q19)-SUMPRODUCT(--($C19:$N19&lt;=R$3),R$3-$C19:$N19)</f>
        <v>126646</v>
      </c>
      <c r="S19" s="33">
        <f>S$3*12-SUM($Q19:R19)-SUMPRODUCT(--($C19:$N19&lt;=S$3),S$3-$C19:$N19)</f>
        <v>241900</v>
      </c>
      <c r="T19" s="33">
        <f>T$3*12-SUM($Q19:S19)-SUMPRODUCT(--($C19:$N19&lt;=T$3),T$3-$C19:$N19)</f>
        <v>0</v>
      </c>
      <c r="U19" s="33">
        <f>U$3*12-SUM($Q19:T19)-SUMPRODUCT(--($C19:$N19&lt;=U$3),U$3-$C19:$N19)</f>
        <v>0</v>
      </c>
      <c r="W19" s="33">
        <f>IF(O19&lt;250000,(250000-O19)*'Exh3'!$E$56,0)</f>
        <v>0</v>
      </c>
      <c r="X19" s="33">
        <f>IF(O19&lt;250000,(250000-O19)*'Exh3'!$I$56,0)</f>
        <v>0</v>
      </c>
      <c r="Y19" s="411">
        <f>Q19*'Exh3'!$D$51+'Big Schedules'!R19*'Exh3'!$D$52+'Big Schedules'!S19*'Exh3'!$D$53+'Big Schedules'!T19*'Exh3'!$D$54+'Big Schedules'!U19*'Exh3'!$D$55+'Exh3'!$D$49*12+W19</f>
        <v>51703.28746</v>
      </c>
      <c r="Z19" s="411">
        <f>Q19*'Exh3'!$I$51+'Big Schedules'!R19*'Exh3'!$I$52+'Big Schedules'!S19*'Exh3'!$I$53+'Big Schedules'!T19*'Exh3'!$I$54+'Big Schedules'!U19*'Exh3'!$I$55+'Exh3'!$I$49*12+X19</f>
        <v>51703.28746</v>
      </c>
      <c r="AA19" s="413">
        <f t="shared" si="5"/>
        <v>0</v>
      </c>
    </row>
    <row r="20" spans="1:27">
      <c r="A20">
        <f t="shared" si="3"/>
        <v>16</v>
      </c>
      <c r="B20" s="544" t="s">
        <v>667</v>
      </c>
      <c r="C20" s="502">
        <v>34166</v>
      </c>
      <c r="D20" s="502">
        <v>50923</v>
      </c>
      <c r="E20" s="502">
        <v>59143</v>
      </c>
      <c r="F20" s="502">
        <v>60482</v>
      </c>
      <c r="G20" s="502">
        <v>47884</v>
      </c>
      <c r="H20" s="502">
        <v>40509</v>
      </c>
      <c r="I20" s="502">
        <v>42154</v>
      </c>
      <c r="J20" s="502">
        <v>40530</v>
      </c>
      <c r="K20" s="502">
        <v>42876</v>
      </c>
      <c r="L20" s="502">
        <v>41611</v>
      </c>
      <c r="M20" s="502">
        <v>48232</v>
      </c>
      <c r="N20" s="502">
        <v>42396</v>
      </c>
      <c r="O20" s="504">
        <f t="shared" ref="O20" si="6">SUM(C20:N20)</f>
        <v>550906</v>
      </c>
      <c r="P20" s="33"/>
      <c r="Q20" s="33">
        <f t="shared" si="1"/>
        <v>240000</v>
      </c>
      <c r="R20" s="33">
        <f>R$3*12-SUM($Q20:Q20)-SUMPRODUCT(--($C20:$N20&lt;=R$3),R$3-$C20:$N20)</f>
        <v>290358</v>
      </c>
      <c r="S20" s="33">
        <f>S$3*12-SUM($Q20:R20)-SUMPRODUCT(--($C20:$N20&lt;=S$3),S$3-$C20:$N20)</f>
        <v>20548</v>
      </c>
      <c r="T20" s="33">
        <f>T$3*12-SUM($Q20:S20)-SUMPRODUCT(--($C20:$N20&lt;=T$3),T$3-$C20:$N20)</f>
        <v>0</v>
      </c>
      <c r="U20" s="33">
        <f>U$3*12-SUM($Q20:T20)-SUMPRODUCT(--($C20:$N20&lt;=U$3),U$3-$C20:$N20)</f>
        <v>0</v>
      </c>
      <c r="W20" s="33">
        <f>IF(O20&lt;250000,(250000-O20)*'Exh3'!$E$56,0)</f>
        <v>0</v>
      </c>
      <c r="X20" s="33">
        <f>IF(O20&lt;250000,(250000-O20)*'Exh3'!$I$56,0)</f>
        <v>0</v>
      </c>
      <c r="Y20" s="411">
        <f>Q20*'Exh3'!$D$51+'Big Schedules'!R20*'Exh3'!$D$52+'Big Schedules'!S20*'Exh3'!$D$53+'Big Schedules'!T20*'Exh3'!$D$54+'Big Schedules'!U20*'Exh3'!$D$55+'Exh3'!$D$49*12+W20</f>
        <v>61523.358999999997</v>
      </c>
      <c r="Z20" s="411">
        <f>Q20*'Exh3'!$I$51+'Big Schedules'!R20*'Exh3'!$I$52+'Big Schedules'!S20*'Exh3'!$I$53+'Big Schedules'!T20*'Exh3'!$I$54+'Big Schedules'!U20*'Exh3'!$I$55+'Exh3'!$I$49*12+X20</f>
        <v>61523.358999999997</v>
      </c>
      <c r="AA20" s="413">
        <f t="shared" ref="AA20" si="7">Z20/Y20-1</f>
        <v>0</v>
      </c>
    </row>
    <row r="21" spans="1:27">
      <c r="A21">
        <f t="shared" si="3"/>
        <v>17</v>
      </c>
      <c r="B21" s="543" t="s">
        <v>668</v>
      </c>
      <c r="C21" s="502">
        <v>102373</v>
      </c>
      <c r="D21" s="502">
        <v>110964</v>
      </c>
      <c r="E21" s="502">
        <v>121017</v>
      </c>
      <c r="F21" s="502">
        <v>100555</v>
      </c>
      <c r="G21" s="502">
        <v>71153</v>
      </c>
      <c r="H21" s="502">
        <v>55263</v>
      </c>
      <c r="I21" s="502">
        <v>51689</v>
      </c>
      <c r="J21" s="502">
        <v>52604</v>
      </c>
      <c r="K21" s="502">
        <v>52163</v>
      </c>
      <c r="L21" s="502">
        <v>58976</v>
      </c>
      <c r="M21" s="502">
        <v>88943</v>
      </c>
      <c r="N21" s="502">
        <v>98010</v>
      </c>
      <c r="O21" s="504">
        <f t="shared" si="4"/>
        <v>963710</v>
      </c>
      <c r="P21" s="33"/>
      <c r="Q21" s="33">
        <f t="shared" si="1"/>
        <v>240000</v>
      </c>
      <c r="R21" s="33">
        <f>R$3*12-SUM($Q21:Q21)-SUMPRODUCT(--($C21:$N21&lt;=R$3),R$3-$C21:$N21)</f>
        <v>360000</v>
      </c>
      <c r="S21" s="33">
        <f>S$3*12-SUM($Q21:R21)-SUMPRODUCT(--($C21:$N21&lt;=S$3),S$3-$C21:$N21)</f>
        <v>363710</v>
      </c>
      <c r="T21" s="33">
        <f>T$3*12-SUM($Q21:S21)-SUMPRODUCT(--($C21:$N21&lt;=T$3),T$3-$C21:$N21)</f>
        <v>0</v>
      </c>
      <c r="U21" s="33">
        <f>U$3*12-SUM($Q21:T21)-SUMPRODUCT(--($C21:$N21&lt;=U$3),U$3-$C21:$N21)</f>
        <v>0</v>
      </c>
      <c r="W21" s="33">
        <f>IF(O21&lt;250000,(250000-O21)*'Exh3'!$E$56,0)</f>
        <v>0</v>
      </c>
      <c r="X21" s="33">
        <f>IF(O21&lt;250000,(250000-O21)*'Exh3'!$I$56,0)</f>
        <v>0</v>
      </c>
      <c r="Y21" s="411">
        <f>Q21*'Exh3'!$D$51+'Big Schedules'!R21*'Exh3'!$D$52+'Big Schedules'!S21*'Exh3'!$D$53+'Big Schedules'!T21*'Exh3'!$D$54+'Big Schedules'!U21*'Exh3'!$D$55+'Exh3'!$D$49*12+W21</f>
        <v>96915.944900000002</v>
      </c>
      <c r="Z21" s="411">
        <f>Q21*'Exh3'!$I$51+'Big Schedules'!R21*'Exh3'!$I$52+'Big Schedules'!S21*'Exh3'!$I$53+'Big Schedules'!T21*'Exh3'!$I$54+'Big Schedules'!U21*'Exh3'!$I$55+'Exh3'!$I$49*12+X21</f>
        <v>96915.944900000002</v>
      </c>
      <c r="AA21" s="413">
        <f t="shared" si="5"/>
        <v>0</v>
      </c>
    </row>
    <row r="22" spans="1:27">
      <c r="A22">
        <f t="shared" si="3"/>
        <v>18</v>
      </c>
      <c r="B22" s="543" t="s">
        <v>669</v>
      </c>
      <c r="C22" s="502">
        <v>56027</v>
      </c>
      <c r="D22" s="502">
        <v>58999</v>
      </c>
      <c r="E22" s="502">
        <v>63954</v>
      </c>
      <c r="F22" s="502">
        <v>51324</v>
      </c>
      <c r="G22" s="502">
        <v>30049</v>
      </c>
      <c r="H22" s="502">
        <v>19219</v>
      </c>
      <c r="I22" s="502">
        <v>14082</v>
      </c>
      <c r="J22" s="502">
        <v>11714</v>
      </c>
      <c r="K22" s="502">
        <v>13481</v>
      </c>
      <c r="L22" s="502">
        <v>21731</v>
      </c>
      <c r="M22" s="502">
        <v>44263</v>
      </c>
      <c r="N22" s="502">
        <v>49882</v>
      </c>
      <c r="O22" s="504">
        <f t="shared" si="4"/>
        <v>434725</v>
      </c>
      <c r="P22" s="33"/>
      <c r="Q22" s="33">
        <f t="shared" si="1"/>
        <v>218496</v>
      </c>
      <c r="R22" s="33">
        <f>R$3*12-SUM($Q22:Q22)-SUMPRODUCT(--($C22:$N22&lt;=R$3),R$3-$C22:$N22)</f>
        <v>185925</v>
      </c>
      <c r="S22" s="33">
        <f>S$3*12-SUM($Q22:R22)-SUMPRODUCT(--($C22:$N22&lt;=S$3),S$3-$C22:$N22)</f>
        <v>30304</v>
      </c>
      <c r="T22" s="33">
        <f>T$3*12-SUM($Q22:S22)-SUMPRODUCT(--($C22:$N22&lt;=T$3),T$3-$C22:$N22)</f>
        <v>0</v>
      </c>
      <c r="U22" s="33">
        <f>U$3*12-SUM($Q22:T22)-SUMPRODUCT(--($C22:$N22&lt;=U$3),U$3-$C22:$N22)</f>
        <v>0</v>
      </c>
      <c r="W22" s="33">
        <f>IF(O22&lt;250000,(250000-O22)*'Exh3'!$E$56,0)</f>
        <v>0</v>
      </c>
      <c r="X22" s="33">
        <f>IF(O22&lt;250000,(250000-O22)*'Exh3'!$I$56,0)</f>
        <v>0</v>
      </c>
      <c r="Y22" s="411">
        <f>Q22*'Exh3'!$D$51+'Big Schedules'!R22*'Exh3'!$D$52+'Big Schedules'!S22*'Exh3'!$D$53+'Big Schedules'!T22*'Exh3'!$D$54+'Big Schedules'!U22*'Exh3'!$D$55+'Exh3'!$D$49*12+W22</f>
        <v>50338.221999999994</v>
      </c>
      <c r="Z22" s="411">
        <f>Q22*'Exh3'!$I$51+'Big Schedules'!R22*'Exh3'!$I$52+'Big Schedules'!S22*'Exh3'!$I$53+'Big Schedules'!T22*'Exh3'!$I$54+'Big Schedules'!U22*'Exh3'!$I$55+'Exh3'!$I$49*12+X22</f>
        <v>50338.221999999994</v>
      </c>
      <c r="AA22" s="413">
        <f t="shared" si="5"/>
        <v>0</v>
      </c>
    </row>
    <row r="23" spans="1:27">
      <c r="A23">
        <f t="shared" si="3"/>
        <v>19</v>
      </c>
      <c r="B23" s="543" t="s">
        <v>670</v>
      </c>
      <c r="C23" s="502">
        <v>779708</v>
      </c>
      <c r="D23" s="502">
        <v>822615</v>
      </c>
      <c r="E23" s="502">
        <v>755701</v>
      </c>
      <c r="F23" s="502">
        <v>843724</v>
      </c>
      <c r="G23" s="502">
        <v>798636</v>
      </c>
      <c r="H23" s="502">
        <v>756480</v>
      </c>
      <c r="I23" s="502">
        <v>767901</v>
      </c>
      <c r="J23" s="502">
        <v>737026</v>
      </c>
      <c r="K23" s="502">
        <v>748772</v>
      </c>
      <c r="L23" s="502">
        <v>781364</v>
      </c>
      <c r="M23" s="502">
        <v>774559</v>
      </c>
      <c r="N23" s="502">
        <v>789231</v>
      </c>
      <c r="O23" s="474">
        <f t="shared" si="4"/>
        <v>9355717</v>
      </c>
      <c r="P23" s="33"/>
      <c r="Q23" s="33">
        <f t="shared" si="1"/>
        <v>240000</v>
      </c>
      <c r="R23" s="33">
        <f>R$3*12-SUM($Q23:Q23)-SUMPRODUCT(--($C23:$N23&lt;=R$3),R$3-$C23:$N23)</f>
        <v>360000</v>
      </c>
      <c r="S23" s="33">
        <f>S$3*12-SUM($Q23:R23)-SUMPRODUCT(--($C23:$N23&lt;=S$3),S$3-$C23:$N23)</f>
        <v>3000000</v>
      </c>
      <c r="T23" s="33">
        <f>T$3*12-SUM($Q23:S23)-SUMPRODUCT(--($C23:$N23&lt;=T$3),T$3-$C23:$N23)</f>
        <v>2400000</v>
      </c>
      <c r="U23" s="33">
        <f>U$3*12-SUM($Q23:T23)-SUMPRODUCT(--($C23:$N23&lt;=U$3),U$3-$C23:$N23)</f>
        <v>3355717</v>
      </c>
      <c r="W23" s="33">
        <f>IF(O23&lt;250000,(250000-O23)*'Exh3'!$E$56,0)</f>
        <v>0</v>
      </c>
      <c r="X23" s="33">
        <f>IF(O23&lt;250000,(250000-O23)*'Exh3'!$I$56,0)</f>
        <v>0</v>
      </c>
      <c r="Y23" s="411">
        <f>Q23*'Exh3'!$D$51+'Big Schedules'!R23*'Exh3'!$D$52+'Big Schedules'!S23*'Exh3'!$D$53+'Big Schedules'!T23*'Exh3'!$D$54+'Big Schedules'!U23*'Exh3'!$D$55+'Exh3'!$D$49*12+W23</f>
        <v>702048.20166999998</v>
      </c>
      <c r="Z23" s="411">
        <f>Q23*'Exh3'!$I$51+'Big Schedules'!R23*'Exh3'!$I$52+'Big Schedules'!S23*'Exh3'!$I$53+'Big Schedules'!T23*'Exh3'!$I$54+'Big Schedules'!U23*'Exh3'!$I$55+'Exh3'!$I$49*12+X23</f>
        <v>702048.20166999998</v>
      </c>
      <c r="AA23" s="413">
        <f t="shared" si="5"/>
        <v>0</v>
      </c>
    </row>
    <row r="24" spans="1:27">
      <c r="A24">
        <f t="shared" si="3"/>
        <v>20</v>
      </c>
      <c r="B24" s="543" t="s">
        <v>671</v>
      </c>
      <c r="C24" s="502">
        <v>38346</v>
      </c>
      <c r="D24" s="502">
        <v>39900</v>
      </c>
      <c r="E24" s="502">
        <v>40328</v>
      </c>
      <c r="F24" s="502">
        <v>40435</v>
      </c>
      <c r="G24" s="502">
        <v>38139</v>
      </c>
      <c r="H24" s="502">
        <v>35235</v>
      </c>
      <c r="I24" s="502">
        <v>32652</v>
      </c>
      <c r="J24" s="502">
        <v>32486</v>
      </c>
      <c r="K24" s="502">
        <v>33352</v>
      </c>
      <c r="L24" s="502">
        <v>31159</v>
      </c>
      <c r="M24" s="502">
        <v>42531</v>
      </c>
      <c r="N24" s="502">
        <v>42494</v>
      </c>
      <c r="O24" s="474">
        <f t="shared" si="4"/>
        <v>447057</v>
      </c>
      <c r="P24" s="33"/>
      <c r="Q24" s="33">
        <f t="shared" si="1"/>
        <v>240000</v>
      </c>
      <c r="R24" s="33">
        <f>R$3*12-SUM($Q24:Q24)-SUMPRODUCT(--($C24:$N24&lt;=R$3),R$3-$C24:$N24)</f>
        <v>207057</v>
      </c>
      <c r="S24" s="33">
        <f>S$3*12-SUM($Q24:R24)-SUMPRODUCT(--($C24:$N24&lt;=S$3),S$3-$C24:$N24)</f>
        <v>0</v>
      </c>
      <c r="T24" s="33">
        <f>T$3*12-SUM($Q24:S24)-SUMPRODUCT(--($C24:$N24&lt;=T$3),T$3-$C24:$N24)</f>
        <v>0</v>
      </c>
      <c r="U24" s="33">
        <f>U$3*12-SUM($Q24:T24)-SUMPRODUCT(--($C24:$N24&lt;=U$3),U$3-$C24:$N24)</f>
        <v>0</v>
      </c>
      <c r="W24" s="33">
        <f>IF(O24&lt;250000,(250000-O24)*'Exh3'!$E$56,0)</f>
        <v>0</v>
      </c>
      <c r="X24" s="33">
        <f>IF(O24&lt;250000,(250000-O24)*'Exh3'!$I$56,0)</f>
        <v>0</v>
      </c>
      <c r="Y24" s="411">
        <f>Q24*'Exh3'!$D$51+'Big Schedules'!R24*'Exh3'!$D$52+'Big Schedules'!S24*'Exh3'!$D$53+'Big Schedules'!T24*'Exh3'!$D$54+'Big Schedules'!U24*'Exh3'!$D$55+'Exh3'!$D$49*12+W24</f>
        <v>52016.441519999993</v>
      </c>
      <c r="Z24" s="411">
        <f>Q24*'Exh3'!$I$51+'Big Schedules'!R24*'Exh3'!$I$52+'Big Schedules'!S24*'Exh3'!$I$53+'Big Schedules'!T24*'Exh3'!$I$54+'Big Schedules'!U24*'Exh3'!$I$55+'Exh3'!$I$49*12+X24</f>
        <v>52016.441519999993</v>
      </c>
      <c r="AA24" s="413">
        <f t="shared" si="5"/>
        <v>0</v>
      </c>
    </row>
    <row r="25" spans="1:27">
      <c r="A25">
        <f t="shared" si="3"/>
        <v>21</v>
      </c>
      <c r="B25" s="543" t="s">
        <v>664</v>
      </c>
      <c r="C25" s="502">
        <v>8</v>
      </c>
      <c r="D25" s="502">
        <v>7</v>
      </c>
      <c r="E25" s="502">
        <v>7</v>
      </c>
      <c r="F25" s="502">
        <v>6</v>
      </c>
      <c r="G25" s="502">
        <v>401</v>
      </c>
      <c r="H25" s="502">
        <v>58667</v>
      </c>
      <c r="I25" s="502">
        <v>105137</v>
      </c>
      <c r="J25" s="502">
        <v>41700</v>
      </c>
      <c r="K25" s="502">
        <v>69061</v>
      </c>
      <c r="L25" s="502">
        <v>37544</v>
      </c>
      <c r="M25" s="502">
        <v>62153</v>
      </c>
      <c r="N25" s="502">
        <v>16413</v>
      </c>
      <c r="O25" s="474">
        <f t="shared" si="4"/>
        <v>391104</v>
      </c>
      <c r="P25" s="33"/>
      <c r="Q25" s="33">
        <f t="shared" si="1"/>
        <v>136842</v>
      </c>
      <c r="R25" s="33">
        <f>R$3*12-SUM($Q25:Q25)-SUMPRODUCT(--($C25:$N25&lt;=R$3),R$3-$C25:$N25)</f>
        <v>159244</v>
      </c>
      <c r="S25" s="33">
        <f>S$3*12-SUM($Q25:R25)-SUMPRODUCT(--($C25:$N25&lt;=S$3),S$3-$C25:$N25)</f>
        <v>95018</v>
      </c>
      <c r="T25" s="33">
        <f>T$3*12-SUM($Q25:S25)-SUMPRODUCT(--($C25:$N25&lt;=T$3),T$3-$C25:$N25)</f>
        <v>0</v>
      </c>
      <c r="U25" s="33">
        <f>U$3*12-SUM($Q25:T25)-SUMPRODUCT(--($C25:$N25&lt;=U$3),U$3-$C25:$N25)</f>
        <v>0</v>
      </c>
      <c r="W25" s="33">
        <f>IF(O25&lt;250000,(250000-O25)*'Exh3'!$E$56,0)</f>
        <v>0</v>
      </c>
      <c r="X25" s="33">
        <f>IF(O25&lt;250000,(250000-O25)*'Exh3'!$I$56,0)</f>
        <v>0</v>
      </c>
      <c r="Y25" s="411">
        <f>Q25*'Exh3'!$D$51+'Big Schedules'!R25*'Exh3'!$D$52+'Big Schedules'!S25*'Exh3'!$D$53+'Big Schedules'!T25*'Exh3'!$D$54+'Big Schedules'!U25*'Exh3'!$D$55+'Exh3'!$D$49*12+W25</f>
        <v>44726.784739999996</v>
      </c>
      <c r="Z25" s="411">
        <f>Q25*'Exh3'!$I$51+'Big Schedules'!R25*'Exh3'!$I$52+'Big Schedules'!S25*'Exh3'!$I$53+'Big Schedules'!T25*'Exh3'!$I$54+'Big Schedules'!U25*'Exh3'!$I$55+'Exh3'!$I$49*12+X25</f>
        <v>44726.784739999996</v>
      </c>
      <c r="AA25" s="413">
        <f t="shared" si="5"/>
        <v>0</v>
      </c>
    </row>
    <row r="26" spans="1:27">
      <c r="A26">
        <f t="shared" si="3"/>
        <v>22</v>
      </c>
      <c r="B26" s="543" t="s">
        <v>672</v>
      </c>
      <c r="C26" s="502">
        <v>173092</v>
      </c>
      <c r="D26" s="502">
        <v>295905</v>
      </c>
      <c r="E26" s="502">
        <v>331530</v>
      </c>
      <c r="F26" s="502">
        <v>293984</v>
      </c>
      <c r="G26" s="502">
        <v>254108</v>
      </c>
      <c r="H26" s="502">
        <v>212429</v>
      </c>
      <c r="I26" s="502">
        <v>175116</v>
      </c>
      <c r="J26" s="502">
        <v>185562</v>
      </c>
      <c r="K26" s="502">
        <v>195836</v>
      </c>
      <c r="L26" s="502">
        <v>202609</v>
      </c>
      <c r="M26" s="502">
        <v>303840</v>
      </c>
      <c r="N26" s="502">
        <v>314974</v>
      </c>
      <c r="O26" s="474">
        <f t="shared" ref="O26:O31" si="8">SUM(C26:N26)</f>
        <v>2938985</v>
      </c>
      <c r="P26" s="33"/>
      <c r="Q26" s="33">
        <f t="shared" si="1"/>
        <v>240000</v>
      </c>
      <c r="R26" s="33">
        <f>R$3*12-SUM($Q26:Q26)-SUMPRODUCT(--($C26:$N26&lt;=R$3),R$3-$C26:$N26)</f>
        <v>360000</v>
      </c>
      <c r="S26" s="33">
        <f>S$3*12-SUM($Q26:R26)-SUMPRODUCT(--($C26:$N26&lt;=S$3),S$3-$C26:$N26)</f>
        <v>2288641</v>
      </c>
      <c r="T26" s="33">
        <f>T$3*12-SUM($Q26:S26)-SUMPRODUCT(--($C26:$N26&lt;=T$3),T$3-$C26:$N26)</f>
        <v>50344</v>
      </c>
      <c r="U26" s="33">
        <f>U$3*12-SUM($Q26:T26)-SUMPRODUCT(--($C26:$N26&lt;=U$3),U$3-$C26:$N26)</f>
        <v>0</v>
      </c>
      <c r="W26" s="33">
        <f>IF(O26&lt;250000,(250000-O26)*'Exh3'!$E$56,0)</f>
        <v>0</v>
      </c>
      <c r="X26" s="33">
        <f>IF(O26&lt;250000,(250000-O26)*'Exh3'!$I$56,0)</f>
        <v>0</v>
      </c>
      <c r="Y26" s="411">
        <f>Q26*'Exh3'!$D$51+'Big Schedules'!R26*'Exh3'!$D$52+'Big Schedules'!S26*'Exh3'!$D$53+'Big Schedules'!T26*'Exh3'!$D$54+'Big Schedules'!U26*'Exh3'!$D$55+'Exh3'!$D$49*12+W26</f>
        <v>262895.16618999996</v>
      </c>
      <c r="Z26" s="411">
        <f>Q26*'Exh3'!$I$51+'Big Schedules'!R26*'Exh3'!$I$52+'Big Schedules'!S26*'Exh3'!$I$53+'Big Schedules'!T26*'Exh3'!$I$54+'Big Schedules'!U26*'Exh3'!$I$55+'Exh3'!$I$49*12+X26</f>
        <v>262895.16618999996</v>
      </c>
      <c r="AA26" s="413">
        <f t="shared" ref="AA26:AA31" si="9">Z26/Y26-1</f>
        <v>0</v>
      </c>
    </row>
    <row r="27" spans="1:27">
      <c r="A27">
        <f t="shared" si="3"/>
        <v>23</v>
      </c>
      <c r="B27" s="543" t="s">
        <v>673</v>
      </c>
      <c r="C27" s="502">
        <v>74758</v>
      </c>
      <c r="D27" s="502">
        <v>137307</v>
      </c>
      <c r="E27" s="502">
        <v>123889</v>
      </c>
      <c r="F27" s="502">
        <v>127713</v>
      </c>
      <c r="G27" s="502">
        <v>126078</v>
      </c>
      <c r="H27" s="502">
        <v>113500</v>
      </c>
      <c r="I27" s="502">
        <v>101178</v>
      </c>
      <c r="J27" s="502">
        <v>92298</v>
      </c>
      <c r="K27" s="502">
        <v>107440</v>
      </c>
      <c r="L27" s="502">
        <v>106624</v>
      </c>
      <c r="M27" s="502">
        <v>128187</v>
      </c>
      <c r="N27" s="502">
        <v>121364</v>
      </c>
      <c r="O27" s="474">
        <f t="shared" si="8"/>
        <v>1360336</v>
      </c>
      <c r="P27" s="33"/>
      <c r="Q27" s="33">
        <f t="shared" si="1"/>
        <v>240000</v>
      </c>
      <c r="R27" s="33">
        <f>R$3*12-SUM($Q27:Q27)-SUMPRODUCT(--($C27:$N27&lt;=R$3),R$3-$C27:$N27)</f>
        <v>360000</v>
      </c>
      <c r="S27" s="33">
        <f>S$3*12-SUM($Q27:R27)-SUMPRODUCT(--($C27:$N27&lt;=S$3),S$3-$C27:$N27)</f>
        <v>760336</v>
      </c>
      <c r="T27" s="33"/>
      <c r="U27" s="33"/>
      <c r="W27" s="33">
        <f>IF(O27&lt;250000,(250000-O27)*'Exh3'!$E$56,0)</f>
        <v>0</v>
      </c>
      <c r="X27" s="33">
        <f>IF(O27&lt;250000,(250000-O27)*'Exh3'!$I$56,0)</f>
        <v>0</v>
      </c>
      <c r="Y27" s="411">
        <f>Q27*'Exh3'!$D$51+'Big Schedules'!R27*'Exh3'!$D$52+'Big Schedules'!S27*'Exh3'!$D$53+'Big Schedules'!T27*'Exh3'!$D$54+'Big Schedules'!U27*'Exh3'!$D$55+'Exh3'!$D$49*12+W27</f>
        <v>130307.88784</v>
      </c>
      <c r="Z27" s="411">
        <f>Q27*'Exh3'!$I$51+'Big Schedules'!R27*'Exh3'!$I$52+'Big Schedules'!S27*'Exh3'!$I$53+'Big Schedules'!T27*'Exh3'!$I$54+'Big Schedules'!U27*'Exh3'!$I$55+'Exh3'!$I$49*12+X27</f>
        <v>130307.88784</v>
      </c>
      <c r="AA27" s="413">
        <f t="shared" si="9"/>
        <v>0</v>
      </c>
    </row>
    <row r="28" spans="1:27">
      <c r="A28">
        <f t="shared" si="3"/>
        <v>24</v>
      </c>
      <c r="B28" s="543" t="s">
        <v>674</v>
      </c>
      <c r="C28" s="502">
        <v>95860</v>
      </c>
      <c r="D28" s="502">
        <v>101631</v>
      </c>
      <c r="E28" s="502">
        <v>136614</v>
      </c>
      <c r="F28" s="502">
        <v>87399</v>
      </c>
      <c r="G28" s="502">
        <v>48233</v>
      </c>
      <c r="H28" s="502">
        <v>15596</v>
      </c>
      <c r="I28" s="502">
        <v>6580</v>
      </c>
      <c r="J28" s="502">
        <v>5392</v>
      </c>
      <c r="K28" s="502">
        <v>6770</v>
      </c>
      <c r="L28" s="502">
        <v>24692</v>
      </c>
      <c r="M28" s="502">
        <v>67775</v>
      </c>
      <c r="N28" s="502">
        <v>83267</v>
      </c>
      <c r="O28" s="474">
        <f t="shared" si="8"/>
        <v>679809</v>
      </c>
      <c r="P28" s="33"/>
      <c r="Q28" s="33">
        <f t="shared" si="1"/>
        <v>194338</v>
      </c>
      <c r="R28" s="33">
        <f>R$3*12-SUM($Q28:Q28)-SUMPRODUCT(--($C28:$N28&lt;=R$3),R$3-$C28:$N28)</f>
        <v>212925</v>
      </c>
      <c r="S28" s="33">
        <f>S$3*12-SUM($Q28:R28)-SUMPRODUCT(--($C28:$N28&lt;=S$3),S$3-$C28:$N28)</f>
        <v>272546</v>
      </c>
      <c r="T28" s="33"/>
      <c r="U28" s="33"/>
      <c r="W28" s="33">
        <f>IF(O28&lt;250000,(250000-O28)*'Exh3'!$E$56,0)</f>
        <v>0</v>
      </c>
      <c r="X28" s="33">
        <f>IF(O28&lt;250000,(250000-O28)*'Exh3'!$I$56,0)</f>
        <v>0</v>
      </c>
      <c r="Y28" s="411">
        <f>Q28*'Exh3'!$D$51+'Big Schedules'!R28*'Exh3'!$D$52+'Big Schedules'!S28*'Exh3'!$D$53+'Big Schedules'!T28*'Exh3'!$D$54+'Big Schedules'!U28*'Exh3'!$D$55+'Exh3'!$D$49*12+W28</f>
        <v>70718.155459999994</v>
      </c>
      <c r="Z28" s="411">
        <f>Q28*'Exh3'!$I$51+'Big Schedules'!R28*'Exh3'!$I$52+'Big Schedules'!S28*'Exh3'!$I$53+'Big Schedules'!T28*'Exh3'!$I$54+'Big Schedules'!U28*'Exh3'!$I$55+'Exh3'!$I$49*12+X28</f>
        <v>70718.155459999994</v>
      </c>
      <c r="AA28" s="413">
        <f t="shared" si="9"/>
        <v>0</v>
      </c>
    </row>
    <row r="29" spans="1:27">
      <c r="A29">
        <f t="shared" si="3"/>
        <v>25</v>
      </c>
      <c r="B29" s="543" t="s">
        <v>675</v>
      </c>
      <c r="C29" s="502">
        <v>38467</v>
      </c>
      <c r="D29" s="502">
        <v>42528</v>
      </c>
      <c r="E29" s="502">
        <v>37634</v>
      </c>
      <c r="F29" s="502">
        <v>40994</v>
      </c>
      <c r="G29" s="502">
        <v>48410</v>
      </c>
      <c r="H29" s="502">
        <v>49537</v>
      </c>
      <c r="I29" s="502">
        <v>47507</v>
      </c>
      <c r="J29" s="502">
        <v>53423</v>
      </c>
      <c r="K29" s="502">
        <v>52081</v>
      </c>
      <c r="L29" s="502">
        <v>49722</v>
      </c>
      <c r="M29" s="502">
        <v>53917</v>
      </c>
      <c r="N29" s="502">
        <v>51693</v>
      </c>
      <c r="O29" s="474">
        <f t="shared" si="8"/>
        <v>565913</v>
      </c>
      <c r="P29" s="33"/>
      <c r="Q29" s="33">
        <f t="shared" si="1"/>
        <v>240000</v>
      </c>
      <c r="R29" s="33">
        <f>R$3*12-SUM($Q29:Q29)-SUMPRODUCT(--($C29:$N29&lt;=R$3),R$3-$C29:$N29)</f>
        <v>314799</v>
      </c>
      <c r="S29" s="33">
        <f>S$3*12-SUM($Q29:R29)-SUMPRODUCT(--($C29:$N29&lt;=S$3),S$3-$C29:$N29)</f>
        <v>11114</v>
      </c>
      <c r="T29" s="33"/>
      <c r="U29" s="33"/>
      <c r="W29" s="33">
        <f>IF(O29&lt;250000,(250000-O29)*'Exh3'!$E$56,0)</f>
        <v>0</v>
      </c>
      <c r="X29" s="33">
        <f>IF(O29&lt;250000,(250000-O29)*'Exh3'!$I$56,0)</f>
        <v>0</v>
      </c>
      <c r="Y29" s="411">
        <f>Q29*'Exh3'!$D$51+'Big Schedules'!R29*'Exh3'!$D$52+'Big Schedules'!S29*'Exh3'!$D$53+'Big Schedules'!T29*'Exh3'!$D$54+'Big Schedules'!U29*'Exh3'!$D$55+'Exh3'!$D$49*12+W29</f>
        <v>63010.922299999998</v>
      </c>
      <c r="Z29" s="411">
        <f>Q29*'Exh3'!$I$51+'Big Schedules'!R29*'Exh3'!$I$52+'Big Schedules'!S29*'Exh3'!$I$53+'Big Schedules'!T29*'Exh3'!$I$54+'Big Schedules'!U29*'Exh3'!$I$55+'Exh3'!$I$49*12+X29</f>
        <v>63010.922299999998</v>
      </c>
      <c r="AA29" s="413">
        <f t="shared" si="9"/>
        <v>0</v>
      </c>
    </row>
    <row r="30" spans="1:27">
      <c r="A30">
        <f t="shared" si="3"/>
        <v>26</v>
      </c>
      <c r="B30" s="543" t="s">
        <v>676</v>
      </c>
      <c r="C30" s="502">
        <v>15196</v>
      </c>
      <c r="D30" s="502">
        <v>16154</v>
      </c>
      <c r="E30" s="502">
        <v>16726</v>
      </c>
      <c r="F30" s="502">
        <v>15691</v>
      </c>
      <c r="G30" s="502">
        <v>11420</v>
      </c>
      <c r="H30" s="502">
        <v>10944</v>
      </c>
      <c r="I30" s="502">
        <v>9427</v>
      </c>
      <c r="J30" s="502">
        <v>9865</v>
      </c>
      <c r="K30" s="502">
        <v>8840</v>
      </c>
      <c r="L30" s="502">
        <v>9636</v>
      </c>
      <c r="M30" s="502">
        <v>12089</v>
      </c>
      <c r="N30" s="502">
        <v>12505</v>
      </c>
      <c r="O30" s="475">
        <f t="shared" ref="O30" si="10">SUM(C30:N30)</f>
        <v>148493</v>
      </c>
      <c r="P30" s="33"/>
      <c r="Q30" s="33">
        <f t="shared" si="1"/>
        <v>148493</v>
      </c>
      <c r="R30" s="33">
        <f>R$3*12-SUM($Q30:Q30)-SUMPRODUCT(--($C30:$N30&lt;=R$3),R$3-$C30:$N30)</f>
        <v>0</v>
      </c>
      <c r="S30" s="33">
        <f>S$3*12-SUM($Q30:R30)-SUMPRODUCT(--($C30:$N30&lt;=S$3),S$3-$C30:$N30)</f>
        <v>0</v>
      </c>
      <c r="T30" s="33"/>
      <c r="U30" s="33"/>
      <c r="W30" s="33">
        <f>IF(O30&lt;250000,(250000-O30)*'Exh3'!$E$56,0)</f>
        <v>9476.6935200000007</v>
      </c>
      <c r="X30" s="33">
        <f>IF(O30&lt;250000,(250000-O30)*'Exh3'!$I$56,0)</f>
        <v>9476.6935200000007</v>
      </c>
      <c r="Y30" s="411">
        <f>Q30*'Exh3'!$D$51+'Big Schedules'!R30*'Exh3'!$D$52+'Big Schedules'!S30*'Exh3'!$D$53+'Big Schedules'!T30*'Exh3'!$D$54+'Big Schedules'!U30*'Exh3'!$D$55+'Exh3'!$D$49*12+W30</f>
        <v>32559.548940000001</v>
      </c>
      <c r="Z30" s="411">
        <f>Q30*'Exh3'!$I$51+'Big Schedules'!R30*'Exh3'!$I$52+'Big Schedules'!S30*'Exh3'!$I$53+'Big Schedules'!T30*'Exh3'!$I$54+'Big Schedules'!U30*'Exh3'!$I$55+'Exh3'!$I$49*12+X30</f>
        <v>32559.548940000001</v>
      </c>
      <c r="AA30" s="413">
        <f t="shared" ref="AA30" si="11">Z30/Y30-1</f>
        <v>0</v>
      </c>
    </row>
    <row r="31" spans="1:27">
      <c r="A31">
        <f t="shared" si="3"/>
        <v>27</v>
      </c>
      <c r="B31" s="543" t="s">
        <v>677</v>
      </c>
      <c r="C31" s="502">
        <v>64337</v>
      </c>
      <c r="D31" s="502">
        <v>68698</v>
      </c>
      <c r="E31" s="502">
        <v>75769</v>
      </c>
      <c r="F31" s="502">
        <v>55838</v>
      </c>
      <c r="G31" s="502">
        <v>32071</v>
      </c>
      <c r="H31" s="502">
        <v>15671</v>
      </c>
      <c r="I31" s="502">
        <v>10009</v>
      </c>
      <c r="J31" s="502">
        <v>5501</v>
      </c>
      <c r="K31" s="502">
        <v>6010</v>
      </c>
      <c r="L31" s="502">
        <v>13549</v>
      </c>
      <c r="M31" s="502">
        <v>42664</v>
      </c>
      <c r="N31" s="502">
        <v>53454</v>
      </c>
      <c r="O31" s="474">
        <f t="shared" si="8"/>
        <v>443571</v>
      </c>
      <c r="P31" s="33"/>
      <c r="Q31" s="33">
        <f t="shared" si="1"/>
        <v>190740</v>
      </c>
      <c r="R31" s="33">
        <f>R$3*12-SUM($Q31:Q31)-SUMPRODUCT(--($C31:$N31&lt;=R$3),R$3-$C31:$N31)</f>
        <v>184735</v>
      </c>
      <c r="S31" s="33">
        <f>S$3*12-SUM($Q31:R31)-SUMPRODUCT(--($C31:$N31&lt;=S$3),S$3-$C31:$N31)</f>
        <v>68096</v>
      </c>
      <c r="T31" s="33"/>
      <c r="U31" s="33"/>
      <c r="W31" s="33">
        <f>IF(O31&lt;250000,(250000-O31)*'Exh3'!$E$56,0)</f>
        <v>0</v>
      </c>
      <c r="X31" s="33">
        <f>IF(O31&lt;250000,(250000-O31)*'Exh3'!$I$56,0)</f>
        <v>0</v>
      </c>
      <c r="Y31" s="411">
        <f>Q31*'Exh3'!$D$51+'Big Schedules'!R31*'Exh3'!$D$52+'Big Schedules'!S31*'Exh3'!$D$53+'Big Schedules'!T31*'Exh3'!$D$54+'Big Schedules'!U31*'Exh3'!$D$55+'Exh3'!$D$49*12+W31</f>
        <v>50496.117440000002</v>
      </c>
      <c r="Z31" s="411">
        <f>Q31*'Exh3'!$I$51+'Big Schedules'!R31*'Exh3'!$I$52+'Big Schedules'!S31*'Exh3'!$I$53+'Big Schedules'!T31*'Exh3'!$I$54+'Big Schedules'!U31*'Exh3'!$I$55+'Exh3'!$I$49*12+X31</f>
        <v>50496.117440000002</v>
      </c>
      <c r="AA31" s="413">
        <f t="shared" si="9"/>
        <v>0</v>
      </c>
    </row>
    <row r="32" spans="1:27">
      <c r="A32">
        <f t="shared" si="3"/>
        <v>28</v>
      </c>
      <c r="B32" s="543" t="s">
        <v>678</v>
      </c>
      <c r="C32" s="502">
        <v>0</v>
      </c>
      <c r="D32" s="502">
        <v>0</v>
      </c>
      <c r="E32" s="502">
        <v>0</v>
      </c>
      <c r="F32" s="502">
        <v>0</v>
      </c>
      <c r="G32" s="502">
        <v>11768</v>
      </c>
      <c r="H32" s="502">
        <v>25055</v>
      </c>
      <c r="I32" s="502">
        <v>28164</v>
      </c>
      <c r="J32" s="502">
        <v>23059</v>
      </c>
      <c r="K32" s="502">
        <v>21057</v>
      </c>
      <c r="L32" s="502">
        <v>21838</v>
      </c>
      <c r="M32" s="502">
        <v>32503</v>
      </c>
      <c r="N32" s="502">
        <v>11515</v>
      </c>
      <c r="O32" s="475">
        <f t="shared" si="4"/>
        <v>174959</v>
      </c>
      <c r="P32" s="33"/>
      <c r="Q32" s="33">
        <f t="shared" si="1"/>
        <v>143283</v>
      </c>
      <c r="R32" s="33">
        <f>R$3*12-SUM($Q32:Q32)-SUMPRODUCT(--($C32:$N32&lt;=R$3),R$3-$C32:$N32)</f>
        <v>31676</v>
      </c>
      <c r="S32" s="33">
        <f>S$3*12-SUM($Q32:R32)-SUMPRODUCT(--($C32:$N32&lt;=S$3),S$3-$C32:$N32)</f>
        <v>0</v>
      </c>
      <c r="T32" s="33">
        <f>T$3*12-SUM($Q32:S32)-SUMPRODUCT(--($C32:$N32&lt;=T$3),T$3-$C32:$N32)</f>
        <v>0</v>
      </c>
      <c r="U32" s="33">
        <f>U$3*12-SUM($Q32:T32)-SUMPRODUCT(--($C32:$N32&lt;=U$3),U$3-$C32:$N32)</f>
        <v>0</v>
      </c>
      <c r="W32" s="33">
        <f>IF(O32&lt;250000,(250000-O32)*'Exh3'!$E$56,0)</f>
        <v>7005.8277600000001</v>
      </c>
      <c r="X32" s="33">
        <f>IF(O32&lt;250000,(250000-O32)*'Exh3'!$I$56,0)</f>
        <v>7005.8277600000001</v>
      </c>
      <c r="Y32" s="411">
        <f>Q32*'Exh3'!$D$51+'Big Schedules'!R32*'Exh3'!$D$52+'Big Schedules'!S32*'Exh3'!$D$53+'Big Schedules'!T32*'Exh3'!$D$54+'Big Schedules'!U32*'Exh3'!$D$55+'Exh3'!$D$49*12+W32</f>
        <v>32499.217139999997</v>
      </c>
      <c r="Z32" s="411">
        <f>Q32*'Exh3'!$I$51+'Big Schedules'!R32*'Exh3'!$I$52+'Big Schedules'!S32*'Exh3'!$I$53+'Big Schedules'!T32*'Exh3'!$I$54+'Big Schedules'!U32*'Exh3'!$I$55+'Exh3'!$I$49*12+X32</f>
        <v>32499.217139999997</v>
      </c>
      <c r="AA32" s="413">
        <f t="shared" si="5"/>
        <v>0</v>
      </c>
    </row>
    <row r="33" spans="1:28">
      <c r="A33">
        <f t="shared" si="3"/>
        <v>29</v>
      </c>
      <c r="B33" s="543" t="s">
        <v>679</v>
      </c>
      <c r="C33" s="502">
        <v>308651</v>
      </c>
      <c r="D33" s="502">
        <v>313647</v>
      </c>
      <c r="E33" s="502">
        <v>335334</v>
      </c>
      <c r="F33" s="502">
        <v>279028</v>
      </c>
      <c r="G33" s="502">
        <v>180272</v>
      </c>
      <c r="H33" s="502">
        <v>124150</v>
      </c>
      <c r="I33" s="502">
        <v>108119</v>
      </c>
      <c r="J33" s="502">
        <v>99647</v>
      </c>
      <c r="K33" s="502">
        <v>97858</v>
      </c>
      <c r="L33" s="502">
        <v>128582</v>
      </c>
      <c r="M33" s="502">
        <v>228917</v>
      </c>
      <c r="N33" s="502">
        <v>272415</v>
      </c>
      <c r="O33" s="474">
        <f t="shared" si="4"/>
        <v>2476620</v>
      </c>
      <c r="P33" s="33"/>
      <c r="Q33" s="33">
        <f t="shared" si="1"/>
        <v>240000</v>
      </c>
      <c r="R33" s="33">
        <f>R$3*12-SUM($Q33:Q33)-SUMPRODUCT(--($C33:$N33&lt;=R$3),R$3-$C33:$N33)</f>
        <v>360000</v>
      </c>
      <c r="S33" s="33">
        <f>S$3*12-SUM($Q33:R33)-SUMPRODUCT(--($C33:$N33&lt;=S$3),S$3-$C33:$N33)</f>
        <v>1818988</v>
      </c>
      <c r="T33" s="33">
        <f>T$3*12-SUM($Q33:S33)-SUMPRODUCT(--($C33:$N33&lt;=T$3),T$3-$C33:$N33)</f>
        <v>57632</v>
      </c>
      <c r="U33" s="33">
        <f>U$3*12-SUM($Q33:T33)-SUMPRODUCT(--($C33:$N33&lt;=U$3),U$3-$C33:$N33)</f>
        <v>0</v>
      </c>
      <c r="W33" s="33">
        <f>IF(O33&lt;250000,(250000-O33)*'Exh3'!$E$56,0)</f>
        <v>0</v>
      </c>
      <c r="X33" s="33">
        <f>IF(O33&lt;250000,(250000-O33)*'Exh3'!$I$56,0)</f>
        <v>0</v>
      </c>
      <c r="Y33" s="411">
        <f>Q33*'Exh3'!$D$51+'Big Schedules'!R33*'Exh3'!$D$52+'Big Schedules'!S33*'Exh3'!$D$53+'Big Schedules'!T33*'Exh3'!$D$54+'Big Schedules'!U33*'Exh3'!$D$55+'Exh3'!$D$49*12+W33</f>
        <v>223922.45092</v>
      </c>
      <c r="Z33" s="411">
        <f>Q33*'Exh3'!$I$51+'Big Schedules'!R33*'Exh3'!$I$52+'Big Schedules'!S33*'Exh3'!$I$53+'Big Schedules'!T33*'Exh3'!$I$54+'Big Schedules'!U33*'Exh3'!$I$55+'Exh3'!$I$49*12+X33</f>
        <v>223922.45092</v>
      </c>
      <c r="AA33" s="413">
        <f t="shared" si="5"/>
        <v>0</v>
      </c>
    </row>
    <row r="34" spans="1:28">
      <c r="A34">
        <f t="shared" si="3"/>
        <v>30</v>
      </c>
      <c r="B34" s="543" t="s">
        <v>680</v>
      </c>
      <c r="C34" s="502">
        <v>56138</v>
      </c>
      <c r="D34" s="502">
        <v>57943</v>
      </c>
      <c r="E34" s="502">
        <v>58378</v>
      </c>
      <c r="F34" s="502">
        <v>52527</v>
      </c>
      <c r="G34" s="502">
        <v>40628</v>
      </c>
      <c r="H34" s="502">
        <v>33082</v>
      </c>
      <c r="I34" s="502">
        <v>27902</v>
      </c>
      <c r="J34" s="502">
        <v>26873</v>
      </c>
      <c r="K34" s="502">
        <v>26833</v>
      </c>
      <c r="L34" s="502">
        <v>32842</v>
      </c>
      <c r="M34" s="502">
        <v>48228</v>
      </c>
      <c r="N34" s="502">
        <v>50926</v>
      </c>
      <c r="O34" s="474">
        <f t="shared" si="4"/>
        <v>512300</v>
      </c>
      <c r="P34" s="33"/>
      <c r="Q34" s="33">
        <f t="shared" si="1"/>
        <v>240000</v>
      </c>
      <c r="R34" s="33">
        <f>R$3*12-SUM($Q34:Q34)-SUMPRODUCT(--($C34:$N34&lt;=R$3),R$3-$C34:$N34)</f>
        <v>246388</v>
      </c>
      <c r="S34" s="33">
        <f>S$3*12-SUM($Q34:R34)-SUMPRODUCT(--($C34:$N34&lt;=S$3),S$3-$C34:$N34)</f>
        <v>25912</v>
      </c>
      <c r="T34" s="33">
        <f>T$3*12-SUM($Q34:S34)-SUMPRODUCT(--($C34:$N34&lt;=T$3),T$3-$C34:$N34)</f>
        <v>0</v>
      </c>
      <c r="U34" s="33">
        <f>U$3*12-SUM($Q34:T34)-SUMPRODUCT(--($C34:$N34&lt;=U$3),U$3-$C34:$N34)</f>
        <v>0</v>
      </c>
      <c r="W34" s="33">
        <f>IF(O34&lt;250000,(250000-O34)*'Exh3'!$E$56,0)</f>
        <v>0</v>
      </c>
      <c r="X34" s="33">
        <f>IF(O34&lt;250000,(250000-O34)*'Exh3'!$I$56,0)</f>
        <v>0</v>
      </c>
      <c r="Y34" s="411">
        <f>Q34*'Exh3'!$D$51+'Big Schedules'!R34*'Exh3'!$D$52+'Big Schedules'!S34*'Exh3'!$D$53+'Big Schedules'!T34*'Exh3'!$D$54+'Big Schedules'!U34*'Exh3'!$D$55+'Exh3'!$D$49*12+W34</f>
        <v>57869.914960000002</v>
      </c>
      <c r="Z34" s="411">
        <f>Q34*'Exh3'!$I$51+'Big Schedules'!R34*'Exh3'!$I$52+'Big Schedules'!S34*'Exh3'!$I$53+'Big Schedules'!T34*'Exh3'!$I$54+'Big Schedules'!U34*'Exh3'!$I$55+'Exh3'!$I$49*12+X34</f>
        <v>57869.914960000002</v>
      </c>
      <c r="AA34" s="413">
        <f t="shared" si="5"/>
        <v>0</v>
      </c>
    </row>
    <row r="35" spans="1:28">
      <c r="A35">
        <f t="shared" si="3"/>
        <v>31</v>
      </c>
      <c r="B35" s="543" t="s">
        <v>681</v>
      </c>
      <c r="C35" s="502">
        <v>50834</v>
      </c>
      <c r="D35" s="502">
        <v>52265</v>
      </c>
      <c r="E35" s="502">
        <v>58117</v>
      </c>
      <c r="F35" s="502">
        <v>44232</v>
      </c>
      <c r="G35" s="502">
        <v>25371</v>
      </c>
      <c r="H35" s="502">
        <v>12586</v>
      </c>
      <c r="I35" s="502">
        <v>7623</v>
      </c>
      <c r="J35" s="502">
        <v>4152</v>
      </c>
      <c r="K35" s="502">
        <v>3759</v>
      </c>
      <c r="L35" s="502">
        <v>11002</v>
      </c>
      <c r="M35" s="502">
        <v>31101</v>
      </c>
      <c r="N35" s="502">
        <v>39657</v>
      </c>
      <c r="O35" s="474">
        <f t="shared" si="4"/>
        <v>340699</v>
      </c>
      <c r="P35" s="33"/>
      <c r="Q35" s="33">
        <f t="shared" si="1"/>
        <v>179122</v>
      </c>
      <c r="R35" s="33">
        <f>R$3*12-SUM($Q35:Q35)-SUMPRODUCT(--($C35:$N35&lt;=R$3),R$3-$C35:$N35)</f>
        <v>150361</v>
      </c>
      <c r="S35" s="33">
        <f>S$3*12-SUM($Q35:R35)-SUMPRODUCT(--($C35:$N35&lt;=S$3),S$3-$C35:$N35)</f>
        <v>11216</v>
      </c>
      <c r="T35" s="33">
        <f>T$3*12-SUM($Q35:S35)-SUMPRODUCT(--($C35:$N35&lt;=T$3),T$3-$C35:$N35)</f>
        <v>0</v>
      </c>
      <c r="U35" s="33">
        <f>U$3*12-SUM($Q35:T35)-SUMPRODUCT(--($C35:$N35&lt;=U$3),U$3-$C35:$N35)</f>
        <v>0</v>
      </c>
      <c r="W35" s="33">
        <f>IF(O35&lt;250000,(250000-O35)*'Exh3'!$E$56,0)</f>
        <v>0</v>
      </c>
      <c r="X35" s="33">
        <f>IF(O35&lt;250000,(250000-O35)*'Exh3'!$I$56,0)</f>
        <v>0</v>
      </c>
      <c r="Y35" s="411">
        <f>Q35*'Exh3'!$D$51+'Big Schedules'!R35*'Exh3'!$D$52+'Big Schedules'!S35*'Exh3'!$D$53+'Big Schedules'!T35*'Exh3'!$D$54+'Big Schedules'!U35*'Exh3'!$D$55+'Exh3'!$D$49*12+W35</f>
        <v>41279.040679999998</v>
      </c>
      <c r="Z35" s="411">
        <f>Q35*'Exh3'!$I$51+'Big Schedules'!R35*'Exh3'!$I$52+'Big Schedules'!S35*'Exh3'!$I$53+'Big Schedules'!T35*'Exh3'!$I$54+'Big Schedules'!U35*'Exh3'!$I$55+'Exh3'!$I$49*12+X35</f>
        <v>41279.040679999998</v>
      </c>
      <c r="AA35" s="413">
        <f t="shared" si="5"/>
        <v>0</v>
      </c>
    </row>
    <row r="36" spans="1:28">
      <c r="A36">
        <f t="shared" si="3"/>
        <v>32</v>
      </c>
      <c r="B36" s="543" t="s">
        <v>682</v>
      </c>
      <c r="C36" s="502">
        <v>20180</v>
      </c>
      <c r="D36" s="502">
        <v>21571</v>
      </c>
      <c r="E36" s="502">
        <v>19566</v>
      </c>
      <c r="F36" s="502">
        <v>19367</v>
      </c>
      <c r="G36" s="502">
        <v>20166</v>
      </c>
      <c r="H36" s="502">
        <v>20092</v>
      </c>
      <c r="I36" s="502">
        <v>18183</v>
      </c>
      <c r="J36" s="502">
        <v>19828</v>
      </c>
      <c r="K36" s="502">
        <v>18997</v>
      </c>
      <c r="L36" s="502">
        <v>18754</v>
      </c>
      <c r="M36" s="502">
        <v>22063</v>
      </c>
      <c r="N36" s="502">
        <v>18994</v>
      </c>
      <c r="O36" s="475">
        <f t="shared" si="4"/>
        <v>237761</v>
      </c>
      <c r="P36" s="33"/>
      <c r="Q36" s="33">
        <f t="shared" si="1"/>
        <v>233689</v>
      </c>
      <c r="R36" s="33">
        <f>R$3*12-SUM($Q36:Q36)-SUMPRODUCT(--($C36:$N36&lt;=R$3),R$3-$C36:$N36)</f>
        <v>4072</v>
      </c>
      <c r="S36" s="33">
        <f>S$3*12-SUM($Q36:R36)-SUMPRODUCT(--($C36:$N36&lt;=S$3),S$3-$C36:$N36)</f>
        <v>0</v>
      </c>
      <c r="T36" s="33">
        <f>T$3*12-SUM($Q36:S36)-SUMPRODUCT(--($C36:$N36&lt;=T$3),T$3-$C36:$N36)</f>
        <v>0</v>
      </c>
      <c r="U36" s="33">
        <f>U$3*12-SUM($Q36:T36)-SUMPRODUCT(--($C36:$N36&lt;=U$3),U$3-$C36:$N36)</f>
        <v>0</v>
      </c>
      <c r="W36" s="33">
        <f>IF(O36&lt;250000,(250000-O36)*'Exh3'!$E$56,0)</f>
        <v>1142.6330399999999</v>
      </c>
      <c r="X36" s="33">
        <f>IF(O36&lt;250000,(250000-O36)*'Exh3'!$I$56,0)</f>
        <v>1142.6330399999999</v>
      </c>
      <c r="Y36" s="411">
        <f>Q36*'Exh3'!$D$51+'Big Schedules'!R36*'Exh3'!$D$52+'Big Schedules'!S36*'Exh3'!$D$53+'Big Schedules'!T36*'Exh3'!$D$54+'Big Schedules'!U36*'Exh3'!$D$55+'Exh3'!$D$49*12+W36</f>
        <v>33546.118619999994</v>
      </c>
      <c r="Z36" s="411">
        <f>Q36*'Exh3'!$I$51+'Big Schedules'!R36*'Exh3'!$I$52+'Big Schedules'!S36*'Exh3'!$I$53+'Big Schedules'!T36*'Exh3'!$I$54+'Big Schedules'!U36*'Exh3'!$I$55+'Exh3'!$I$49*12+X36</f>
        <v>33546.118619999994</v>
      </c>
      <c r="AA36" s="413">
        <f t="shared" si="5"/>
        <v>0</v>
      </c>
      <c r="AB36" s="360"/>
    </row>
    <row r="37" spans="1:28">
      <c r="A37">
        <f t="shared" si="3"/>
        <v>33</v>
      </c>
      <c r="B37" s="543" t="s">
        <v>683</v>
      </c>
      <c r="C37" s="502">
        <v>83677</v>
      </c>
      <c r="D37" s="502">
        <v>81422</v>
      </c>
      <c r="E37" s="502">
        <v>87580</v>
      </c>
      <c r="F37" s="502">
        <v>59692</v>
      </c>
      <c r="G37" s="502">
        <v>13623</v>
      </c>
      <c r="H37" s="502">
        <v>2331</v>
      </c>
      <c r="I37" s="502">
        <v>17</v>
      </c>
      <c r="J37" s="502">
        <v>0</v>
      </c>
      <c r="K37" s="502">
        <v>0</v>
      </c>
      <c r="L37" s="502">
        <v>2464</v>
      </c>
      <c r="M37" s="502">
        <v>46894</v>
      </c>
      <c r="N37" s="502">
        <v>90804</v>
      </c>
      <c r="O37" s="474">
        <f t="shared" ref="O37:O39" si="12">SUM(C37:N37)</f>
        <v>468504</v>
      </c>
      <c r="P37" s="33"/>
      <c r="Q37" s="33">
        <f t="shared" si="1"/>
        <v>138435</v>
      </c>
      <c r="R37" s="33">
        <f>R$3*12-SUM($Q37:Q37)-SUMPRODUCT(--($C37:$N37&lt;=R$3),R$3-$C37:$N37)</f>
        <v>176894</v>
      </c>
      <c r="S37" s="33">
        <f>S$3*12-SUM($Q37:R37)-SUMPRODUCT(--($C37:$N37&lt;=S$3),S$3-$C37:$N37)</f>
        <v>153175</v>
      </c>
      <c r="T37" s="33">
        <f>T$3*12-SUM($Q37:S37)-SUMPRODUCT(--($C37:$N37&lt;=T$3),T$3-$C37:$N37)</f>
        <v>0</v>
      </c>
      <c r="U37" s="33">
        <f>U$3*12-SUM($Q37:T37)-SUMPRODUCT(--($C37:$N37&lt;=U$3),U$3-$C37:$N37)</f>
        <v>0</v>
      </c>
      <c r="W37" s="33">
        <f>IF(O37&lt;250000,(250000-O37)*'Exh3'!$E$56,0)</f>
        <v>0</v>
      </c>
      <c r="X37" s="33">
        <f>IF(O37&lt;250000,(250000-O37)*'Exh3'!$I$56,0)</f>
        <v>0</v>
      </c>
      <c r="Y37" s="411">
        <f>Q37*'Exh3'!$D$51+'Big Schedules'!R37*'Exh3'!$D$52+'Big Schedules'!S37*'Exh3'!$D$53+'Big Schedules'!T37*'Exh3'!$D$54+'Big Schedules'!U37*'Exh3'!$D$55+'Exh3'!$D$49*12+W37</f>
        <v>51437.995989999996</v>
      </c>
      <c r="Z37" s="411">
        <f>Q37*'Exh3'!$I$51+'Big Schedules'!R37*'Exh3'!$I$52+'Big Schedules'!S37*'Exh3'!$I$53+'Big Schedules'!T37*'Exh3'!$I$54+'Big Schedules'!U37*'Exh3'!$I$55+'Exh3'!$I$49*12+X37</f>
        <v>51437.995989999996</v>
      </c>
      <c r="AA37" s="413">
        <f t="shared" ref="AA37:AA39" si="13">Z37/Y37-1</f>
        <v>0</v>
      </c>
    </row>
    <row r="38" spans="1:28">
      <c r="A38">
        <f t="shared" si="3"/>
        <v>34</v>
      </c>
      <c r="B38" s="543" t="s">
        <v>684</v>
      </c>
      <c r="C38" s="502">
        <v>45465</v>
      </c>
      <c r="D38" s="502">
        <v>56740</v>
      </c>
      <c r="E38" s="502">
        <v>87025</v>
      </c>
      <c r="F38" s="502">
        <v>58156</v>
      </c>
      <c r="G38" s="502">
        <v>27596</v>
      </c>
      <c r="H38" s="502">
        <v>12841</v>
      </c>
      <c r="I38" s="502">
        <v>3854</v>
      </c>
      <c r="J38" s="502">
        <v>3039</v>
      </c>
      <c r="K38" s="502">
        <v>3299</v>
      </c>
      <c r="L38" s="502">
        <v>12869</v>
      </c>
      <c r="M38" s="502">
        <v>39295</v>
      </c>
      <c r="N38" s="502">
        <v>46526</v>
      </c>
      <c r="O38" s="474">
        <f t="shared" si="12"/>
        <v>396705</v>
      </c>
      <c r="P38" s="33"/>
      <c r="Q38" s="33">
        <f t="shared" si="1"/>
        <v>175902</v>
      </c>
      <c r="R38" s="33">
        <f>R$3*12-SUM($Q38:Q38)-SUMPRODUCT(--($C38:$N38&lt;=R$3),R$3-$C38:$N38)</f>
        <v>168882</v>
      </c>
      <c r="S38" s="33">
        <f>S$3*12-SUM($Q38:R38)-SUMPRODUCT(--($C38:$N38&lt;=S$3),S$3-$C38:$N38)</f>
        <v>51921</v>
      </c>
      <c r="T38" s="33">
        <f>T$3*12-SUM($Q38:S38)-SUMPRODUCT(--($C38:$N38&lt;=T$3),T$3-$C38:$N38)</f>
        <v>0</v>
      </c>
      <c r="U38" s="33">
        <f>U$3*12-SUM($Q38:T38)-SUMPRODUCT(--($C38:$N38&lt;=U$3),U$3-$C38:$N38)</f>
        <v>0</v>
      </c>
      <c r="W38" s="33">
        <f>IF(O38&lt;250000,(250000-O38)*'Exh3'!$E$56,0)</f>
        <v>0</v>
      </c>
      <c r="X38" s="33">
        <f>IF(O38&lt;250000,(250000-O38)*'Exh3'!$I$56,0)</f>
        <v>0</v>
      </c>
      <c r="Y38" s="411">
        <f>Q38*'Exh3'!$D$51+'Big Schedules'!R38*'Exh3'!$D$52+'Big Schedules'!S38*'Exh3'!$D$53+'Big Schedules'!T38*'Exh3'!$D$54+'Big Schedules'!U38*'Exh3'!$D$55+'Exh3'!$D$49*12+W38</f>
        <v>46097.20839</v>
      </c>
      <c r="Z38" s="411">
        <f>Q38*'Exh3'!$I$51+'Big Schedules'!R38*'Exh3'!$I$52+'Big Schedules'!S38*'Exh3'!$I$53+'Big Schedules'!T38*'Exh3'!$I$54+'Big Schedules'!U38*'Exh3'!$I$55+'Exh3'!$I$49*12+X38</f>
        <v>46097.20839</v>
      </c>
      <c r="AA38" s="413">
        <f t="shared" si="13"/>
        <v>0</v>
      </c>
    </row>
    <row r="39" spans="1:28">
      <c r="A39">
        <f t="shared" si="3"/>
        <v>35</v>
      </c>
      <c r="B39" s="543" t="s">
        <v>685</v>
      </c>
      <c r="C39" s="502">
        <v>271736</v>
      </c>
      <c r="D39" s="502">
        <v>275120</v>
      </c>
      <c r="E39" s="502">
        <v>304766</v>
      </c>
      <c r="F39" s="502">
        <v>253635</v>
      </c>
      <c r="G39" s="502">
        <v>183371</v>
      </c>
      <c r="H39" s="502">
        <v>160654</v>
      </c>
      <c r="I39" s="502">
        <v>144340</v>
      </c>
      <c r="J39" s="502">
        <v>145387</v>
      </c>
      <c r="K39" s="502">
        <v>143497</v>
      </c>
      <c r="L39" s="502">
        <v>156428</v>
      </c>
      <c r="M39" s="502">
        <v>214443</v>
      </c>
      <c r="N39" s="502">
        <v>232377</v>
      </c>
      <c r="O39" s="474">
        <f t="shared" si="12"/>
        <v>2485754</v>
      </c>
      <c r="P39" s="33"/>
      <c r="Q39" s="33">
        <f t="shared" si="1"/>
        <v>240000</v>
      </c>
      <c r="R39" s="33">
        <f>R$3*12-SUM($Q39:Q39)-SUMPRODUCT(--($C39:$N39&lt;=R$3),R$3-$C39:$N39)</f>
        <v>360000</v>
      </c>
      <c r="S39" s="33">
        <f>S$3*12-SUM($Q39:R39)-SUMPRODUCT(--($C39:$N39&lt;=S$3),S$3-$C39:$N39)</f>
        <v>1880988</v>
      </c>
      <c r="T39" s="33">
        <f>T$3*12-SUM($Q39:S39)-SUMPRODUCT(--($C39:$N39&lt;=T$3),T$3-$C39:$N39)</f>
        <v>4766</v>
      </c>
      <c r="U39" s="33">
        <f>U$3*12-SUM($Q39:T39)-SUMPRODUCT(--($C39:$N39&lt;=U$3),U$3-$C39:$N39)</f>
        <v>0</v>
      </c>
      <c r="W39" s="33">
        <f>IF(O39&lt;250000,(250000-O39)*'Exh3'!$E$56,0)</f>
        <v>0</v>
      </c>
      <c r="X39" s="33">
        <f>IF(O39&lt;250000,(250000-O39)*'Exh3'!$I$56,0)</f>
        <v>0</v>
      </c>
      <c r="Y39" s="411">
        <f>Q39*'Exh3'!$D$51+'Big Schedules'!R39*'Exh3'!$D$52+'Big Schedules'!S39*'Exh3'!$D$53+'Big Schedules'!T39*'Exh3'!$D$54+'Big Schedules'!U39*'Exh3'!$D$55+'Exh3'!$D$49*12+W39</f>
        <v>225026.61281999998</v>
      </c>
      <c r="Z39" s="411">
        <f>Q39*'Exh3'!$I$51+'Big Schedules'!R39*'Exh3'!$I$52+'Big Schedules'!S39*'Exh3'!$I$53+'Big Schedules'!T39*'Exh3'!$I$54+'Big Schedules'!U39*'Exh3'!$I$55+'Exh3'!$I$49*12+X39</f>
        <v>225026.61281999998</v>
      </c>
      <c r="AA39" s="413">
        <f t="shared" si="13"/>
        <v>0</v>
      </c>
    </row>
    <row r="40" spans="1:28">
      <c r="A40">
        <f t="shared" si="3"/>
        <v>36</v>
      </c>
      <c r="B40" s="543" t="s">
        <v>686</v>
      </c>
      <c r="C40" s="502">
        <v>64659</v>
      </c>
      <c r="D40" s="502">
        <v>65416</v>
      </c>
      <c r="E40" s="502">
        <v>69752</v>
      </c>
      <c r="F40" s="502">
        <v>62318</v>
      </c>
      <c r="G40" s="502">
        <v>51049</v>
      </c>
      <c r="H40" s="502">
        <v>47456</v>
      </c>
      <c r="I40" s="502">
        <v>43164</v>
      </c>
      <c r="J40" s="502">
        <v>40990</v>
      </c>
      <c r="K40" s="502">
        <v>36980</v>
      </c>
      <c r="L40" s="502">
        <v>43207</v>
      </c>
      <c r="M40" s="502">
        <v>56514</v>
      </c>
      <c r="N40" s="502">
        <v>60373</v>
      </c>
      <c r="O40" s="474">
        <f t="shared" si="4"/>
        <v>641878</v>
      </c>
      <c r="P40" s="33"/>
      <c r="Q40" s="33">
        <f t="shared" si="1"/>
        <v>240000</v>
      </c>
      <c r="R40" s="33">
        <f>R$3*12-SUM($Q40:Q40)-SUMPRODUCT(--($C40:$N40&lt;=R$3),R$3-$C40:$N40)</f>
        <v>321797</v>
      </c>
      <c r="S40" s="33">
        <f>S$3*12-SUM($Q40:R40)-SUMPRODUCT(--($C40:$N40&lt;=S$3),S$3-$C40:$N40)</f>
        <v>80081</v>
      </c>
      <c r="T40" s="33">
        <f>T$3*12-SUM($Q40:S40)-SUMPRODUCT(--($C40:$N40&lt;=T$3),T$3-$C40:$N40)</f>
        <v>0</v>
      </c>
      <c r="U40" s="33">
        <f>U$3*12-SUM($Q40:T40)-SUMPRODUCT(--($C40:$N40&lt;=U$3),U$3-$C40:$N40)</f>
        <v>0</v>
      </c>
      <c r="W40" s="33">
        <f>IF(O40&lt;250000,(250000-O40)*'Exh3'!$E$56,0)</f>
        <v>0</v>
      </c>
      <c r="X40" s="33">
        <f>IF(O40&lt;250000,(250000-O40)*'Exh3'!$I$56,0)</f>
        <v>0</v>
      </c>
      <c r="Y40" s="411">
        <f>Q40*'Exh3'!$D$51+'Big Schedules'!R40*'Exh3'!$D$52+'Big Schedules'!S40*'Exh3'!$D$53+'Big Schedules'!T40*'Exh3'!$D$54+'Big Schedules'!U40*'Exh3'!$D$55+'Exh3'!$D$49*12+W40</f>
        <v>69470.587310000003</v>
      </c>
      <c r="Z40" s="411">
        <f>Q40*'Exh3'!$I$51+'Big Schedules'!R40*'Exh3'!$I$52+'Big Schedules'!S40*'Exh3'!$I$53+'Big Schedules'!T40*'Exh3'!$I$54+'Big Schedules'!U40*'Exh3'!$I$55+'Exh3'!$I$49*12+X40</f>
        <v>69470.587310000003</v>
      </c>
      <c r="AA40" s="413">
        <f t="shared" si="5"/>
        <v>0</v>
      </c>
    </row>
    <row r="41" spans="1:28">
      <c r="A41">
        <f t="shared" si="3"/>
        <v>37</v>
      </c>
      <c r="B41" s="543" t="s">
        <v>687</v>
      </c>
      <c r="C41" s="502">
        <v>54886</v>
      </c>
      <c r="D41" s="502">
        <v>55088</v>
      </c>
      <c r="E41" s="502">
        <v>57957</v>
      </c>
      <c r="F41" s="502">
        <v>49719</v>
      </c>
      <c r="G41" s="502">
        <v>35468</v>
      </c>
      <c r="H41" s="502">
        <v>23816</v>
      </c>
      <c r="I41" s="502">
        <v>18528</v>
      </c>
      <c r="J41" s="502">
        <v>14997</v>
      </c>
      <c r="K41" s="502">
        <v>13918</v>
      </c>
      <c r="L41" s="502">
        <v>25961</v>
      </c>
      <c r="M41" s="502">
        <v>43631</v>
      </c>
      <c r="N41" s="502">
        <v>47769</v>
      </c>
      <c r="O41" s="474">
        <f t="shared" si="4"/>
        <v>441738</v>
      </c>
      <c r="P41" s="33"/>
      <c r="Q41" s="33">
        <f t="shared" si="1"/>
        <v>227443</v>
      </c>
      <c r="R41" s="33">
        <f>R$3*12-SUM($Q41:Q41)-SUMPRODUCT(--($C41:$N41&lt;=R$3),R$3-$C41:$N41)</f>
        <v>196364</v>
      </c>
      <c r="S41" s="33">
        <f>S$3*12-SUM($Q41:R41)-SUMPRODUCT(--($C41:$N41&lt;=S$3),S$3-$C41:$N41)</f>
        <v>17931</v>
      </c>
      <c r="T41" s="33">
        <f>T$3*12-SUM($Q41:S41)-SUMPRODUCT(--($C41:$N41&lt;=T$3),T$3-$C41:$N41)</f>
        <v>0</v>
      </c>
      <c r="U41" s="33">
        <f>U$3*12-SUM($Q41:T41)-SUMPRODUCT(--($C41:$N41&lt;=U$3),U$3-$C41:$N41)</f>
        <v>0</v>
      </c>
      <c r="W41" s="33">
        <f>IF(O41&lt;250000,(250000-O41)*'Exh3'!$E$56,0)</f>
        <v>0</v>
      </c>
      <c r="X41" s="33">
        <f>IF(O41&lt;250000,(250000-O41)*'Exh3'!$I$56,0)</f>
        <v>0</v>
      </c>
      <c r="Y41" s="411">
        <f>Q41*'Exh3'!$D$51+'Big Schedules'!R41*'Exh3'!$D$52+'Big Schedules'!S41*'Exh3'!$D$53+'Big Schedules'!T41*'Exh3'!$D$54+'Big Schedules'!U41*'Exh3'!$D$55+'Exh3'!$D$49*12+W41</f>
        <v>51210.022349999999</v>
      </c>
      <c r="Z41" s="411">
        <f>Q41*'Exh3'!$I$51+'Big Schedules'!R41*'Exh3'!$I$52+'Big Schedules'!S41*'Exh3'!$I$53+'Big Schedules'!T41*'Exh3'!$I$54+'Big Schedules'!U41*'Exh3'!$I$55+'Exh3'!$I$49*12+X41</f>
        <v>51210.022349999999</v>
      </c>
      <c r="AA41" s="413">
        <f t="shared" si="5"/>
        <v>0</v>
      </c>
    </row>
    <row r="42" spans="1:28">
      <c r="A42">
        <f t="shared" si="3"/>
        <v>38</v>
      </c>
      <c r="B42" s="543" t="s">
        <v>688</v>
      </c>
      <c r="C42" s="502">
        <v>100131</v>
      </c>
      <c r="D42" s="502">
        <v>83882</v>
      </c>
      <c r="E42" s="502">
        <v>53330</v>
      </c>
      <c r="F42" s="502">
        <v>82757</v>
      </c>
      <c r="G42" s="502">
        <v>73901</v>
      </c>
      <c r="H42" s="502">
        <v>86582</v>
      </c>
      <c r="I42" s="502">
        <v>89751</v>
      </c>
      <c r="J42" s="502">
        <v>95273</v>
      </c>
      <c r="K42" s="502">
        <v>104949</v>
      </c>
      <c r="L42" s="502">
        <v>102047</v>
      </c>
      <c r="M42" s="502">
        <v>104729</v>
      </c>
      <c r="N42" s="502">
        <v>97346</v>
      </c>
      <c r="O42" s="474">
        <f t="shared" si="4"/>
        <v>1074678</v>
      </c>
      <c r="P42" s="33"/>
      <c r="Q42" s="33">
        <f t="shared" si="1"/>
        <v>240000</v>
      </c>
      <c r="R42" s="33">
        <f>R$3*12-SUM($Q42:Q42)-SUMPRODUCT(--($C42:$N42&lt;=R$3),R$3-$C42:$N42)</f>
        <v>360000</v>
      </c>
      <c r="S42" s="33">
        <f>S$3*12-SUM($Q42:R42)-SUMPRODUCT(--($C42:$N42&lt;=S$3),S$3-$C42:$N42)</f>
        <v>474678</v>
      </c>
      <c r="T42" s="33">
        <f>T$3*12-SUM($Q42:S42)-SUMPRODUCT(--($C42:$N42&lt;=T$3),T$3-$C42:$N42)</f>
        <v>0</v>
      </c>
      <c r="U42" s="33">
        <f>U$3*12-SUM($Q42:T42)-SUMPRODUCT(--($C42:$N42&lt;=U$3),U$3-$C42:$N42)</f>
        <v>0</v>
      </c>
      <c r="W42" s="33">
        <f>IF(O42&lt;250000,(250000-O42)*'Exh3'!$E$56,0)</f>
        <v>0</v>
      </c>
      <c r="X42" s="33">
        <f>IF(O42&lt;250000,(250000-O42)*'Exh3'!$I$56,0)</f>
        <v>0</v>
      </c>
      <c r="Y42" s="411">
        <f>Q42*'Exh3'!$D$51+'Big Schedules'!R42*'Exh3'!$D$52+'Big Schedules'!S42*'Exh3'!$D$53+'Big Schedules'!T42*'Exh3'!$D$54+'Big Schedules'!U42*'Exh3'!$D$55+'Exh3'!$D$49*12+W42</f>
        <v>106258.34082</v>
      </c>
      <c r="Z42" s="411">
        <f>Q42*'Exh3'!$I$51+'Big Schedules'!R42*'Exh3'!$I$52+'Big Schedules'!S42*'Exh3'!$I$53+'Big Schedules'!T42*'Exh3'!$I$54+'Big Schedules'!U42*'Exh3'!$I$55+'Exh3'!$I$49*12+X42</f>
        <v>106258.34082</v>
      </c>
      <c r="AA42" s="413">
        <f t="shared" si="5"/>
        <v>0</v>
      </c>
    </row>
    <row r="43" spans="1:28">
      <c r="B43" s="501"/>
      <c r="C43" s="503"/>
      <c r="D43" s="503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10">
        <f t="shared" si="4"/>
        <v>0</v>
      </c>
      <c r="P43" s="279"/>
      <c r="Q43" s="279">
        <f t="shared" si="1"/>
        <v>0</v>
      </c>
      <c r="R43" s="279">
        <f>R$3*12-SUM($Q43:Q43)-SUMPRODUCT(--($C43:$N43&lt;=R$3),R$3-$C43:$N43)</f>
        <v>0</v>
      </c>
      <c r="S43" s="279">
        <f>S$3*12-SUM($Q43:R43)-SUMPRODUCT(--($C43:$N43&lt;=S$3),S$3-$C43:$N43)</f>
        <v>0</v>
      </c>
      <c r="T43" s="33">
        <f>T$3*12-SUM($Q43:S43)-SUMPRODUCT(--($C43:$N43&lt;=T$3),T$3-$C43:$N43)</f>
        <v>0</v>
      </c>
      <c r="U43" s="33">
        <f>U$3*12-SUM($Q43:T43)-SUMPRODUCT(--($C43:$N43&lt;=U$3),U$3-$C43:$N43)</f>
        <v>0</v>
      </c>
      <c r="W43" s="33"/>
      <c r="X43" s="33"/>
      <c r="Y43" s="411"/>
      <c r="Z43" s="411"/>
      <c r="AA43" s="413"/>
    </row>
    <row r="44" spans="1:28">
      <c r="B44" s="472"/>
      <c r="C44" s="476"/>
      <c r="D44" s="476"/>
      <c r="E44" s="476"/>
      <c r="F44" s="476"/>
      <c r="G44" s="476"/>
      <c r="H44" s="476"/>
      <c r="I44" s="476"/>
      <c r="J44" s="476"/>
      <c r="K44" s="476"/>
      <c r="L44" s="476"/>
      <c r="M44" s="476"/>
      <c r="N44" s="476"/>
      <c r="O44" s="62"/>
      <c r="P44" s="33"/>
      <c r="Q44" s="33"/>
      <c r="R44" s="33"/>
      <c r="S44" s="33"/>
      <c r="T44" s="33"/>
      <c r="U44" s="33"/>
      <c r="W44" s="33"/>
      <c r="X44" s="33"/>
      <c r="Y44" s="411"/>
      <c r="Z44" s="411"/>
      <c r="AA44" s="413"/>
    </row>
    <row r="45" spans="1:28">
      <c r="B45" s="472"/>
      <c r="C45" s="476"/>
      <c r="D45" s="476"/>
      <c r="E45" s="476"/>
      <c r="F45" s="476"/>
      <c r="G45" s="476"/>
      <c r="H45" s="476"/>
      <c r="I45" s="476"/>
      <c r="J45" s="476"/>
      <c r="K45" s="476"/>
      <c r="L45" s="476"/>
      <c r="M45" s="476"/>
      <c r="N45" s="476"/>
      <c r="O45" s="33"/>
      <c r="P45" s="33"/>
      <c r="Q45" s="33"/>
      <c r="R45" s="33"/>
      <c r="S45" s="33"/>
      <c r="T45" s="33"/>
      <c r="U45" s="33"/>
      <c r="W45" s="33"/>
      <c r="Y45" s="411"/>
      <c r="Z45" s="411"/>
      <c r="AA45" s="413"/>
    </row>
    <row r="46" spans="1:28"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W46" s="279"/>
      <c r="X46" s="107"/>
      <c r="Y46" s="411"/>
      <c r="AA46" s="413"/>
    </row>
    <row r="47" spans="1:28" ht="13.5" thickBot="1">
      <c r="B47" s="463" t="s">
        <v>107</v>
      </c>
      <c r="C47" s="36">
        <f t="shared" ref="C47:N47" si="14">SUM(C5:C46)</f>
        <v>3476182</v>
      </c>
      <c r="D47" s="36">
        <f t="shared" si="14"/>
        <v>3843413</v>
      </c>
      <c r="E47" s="36">
        <f t="shared" si="14"/>
        <v>3968332</v>
      </c>
      <c r="F47" s="36">
        <f t="shared" si="14"/>
        <v>3626532</v>
      </c>
      <c r="G47" s="36">
        <f t="shared" si="14"/>
        <v>3078530</v>
      </c>
      <c r="H47" s="36">
        <f t="shared" si="14"/>
        <v>2578802</v>
      </c>
      <c r="I47" s="36">
        <f t="shared" si="14"/>
        <v>2404144</v>
      </c>
      <c r="J47" s="36">
        <f t="shared" si="14"/>
        <v>2412367</v>
      </c>
      <c r="K47" s="36">
        <f t="shared" si="14"/>
        <v>2314931</v>
      </c>
      <c r="L47" s="36">
        <f t="shared" si="14"/>
        <v>2546043</v>
      </c>
      <c r="M47" s="36">
        <f t="shared" si="14"/>
        <v>3376797</v>
      </c>
      <c r="N47" s="36">
        <f t="shared" si="14"/>
        <v>3544158.8679999998</v>
      </c>
      <c r="O47" s="61">
        <f>IF(ROUND(SUM(O5:O46),3)&lt;&gt;ROUND(SUM(C47:N47),3),#VALUE!,SUM(C47:N47))</f>
        <v>37170231.868000001</v>
      </c>
      <c r="P47" s="49"/>
      <c r="Q47" s="52">
        <f>SUM(Q5:Q46)</f>
        <v>8146142</v>
      </c>
      <c r="R47" s="52">
        <f>SUM(R5:R46)</f>
        <v>8282125</v>
      </c>
      <c r="S47" s="52">
        <f>SUM(S5:S46)</f>
        <v>14410467</v>
      </c>
      <c r="T47" s="52">
        <f>SUM(T5:T46)</f>
        <v>2975780.8679999998</v>
      </c>
      <c r="U47" s="52">
        <f>SUM(U5:U46)</f>
        <v>3355717</v>
      </c>
      <c r="W47" s="33">
        <f>SUM(W5:W46)</f>
        <v>26560.546560000003</v>
      </c>
      <c r="X47" s="33">
        <f>SUM(X5:X46)</f>
        <v>26560.546560000003</v>
      </c>
      <c r="Y47" s="411">
        <f>SUM(Y5:Y46)</f>
        <v>3580860.6370138009</v>
      </c>
      <c r="Z47" s="411">
        <f>SUM(Z5:Z46)</f>
        <v>3580860.6370138009</v>
      </c>
      <c r="AA47" s="413">
        <f t="shared" si="5"/>
        <v>0</v>
      </c>
    </row>
    <row r="48" spans="1:28" ht="13.5" thickTop="1">
      <c r="B48" s="463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8"/>
      <c r="P48" s="59"/>
      <c r="Q48" s="58"/>
      <c r="R48" s="58"/>
      <c r="S48" s="58"/>
      <c r="T48" s="58"/>
      <c r="U48" s="33">
        <f>SUM(Q47:U47)</f>
        <v>37170231.868000001</v>
      </c>
      <c r="Y48" s="411">
        <f ca="1">(Y47/1000)-'Exh1'!D18</f>
        <v>4.5380102164926939E-7</v>
      </c>
      <c r="Z48" s="411">
        <f ca="1">(Z47/1000)-'Exh1'!F18</f>
        <v>4.5380102164926939E-7</v>
      </c>
      <c r="AA48" s="360"/>
    </row>
    <row r="49" spans="2:45">
      <c r="B49" s="380" t="s">
        <v>105</v>
      </c>
      <c r="C49" s="438">
        <f>'12MEDEC19'!D166</f>
        <v>3545563</v>
      </c>
      <c r="D49" s="438">
        <f>'12MEDEC19'!E166</f>
        <v>3917949</v>
      </c>
      <c r="E49" s="438">
        <f>'12MEDEC19'!F166</f>
        <v>4055434</v>
      </c>
      <c r="F49" s="438">
        <f>'12MEDEC19'!G166</f>
        <v>3694851</v>
      </c>
      <c r="G49" s="438">
        <f>'12MEDEC19'!H166</f>
        <v>3110140</v>
      </c>
      <c r="H49" s="438">
        <f>'12MEDEC19'!I166</f>
        <v>2599480</v>
      </c>
      <c r="I49" s="438">
        <f>'12MEDEC19'!J166</f>
        <v>2420678</v>
      </c>
      <c r="J49" s="438">
        <f>'12MEDEC19'!K166</f>
        <v>2424503</v>
      </c>
      <c r="K49" s="438">
        <f>'12MEDEC19'!L166</f>
        <v>2325589</v>
      </c>
      <c r="L49" s="438">
        <f>'12MEDEC19'!M166</f>
        <v>2566070</v>
      </c>
      <c r="M49" s="438">
        <f>'12MEDEC19'!N166</f>
        <v>3210635</v>
      </c>
      <c r="N49" s="438">
        <f>'12MEDEC19'!O166</f>
        <v>3207391</v>
      </c>
      <c r="O49" s="438">
        <f>SUM(C49:N49)</f>
        <v>37078283</v>
      </c>
      <c r="P49" s="438" t="e">
        <f>#REF!</f>
        <v>#REF!</v>
      </c>
      <c r="Q49" s="461" t="s">
        <v>96</v>
      </c>
      <c r="R49" s="45">
        <f>Q50</f>
        <v>200</v>
      </c>
      <c r="S49" s="45">
        <f>R50</f>
        <v>1000</v>
      </c>
      <c r="T49" s="45">
        <f>S50</f>
        <v>10000</v>
      </c>
      <c r="U49" s="45">
        <f>T50</f>
        <v>25000</v>
      </c>
    </row>
    <row r="50" spans="2:45">
      <c r="B50" s="463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3">
        <f t="shared" ref="O50:O57" si="15">SUM(C50:N50)</f>
        <v>0</v>
      </c>
      <c r="P50" s="59"/>
      <c r="Q50" s="47">
        <v>200</v>
      </c>
      <c r="R50" s="47">
        <v>1000</v>
      </c>
      <c r="S50" s="47">
        <v>10000</v>
      </c>
      <c r="T50" s="47">
        <v>25000</v>
      </c>
      <c r="U50" s="48">
        <v>99999999</v>
      </c>
    </row>
    <row r="51" spans="2:45">
      <c r="B51" s="543" t="s">
        <v>700</v>
      </c>
      <c r="C51" s="502"/>
      <c r="D51" s="502"/>
      <c r="E51" s="502"/>
      <c r="F51" s="502"/>
      <c r="G51" s="502"/>
      <c r="H51" s="502"/>
      <c r="I51" s="502"/>
      <c r="J51" s="502"/>
      <c r="K51" s="502"/>
      <c r="L51" s="502"/>
      <c r="M51" s="502">
        <f>M6</f>
        <v>218461</v>
      </c>
      <c r="N51" s="502">
        <f>N6</f>
        <v>336767.86799999996</v>
      </c>
      <c r="O51" s="63">
        <f t="shared" si="15"/>
        <v>555228.86800000002</v>
      </c>
      <c r="P51" s="59"/>
      <c r="Q51" s="272">
        <f>(Q$50*12-SUMPRODUCT(--($C51:$N51&lt;=Q$50),Q$50-$C51:$N51))</f>
        <v>400</v>
      </c>
      <c r="R51" s="36">
        <f>R$50*12-SUM($Q51:Q51)-SUMPRODUCT(--($C51:$N51&lt;=R$50),R$50-$C51:$N51)</f>
        <v>1600</v>
      </c>
      <c r="S51" s="36">
        <f>S$50*12-SUM($Q51:R51)-SUMPRODUCT(--($C51:$N51&lt;=S$50),S$50-$C51:$N51)</f>
        <v>18000</v>
      </c>
      <c r="T51" s="36">
        <f>T$50*12-SUM($Q51:S51)-SUMPRODUCT(--($C51:$N51&lt;=T$50),T$50-$C51:$N51)</f>
        <v>30000</v>
      </c>
      <c r="U51" s="240">
        <f>U$50*12-SUM($Q51:T51)-SUMPRODUCT(--($C51:$N51&lt;=U$50),U$50-$C51:$N51)</f>
        <v>505228.86800003052</v>
      </c>
    </row>
    <row r="52" spans="2:45">
      <c r="B52" s="543" t="s">
        <v>698</v>
      </c>
      <c r="C52" s="502">
        <v>69381</v>
      </c>
      <c r="D52" s="502">
        <v>74536</v>
      </c>
      <c r="E52" s="502">
        <v>87102</v>
      </c>
      <c r="F52" s="502">
        <v>68319</v>
      </c>
      <c r="G52" s="502">
        <v>31610</v>
      </c>
      <c r="H52" s="502">
        <v>20678</v>
      </c>
      <c r="I52" s="502">
        <v>16534</v>
      </c>
      <c r="J52" s="502">
        <v>12136</v>
      </c>
      <c r="K52" s="502">
        <v>10658</v>
      </c>
      <c r="L52" s="502">
        <v>20027</v>
      </c>
      <c r="M52" s="502">
        <v>52299</v>
      </c>
      <c r="N52" s="502">
        <v>0</v>
      </c>
      <c r="O52" s="63">
        <f t="shared" si="15"/>
        <v>463280</v>
      </c>
      <c r="P52" s="59"/>
      <c r="Q52" s="272">
        <f t="shared" ref="Q52:Q54" si="16">Q$50*12-SUMPRODUCT(--($C52:$N52&lt;=Q$50),Q$50-$C52:$N52)</f>
        <v>2200</v>
      </c>
      <c r="R52" s="57">
        <f>R$50*12-SUM($Q52:Q52)-SUMPRODUCT(--($C52:$N52&lt;=R$50),R$50-$C52:$N52)</f>
        <v>8800</v>
      </c>
      <c r="S52" s="57">
        <f>S$50*12-SUM($Q52:R52)-SUMPRODUCT(--($C52:$N52&lt;=S$50),S$50-$C52:$N52)</f>
        <v>99000</v>
      </c>
      <c r="T52" s="57">
        <f>T$50*12-SUM($Q52:S52)-SUMPRODUCT(--($C52:$N52&lt;=T$50),T$50-$C52:$N52)</f>
        <v>120033</v>
      </c>
      <c r="U52" s="274">
        <f>U$61*12-SUM($Q52:T52)-SUMPRODUCT(--($C52:$N52&lt;=U$61),U$61-$C52:$N52)</f>
        <v>233247</v>
      </c>
    </row>
    <row r="53" spans="2:45">
      <c r="B53" s="505"/>
      <c r="C53" s="508"/>
      <c r="D53" s="508"/>
      <c r="E53" s="508"/>
      <c r="F53" s="508"/>
      <c r="G53" s="508"/>
      <c r="H53" s="508"/>
      <c r="I53" s="508"/>
      <c r="J53" s="508"/>
      <c r="K53" s="508"/>
      <c r="L53" s="508"/>
      <c r="M53" s="508"/>
      <c r="N53" s="508"/>
      <c r="O53" s="63">
        <f t="shared" si="15"/>
        <v>0</v>
      </c>
      <c r="P53" s="59"/>
      <c r="Q53" s="272">
        <f t="shared" si="16"/>
        <v>0</v>
      </c>
      <c r="R53" s="57">
        <f>R$50*12-SUM($Q53:Q53)-SUMPRODUCT(--($C53:$N53&lt;=R$50),R$50-$C53:$N53)</f>
        <v>0</v>
      </c>
      <c r="S53" s="57">
        <f>S$50*12-SUM($Q53:R53)-SUMPRODUCT(--($C53:$N53&lt;=S$50),S$50-$C53:$N53)</f>
        <v>0</v>
      </c>
      <c r="T53" s="57">
        <f>T$50*12-SUM($Q53:S53)-SUMPRODUCT(--($C53:$N53&lt;=T$50),T$50-$C53:$N53)</f>
        <v>0</v>
      </c>
      <c r="U53" s="274">
        <f>U$61*12-SUM($Q53:T53)-SUMPRODUCT(--($C53:$N53&lt;=U$61),U$61-$C53:$N53)</f>
        <v>0</v>
      </c>
    </row>
    <row r="54" spans="2:45">
      <c r="B54" s="380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63">
        <f t="shared" si="15"/>
        <v>0</v>
      </c>
      <c r="P54" s="33"/>
      <c r="Q54" s="233">
        <f t="shared" si="16"/>
        <v>0</v>
      </c>
      <c r="R54" s="279">
        <f>R$50*12-SUM($Q54:Q54)-SUMPRODUCT(--($C54:$N54&lt;=R$50),R$50-$C54:$N54)</f>
        <v>0</v>
      </c>
      <c r="S54" s="279">
        <f>S$50*12-SUM($Q54:R54)-SUMPRODUCT(--($C54:$N54&lt;=S$50),S$50-$C54:$N54)</f>
        <v>0</v>
      </c>
      <c r="T54" s="279">
        <f>T$50*12-SUM($Q54:S54)-SUMPRODUCT(--($C54:$N54&lt;=T$50),T$50-$C54:$N54)</f>
        <v>0</v>
      </c>
      <c r="U54" s="273"/>
      <c r="Y54">
        <f>COUNT(O5:P45)</f>
        <v>39</v>
      </c>
    </row>
    <row r="55" spans="2:45">
      <c r="B55" s="380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63">
        <f>SUM(C55:N55)</f>
        <v>0</v>
      </c>
      <c r="P55" s="33"/>
      <c r="Q55" s="239">
        <f>SUM(Q51:Q54)</f>
        <v>2600</v>
      </c>
      <c r="R55" s="239">
        <f t="shared" ref="R55:U55" si="17">SUM(R51:R54)</f>
        <v>10400</v>
      </c>
      <c r="S55" s="239">
        <f t="shared" si="17"/>
        <v>117000</v>
      </c>
      <c r="T55" s="239">
        <f t="shared" si="17"/>
        <v>150033</v>
      </c>
      <c r="U55" s="239">
        <f t="shared" si="17"/>
        <v>738475.86800003052</v>
      </c>
    </row>
    <row r="56" spans="2:45">
      <c r="B56" s="380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63">
        <f>SUM(C56:N56)</f>
        <v>0</v>
      </c>
      <c r="P56" s="33"/>
      <c r="Q56" s="233">
        <f>Q$50*12-SUMPRODUCT(--($C56:$N56&lt;=Q$50),Q$50-$C56:$N56)</f>
        <v>0</v>
      </c>
      <c r="R56" s="279">
        <f>R$50*12-SUM($Q56:Q56)-SUMPRODUCT(--($C56:$N56&lt;=R$50),R$50-$C56:$N56)</f>
        <v>0</v>
      </c>
      <c r="S56" s="279">
        <f>S$50*12-SUM($Q56:R56)-SUMPRODUCT(--($C56:$N56&lt;=S$50),S$50-$C56:$N56)</f>
        <v>0</v>
      </c>
      <c r="T56" s="107"/>
      <c r="U56" s="273"/>
    </row>
    <row r="57" spans="2:45">
      <c r="B57" s="27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63">
        <f t="shared" si="15"/>
        <v>0</v>
      </c>
      <c r="P57" s="33"/>
      <c r="Q57" s="57"/>
      <c r="R57" s="57"/>
      <c r="S57" s="57"/>
      <c r="T57" s="57"/>
      <c r="U57" s="57"/>
    </row>
    <row r="58" spans="2:45">
      <c r="B58" s="463" t="s">
        <v>106</v>
      </c>
      <c r="C58" s="65">
        <f>C49-SUM(C51:C56)</f>
        <v>3476182</v>
      </c>
      <c r="D58" s="65">
        <f t="shared" ref="D58:O58" si="18">D49-SUM(D51:D56)</f>
        <v>3843413</v>
      </c>
      <c r="E58" s="65">
        <f t="shared" si="18"/>
        <v>3968332</v>
      </c>
      <c r="F58" s="65">
        <f t="shared" si="18"/>
        <v>3626532</v>
      </c>
      <c r="G58" s="65">
        <f t="shared" si="18"/>
        <v>3078530</v>
      </c>
      <c r="H58" s="65">
        <f t="shared" si="18"/>
        <v>2578802</v>
      </c>
      <c r="I58" s="65">
        <f t="shared" si="18"/>
        <v>2404144</v>
      </c>
      <c r="J58" s="65">
        <f t="shared" si="18"/>
        <v>2412367</v>
      </c>
      <c r="K58" s="65">
        <f t="shared" si="18"/>
        <v>2314931</v>
      </c>
      <c r="L58" s="65">
        <f t="shared" si="18"/>
        <v>2546043</v>
      </c>
      <c r="M58" s="65">
        <f t="shared" si="18"/>
        <v>2939875</v>
      </c>
      <c r="N58" s="65">
        <f t="shared" si="18"/>
        <v>2870623.1320000002</v>
      </c>
      <c r="O58" s="65">
        <f t="shared" si="18"/>
        <v>36059774.131999999</v>
      </c>
      <c r="P58" s="33"/>
      <c r="Q58" s="33">
        <f>SUM(Q51:Q54)</f>
        <v>2600</v>
      </c>
      <c r="R58" s="33">
        <f>SUM(R51:R54)</f>
        <v>10400</v>
      </c>
      <c r="S58" s="33">
        <f t="shared" ref="S58:U58" si="19">SUM(S51:S54)</f>
        <v>117000</v>
      </c>
      <c r="T58" s="33">
        <f t="shared" si="19"/>
        <v>150033</v>
      </c>
      <c r="U58" s="33">
        <f t="shared" si="19"/>
        <v>738475.86800003052</v>
      </c>
      <c r="V58" s="33">
        <f>SUM(Q58:U58)</f>
        <v>1018508.8680000305</v>
      </c>
      <c r="W58" s="33"/>
    </row>
    <row r="59" spans="2:45">
      <c r="C59" s="63">
        <f>C47-C58</f>
        <v>0</v>
      </c>
      <c r="D59" s="63">
        <f t="shared" ref="D59:O59" si="20">D47-D58</f>
        <v>0</v>
      </c>
      <c r="E59" s="63">
        <f>E47-E58</f>
        <v>0</v>
      </c>
      <c r="F59" s="63">
        <f t="shared" si="20"/>
        <v>0</v>
      </c>
      <c r="G59" s="63">
        <f t="shared" si="20"/>
        <v>0</v>
      </c>
      <c r="H59" s="63">
        <f t="shared" si="20"/>
        <v>0</v>
      </c>
      <c r="I59" s="63">
        <f t="shared" si="20"/>
        <v>0</v>
      </c>
      <c r="J59" s="63">
        <f t="shared" si="20"/>
        <v>0</v>
      </c>
      <c r="K59" s="63">
        <f t="shared" si="20"/>
        <v>0</v>
      </c>
      <c r="L59" s="63">
        <f t="shared" si="20"/>
        <v>0</v>
      </c>
      <c r="M59" s="63">
        <f t="shared" si="20"/>
        <v>436922</v>
      </c>
      <c r="N59" s="63">
        <f t="shared" si="20"/>
        <v>673535.73599999957</v>
      </c>
      <c r="O59" s="63">
        <f t="shared" si="20"/>
        <v>1110457.7360000014</v>
      </c>
      <c r="Q59" s="33">
        <f>SUM(Q55:Q56)</f>
        <v>2600</v>
      </c>
      <c r="R59" s="33">
        <f>SUM(R55:R56)</f>
        <v>10400</v>
      </c>
      <c r="S59" s="33">
        <f t="shared" ref="S59" si="21">SUM(S55:S56)</f>
        <v>117000</v>
      </c>
    </row>
    <row r="60" spans="2:45">
      <c r="C60" s="63">
        <f t="shared" ref="C60:N60" si="22">COUNT(C5:C43)</f>
        <v>38</v>
      </c>
      <c r="D60" s="63">
        <f t="shared" si="22"/>
        <v>38</v>
      </c>
      <c r="E60" s="63">
        <f t="shared" si="22"/>
        <v>38</v>
      </c>
      <c r="F60" s="63">
        <f t="shared" si="22"/>
        <v>38</v>
      </c>
      <c r="G60" s="63">
        <f t="shared" si="22"/>
        <v>38</v>
      </c>
      <c r="H60" s="63">
        <f t="shared" si="22"/>
        <v>38</v>
      </c>
      <c r="I60" s="63">
        <f t="shared" si="22"/>
        <v>38</v>
      </c>
      <c r="J60" s="63">
        <f t="shared" si="22"/>
        <v>38</v>
      </c>
      <c r="K60" s="63">
        <f t="shared" si="22"/>
        <v>38</v>
      </c>
      <c r="L60" s="63">
        <f t="shared" si="22"/>
        <v>38</v>
      </c>
      <c r="M60" s="63">
        <f t="shared" si="22"/>
        <v>38</v>
      </c>
      <c r="N60" s="63">
        <f t="shared" si="22"/>
        <v>38</v>
      </c>
      <c r="Q60" s="30" t="s">
        <v>96</v>
      </c>
      <c r="R60" s="45">
        <f>Q61</f>
        <v>200</v>
      </c>
      <c r="S60" s="45">
        <f>R61</f>
        <v>1000</v>
      </c>
      <c r="T60" s="45">
        <f>S61</f>
        <v>10000</v>
      </c>
      <c r="U60" s="45">
        <f>T61</f>
        <v>25000</v>
      </c>
    </row>
    <row r="61" spans="2:45">
      <c r="B61" s="29" t="s">
        <v>370</v>
      </c>
      <c r="Q61" s="47">
        <v>200</v>
      </c>
      <c r="R61" s="47">
        <v>1000</v>
      </c>
      <c r="S61" s="47">
        <v>10000</v>
      </c>
      <c r="T61" s="47">
        <v>25000</v>
      </c>
      <c r="U61" s="48">
        <v>99999999</v>
      </c>
    </row>
    <row r="62" spans="2:45">
      <c r="B62" s="29" t="s">
        <v>58</v>
      </c>
      <c r="C62" s="230">
        <f t="shared" ref="C62:N62" si="23">C4</f>
        <v>43466</v>
      </c>
      <c r="D62" s="230">
        <f t="shared" si="23"/>
        <v>43497</v>
      </c>
      <c r="E62" s="230">
        <f t="shared" si="23"/>
        <v>43525</v>
      </c>
      <c r="F62" s="230">
        <f t="shared" si="23"/>
        <v>43556</v>
      </c>
      <c r="G62" s="230">
        <f t="shared" si="23"/>
        <v>43586</v>
      </c>
      <c r="H62" s="230">
        <f t="shared" si="23"/>
        <v>43617</v>
      </c>
      <c r="I62" s="230">
        <f t="shared" si="23"/>
        <v>43647</v>
      </c>
      <c r="J62" s="230">
        <f t="shared" si="23"/>
        <v>43678</v>
      </c>
      <c r="K62" s="230">
        <f t="shared" si="23"/>
        <v>43709</v>
      </c>
      <c r="L62" s="230">
        <f t="shared" si="23"/>
        <v>43739</v>
      </c>
      <c r="M62" s="230">
        <f t="shared" si="23"/>
        <v>43770</v>
      </c>
      <c r="N62" s="230">
        <f t="shared" si="23"/>
        <v>43800</v>
      </c>
      <c r="O62" s="31" t="s">
        <v>59</v>
      </c>
      <c r="P62" s="31"/>
      <c r="Q62" s="46" t="s">
        <v>95</v>
      </c>
      <c r="R62" s="46" t="s">
        <v>95</v>
      </c>
      <c r="S62" s="46" t="s">
        <v>95</v>
      </c>
      <c r="T62" s="46" t="s">
        <v>95</v>
      </c>
      <c r="U62" s="46" t="s">
        <v>95</v>
      </c>
      <c r="X62" s="237">
        <v>41913</v>
      </c>
      <c r="Y62" s="237"/>
      <c r="Z62" s="237"/>
      <c r="AA62" s="237"/>
      <c r="AD62" s="237">
        <v>41944</v>
      </c>
      <c r="AE62" s="237"/>
      <c r="AF62" s="237"/>
      <c r="AG62" s="237"/>
      <c r="AJ62" s="237">
        <v>41974</v>
      </c>
      <c r="AK62" s="237"/>
      <c r="AL62" s="237"/>
      <c r="AM62" s="237"/>
      <c r="AP62" s="237">
        <v>42005</v>
      </c>
      <c r="AQ62" s="237"/>
      <c r="AR62" s="237"/>
      <c r="AS62" s="237"/>
    </row>
    <row r="63" spans="2:45">
      <c r="B63" s="545" t="s">
        <v>704</v>
      </c>
      <c r="D63" s="382"/>
      <c r="E63" s="382"/>
      <c r="F63" s="382"/>
      <c r="G63" s="382"/>
      <c r="H63" s="382"/>
      <c r="I63" s="381"/>
      <c r="J63" s="383"/>
      <c r="K63" s="383"/>
      <c r="L63" s="383"/>
      <c r="M63" s="383"/>
      <c r="N63" s="383"/>
      <c r="O63" s="62">
        <f>SUM(B63:N63)</f>
        <v>0</v>
      </c>
      <c r="P63" s="33"/>
      <c r="Q63" s="33" t="e">
        <f>Q$61*12-SUMPRODUCT(--($B63:$N63&lt;=Q$61),Q$61-$B63:$N63)</f>
        <v>#VALUE!</v>
      </c>
      <c r="R63" s="33" t="e">
        <f>R$61*12-SUM($Q63:Q63)-SUMPRODUCT(--($B63:$N63&lt;=R$61),R$61-$B63:$N63)</f>
        <v>#VALUE!</v>
      </c>
      <c r="S63" s="33" t="e">
        <f>S$61*12-SUM($Q63:R63)-SUMPRODUCT(--($B63:$N63&lt;=S$61),S$61-$B63:$N63)</f>
        <v>#VALUE!</v>
      </c>
      <c r="T63" s="33" t="e">
        <f>T$61*12-SUM($Q63:S63)-SUMPRODUCT(--($B63:$N63&lt;=T$61),T$61-$B63:$N63)</f>
        <v>#VALUE!</v>
      </c>
      <c r="U63" s="33" t="e">
        <f>U$61*12-SUM($Q63:T63)-SUMPRODUCT(--($B63:$N63&lt;=U$61),U$61-$B63:$N63)</f>
        <v>#VALUE!</v>
      </c>
    </row>
    <row r="64" spans="2:45" ht="14.25">
      <c r="B64" s="243"/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62">
        <f t="shared" ref="O64" si="24">SUM(C64:N64)</f>
        <v>0</v>
      </c>
      <c r="P64" s="33"/>
      <c r="Q64" s="33">
        <f t="shared" ref="Q64" si="25">Q$61*12-SUMPRODUCT(--($C64:$N64&lt;=Q$61),Q$61-$C64:$N64)</f>
        <v>0</v>
      </c>
      <c r="R64" s="33">
        <f>R$61*12-SUM($Q64:Q64)-SUMPRODUCT(--($C64:$N64&lt;=R$61),R$61-$C64:$N64)</f>
        <v>0</v>
      </c>
      <c r="S64" s="33">
        <f>S$61*12-SUM($Q64:R64)-SUMPRODUCT(--($C64:$N64&lt;=S$61),S$61-$C64:$N64)</f>
        <v>0</v>
      </c>
      <c r="T64" s="33">
        <f>T$61*12-SUM($Q64:S64)-SUMPRODUCT(--($C64:$N64&lt;=T$61),T$61-$C64:$N64)</f>
        <v>0</v>
      </c>
      <c r="U64" s="33">
        <f>U$61*12-SUM($Q64:T64)-SUMPRODUCT(--($C64:$N64&lt;=U$61),U$61-$C64:$N64)</f>
        <v>0</v>
      </c>
    </row>
    <row r="65" spans="2:46" ht="13.5" thickBot="1">
      <c r="B65" s="463" t="s">
        <v>371</v>
      </c>
      <c r="C65" s="36">
        <f>SUM(B63:B63)</f>
        <v>0</v>
      </c>
      <c r="D65" s="36">
        <f t="shared" ref="D65:N65" si="26">SUM(D63:D64)</f>
        <v>0</v>
      </c>
      <c r="E65" s="36">
        <f t="shared" si="26"/>
        <v>0</v>
      </c>
      <c r="F65" s="36">
        <f t="shared" si="26"/>
        <v>0</v>
      </c>
      <c r="G65" s="36">
        <f t="shared" si="26"/>
        <v>0</v>
      </c>
      <c r="H65" s="36">
        <f t="shared" si="26"/>
        <v>0</v>
      </c>
      <c r="I65" s="36">
        <f t="shared" si="26"/>
        <v>0</v>
      </c>
      <c r="J65" s="36">
        <f t="shared" si="26"/>
        <v>0</v>
      </c>
      <c r="K65" s="36">
        <f t="shared" si="26"/>
        <v>0</v>
      </c>
      <c r="L65" s="36">
        <f t="shared" si="26"/>
        <v>0</v>
      </c>
      <c r="M65" s="36">
        <f t="shared" si="26"/>
        <v>0</v>
      </c>
      <c r="N65" s="36">
        <f t="shared" si="26"/>
        <v>0</v>
      </c>
      <c r="O65" s="61">
        <f>IF(ROUND(SUM(O63:O64),3)&lt;&gt;ROUND(SUM(C65:N65),3),#VALUE!,SUM(C65:N65))</f>
        <v>0</v>
      </c>
      <c r="Q65" s="52" t="e">
        <f>SUM(Q63:Q64)</f>
        <v>#VALUE!</v>
      </c>
      <c r="R65" s="52" t="e">
        <f>SUM(R63:R64)</f>
        <v>#VALUE!</v>
      </c>
      <c r="S65" s="52" t="e">
        <f>SUM(S63:S64)</f>
        <v>#VALUE!</v>
      </c>
      <c r="T65" s="52" t="e">
        <f>SUM(T63:T64)</f>
        <v>#VALUE!</v>
      </c>
      <c r="U65" s="52" t="e">
        <f>SUM(U63:U64)</f>
        <v>#VALUE!</v>
      </c>
      <c r="X65" s="33">
        <f>SUM(X63:X64)</f>
        <v>0</v>
      </c>
      <c r="Y65" s="33">
        <f>SUM(Y63:Y64)</f>
        <v>0</v>
      </c>
      <c r="Z65" s="33">
        <f>SUM(Z63:Z64)</f>
        <v>0</v>
      </c>
      <c r="AA65" s="33">
        <f>SUM(AA63:AA64)</f>
        <v>0</v>
      </c>
      <c r="AB65" s="33">
        <f>SUM(AB63:AB64)</f>
        <v>0</v>
      </c>
      <c r="AD65" s="33">
        <f>SUM(AD63:AD64)</f>
        <v>0</v>
      </c>
      <c r="AE65" s="33">
        <f>SUM(AE63:AE64)</f>
        <v>0</v>
      </c>
      <c r="AF65" s="33">
        <f>SUM(AF63:AF64)</f>
        <v>0</v>
      </c>
      <c r="AG65" s="33">
        <f>SUM(AG63:AG64)</f>
        <v>0</v>
      </c>
      <c r="AH65" s="33">
        <f>SUM(AH63:AH64)</f>
        <v>0</v>
      </c>
      <c r="AJ65" s="33">
        <f>SUM(AJ63:AJ64)</f>
        <v>0</v>
      </c>
      <c r="AK65" s="33">
        <f>SUM(AK63:AK64)</f>
        <v>0</v>
      </c>
      <c r="AL65" s="33">
        <f>SUM(AL63:AL64)</f>
        <v>0</v>
      </c>
      <c r="AM65" s="33">
        <f>SUM(AM63:AM64)</f>
        <v>0</v>
      </c>
      <c r="AN65" s="33">
        <f>SUM(AN63:AN64)</f>
        <v>0</v>
      </c>
      <c r="AP65" s="33">
        <f>SUM(AP63:AP64)</f>
        <v>0</v>
      </c>
      <c r="AQ65" s="33">
        <f>SUM(AQ63:AQ64)</f>
        <v>0</v>
      </c>
      <c r="AR65" s="33">
        <f>SUM(AR63:AR64)</f>
        <v>0</v>
      </c>
      <c r="AS65" s="33">
        <f>SUM(AS63:AS64)</f>
        <v>0</v>
      </c>
      <c r="AT65" s="33">
        <f>SUM(AT63:AT64)</f>
        <v>0</v>
      </c>
    </row>
    <row r="66" spans="2:46" ht="13.5" thickTop="1">
      <c r="C66" s="57"/>
      <c r="D66" s="57"/>
      <c r="E66" s="57"/>
      <c r="F66" s="57"/>
      <c r="G66" s="57"/>
      <c r="H66" s="57"/>
      <c r="I66" s="57"/>
      <c r="J66" s="57"/>
      <c r="K66" s="275"/>
      <c r="L66" s="57"/>
      <c r="M66" s="57"/>
      <c r="N66" s="57"/>
      <c r="O66" s="58"/>
      <c r="Q66" s="58"/>
      <c r="R66" s="58"/>
      <c r="S66" s="58"/>
      <c r="T66" s="58"/>
      <c r="U66" s="33" t="e">
        <f>SUM(Q65:U65)</f>
        <v>#VALUE!</v>
      </c>
    </row>
    <row r="67" spans="2:46">
      <c r="B67" s="380" t="s">
        <v>105</v>
      </c>
      <c r="C67" s="439"/>
      <c r="D67" s="439"/>
      <c r="E67" s="439"/>
      <c r="F67" s="439"/>
      <c r="G67" s="439"/>
      <c r="H67" s="439"/>
      <c r="I67" s="439"/>
      <c r="J67" s="439"/>
      <c r="K67" s="439"/>
      <c r="L67" s="439"/>
      <c r="M67" s="439"/>
      <c r="N67" s="439"/>
      <c r="O67" s="34">
        <f>SUM(C67:N67)</f>
        <v>0</v>
      </c>
      <c r="P67" s="59"/>
      <c r="Q67" s="33"/>
      <c r="R67" s="33"/>
      <c r="S67" s="33"/>
      <c r="T67" s="33"/>
      <c r="U67" s="33"/>
    </row>
    <row r="68" spans="2:46">
      <c r="B68" s="480"/>
      <c r="C68" s="478"/>
      <c r="D68" s="478"/>
      <c r="E68" s="478"/>
      <c r="F68" s="479"/>
      <c r="G68" s="479"/>
      <c r="H68" s="479"/>
      <c r="I68" s="479"/>
      <c r="J68" s="479"/>
      <c r="K68" s="479"/>
      <c r="L68" s="64"/>
      <c r="M68" s="64"/>
      <c r="N68" s="64"/>
      <c r="O68" s="34">
        <f>SUM(C68:N68)</f>
        <v>0</v>
      </c>
      <c r="P68" s="59"/>
      <c r="Q68" s="33">
        <f>Q$61*12-SUMPRODUCT(--($C68:$N68&lt;=Q$61),Q$61-$C68:$N68)</f>
        <v>0</v>
      </c>
      <c r="R68" s="33">
        <f>R$61*12-SUM($Q68:Q68)-SUMPRODUCT(--($C68:$N68&lt;=R$61),R$61-$C68:$N68)</f>
        <v>0</v>
      </c>
      <c r="S68" s="33">
        <f>S$61*12-SUM($Q68:R68)-SUMPRODUCT(--($C68:$N68&lt;=S$61),S$61-$C68:$N68)</f>
        <v>0</v>
      </c>
      <c r="T68" s="33">
        <f>T$61*12-SUM($Q68:S68)-SUMPRODUCT(--($C68:$N68&lt;=T$61),T$61-$C68:$N68)</f>
        <v>0</v>
      </c>
      <c r="U68" s="33">
        <f>U$61*12-SUM($Q68:T68)-SUMPRODUCT(--($C68:$N68&lt;=U$61),U$61-$C68:$N68)</f>
        <v>0</v>
      </c>
    </row>
    <row r="69" spans="2:46">
      <c r="B69" s="436"/>
      <c r="C69" s="259"/>
      <c r="D69" s="64"/>
      <c r="E69" s="64"/>
      <c r="F69" s="64"/>
      <c r="G69" s="64"/>
      <c r="H69" s="259"/>
      <c r="I69" s="64"/>
      <c r="J69" s="64"/>
      <c r="K69" s="259"/>
      <c r="L69" s="64"/>
      <c r="M69" s="259"/>
      <c r="N69" s="64"/>
      <c r="O69" s="34">
        <f t="shared" ref="O69:O70" si="27">SUM(C69:N69)</f>
        <v>0</v>
      </c>
      <c r="P69" s="59"/>
      <c r="Q69" s="33"/>
      <c r="R69" s="33"/>
      <c r="S69" s="33"/>
      <c r="T69" s="33"/>
      <c r="U69" s="33"/>
      <c r="Y69">
        <f>COUNT(#REF!)</f>
        <v>0</v>
      </c>
    </row>
    <row r="70" spans="2:46" ht="15.75" customHeight="1">
      <c r="B70" s="437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34">
        <f t="shared" si="27"/>
        <v>0</v>
      </c>
      <c r="P70" s="33"/>
    </row>
    <row r="71" spans="2:46" ht="13.5" thickBot="1">
      <c r="B71" s="463" t="s">
        <v>371</v>
      </c>
      <c r="C71" s="55">
        <f>C67-SUM(C68:C70)</f>
        <v>0</v>
      </c>
      <c r="D71" s="55">
        <f t="shared" ref="D71:N71" si="28">D67-SUM(D68:D70)</f>
        <v>0</v>
      </c>
      <c r="E71" s="55">
        <f t="shared" si="28"/>
        <v>0</v>
      </c>
      <c r="F71" s="55">
        <f t="shared" si="28"/>
        <v>0</v>
      </c>
      <c r="G71" s="55">
        <f t="shared" si="28"/>
        <v>0</v>
      </c>
      <c r="H71" s="55">
        <f t="shared" si="28"/>
        <v>0</v>
      </c>
      <c r="I71" s="55">
        <f t="shared" si="28"/>
        <v>0</v>
      </c>
      <c r="J71" s="55">
        <f t="shared" si="28"/>
        <v>0</v>
      </c>
      <c r="K71" s="55">
        <f t="shared" si="28"/>
        <v>0</v>
      </c>
      <c r="L71" s="55">
        <f t="shared" si="28"/>
        <v>0</v>
      </c>
      <c r="M71" s="55">
        <f t="shared" si="28"/>
        <v>0</v>
      </c>
      <c r="N71" s="55">
        <f t="shared" si="28"/>
        <v>0</v>
      </c>
      <c r="O71" s="61">
        <f>IF(ROUND(O67-SUM(O68:O70),3)&lt;&gt;ROUND(SUM(C71:N71),3),#VALUE!,SUM(C71:N71))</f>
        <v>0</v>
      </c>
      <c r="P71" s="33"/>
      <c r="U71" s="33"/>
    </row>
    <row r="72" spans="2:46" ht="13.5" thickTop="1"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>
        <f t="shared" ref="O72" si="29">O65-O71</f>
        <v>0</v>
      </c>
      <c r="Q72" s="58"/>
      <c r="R72" s="58"/>
      <c r="S72" s="58"/>
      <c r="T72" s="58"/>
      <c r="U72" s="58"/>
    </row>
    <row r="73" spans="2:46">
      <c r="C73" s="63"/>
      <c r="D73" s="63"/>
      <c r="E73" s="63"/>
      <c r="F73" s="63"/>
      <c r="G73" s="63"/>
      <c r="H73" s="63"/>
      <c r="I73" s="63"/>
      <c r="J73" s="63"/>
      <c r="K73" s="63"/>
      <c r="L73" s="63">
        <f>COUNT(#REF!)</f>
        <v>0</v>
      </c>
      <c r="M73" s="63">
        <f>COUNT(#REF!)</f>
        <v>0</v>
      </c>
      <c r="N73" s="63">
        <f>COUNT(#REF!)</f>
        <v>0</v>
      </c>
      <c r="O73" s="63"/>
      <c r="Q73" s="58"/>
      <c r="R73" s="58"/>
      <c r="S73" s="58"/>
      <c r="T73" s="58"/>
      <c r="U73" s="58"/>
    </row>
    <row r="74" spans="2:46">
      <c r="B74" s="29" t="s">
        <v>472</v>
      </c>
      <c r="C74" s="63"/>
      <c r="O74" s="229" t="s">
        <v>342</v>
      </c>
      <c r="Q74" s="47">
        <v>10000</v>
      </c>
      <c r="R74" s="47">
        <v>25000</v>
      </c>
      <c r="S74" s="47">
        <v>50000</v>
      </c>
      <c r="T74" s="48">
        <v>99999999</v>
      </c>
    </row>
    <row r="75" spans="2:46">
      <c r="B75" s="29" t="s">
        <v>58</v>
      </c>
      <c r="C75" s="230">
        <f t="shared" ref="C75:N75" si="30">C4</f>
        <v>43466</v>
      </c>
      <c r="D75" s="230">
        <f t="shared" si="30"/>
        <v>43497</v>
      </c>
      <c r="E75" s="230">
        <f t="shared" si="30"/>
        <v>43525</v>
      </c>
      <c r="F75" s="230">
        <f t="shared" si="30"/>
        <v>43556</v>
      </c>
      <c r="G75" s="230">
        <f t="shared" si="30"/>
        <v>43586</v>
      </c>
      <c r="H75" s="230">
        <f t="shared" si="30"/>
        <v>43617</v>
      </c>
      <c r="I75" s="230">
        <f t="shared" si="30"/>
        <v>43647</v>
      </c>
      <c r="J75" s="230">
        <f t="shared" si="30"/>
        <v>43678</v>
      </c>
      <c r="K75" s="230">
        <f t="shared" si="30"/>
        <v>43709</v>
      </c>
      <c r="L75" s="230">
        <f t="shared" si="30"/>
        <v>43739</v>
      </c>
      <c r="M75" s="230">
        <f t="shared" si="30"/>
        <v>43770</v>
      </c>
      <c r="N75" s="230">
        <f t="shared" si="30"/>
        <v>43800</v>
      </c>
      <c r="O75" s="231" t="s">
        <v>59</v>
      </c>
      <c r="P75" s="31"/>
      <c r="Q75" s="46" t="s">
        <v>95</v>
      </c>
      <c r="R75" s="46" t="s">
        <v>95</v>
      </c>
      <c r="S75" s="46" t="s">
        <v>95</v>
      </c>
      <c r="T75" s="46" t="s">
        <v>95</v>
      </c>
    </row>
    <row r="76" spans="2:46">
      <c r="B76" s="436"/>
      <c r="C76" s="506">
        <v>72561.02</v>
      </c>
      <c r="D76" s="506">
        <v>82353.672000000006</v>
      </c>
      <c r="E76" s="506">
        <v>62155.584000000003</v>
      </c>
      <c r="F76" s="506">
        <v>45350.682999999997</v>
      </c>
      <c r="G76" s="506">
        <v>40061.411999999997</v>
      </c>
      <c r="H76" s="506">
        <v>28785.57</v>
      </c>
      <c r="I76" s="506">
        <v>28243.370999999999</v>
      </c>
      <c r="J76" s="506">
        <v>23806.145</v>
      </c>
      <c r="K76" s="506">
        <v>0</v>
      </c>
      <c r="L76" s="506">
        <v>84296.073999999993</v>
      </c>
      <c r="M76" s="506">
        <v>54158.991999999998</v>
      </c>
      <c r="N76" s="506">
        <v>0</v>
      </c>
      <c r="O76" s="33">
        <f>SUM(C76:N76)</f>
        <v>521772.52300000004</v>
      </c>
      <c r="P76" s="33"/>
      <c r="Q76" s="33">
        <f>Q$74*12-SUMPRODUCT(--($C76:$N76&lt;=Q$74),Q$74-$C76:$N76)</f>
        <v>100000</v>
      </c>
      <c r="R76" s="33">
        <f>R$74*12-SUM($Q76:Q76)-SUMPRODUCT(--($C76:$N76&lt;=R$74),R$74-$C76:$N76)</f>
        <v>148806.14500000002</v>
      </c>
      <c r="S76" s="33">
        <f>S$74*12-SUM($Q76:R76)-SUMPRODUCT(--($C76:$N76&lt;=S$74),S$74-$C76:$N76)</f>
        <v>167441.03599999996</v>
      </c>
      <c r="T76" s="33">
        <f>T$74*12-SUM($Q76:S76)-SUMPRODUCT(--($C76:$N76&lt;=T$74),T$74-$C76:$N76)</f>
        <v>105525.34200000763</v>
      </c>
    </row>
    <row r="77" spans="2:46">
      <c r="B77" s="436"/>
      <c r="C77" s="507">
        <v>68662.577999999994</v>
      </c>
      <c r="D77" s="507">
        <v>59742.29</v>
      </c>
      <c r="E77" s="507">
        <v>71279.67</v>
      </c>
      <c r="F77" s="507">
        <v>52448.472000000002</v>
      </c>
      <c r="G77" s="507">
        <v>34233.803999999996</v>
      </c>
      <c r="H77" s="507">
        <v>23689</v>
      </c>
      <c r="I77" s="507">
        <f>34044.925-23689</f>
        <v>10355.925000000003</v>
      </c>
      <c r="J77" s="507">
        <v>13106.19</v>
      </c>
      <c r="K77" s="507">
        <v>11737.691999999999</v>
      </c>
      <c r="L77" s="507">
        <v>22708.306</v>
      </c>
      <c r="M77" s="507">
        <v>41014.214999999997</v>
      </c>
      <c r="N77" s="507">
        <v>62449.625</v>
      </c>
      <c r="O77" s="33">
        <f>SUM(C77:N77)</f>
        <v>471427.76699999999</v>
      </c>
      <c r="P77" s="33"/>
      <c r="Q77" s="33">
        <f>Q$74*12-SUMPRODUCT(--($C77:$N77&lt;=Q$74),Q$74-$C77:$N77)</f>
        <v>120000</v>
      </c>
      <c r="R77" s="33">
        <f>R$74*12-SUM($Q77:Q77)-SUMPRODUCT(--($C77:$N77&lt;=R$74),R$74-$C77:$N77)</f>
        <v>136597.11300000001</v>
      </c>
      <c r="S77" s="33">
        <f>S$74*12-SUM($Q77:R77)-SUMPRODUCT(--($C77:$N77&lt;=S$74),S$74-$C77:$N77)</f>
        <v>150248.01899999997</v>
      </c>
      <c r="T77" s="33">
        <f>T$74*12-SUM($Q77:S77)-SUMPRODUCT(--($C77:$N77&lt;=T$74),T$74-$C77:$N77)</f>
        <v>64582.634999990463</v>
      </c>
    </row>
    <row r="78" spans="2:46">
      <c r="B78" s="497"/>
    </row>
    <row r="79" spans="2:46">
      <c r="C79" s="36">
        <f>SUM(C76:C78)</f>
        <v>141223.598</v>
      </c>
      <c r="D79" s="36">
        <f t="shared" ref="D79:N79" si="31">SUM(D76:D78)</f>
        <v>142095.962</v>
      </c>
      <c r="E79" s="36">
        <f t="shared" si="31"/>
        <v>133435.25400000002</v>
      </c>
      <c r="F79" s="36">
        <f t="shared" si="31"/>
        <v>97799.154999999999</v>
      </c>
      <c r="G79" s="36">
        <f t="shared" si="31"/>
        <v>74295.215999999986</v>
      </c>
      <c r="H79" s="36">
        <f t="shared" si="31"/>
        <v>52474.57</v>
      </c>
      <c r="I79" s="36">
        <f t="shared" si="31"/>
        <v>38599.296000000002</v>
      </c>
      <c r="J79" s="36">
        <f t="shared" si="31"/>
        <v>36912.334999999999</v>
      </c>
      <c r="K79" s="36">
        <f t="shared" si="31"/>
        <v>11737.691999999999</v>
      </c>
      <c r="L79" s="36">
        <f t="shared" si="31"/>
        <v>107004.37999999999</v>
      </c>
      <c r="M79" s="36">
        <f t="shared" si="31"/>
        <v>95173.206999999995</v>
      </c>
      <c r="N79" s="36">
        <f t="shared" si="31"/>
        <v>62449.625</v>
      </c>
      <c r="O79" s="52">
        <f>IF(ROUND(SUM(O76:O78),3)&lt;&gt;ROUND(SUM(C79:N79),3),#VALUE!,SUM(C79:N79))</f>
        <v>993200.29</v>
      </c>
      <c r="Q79" s="52">
        <f>SUM(Q76:Q78)</f>
        <v>220000</v>
      </c>
      <c r="R79" s="52">
        <f>SUM(R76:R78)</f>
        <v>285403.25800000003</v>
      </c>
      <c r="S79" s="52">
        <f>SUM(S76:S78)</f>
        <v>317689.05499999993</v>
      </c>
      <c r="T79" s="52">
        <f>SUM(T76:T78)</f>
        <v>170107.97699999809</v>
      </c>
    </row>
    <row r="80" spans="2:46"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8"/>
      <c r="Q80" s="58"/>
      <c r="R80" s="58"/>
      <c r="S80" s="58"/>
      <c r="T80" s="58"/>
    </row>
    <row r="81" spans="2:21">
      <c r="B81" s="460" t="s">
        <v>105</v>
      </c>
      <c r="C81" s="440">
        <f>'12MEDEC19'!D165</f>
        <v>141223.598</v>
      </c>
      <c r="D81" s="440">
        <f>'12MEDEC19'!E165</f>
        <v>142095.962</v>
      </c>
      <c r="E81" s="440">
        <f>'12MEDEC19'!F165</f>
        <v>133435.25400000002</v>
      </c>
      <c r="F81" s="440">
        <f>'12MEDEC19'!G165</f>
        <v>97799.154999999984</v>
      </c>
      <c r="G81" s="440">
        <f>'12MEDEC19'!H165</f>
        <v>74295.216</v>
      </c>
      <c r="H81" s="440">
        <f>'12MEDEC19'!I165</f>
        <v>52474.186000000002</v>
      </c>
      <c r="I81" s="440">
        <f>'12MEDEC19'!J165</f>
        <v>38599.68</v>
      </c>
      <c r="J81" s="440">
        <f>'12MEDEC19'!K165</f>
        <v>36912.334999999999</v>
      </c>
      <c r="K81" s="440">
        <f>'12MEDEC19'!L165</f>
        <v>11737.691999999999</v>
      </c>
      <c r="L81" s="440">
        <f>'12MEDEC19'!M165</f>
        <v>107004.38</v>
      </c>
      <c r="M81" s="440">
        <f>'12MEDEC19'!N165</f>
        <v>95173.206999999995</v>
      </c>
      <c r="N81" s="440">
        <f>'12MEDEC19'!O165</f>
        <v>62449.625</v>
      </c>
      <c r="O81" s="58">
        <f>SUM(C81:N81)</f>
        <v>993200.29</v>
      </c>
      <c r="Q81" s="58"/>
      <c r="R81" s="58"/>
      <c r="S81" s="58"/>
      <c r="T81" s="58"/>
    </row>
    <row r="82" spans="2:21">
      <c r="B82" s="496" t="s">
        <v>412</v>
      </c>
      <c r="C82" s="385">
        <v>0</v>
      </c>
      <c r="D82" s="385">
        <v>0</v>
      </c>
      <c r="E82" s="385">
        <v>0</v>
      </c>
      <c r="F82" s="385">
        <v>0</v>
      </c>
      <c r="G82" s="385">
        <v>0</v>
      </c>
      <c r="H82" s="279"/>
      <c r="I82" s="279"/>
      <c r="J82" s="279"/>
      <c r="K82" s="279"/>
      <c r="L82" s="279"/>
      <c r="M82" s="279"/>
      <c r="N82" s="279"/>
      <c r="O82" s="384">
        <f>SUM(C82:N82)</f>
        <v>0</v>
      </c>
      <c r="Q82" s="58"/>
      <c r="R82" s="58"/>
      <c r="S82" s="58"/>
      <c r="T82" s="58"/>
    </row>
    <row r="83" spans="2:21">
      <c r="B83" s="460" t="s">
        <v>413</v>
      </c>
      <c r="C83" s="33">
        <f>SUM(C81:C82)</f>
        <v>141223.598</v>
      </c>
      <c r="D83" s="33">
        <f t="shared" ref="D83:O83" si="32">SUM(D81:D82)</f>
        <v>142095.962</v>
      </c>
      <c r="E83" s="33">
        <f t="shared" si="32"/>
        <v>133435.25400000002</v>
      </c>
      <c r="F83" s="33">
        <f t="shared" si="32"/>
        <v>97799.154999999984</v>
      </c>
      <c r="G83" s="33">
        <f t="shared" si="32"/>
        <v>74295.216</v>
      </c>
      <c r="H83" s="33">
        <f t="shared" si="32"/>
        <v>52474.186000000002</v>
      </c>
      <c r="I83" s="33">
        <f t="shared" si="32"/>
        <v>38599.68</v>
      </c>
      <c r="J83" s="33">
        <f t="shared" si="32"/>
        <v>36912.334999999999</v>
      </c>
      <c r="K83" s="33">
        <f t="shared" si="32"/>
        <v>11737.691999999999</v>
      </c>
      <c r="L83" s="33">
        <f t="shared" si="32"/>
        <v>107004.38</v>
      </c>
      <c r="M83" s="33">
        <f t="shared" si="32"/>
        <v>95173.206999999995</v>
      </c>
      <c r="N83" s="33">
        <f t="shared" si="32"/>
        <v>62449.625</v>
      </c>
      <c r="O83" s="33">
        <f t="shared" si="32"/>
        <v>993200.29</v>
      </c>
      <c r="Q83" s="58"/>
      <c r="R83" s="58"/>
      <c r="S83" s="58"/>
      <c r="T83" s="33">
        <f>SUM(Q79:T79)</f>
        <v>993200.28999999806</v>
      </c>
      <c r="U83" s="33"/>
    </row>
    <row r="84" spans="2:21">
      <c r="C84" s="481">
        <f>C79-C83</f>
        <v>0</v>
      </c>
      <c r="D84" s="481">
        <f t="shared" ref="D84:O84" si="33">D79-D83</f>
        <v>0</v>
      </c>
      <c r="E84" s="481">
        <f t="shared" si="33"/>
        <v>0</v>
      </c>
      <c r="F84" s="481">
        <f t="shared" si="33"/>
        <v>0</v>
      </c>
      <c r="G84" s="481">
        <f t="shared" si="33"/>
        <v>0</v>
      </c>
      <c r="H84" s="481">
        <f t="shared" si="33"/>
        <v>0.38399999999819556</v>
      </c>
      <c r="I84" s="481">
        <f t="shared" si="33"/>
        <v>-0.38399999999819556</v>
      </c>
      <c r="J84" s="481">
        <f t="shared" si="33"/>
        <v>0</v>
      </c>
      <c r="K84" s="481">
        <f t="shared" si="33"/>
        <v>0</v>
      </c>
      <c r="L84" s="481">
        <f t="shared" si="33"/>
        <v>0</v>
      </c>
      <c r="M84" s="481">
        <f>M79-M83</f>
        <v>0</v>
      </c>
      <c r="N84" s="481">
        <f t="shared" si="33"/>
        <v>0</v>
      </c>
      <c r="O84" s="33">
        <f t="shared" si="33"/>
        <v>0</v>
      </c>
      <c r="Q84" s="58"/>
      <c r="R84" s="58"/>
      <c r="S84" s="58"/>
      <c r="T84" s="33"/>
      <c r="U84" s="33"/>
    </row>
    <row r="85" spans="2:21">
      <c r="B85" s="29" t="s">
        <v>97</v>
      </c>
      <c r="O85" s="229" t="s">
        <v>342</v>
      </c>
    </row>
    <row r="86" spans="2:21">
      <c r="B86" s="29" t="s">
        <v>58</v>
      </c>
      <c r="C86" s="230">
        <f t="shared" ref="C86:N86" si="34">C4</f>
        <v>43466</v>
      </c>
      <c r="D86" s="230">
        <f t="shared" si="34"/>
        <v>43497</v>
      </c>
      <c r="E86" s="230">
        <f t="shared" si="34"/>
        <v>43525</v>
      </c>
      <c r="F86" s="230">
        <f t="shared" si="34"/>
        <v>43556</v>
      </c>
      <c r="G86" s="230">
        <f t="shared" si="34"/>
        <v>43586</v>
      </c>
      <c r="H86" s="230">
        <f t="shared" si="34"/>
        <v>43617</v>
      </c>
      <c r="I86" s="230">
        <f t="shared" si="34"/>
        <v>43647</v>
      </c>
      <c r="J86" s="230">
        <f t="shared" si="34"/>
        <v>43678</v>
      </c>
      <c r="K86" s="230">
        <f t="shared" si="34"/>
        <v>43709</v>
      </c>
      <c r="L86" s="230">
        <f t="shared" si="34"/>
        <v>43739</v>
      </c>
      <c r="M86" s="230">
        <f t="shared" si="34"/>
        <v>43770</v>
      </c>
      <c r="N86" s="230">
        <f t="shared" si="34"/>
        <v>43800</v>
      </c>
      <c r="O86" s="231" t="s">
        <v>59</v>
      </c>
      <c r="P86" s="31"/>
    </row>
    <row r="87" spans="2:21">
      <c r="B87" s="546" t="s">
        <v>657</v>
      </c>
      <c r="C87" s="506">
        <v>2327028</v>
      </c>
      <c r="D87" s="506">
        <v>2165034</v>
      </c>
      <c r="E87" s="506">
        <v>2118541</v>
      </c>
      <c r="F87" s="506">
        <v>2272185</v>
      </c>
      <c r="G87" s="506">
        <v>1984568</v>
      </c>
      <c r="H87" s="506">
        <v>1866186</v>
      </c>
      <c r="I87" s="506">
        <v>1809837</v>
      </c>
      <c r="J87" s="506">
        <v>1872170</v>
      </c>
      <c r="K87" s="506">
        <v>1899436</v>
      </c>
      <c r="L87" s="506">
        <v>1909441</v>
      </c>
      <c r="M87" s="506">
        <v>1901257</v>
      </c>
      <c r="N87" s="506">
        <v>2120127</v>
      </c>
      <c r="O87" s="62">
        <f>SUM(C87:N87)</f>
        <v>24245810</v>
      </c>
      <c r="P87" s="33"/>
    </row>
    <row r="88" spans="2:21">
      <c r="B88" s="546" t="s">
        <v>658</v>
      </c>
      <c r="C88" s="506">
        <v>522394</v>
      </c>
      <c r="D88" s="506">
        <v>568799</v>
      </c>
      <c r="E88" s="506">
        <v>508451</v>
      </c>
      <c r="F88" s="506">
        <v>273898</v>
      </c>
      <c r="G88" s="506">
        <v>537508</v>
      </c>
      <c r="H88" s="506">
        <v>571198</v>
      </c>
      <c r="I88" s="506">
        <v>556999</v>
      </c>
      <c r="J88" s="506">
        <v>532355</v>
      </c>
      <c r="K88" s="506">
        <v>536866</v>
      </c>
      <c r="L88" s="506">
        <v>520901</v>
      </c>
      <c r="M88" s="506">
        <v>562339</v>
      </c>
      <c r="N88" s="506">
        <v>501596</v>
      </c>
      <c r="O88" s="62">
        <f>SUM(C88:N88)</f>
        <v>6193304</v>
      </c>
    </row>
    <row r="89" spans="2:21">
      <c r="B89" s="546" t="s">
        <v>659</v>
      </c>
      <c r="C89" s="506">
        <v>188660</v>
      </c>
      <c r="D89" s="506">
        <v>186906</v>
      </c>
      <c r="E89" s="506">
        <v>175067</v>
      </c>
      <c r="F89" s="506">
        <v>195356</v>
      </c>
      <c r="G89" s="506">
        <v>178676</v>
      </c>
      <c r="H89" s="506">
        <v>175167</v>
      </c>
      <c r="I89" s="506">
        <v>168457</v>
      </c>
      <c r="J89" s="506">
        <v>175314</v>
      </c>
      <c r="K89" s="506">
        <v>171206</v>
      </c>
      <c r="L89" s="506">
        <v>168075</v>
      </c>
      <c r="M89" s="506">
        <v>172900</v>
      </c>
      <c r="N89" s="506">
        <v>176363</v>
      </c>
      <c r="O89" s="62">
        <f>SUM(C89:N89)</f>
        <v>2132147</v>
      </c>
    </row>
    <row r="90" spans="2:21">
      <c r="B90" s="546" t="s">
        <v>98</v>
      </c>
      <c r="C90" s="506">
        <v>488805</v>
      </c>
      <c r="D90" s="506">
        <v>547793</v>
      </c>
      <c r="E90" s="506">
        <v>301654</v>
      </c>
      <c r="F90" s="506">
        <v>485201</v>
      </c>
      <c r="G90" s="506">
        <f>885978-485201</f>
        <v>400777</v>
      </c>
      <c r="H90" s="506">
        <v>483711</v>
      </c>
      <c r="I90" s="506">
        <v>453723</v>
      </c>
      <c r="J90" s="506">
        <v>447677</v>
      </c>
      <c r="K90" s="506">
        <v>442839</v>
      </c>
      <c r="L90" s="506">
        <v>450425</v>
      </c>
      <c r="M90" s="506">
        <v>449474</v>
      </c>
      <c r="N90" s="506">
        <v>467047</v>
      </c>
      <c r="O90" s="62">
        <f>SUM(C90:N90)</f>
        <v>5419126</v>
      </c>
    </row>
    <row r="91" spans="2:21">
      <c r="B91" s="546" t="s">
        <v>660</v>
      </c>
      <c r="C91" s="506">
        <v>1381050</v>
      </c>
      <c r="D91" s="506">
        <v>1361028</v>
      </c>
      <c r="E91" s="506">
        <v>985387</v>
      </c>
      <c r="F91" s="506">
        <v>1313866</v>
      </c>
      <c r="G91" s="506">
        <v>881821</v>
      </c>
      <c r="H91" s="506">
        <v>660073</v>
      </c>
      <c r="I91" s="506">
        <v>521533</v>
      </c>
      <c r="J91" s="506">
        <v>479531</v>
      </c>
      <c r="K91" s="506">
        <v>463738</v>
      </c>
      <c r="L91" s="506">
        <v>629185</v>
      </c>
      <c r="M91" s="506">
        <v>1084806</v>
      </c>
      <c r="N91" s="506">
        <v>1171447</v>
      </c>
      <c r="O91" s="62">
        <f>SUM(C91:N91)</f>
        <v>10933465</v>
      </c>
    </row>
    <row r="93" spans="2:21" ht="13.5" thickBot="1">
      <c r="B93" s="463" t="s">
        <v>109</v>
      </c>
      <c r="C93" s="36">
        <f t="shared" ref="C93:N93" si="35">SUM(C87:C92)</f>
        <v>4907937</v>
      </c>
      <c r="D93" s="36">
        <f t="shared" si="35"/>
        <v>4829560</v>
      </c>
      <c r="E93" s="36">
        <f t="shared" si="35"/>
        <v>4089100</v>
      </c>
      <c r="F93" s="36">
        <f t="shared" si="35"/>
        <v>4540506</v>
      </c>
      <c r="G93" s="36">
        <f t="shared" si="35"/>
        <v>3983350</v>
      </c>
      <c r="H93" s="36">
        <f t="shared" si="35"/>
        <v>3756335</v>
      </c>
      <c r="I93" s="36">
        <f t="shared" si="35"/>
        <v>3510549</v>
      </c>
      <c r="J93" s="36">
        <f t="shared" si="35"/>
        <v>3507047</v>
      </c>
      <c r="K93" s="36">
        <f t="shared" si="35"/>
        <v>3514085</v>
      </c>
      <c r="L93" s="36">
        <f t="shared" si="35"/>
        <v>3678027</v>
      </c>
      <c r="M93" s="36">
        <f t="shared" si="35"/>
        <v>4170776</v>
      </c>
      <c r="N93" s="36">
        <f t="shared" si="35"/>
        <v>4436580</v>
      </c>
      <c r="O93" s="61">
        <f>IF(ROUND(SUM(O87:O92),3)&lt;&gt;ROUND(SUM(C93:N93),3),#VALUE!,SUM(C93:N93))</f>
        <v>48923852</v>
      </c>
    </row>
    <row r="94" spans="2:21" ht="13.5" thickTop="1"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8"/>
    </row>
    <row r="95" spans="2:21" ht="13.5" thickBot="1">
      <c r="B95" s="380" t="s">
        <v>105</v>
      </c>
      <c r="C95" s="442">
        <f>'12MEDEC19'!D168</f>
        <v>4907937</v>
      </c>
      <c r="D95" s="442">
        <f>'12MEDEC19'!E168</f>
        <v>4829560</v>
      </c>
      <c r="E95" s="442">
        <f>'12MEDEC19'!F168</f>
        <v>4089100</v>
      </c>
      <c r="F95" s="442">
        <f>'12MEDEC19'!G168</f>
        <v>4540506</v>
      </c>
      <c r="G95" s="442">
        <f>'12MEDEC19'!H168</f>
        <v>3983350</v>
      </c>
      <c r="H95" s="442">
        <f>'12MEDEC19'!I168</f>
        <v>3756335</v>
      </c>
      <c r="I95" s="442">
        <f>'12MEDEC19'!J168</f>
        <v>3510549</v>
      </c>
      <c r="J95" s="442">
        <f>'12MEDEC19'!K168</f>
        <v>3507047</v>
      </c>
      <c r="K95" s="442">
        <f>'12MEDEC19'!L168</f>
        <v>3514085</v>
      </c>
      <c r="L95" s="442">
        <f>'12MEDEC19'!M168</f>
        <v>3678027</v>
      </c>
      <c r="M95" s="442">
        <f>'12MEDEC19'!N168</f>
        <v>4170776</v>
      </c>
      <c r="N95" s="442">
        <f>'12MEDEC19'!O168</f>
        <v>4436580</v>
      </c>
      <c r="O95" s="66">
        <f>SUM(C95:N95)</f>
        <v>48923852</v>
      </c>
      <c r="P95" s="59"/>
      <c r="Q95" s="58"/>
      <c r="R95" s="58"/>
      <c r="S95" s="58"/>
      <c r="T95" s="58"/>
      <c r="U95" s="58"/>
    </row>
    <row r="96" spans="2:21" ht="13.5" thickTop="1">
      <c r="C96" s="63">
        <f>C93-C95</f>
        <v>0</v>
      </c>
      <c r="D96" s="63">
        <f t="shared" ref="D96:O96" si="36">D93-D95</f>
        <v>0</v>
      </c>
      <c r="E96" s="63">
        <f t="shared" si="36"/>
        <v>0</v>
      </c>
      <c r="F96" s="63">
        <f t="shared" si="36"/>
        <v>0</v>
      </c>
      <c r="G96" s="63">
        <f t="shared" si="36"/>
        <v>0</v>
      </c>
      <c r="H96" s="63">
        <f t="shared" si="36"/>
        <v>0</v>
      </c>
      <c r="I96" s="63">
        <f t="shared" si="36"/>
        <v>0</v>
      </c>
      <c r="J96" s="63">
        <f t="shared" si="36"/>
        <v>0</v>
      </c>
      <c r="K96" s="63">
        <f t="shared" si="36"/>
        <v>0</v>
      </c>
      <c r="L96" s="63">
        <f t="shared" si="36"/>
        <v>0</v>
      </c>
      <c r="M96" s="63">
        <f t="shared" si="36"/>
        <v>0</v>
      </c>
      <c r="N96" s="63">
        <f t="shared" si="36"/>
        <v>0</v>
      </c>
      <c r="O96" s="63">
        <f t="shared" si="36"/>
        <v>0</v>
      </c>
    </row>
    <row r="98" spans="2:21">
      <c r="B98" s="29" t="s">
        <v>110</v>
      </c>
      <c r="O98" s="229" t="s">
        <v>342</v>
      </c>
    </row>
    <row r="99" spans="2:21">
      <c r="B99" s="29" t="s">
        <v>58</v>
      </c>
      <c r="C99" s="230">
        <f t="shared" ref="C99:N99" si="37">C4</f>
        <v>43466</v>
      </c>
      <c r="D99" s="230">
        <f t="shared" si="37"/>
        <v>43497</v>
      </c>
      <c r="E99" s="230">
        <f t="shared" si="37"/>
        <v>43525</v>
      </c>
      <c r="F99" s="230">
        <f t="shared" si="37"/>
        <v>43556</v>
      </c>
      <c r="G99" s="230">
        <f t="shared" si="37"/>
        <v>43586</v>
      </c>
      <c r="H99" s="230">
        <f t="shared" si="37"/>
        <v>43617</v>
      </c>
      <c r="I99" s="230">
        <f t="shared" si="37"/>
        <v>43647</v>
      </c>
      <c r="J99" s="230">
        <f t="shared" si="37"/>
        <v>43678</v>
      </c>
      <c r="K99" s="230">
        <f t="shared" si="37"/>
        <v>43709</v>
      </c>
      <c r="L99" s="230">
        <f t="shared" si="37"/>
        <v>43739</v>
      </c>
      <c r="M99" s="230">
        <f t="shared" si="37"/>
        <v>43770</v>
      </c>
      <c r="N99" s="230">
        <f t="shared" si="37"/>
        <v>43800</v>
      </c>
      <c r="O99" s="231" t="s">
        <v>59</v>
      </c>
      <c r="P99" s="31"/>
    </row>
    <row r="100" spans="2:21">
      <c r="C100" s="506">
        <v>311015</v>
      </c>
      <c r="D100" s="506">
        <v>144011</v>
      </c>
      <c r="E100" s="506">
        <v>442892</v>
      </c>
      <c r="F100" s="506">
        <v>580076</v>
      </c>
      <c r="G100" s="506">
        <v>64826</v>
      </c>
      <c r="H100" s="506">
        <v>121440</v>
      </c>
      <c r="I100" s="506">
        <v>283349</v>
      </c>
      <c r="J100" s="506">
        <v>514383</v>
      </c>
      <c r="K100" s="506">
        <v>1055696</v>
      </c>
      <c r="L100" s="506">
        <v>554725</v>
      </c>
      <c r="M100" s="506">
        <v>1038228</v>
      </c>
      <c r="N100" s="506">
        <v>690584</v>
      </c>
      <c r="O100" s="62">
        <f>SUM(C100:N100)</f>
        <v>5801225</v>
      </c>
      <c r="P100" s="33"/>
    </row>
    <row r="101" spans="2:21">
      <c r="C101" s="506">
        <v>68149</v>
      </c>
      <c r="D101" s="506">
        <v>32701</v>
      </c>
      <c r="E101" s="506">
        <v>140837</v>
      </c>
      <c r="F101" s="506">
        <v>234196</v>
      </c>
      <c r="G101" s="506">
        <v>4149</v>
      </c>
      <c r="H101" s="506">
        <v>0</v>
      </c>
      <c r="I101" s="506">
        <v>86502</v>
      </c>
      <c r="J101" s="506">
        <v>135504</v>
      </c>
      <c r="K101" s="506">
        <v>349953</v>
      </c>
      <c r="L101" s="506">
        <v>259234</v>
      </c>
      <c r="M101" s="506">
        <v>396799</v>
      </c>
      <c r="N101" s="506">
        <v>397930</v>
      </c>
      <c r="O101" s="62">
        <f>SUM(C101:N101)</f>
        <v>2105954</v>
      </c>
    </row>
    <row r="103" spans="2:21" ht="13.5" thickBot="1">
      <c r="B103" s="463" t="s">
        <v>111</v>
      </c>
      <c r="C103" s="36">
        <f t="shared" ref="C103:N103" si="38">SUM(C100:C102)</f>
        <v>379164</v>
      </c>
      <c r="D103" s="36">
        <f t="shared" si="38"/>
        <v>176712</v>
      </c>
      <c r="E103" s="36">
        <f>SUM(E100:E102)</f>
        <v>583729</v>
      </c>
      <c r="F103" s="36">
        <f t="shared" si="38"/>
        <v>814272</v>
      </c>
      <c r="G103" s="36">
        <f t="shared" si="38"/>
        <v>68975</v>
      </c>
      <c r="H103" s="36">
        <f t="shared" si="38"/>
        <v>121440</v>
      </c>
      <c r="I103" s="36">
        <f t="shared" si="38"/>
        <v>369851</v>
      </c>
      <c r="J103" s="36">
        <f t="shared" si="38"/>
        <v>649887</v>
      </c>
      <c r="K103" s="36">
        <f t="shared" si="38"/>
        <v>1405649</v>
      </c>
      <c r="L103" s="36">
        <f t="shared" si="38"/>
        <v>813959</v>
      </c>
      <c r="M103" s="36">
        <f t="shared" si="38"/>
        <v>1435027</v>
      </c>
      <c r="N103" s="36">
        <f t="shared" si="38"/>
        <v>1088514</v>
      </c>
      <c r="O103" s="61">
        <f>IF(ROUND(SUM(O100:O102),3)&lt;&gt;ROUND(SUM(C103:N103),3),#VALUE!,SUM(C103:N103))</f>
        <v>7907179</v>
      </c>
    </row>
    <row r="104" spans="2:21" ht="13.5" thickTop="1"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8"/>
    </row>
    <row r="105" spans="2:21" ht="13.5" thickBot="1">
      <c r="B105" s="380" t="s">
        <v>105</v>
      </c>
      <c r="C105" s="441">
        <f>'12MEDEC19'!D167</f>
        <v>379164</v>
      </c>
      <c r="D105" s="441">
        <f>'12MEDEC19'!E167</f>
        <v>176712</v>
      </c>
      <c r="E105" s="441">
        <f>'12MEDEC19'!F167</f>
        <v>583729</v>
      </c>
      <c r="F105" s="441">
        <f>'12MEDEC19'!G167</f>
        <v>814272</v>
      </c>
      <c r="G105" s="441">
        <f>'12MEDEC19'!H167</f>
        <v>68975</v>
      </c>
      <c r="H105" s="441">
        <f>'12MEDEC19'!I167</f>
        <v>121440</v>
      </c>
      <c r="I105" s="441">
        <f>'12MEDEC19'!J167</f>
        <v>369851</v>
      </c>
      <c r="J105" s="441">
        <f>'12MEDEC19'!K167</f>
        <v>649887</v>
      </c>
      <c r="K105" s="441">
        <f>'12MEDEC19'!L167</f>
        <v>1405649</v>
      </c>
      <c r="L105" s="441">
        <f>'12MEDEC19'!M167</f>
        <v>813959</v>
      </c>
      <c r="M105" s="441">
        <f>'12MEDEC19'!N167</f>
        <v>1435027</v>
      </c>
      <c r="N105" s="441">
        <f>'12MEDEC19'!O167</f>
        <v>1088514</v>
      </c>
      <c r="O105" s="66">
        <f>SUM(C105:N105)</f>
        <v>7907179</v>
      </c>
      <c r="P105" s="59"/>
      <c r="Q105" s="58"/>
      <c r="R105" s="58"/>
      <c r="S105" s="58"/>
      <c r="T105" s="58"/>
      <c r="U105" s="58"/>
    </row>
    <row r="106" spans="2:21" ht="13.5" thickTop="1">
      <c r="C106" s="63">
        <f t="shared" ref="C106:O106" si="39">C103-C105</f>
        <v>0</v>
      </c>
      <c r="D106" s="63">
        <f t="shared" si="39"/>
        <v>0</v>
      </c>
      <c r="E106" s="63">
        <f t="shared" si="39"/>
        <v>0</v>
      </c>
      <c r="F106" s="63">
        <f t="shared" si="39"/>
        <v>0</v>
      </c>
      <c r="G106" s="63">
        <f t="shared" si="39"/>
        <v>0</v>
      </c>
      <c r="H106" s="63">
        <f t="shared" si="39"/>
        <v>0</v>
      </c>
      <c r="I106" s="63">
        <f t="shared" si="39"/>
        <v>0</v>
      </c>
      <c r="J106" s="63">
        <f t="shared" si="39"/>
        <v>0</v>
      </c>
      <c r="K106" s="63">
        <f t="shared" si="39"/>
        <v>0</v>
      </c>
      <c r="L106" s="63">
        <f t="shared" si="39"/>
        <v>0</v>
      </c>
      <c r="M106" s="63">
        <f t="shared" si="39"/>
        <v>0</v>
      </c>
      <c r="N106" s="63">
        <f t="shared" si="39"/>
        <v>0</v>
      </c>
      <c r="O106" s="63">
        <f t="shared" si="39"/>
        <v>0</v>
      </c>
    </row>
    <row r="108" spans="2:21">
      <c r="B108" s="460" t="s">
        <v>294</v>
      </c>
      <c r="C108" s="511">
        <v>7928.32</v>
      </c>
      <c r="D108" s="511">
        <v>3695.05</v>
      </c>
      <c r="E108" s="511">
        <v>12205.77</v>
      </c>
      <c r="F108" s="511">
        <v>17026.43</v>
      </c>
      <c r="G108" s="511">
        <v>1442.26</v>
      </c>
      <c r="H108" s="511">
        <v>2539.31</v>
      </c>
      <c r="I108" s="511">
        <v>7733.59</v>
      </c>
      <c r="J108" s="511">
        <v>13589.14</v>
      </c>
      <c r="K108" s="511">
        <v>29392.12</v>
      </c>
      <c r="L108" s="511">
        <v>17019.88</v>
      </c>
      <c r="M108" s="511">
        <v>30006.42</v>
      </c>
      <c r="N108" s="511">
        <v>22760.83</v>
      </c>
      <c r="O108" s="209">
        <f>SUM(C108:N108)</f>
        <v>165339.12</v>
      </c>
    </row>
    <row r="109" spans="2:21">
      <c r="B109" s="463" t="s">
        <v>102</v>
      </c>
      <c r="C109" s="34">
        <f>C103*0.02091</f>
        <v>7928.3192400000007</v>
      </c>
      <c r="D109" s="34">
        <f t="shared" ref="D109:N109" si="40">D103*0.02091</f>
        <v>3695.0479200000004</v>
      </c>
      <c r="E109" s="34">
        <f t="shared" si="40"/>
        <v>12205.77339</v>
      </c>
      <c r="F109" s="34">
        <f t="shared" si="40"/>
        <v>17026.427520000001</v>
      </c>
      <c r="G109" s="34">
        <f t="shared" si="40"/>
        <v>1442.2672500000001</v>
      </c>
      <c r="H109" s="34">
        <f t="shared" si="40"/>
        <v>2539.3104000000003</v>
      </c>
      <c r="I109" s="34">
        <f t="shared" si="40"/>
        <v>7733.5844100000004</v>
      </c>
      <c r="J109" s="34">
        <f t="shared" si="40"/>
        <v>13589.137170000002</v>
      </c>
      <c r="K109" s="34">
        <f t="shared" si="40"/>
        <v>29392.120590000002</v>
      </c>
      <c r="L109" s="34">
        <f t="shared" si="40"/>
        <v>17019.882690000002</v>
      </c>
      <c r="M109" s="34">
        <f>M103*0.02091</f>
        <v>30006.414570000001</v>
      </c>
      <c r="N109" s="34">
        <f t="shared" si="40"/>
        <v>22760.827740000001</v>
      </c>
      <c r="O109" s="209">
        <f>SUM(C109:N109)</f>
        <v>165339.11289000002</v>
      </c>
    </row>
    <row r="112" spans="2:21">
      <c r="C112" s="393"/>
      <c r="D112" s="393"/>
      <c r="E112" s="393"/>
      <c r="F112" s="393"/>
      <c r="G112" s="393"/>
      <c r="H112" s="393"/>
      <c r="I112" s="393"/>
      <c r="J112" s="393"/>
      <c r="K112" s="393"/>
      <c r="L112" s="393"/>
      <c r="M112" s="393"/>
      <c r="N112" s="393"/>
    </row>
  </sheetData>
  <phoneticPr fontId="18" type="noConversion"/>
  <conditionalFormatting sqref="T83:U84 U71">
    <cfRule type="expression" dxfId="1" priority="1" stopIfTrue="1">
      <formula>ABS($O$47-$U$48)&gt;0.1</formula>
    </cfRule>
  </conditionalFormatting>
  <conditionalFormatting sqref="U66 U48">
    <cfRule type="expression" dxfId="0" priority="2" stopIfTrue="1">
      <formula>ABS($O47-$U48)&gt;0.1</formula>
    </cfRule>
  </conditionalFormatting>
  <pageMargins left="0.25" right="0.32" top="0.5" bottom="0.5" header="0.5" footer="0.5"/>
  <pageSetup scale="55" fitToHeight="2" orientation="landscape" r:id="rId1"/>
  <headerFooter alignWithMargins="0"/>
  <rowBreaks count="1" manualBreakCount="1">
    <brk id="60" min="1" max="20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3:R214"/>
  <sheetViews>
    <sheetView topLeftCell="A85" workbookViewId="0">
      <selection activeCell="I202" sqref="I202"/>
    </sheetView>
  </sheetViews>
  <sheetFormatPr defaultRowHeight="12.75"/>
  <cols>
    <col min="3" max="3" width="11.28515625" bestFit="1" customWidth="1"/>
    <col min="4" max="8" width="14.5703125" bestFit="1" customWidth="1"/>
    <col min="9" max="10" width="14.140625" bestFit="1" customWidth="1"/>
    <col min="11" max="11" width="13.5703125" bestFit="1" customWidth="1"/>
    <col min="12" max="13" width="14.140625" bestFit="1" customWidth="1"/>
    <col min="14" max="15" width="14.5703125" bestFit="1" customWidth="1"/>
    <col min="16" max="16" width="15.5703125" bestFit="1" customWidth="1"/>
  </cols>
  <sheetData>
    <row r="3" spans="1:18">
      <c r="A3" s="460" t="s">
        <v>651</v>
      </c>
    </row>
    <row r="5" spans="1:18">
      <c r="A5" t="s">
        <v>414</v>
      </c>
    </row>
    <row r="7" spans="1:18">
      <c r="C7" t="s">
        <v>100</v>
      </c>
    </row>
    <row r="8" spans="1:18">
      <c r="B8" t="s">
        <v>415</v>
      </c>
      <c r="C8">
        <v>201901</v>
      </c>
      <c r="D8">
        <v>201902</v>
      </c>
      <c r="E8">
        <v>201903</v>
      </c>
      <c r="F8">
        <v>201904</v>
      </c>
      <c r="G8">
        <v>201905</v>
      </c>
      <c r="H8">
        <v>201906</v>
      </c>
      <c r="I8">
        <v>201907</v>
      </c>
      <c r="J8">
        <v>201908</v>
      </c>
      <c r="K8">
        <v>201909</v>
      </c>
      <c r="L8">
        <v>201910</v>
      </c>
      <c r="M8">
        <v>201911</v>
      </c>
      <c r="N8">
        <v>201912</v>
      </c>
      <c r="O8" t="s">
        <v>416</v>
      </c>
      <c r="P8" t="s">
        <v>418</v>
      </c>
    </row>
    <row r="9" spans="1:18">
      <c r="A9" t="s">
        <v>339</v>
      </c>
    </row>
    <row r="10" spans="1:18">
      <c r="A10" t="s">
        <v>500</v>
      </c>
      <c r="C10" s="396">
        <v>164288</v>
      </c>
      <c r="D10" s="396">
        <v>161396</v>
      </c>
      <c r="E10" s="396">
        <v>166929</v>
      </c>
      <c r="F10" s="396">
        <v>162943</v>
      </c>
      <c r="G10" s="396">
        <v>166722</v>
      </c>
      <c r="H10" s="396">
        <v>164425</v>
      </c>
      <c r="I10" s="396">
        <v>165191</v>
      </c>
      <c r="J10" s="396">
        <v>165534</v>
      </c>
      <c r="K10" s="396">
        <v>162178</v>
      </c>
      <c r="L10" s="396">
        <v>169324</v>
      </c>
      <c r="M10" s="396">
        <v>166592</v>
      </c>
      <c r="N10" s="396">
        <v>166937</v>
      </c>
      <c r="O10" s="396">
        <f>AVERAGE(C10:N10)</f>
        <v>165204.91666666666</v>
      </c>
      <c r="P10" s="393">
        <f>SUM(C10:N10)</f>
        <v>1982459</v>
      </c>
    </row>
    <row r="11" spans="1:18">
      <c r="A11" t="s">
        <v>553</v>
      </c>
      <c r="C11" s="396">
        <v>167</v>
      </c>
      <c r="D11" s="396">
        <v>165</v>
      </c>
      <c r="E11" s="396">
        <v>166</v>
      </c>
      <c r="F11" s="396">
        <v>163</v>
      </c>
      <c r="G11" s="396">
        <v>164</v>
      </c>
      <c r="H11" s="396">
        <v>162</v>
      </c>
      <c r="I11" s="396">
        <v>164</v>
      </c>
      <c r="J11" s="396">
        <v>159</v>
      </c>
      <c r="K11" s="396">
        <v>154</v>
      </c>
      <c r="L11" s="396">
        <v>124</v>
      </c>
      <c r="M11" s="396">
        <v>137</v>
      </c>
      <c r="N11" s="396">
        <v>155</v>
      </c>
      <c r="O11" s="396">
        <f t="shared" ref="O11:O19" si="0">AVERAGE(C11:N11)</f>
        <v>156.66666666666666</v>
      </c>
      <c r="P11" s="393">
        <f t="shared" ref="P11:P22" si="1">SUM(C11:N11)</f>
        <v>1880</v>
      </c>
      <c r="R11" s="393"/>
    </row>
    <row r="12" spans="1:18">
      <c r="A12" t="s">
        <v>501</v>
      </c>
      <c r="C12" s="396">
        <v>3099</v>
      </c>
      <c r="D12" s="396">
        <v>3047</v>
      </c>
      <c r="E12" s="396">
        <v>3151</v>
      </c>
      <c r="F12" s="396">
        <v>3101</v>
      </c>
      <c r="G12" s="396">
        <v>3103</v>
      </c>
      <c r="H12" s="396">
        <v>3094</v>
      </c>
      <c r="I12" s="396">
        <v>3109</v>
      </c>
      <c r="J12" s="396">
        <v>3101</v>
      </c>
      <c r="K12" s="396">
        <v>3036</v>
      </c>
      <c r="L12" s="396">
        <v>3136</v>
      </c>
      <c r="M12" s="396">
        <v>3080</v>
      </c>
      <c r="N12" s="396">
        <v>3123</v>
      </c>
      <c r="O12" s="396">
        <f t="shared" si="0"/>
        <v>3098.3333333333335</v>
      </c>
      <c r="P12" s="393">
        <f t="shared" si="1"/>
        <v>37180</v>
      </c>
    </row>
    <row r="13" spans="1:18">
      <c r="A13" t="s">
        <v>593</v>
      </c>
      <c r="C13" s="396">
        <v>1</v>
      </c>
      <c r="D13" s="396">
        <v>1</v>
      </c>
      <c r="E13" s="396">
        <v>1</v>
      </c>
      <c r="F13" s="396">
        <v>1</v>
      </c>
      <c r="G13" s="396">
        <v>1</v>
      </c>
      <c r="H13" s="396">
        <v>1</v>
      </c>
      <c r="I13" s="396">
        <v>1</v>
      </c>
      <c r="J13" s="396">
        <v>1</v>
      </c>
      <c r="K13" s="396">
        <v>1</v>
      </c>
      <c r="L13" s="396">
        <v>1</v>
      </c>
      <c r="M13" s="396">
        <v>1</v>
      </c>
      <c r="N13" s="396">
        <v>1</v>
      </c>
      <c r="O13" s="396">
        <f t="shared" si="0"/>
        <v>1</v>
      </c>
      <c r="P13" s="393">
        <f t="shared" si="1"/>
        <v>12</v>
      </c>
      <c r="R13" s="393"/>
    </row>
    <row r="14" spans="1:18">
      <c r="A14" t="s">
        <v>502</v>
      </c>
      <c r="C14" s="396">
        <v>3</v>
      </c>
      <c r="D14" s="396">
        <v>3</v>
      </c>
      <c r="E14" s="396">
        <v>5</v>
      </c>
      <c r="F14" s="396">
        <v>5</v>
      </c>
      <c r="G14" s="396">
        <v>5</v>
      </c>
      <c r="H14" s="396">
        <v>-7</v>
      </c>
      <c r="I14" s="396">
        <v>3</v>
      </c>
      <c r="J14" s="396">
        <v>4</v>
      </c>
      <c r="K14" s="396">
        <v>4</v>
      </c>
      <c r="L14" s="396">
        <v>4</v>
      </c>
      <c r="M14" s="396">
        <v>4</v>
      </c>
      <c r="N14" s="396">
        <v>4</v>
      </c>
      <c r="O14" s="396">
        <f t="shared" si="0"/>
        <v>3.0833333333333335</v>
      </c>
      <c r="P14" s="393">
        <f t="shared" si="1"/>
        <v>37</v>
      </c>
    </row>
    <row r="15" spans="1:18">
      <c r="A15" t="s">
        <v>503</v>
      </c>
      <c r="C15" s="396">
        <v>1</v>
      </c>
      <c r="D15" s="396">
        <v>1</v>
      </c>
      <c r="E15" s="396">
        <v>1</v>
      </c>
      <c r="F15" s="396">
        <v>1</v>
      </c>
      <c r="G15" s="396">
        <v>1</v>
      </c>
      <c r="H15" s="396">
        <v>1</v>
      </c>
      <c r="I15" s="396">
        <v>1</v>
      </c>
      <c r="J15" s="396">
        <v>1</v>
      </c>
      <c r="K15" s="396">
        <v>1</v>
      </c>
      <c r="L15" s="396">
        <v>1</v>
      </c>
      <c r="M15" s="396">
        <v>2</v>
      </c>
      <c r="N15" s="396">
        <v>4</v>
      </c>
      <c r="O15" s="396">
        <f t="shared" si="0"/>
        <v>1.3333333333333333</v>
      </c>
      <c r="P15" s="393">
        <f t="shared" si="1"/>
        <v>16</v>
      </c>
      <c r="R15" s="393"/>
    </row>
    <row r="16" spans="1:18">
      <c r="A16" t="s">
        <v>504</v>
      </c>
      <c r="C16" s="396">
        <v>2</v>
      </c>
      <c r="D16" s="396">
        <v>2</v>
      </c>
      <c r="E16" s="396">
        <v>2</v>
      </c>
      <c r="F16" s="396">
        <v>2</v>
      </c>
      <c r="G16" s="396">
        <v>2</v>
      </c>
      <c r="H16" s="396">
        <v>2</v>
      </c>
      <c r="I16" s="396">
        <v>2</v>
      </c>
      <c r="J16" s="396">
        <v>2</v>
      </c>
      <c r="K16" s="396">
        <v>1</v>
      </c>
      <c r="L16" s="396">
        <v>3</v>
      </c>
      <c r="M16" s="396">
        <v>2</v>
      </c>
      <c r="N16" s="396">
        <v>1</v>
      </c>
      <c r="O16" s="396">
        <f t="shared" si="0"/>
        <v>1.9166666666666667</v>
      </c>
      <c r="P16" s="393">
        <f t="shared" si="1"/>
        <v>23</v>
      </c>
      <c r="R16" s="393"/>
    </row>
    <row r="17" spans="1:18">
      <c r="A17" t="s">
        <v>505</v>
      </c>
      <c r="C17" s="396">
        <v>39</v>
      </c>
      <c r="D17" s="396">
        <v>39</v>
      </c>
      <c r="E17" s="396">
        <v>39</v>
      </c>
      <c r="F17" s="396">
        <v>39</v>
      </c>
      <c r="G17" s="396">
        <v>39</v>
      </c>
      <c r="H17" s="396">
        <v>39</v>
      </c>
      <c r="I17" s="396">
        <v>39</v>
      </c>
      <c r="J17" s="396">
        <v>39</v>
      </c>
      <c r="K17" s="396">
        <v>39</v>
      </c>
      <c r="L17" s="396">
        <v>38</v>
      </c>
      <c r="M17" s="396">
        <v>37</v>
      </c>
      <c r="N17" s="396">
        <v>37</v>
      </c>
      <c r="O17" s="396">
        <f t="shared" si="0"/>
        <v>38.583333333333336</v>
      </c>
      <c r="P17" s="393">
        <f t="shared" si="1"/>
        <v>463</v>
      </c>
    </row>
    <row r="18" spans="1:18">
      <c r="A18" t="s">
        <v>506</v>
      </c>
      <c r="C18" s="396">
        <v>3</v>
      </c>
      <c r="D18" s="396">
        <v>3</v>
      </c>
      <c r="E18" s="396">
        <v>3</v>
      </c>
      <c r="F18" s="396">
        <v>3</v>
      </c>
      <c r="G18" s="396">
        <v>3</v>
      </c>
      <c r="H18" s="396">
        <v>1</v>
      </c>
      <c r="I18" s="396">
        <v>3</v>
      </c>
      <c r="J18" s="396">
        <v>3</v>
      </c>
      <c r="K18" s="396">
        <v>3</v>
      </c>
      <c r="L18" s="396">
        <v>3</v>
      </c>
      <c r="M18" s="396">
        <v>3</v>
      </c>
      <c r="N18" s="396">
        <v>3</v>
      </c>
      <c r="O18" s="396">
        <f t="shared" si="0"/>
        <v>2.8333333333333335</v>
      </c>
      <c r="P18" s="393">
        <f t="shared" si="1"/>
        <v>34</v>
      </c>
    </row>
    <row r="19" spans="1:18">
      <c r="A19" t="s">
        <v>507</v>
      </c>
      <c r="C19" s="396">
        <v>5</v>
      </c>
      <c r="D19" s="396">
        <v>5</v>
      </c>
      <c r="E19" s="396">
        <v>5</v>
      </c>
      <c r="F19" s="396">
        <v>5</v>
      </c>
      <c r="G19" s="396">
        <v>5</v>
      </c>
      <c r="H19" s="396">
        <v>5</v>
      </c>
      <c r="I19" s="396">
        <v>5</v>
      </c>
      <c r="J19" s="396">
        <v>5</v>
      </c>
      <c r="K19" s="396">
        <v>5</v>
      </c>
      <c r="L19" s="396">
        <v>5</v>
      </c>
      <c r="M19" s="396">
        <v>5</v>
      </c>
      <c r="N19" s="396">
        <v>5</v>
      </c>
      <c r="O19" s="396">
        <f t="shared" si="0"/>
        <v>5</v>
      </c>
      <c r="P19" s="393">
        <f t="shared" si="1"/>
        <v>60</v>
      </c>
      <c r="R19" s="393"/>
    </row>
    <row r="20" spans="1:18">
      <c r="A20" t="s">
        <v>508</v>
      </c>
      <c r="C20" s="396">
        <v>0</v>
      </c>
      <c r="D20" s="396">
        <v>0</v>
      </c>
      <c r="E20" s="396">
        <v>0</v>
      </c>
      <c r="F20" s="396">
        <v>0</v>
      </c>
      <c r="G20" s="396">
        <v>0</v>
      </c>
      <c r="H20" s="396">
        <v>0</v>
      </c>
      <c r="I20" s="396">
        <v>0</v>
      </c>
      <c r="J20" s="396">
        <v>0</v>
      </c>
      <c r="K20" s="396">
        <v>0</v>
      </c>
      <c r="L20" s="396">
        <v>0</v>
      </c>
      <c r="M20" s="396">
        <v>0</v>
      </c>
      <c r="N20" s="396">
        <v>0</v>
      </c>
      <c r="O20" s="396">
        <v>0</v>
      </c>
      <c r="P20" s="393">
        <f t="shared" si="1"/>
        <v>0</v>
      </c>
    </row>
    <row r="21" spans="1:18">
      <c r="A21" t="s">
        <v>509</v>
      </c>
      <c r="C21" s="396">
        <v>0</v>
      </c>
      <c r="D21" s="396">
        <v>0</v>
      </c>
      <c r="E21" s="396">
        <v>0</v>
      </c>
      <c r="F21" s="396">
        <v>0</v>
      </c>
      <c r="G21" s="396">
        <v>0</v>
      </c>
      <c r="H21" s="396">
        <v>0</v>
      </c>
      <c r="I21" s="396">
        <v>0</v>
      </c>
      <c r="J21" s="396">
        <v>0</v>
      </c>
      <c r="K21" s="396">
        <v>0</v>
      </c>
      <c r="L21" s="396">
        <v>0</v>
      </c>
      <c r="M21" s="396">
        <v>0</v>
      </c>
      <c r="N21" s="396">
        <v>0</v>
      </c>
      <c r="O21" s="396">
        <v>0</v>
      </c>
      <c r="P21" s="393">
        <f t="shared" si="1"/>
        <v>0</v>
      </c>
    </row>
    <row r="22" spans="1:18">
      <c r="A22" t="s">
        <v>510</v>
      </c>
      <c r="C22" s="396">
        <v>0</v>
      </c>
      <c r="D22" s="396">
        <v>0</v>
      </c>
      <c r="E22" s="396">
        <v>0</v>
      </c>
      <c r="F22" s="396">
        <v>0</v>
      </c>
      <c r="G22" s="396">
        <v>0</v>
      </c>
      <c r="H22" s="396">
        <v>0</v>
      </c>
      <c r="I22" s="396">
        <v>0</v>
      </c>
      <c r="J22" s="396">
        <v>0</v>
      </c>
      <c r="K22" s="396">
        <v>0</v>
      </c>
      <c r="L22" s="396">
        <v>0</v>
      </c>
      <c r="M22" s="396">
        <v>0</v>
      </c>
      <c r="N22" s="396">
        <v>0</v>
      </c>
      <c r="O22" s="396">
        <v>0</v>
      </c>
      <c r="P22" s="393">
        <f t="shared" si="1"/>
        <v>0</v>
      </c>
    </row>
    <row r="23" spans="1:18">
      <c r="A23" t="s">
        <v>417</v>
      </c>
      <c r="C23" s="396">
        <f>SUM(C10:C22)</f>
        <v>167608</v>
      </c>
      <c r="D23" s="396">
        <f t="shared" ref="D23:N23" si="2">SUM(D10:D22)</f>
        <v>164662</v>
      </c>
      <c r="E23" s="396">
        <f t="shared" si="2"/>
        <v>170302</v>
      </c>
      <c r="F23" s="396">
        <f t="shared" si="2"/>
        <v>166263</v>
      </c>
      <c r="G23" s="396">
        <f t="shared" si="2"/>
        <v>170045</v>
      </c>
      <c r="H23" s="396">
        <f t="shared" si="2"/>
        <v>167723</v>
      </c>
      <c r="I23" s="396">
        <f t="shared" si="2"/>
        <v>168518</v>
      </c>
      <c r="J23" s="396">
        <f t="shared" si="2"/>
        <v>168849</v>
      </c>
      <c r="K23" s="396">
        <f t="shared" si="2"/>
        <v>165422</v>
      </c>
      <c r="L23" s="396">
        <f t="shared" si="2"/>
        <v>172639</v>
      </c>
      <c r="M23" s="396">
        <f t="shared" si="2"/>
        <v>169863</v>
      </c>
      <c r="N23" s="396">
        <f t="shared" si="2"/>
        <v>170270</v>
      </c>
      <c r="O23" s="396"/>
      <c r="P23" s="393">
        <f>SUM(C23:N23)</f>
        <v>2022164</v>
      </c>
    </row>
    <row r="24" spans="1:18"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</row>
    <row r="25" spans="1:18">
      <c r="C25" s="396"/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396" t="s">
        <v>59</v>
      </c>
      <c r="P25" t="s">
        <v>589</v>
      </c>
    </row>
    <row r="26" spans="1:18">
      <c r="B26" t="s">
        <v>573</v>
      </c>
      <c r="C26" s="396">
        <f>C10+C11</f>
        <v>164455</v>
      </c>
      <c r="D26" s="396">
        <f t="shared" ref="D26:N26" si="3">D10+D11</f>
        <v>161561</v>
      </c>
      <c r="E26" s="396">
        <f t="shared" si="3"/>
        <v>167095</v>
      </c>
      <c r="F26" s="396">
        <f t="shared" si="3"/>
        <v>163106</v>
      </c>
      <c r="G26" s="396">
        <f t="shared" si="3"/>
        <v>166886</v>
      </c>
      <c r="H26" s="396">
        <f t="shared" si="3"/>
        <v>164587</v>
      </c>
      <c r="I26" s="396">
        <f t="shared" si="3"/>
        <v>165355</v>
      </c>
      <c r="J26" s="396">
        <f t="shared" si="3"/>
        <v>165693</v>
      </c>
      <c r="K26" s="396">
        <f t="shared" si="3"/>
        <v>162332</v>
      </c>
      <c r="L26" s="396">
        <f t="shared" si="3"/>
        <v>169448</v>
      </c>
      <c r="M26" s="396">
        <f t="shared" si="3"/>
        <v>166729</v>
      </c>
      <c r="N26" s="396">
        <f t="shared" si="3"/>
        <v>167092</v>
      </c>
      <c r="O26" s="396">
        <f>SUM(C26:N26)</f>
        <v>1984339</v>
      </c>
      <c r="P26" s="393">
        <f>AVERAGE(C26:N26)</f>
        <v>165361.58333333334</v>
      </c>
    </row>
    <row r="27" spans="1:18">
      <c r="B27" t="s">
        <v>387</v>
      </c>
      <c r="C27" s="396">
        <f>C12+C13</f>
        <v>3100</v>
      </c>
      <c r="D27" s="396">
        <f t="shared" ref="D27:N27" si="4">D12+D13</f>
        <v>3048</v>
      </c>
      <c r="E27" s="396">
        <f t="shared" si="4"/>
        <v>3152</v>
      </c>
      <c r="F27" s="396">
        <f t="shared" si="4"/>
        <v>3102</v>
      </c>
      <c r="G27" s="396">
        <f t="shared" si="4"/>
        <v>3104</v>
      </c>
      <c r="H27" s="396">
        <f t="shared" si="4"/>
        <v>3095</v>
      </c>
      <c r="I27" s="396">
        <f t="shared" si="4"/>
        <v>3110</v>
      </c>
      <c r="J27" s="396">
        <f t="shared" si="4"/>
        <v>3102</v>
      </c>
      <c r="K27" s="396">
        <f t="shared" si="4"/>
        <v>3037</v>
      </c>
      <c r="L27" s="396">
        <f t="shared" si="4"/>
        <v>3137</v>
      </c>
      <c r="M27" s="396">
        <f t="shared" si="4"/>
        <v>3081</v>
      </c>
      <c r="N27" s="396">
        <f t="shared" si="4"/>
        <v>3124</v>
      </c>
      <c r="O27" s="396">
        <f t="shared" ref="O27:O32" si="5">SUM(C27:N27)</f>
        <v>37192</v>
      </c>
      <c r="P27" s="393">
        <f t="shared" ref="P27:P32" si="6">AVERAGE(C27:N27)</f>
        <v>3099.3333333333335</v>
      </c>
    </row>
    <row r="28" spans="1:18">
      <c r="B28" t="s">
        <v>389</v>
      </c>
      <c r="C28" s="396">
        <f>C14+C15</f>
        <v>4</v>
      </c>
      <c r="D28" s="396">
        <f t="shared" ref="D28:N28" si="7">D14+D15</f>
        <v>4</v>
      </c>
      <c r="E28" s="396">
        <f t="shared" si="7"/>
        <v>6</v>
      </c>
      <c r="F28" s="396">
        <f t="shared" si="7"/>
        <v>6</v>
      </c>
      <c r="G28" s="396">
        <f t="shared" si="7"/>
        <v>6</v>
      </c>
      <c r="H28" s="396">
        <f t="shared" si="7"/>
        <v>-6</v>
      </c>
      <c r="I28" s="396">
        <f t="shared" si="7"/>
        <v>4</v>
      </c>
      <c r="J28" s="396">
        <f t="shared" si="7"/>
        <v>5</v>
      </c>
      <c r="K28" s="396">
        <f t="shared" si="7"/>
        <v>5</v>
      </c>
      <c r="L28" s="396">
        <f t="shared" si="7"/>
        <v>5</v>
      </c>
      <c r="M28" s="396">
        <f t="shared" si="7"/>
        <v>6</v>
      </c>
      <c r="N28" s="396">
        <f t="shared" si="7"/>
        <v>8</v>
      </c>
      <c r="O28" s="396">
        <f t="shared" si="5"/>
        <v>53</v>
      </c>
      <c r="P28" s="393">
        <f t="shared" si="6"/>
        <v>4.416666666666667</v>
      </c>
    </row>
    <row r="29" spans="1:18">
      <c r="B29">
        <v>132</v>
      </c>
      <c r="C29" s="396">
        <f>C16</f>
        <v>2</v>
      </c>
      <c r="D29" s="396">
        <f t="shared" ref="D29:N29" si="8">D16</f>
        <v>2</v>
      </c>
      <c r="E29" s="396">
        <f t="shared" si="8"/>
        <v>2</v>
      </c>
      <c r="F29" s="396">
        <f t="shared" si="8"/>
        <v>2</v>
      </c>
      <c r="G29" s="396">
        <f t="shared" si="8"/>
        <v>2</v>
      </c>
      <c r="H29" s="396">
        <f t="shared" si="8"/>
        <v>2</v>
      </c>
      <c r="I29" s="396">
        <f t="shared" si="8"/>
        <v>2</v>
      </c>
      <c r="J29" s="396">
        <f t="shared" si="8"/>
        <v>2</v>
      </c>
      <c r="K29" s="396">
        <f t="shared" si="8"/>
        <v>1</v>
      </c>
      <c r="L29" s="396">
        <f t="shared" si="8"/>
        <v>3</v>
      </c>
      <c r="M29" s="396">
        <f t="shared" si="8"/>
        <v>2</v>
      </c>
      <c r="N29" s="396">
        <f t="shared" si="8"/>
        <v>1</v>
      </c>
      <c r="O29" s="396">
        <f t="shared" si="5"/>
        <v>23</v>
      </c>
      <c r="P29" s="393">
        <f t="shared" si="6"/>
        <v>1.9166666666666667</v>
      </c>
    </row>
    <row r="30" spans="1:18">
      <c r="B30">
        <v>146</v>
      </c>
      <c r="C30" s="396">
        <f>C17</f>
        <v>39</v>
      </c>
      <c r="D30" s="396">
        <f t="shared" ref="D30:N30" si="9">D17</f>
        <v>39</v>
      </c>
      <c r="E30" s="396">
        <f t="shared" si="9"/>
        <v>39</v>
      </c>
      <c r="F30" s="396">
        <f t="shared" si="9"/>
        <v>39</v>
      </c>
      <c r="G30" s="396">
        <f t="shared" si="9"/>
        <v>39</v>
      </c>
      <c r="H30" s="396">
        <f t="shared" si="9"/>
        <v>39</v>
      </c>
      <c r="I30" s="396">
        <f t="shared" si="9"/>
        <v>39</v>
      </c>
      <c r="J30" s="396">
        <f t="shared" si="9"/>
        <v>39</v>
      </c>
      <c r="K30" s="396">
        <f t="shared" si="9"/>
        <v>39</v>
      </c>
      <c r="L30" s="396">
        <f t="shared" si="9"/>
        <v>38</v>
      </c>
      <c r="M30" s="396">
        <f t="shared" si="9"/>
        <v>37</v>
      </c>
      <c r="N30" s="396">
        <f t="shared" si="9"/>
        <v>37</v>
      </c>
      <c r="O30" s="396">
        <f t="shared" si="5"/>
        <v>463</v>
      </c>
      <c r="P30" s="393">
        <f t="shared" si="6"/>
        <v>38.583333333333336</v>
      </c>
    </row>
    <row r="31" spans="1:18">
      <c r="B31">
        <v>147</v>
      </c>
      <c r="C31" s="396">
        <f>C18</f>
        <v>3</v>
      </c>
      <c r="D31" s="396">
        <f t="shared" ref="D31:N31" si="10">D18</f>
        <v>3</v>
      </c>
      <c r="E31" s="396">
        <f t="shared" si="10"/>
        <v>3</v>
      </c>
      <c r="F31" s="396">
        <f t="shared" si="10"/>
        <v>3</v>
      </c>
      <c r="G31" s="396">
        <f t="shared" si="10"/>
        <v>3</v>
      </c>
      <c r="H31" s="396">
        <f t="shared" si="10"/>
        <v>1</v>
      </c>
      <c r="I31" s="396">
        <f t="shared" si="10"/>
        <v>3</v>
      </c>
      <c r="J31" s="396">
        <f t="shared" si="10"/>
        <v>3</v>
      </c>
      <c r="K31" s="396">
        <f t="shared" si="10"/>
        <v>3</v>
      </c>
      <c r="L31" s="396">
        <f t="shared" si="10"/>
        <v>3</v>
      </c>
      <c r="M31" s="396">
        <f t="shared" si="10"/>
        <v>3</v>
      </c>
      <c r="N31" s="396">
        <f t="shared" si="10"/>
        <v>3</v>
      </c>
      <c r="O31" s="396">
        <f t="shared" si="5"/>
        <v>34</v>
      </c>
      <c r="P31" s="393">
        <f t="shared" si="6"/>
        <v>2.8333333333333335</v>
      </c>
    </row>
    <row r="32" spans="1:18">
      <c r="B32">
        <v>148</v>
      </c>
      <c r="C32" s="396">
        <f>C19</f>
        <v>5</v>
      </c>
      <c r="D32" s="396">
        <f t="shared" ref="D32:N32" si="11">D19</f>
        <v>5</v>
      </c>
      <c r="E32" s="396">
        <f t="shared" si="11"/>
        <v>5</v>
      </c>
      <c r="F32" s="396">
        <f t="shared" si="11"/>
        <v>5</v>
      </c>
      <c r="G32" s="396">
        <f t="shared" si="11"/>
        <v>5</v>
      </c>
      <c r="H32" s="396">
        <f t="shared" si="11"/>
        <v>5</v>
      </c>
      <c r="I32" s="396">
        <f t="shared" si="11"/>
        <v>5</v>
      </c>
      <c r="J32" s="396">
        <f t="shared" si="11"/>
        <v>5</v>
      </c>
      <c r="K32" s="396">
        <f t="shared" si="11"/>
        <v>5</v>
      </c>
      <c r="L32" s="396">
        <f t="shared" si="11"/>
        <v>5</v>
      </c>
      <c r="M32" s="396">
        <f t="shared" si="11"/>
        <v>5</v>
      </c>
      <c r="N32" s="396">
        <f t="shared" si="11"/>
        <v>5</v>
      </c>
      <c r="O32" s="396">
        <f t="shared" si="5"/>
        <v>60</v>
      </c>
      <c r="P32" s="393">
        <f t="shared" si="6"/>
        <v>5</v>
      </c>
    </row>
    <row r="33" spans="1:16">
      <c r="B33" t="s">
        <v>59</v>
      </c>
      <c r="C33" s="396">
        <f>SUM(C26:C32)</f>
        <v>167608</v>
      </c>
      <c r="D33" s="396">
        <f t="shared" ref="D33:O33" si="12">SUM(D26:D32)</f>
        <v>164662</v>
      </c>
      <c r="E33" s="396">
        <f t="shared" si="12"/>
        <v>170302</v>
      </c>
      <c r="F33" s="396">
        <f t="shared" si="12"/>
        <v>166263</v>
      </c>
      <c r="G33" s="396">
        <f t="shared" si="12"/>
        <v>170045</v>
      </c>
      <c r="H33" s="396">
        <f t="shared" si="12"/>
        <v>167723</v>
      </c>
      <c r="I33" s="396">
        <f t="shared" si="12"/>
        <v>168518</v>
      </c>
      <c r="J33" s="396">
        <f t="shared" si="12"/>
        <v>168849</v>
      </c>
      <c r="K33" s="396">
        <f t="shared" si="12"/>
        <v>165422</v>
      </c>
      <c r="L33" s="396">
        <f t="shared" si="12"/>
        <v>172639</v>
      </c>
      <c r="M33" s="396">
        <f t="shared" si="12"/>
        <v>169863</v>
      </c>
      <c r="N33" s="396">
        <f t="shared" si="12"/>
        <v>170270</v>
      </c>
      <c r="O33" s="396">
        <f t="shared" si="12"/>
        <v>2022164</v>
      </c>
    </row>
    <row r="34" spans="1:16">
      <c r="C34" s="396"/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396"/>
    </row>
    <row r="35" spans="1:16">
      <c r="C35" s="396">
        <f>C23-C33</f>
        <v>0</v>
      </c>
      <c r="D35" s="396">
        <f t="shared" ref="D35:N35" si="13">D23-D33</f>
        <v>0</v>
      </c>
      <c r="E35" s="396">
        <f t="shared" si="13"/>
        <v>0</v>
      </c>
      <c r="F35" s="396">
        <f t="shared" si="13"/>
        <v>0</v>
      </c>
      <c r="G35" s="396">
        <f t="shared" si="13"/>
        <v>0</v>
      </c>
      <c r="H35" s="396">
        <f t="shared" si="13"/>
        <v>0</v>
      </c>
      <c r="I35" s="396">
        <f t="shared" si="13"/>
        <v>0</v>
      </c>
      <c r="J35" s="396">
        <f t="shared" si="13"/>
        <v>0</v>
      </c>
      <c r="K35" s="396">
        <f t="shared" si="13"/>
        <v>0</v>
      </c>
      <c r="L35" s="396">
        <f t="shared" si="13"/>
        <v>0</v>
      </c>
      <c r="M35" s="396">
        <f t="shared" si="13"/>
        <v>0</v>
      </c>
      <c r="N35" s="396">
        <f t="shared" si="13"/>
        <v>0</v>
      </c>
      <c r="O35" s="396"/>
    </row>
    <row r="36" spans="1:16">
      <c r="C36" s="396"/>
      <c r="D36" s="396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</row>
    <row r="37" spans="1:16">
      <c r="A37" s="460" t="s">
        <v>652</v>
      </c>
    </row>
    <row r="39" spans="1:16">
      <c r="A39" t="s">
        <v>414</v>
      </c>
    </row>
    <row r="41" spans="1:16">
      <c r="D41" t="s">
        <v>101</v>
      </c>
    </row>
    <row r="42" spans="1:16">
      <c r="C42" t="s">
        <v>415</v>
      </c>
      <c r="D42">
        <v>201901</v>
      </c>
      <c r="E42">
        <v>201902</v>
      </c>
      <c r="F42">
        <v>201903</v>
      </c>
      <c r="G42">
        <v>201904</v>
      </c>
      <c r="H42">
        <v>201905</v>
      </c>
      <c r="I42">
        <v>201906</v>
      </c>
      <c r="J42">
        <v>201907</v>
      </c>
      <c r="K42">
        <v>201908</v>
      </c>
      <c r="L42">
        <v>201909</v>
      </c>
      <c r="M42">
        <v>201910</v>
      </c>
      <c r="N42">
        <v>201911</v>
      </c>
      <c r="O42">
        <v>201912</v>
      </c>
      <c r="P42" t="s">
        <v>418</v>
      </c>
    </row>
    <row r="43" spans="1:16">
      <c r="A43" t="s">
        <v>339</v>
      </c>
      <c r="B43" t="s">
        <v>541</v>
      </c>
    </row>
    <row r="44" spans="1:16">
      <c r="A44" t="s">
        <v>500</v>
      </c>
      <c r="B44" t="s">
        <v>543</v>
      </c>
      <c r="D44" s="396">
        <v>0</v>
      </c>
      <c r="E44" s="396">
        <v>0</v>
      </c>
      <c r="F44" s="396">
        <v>0</v>
      </c>
      <c r="G44" s="396">
        <v>0</v>
      </c>
      <c r="H44" s="396">
        <v>0</v>
      </c>
      <c r="I44" s="396">
        <v>0</v>
      </c>
      <c r="J44" s="396">
        <v>0</v>
      </c>
      <c r="K44" s="396">
        <v>0</v>
      </c>
      <c r="L44" s="396">
        <v>0</v>
      </c>
      <c r="M44" s="396">
        <v>0</v>
      </c>
      <c r="N44" s="396">
        <v>0</v>
      </c>
      <c r="O44" s="396">
        <v>0</v>
      </c>
      <c r="P44" s="396">
        <f t="shared" ref="P44:P53" si="14">SUM(D44:O44)</f>
        <v>0</v>
      </c>
    </row>
    <row r="45" spans="1:16">
      <c r="B45" t="s">
        <v>542</v>
      </c>
      <c r="D45" s="396">
        <v>0</v>
      </c>
      <c r="E45" s="396">
        <v>0</v>
      </c>
      <c r="F45" s="396">
        <v>0</v>
      </c>
      <c r="G45" s="396">
        <v>0</v>
      </c>
      <c r="H45" s="396">
        <v>0</v>
      </c>
      <c r="I45" s="396">
        <v>0</v>
      </c>
      <c r="J45" s="396">
        <v>0</v>
      </c>
      <c r="K45" s="396">
        <v>0</v>
      </c>
      <c r="L45" s="396">
        <v>0</v>
      </c>
      <c r="M45" s="396">
        <v>0</v>
      </c>
      <c r="N45" s="396">
        <v>0</v>
      </c>
      <c r="O45" s="396">
        <v>0</v>
      </c>
      <c r="P45" s="396">
        <f t="shared" si="14"/>
        <v>0</v>
      </c>
    </row>
    <row r="46" spans="1:16">
      <c r="B46" t="s">
        <v>544</v>
      </c>
      <c r="D46" s="396">
        <v>-1282.6199999999999</v>
      </c>
      <c r="E46" s="396">
        <v>-1433</v>
      </c>
      <c r="F46" s="396">
        <v>-1058</v>
      </c>
      <c r="G46" s="396">
        <v>-821</v>
      </c>
      <c r="H46" s="396">
        <v>-1649</v>
      </c>
      <c r="I46" s="396">
        <v>-821</v>
      </c>
      <c r="J46" s="396">
        <v>0</v>
      </c>
      <c r="K46" s="396">
        <v>-44</v>
      </c>
      <c r="L46" s="396">
        <v>-130</v>
      </c>
      <c r="M46" s="396">
        <v>-1110</v>
      </c>
      <c r="N46" s="396">
        <v>-1712</v>
      </c>
      <c r="O46" s="396">
        <v>-1937</v>
      </c>
      <c r="P46" s="396">
        <f>SUM(D46:O46)</f>
        <v>-11997.619999999999</v>
      </c>
    </row>
    <row r="47" spans="1:16">
      <c r="B47" t="s">
        <v>545</v>
      </c>
      <c r="D47" s="396">
        <v>0</v>
      </c>
      <c r="E47" s="396">
        <v>0</v>
      </c>
      <c r="F47" s="396">
        <v>0</v>
      </c>
      <c r="G47" s="396">
        <v>0</v>
      </c>
      <c r="H47" s="396">
        <v>0</v>
      </c>
      <c r="I47" s="396">
        <v>0</v>
      </c>
      <c r="J47" s="396">
        <v>0</v>
      </c>
      <c r="K47" s="396">
        <v>0</v>
      </c>
      <c r="L47" s="396">
        <v>0</v>
      </c>
      <c r="M47" s="396">
        <v>0</v>
      </c>
      <c r="N47" s="396">
        <v>0</v>
      </c>
      <c r="O47" s="396">
        <v>0</v>
      </c>
      <c r="P47" s="396">
        <f t="shared" si="14"/>
        <v>0</v>
      </c>
    </row>
    <row r="48" spans="1:16">
      <c r="B48" t="s">
        <v>546</v>
      </c>
      <c r="D48" s="396">
        <v>0</v>
      </c>
      <c r="E48" s="396">
        <v>0</v>
      </c>
      <c r="F48" s="396">
        <v>0</v>
      </c>
      <c r="G48" s="396">
        <v>0</v>
      </c>
      <c r="H48" s="396">
        <v>0</v>
      </c>
      <c r="I48" s="396">
        <v>0</v>
      </c>
      <c r="J48" s="396">
        <v>0</v>
      </c>
      <c r="K48" s="396">
        <v>0</v>
      </c>
      <c r="L48" s="396">
        <v>0</v>
      </c>
      <c r="M48" s="396">
        <v>0</v>
      </c>
      <c r="N48" s="396">
        <v>0</v>
      </c>
      <c r="O48" s="396">
        <v>0</v>
      </c>
      <c r="P48" s="396">
        <f t="shared" si="14"/>
        <v>0</v>
      </c>
    </row>
    <row r="49" spans="1:16">
      <c r="B49" t="s">
        <v>547</v>
      </c>
      <c r="D49" s="396">
        <v>0</v>
      </c>
      <c r="E49" s="396">
        <v>0</v>
      </c>
      <c r="F49" s="396">
        <v>0</v>
      </c>
      <c r="G49" s="396">
        <v>0</v>
      </c>
      <c r="H49" s="396">
        <v>0</v>
      </c>
      <c r="I49" s="396">
        <v>0</v>
      </c>
      <c r="J49" s="396">
        <v>0</v>
      </c>
      <c r="K49" s="396">
        <v>0</v>
      </c>
      <c r="L49" s="396">
        <v>0</v>
      </c>
      <c r="M49" s="396">
        <v>0</v>
      </c>
      <c r="N49" s="396">
        <v>0</v>
      </c>
      <c r="O49" s="396">
        <v>0</v>
      </c>
      <c r="P49" s="396">
        <f t="shared" si="14"/>
        <v>0</v>
      </c>
    </row>
    <row r="50" spans="1:16">
      <c r="B50" t="s">
        <v>571</v>
      </c>
      <c r="D50" s="396"/>
      <c r="E50" s="396"/>
      <c r="F50" s="396"/>
      <c r="G50" s="396"/>
      <c r="H50" s="396"/>
      <c r="I50" s="396"/>
      <c r="J50" s="396"/>
      <c r="K50" s="396"/>
      <c r="L50" s="396"/>
      <c r="M50" s="396">
        <v>0</v>
      </c>
      <c r="N50" s="396">
        <v>0</v>
      </c>
      <c r="O50" s="396">
        <v>0</v>
      </c>
      <c r="P50" s="396">
        <f t="shared" si="14"/>
        <v>0</v>
      </c>
    </row>
    <row r="51" spans="1:16">
      <c r="B51" t="s">
        <v>548</v>
      </c>
      <c r="D51" s="396">
        <v>0</v>
      </c>
      <c r="E51" s="396">
        <v>0</v>
      </c>
      <c r="F51" s="396">
        <v>0</v>
      </c>
      <c r="G51" s="396">
        <v>0</v>
      </c>
      <c r="H51" s="396">
        <v>0</v>
      </c>
      <c r="I51" s="396">
        <v>0</v>
      </c>
      <c r="J51" s="396">
        <v>0</v>
      </c>
      <c r="K51" s="396">
        <v>0</v>
      </c>
      <c r="L51" s="396">
        <v>0</v>
      </c>
      <c r="M51" s="396">
        <v>0</v>
      </c>
      <c r="N51" s="396">
        <v>0</v>
      </c>
      <c r="O51" s="396">
        <v>0</v>
      </c>
      <c r="P51" s="396">
        <f t="shared" si="14"/>
        <v>0</v>
      </c>
    </row>
    <row r="52" spans="1:16">
      <c r="B52" t="s">
        <v>549</v>
      </c>
      <c r="D52" s="396">
        <v>0</v>
      </c>
      <c r="E52" s="396">
        <v>0</v>
      </c>
      <c r="F52" s="396">
        <v>0</v>
      </c>
      <c r="G52" s="396">
        <v>0</v>
      </c>
      <c r="H52" s="396">
        <v>0</v>
      </c>
      <c r="I52" s="396">
        <v>0</v>
      </c>
      <c r="J52" s="396">
        <v>0</v>
      </c>
      <c r="K52" s="396">
        <v>0</v>
      </c>
      <c r="L52" s="396">
        <v>0</v>
      </c>
      <c r="M52" s="396">
        <v>0</v>
      </c>
      <c r="N52" s="396">
        <v>0</v>
      </c>
      <c r="O52" s="396">
        <v>0</v>
      </c>
      <c r="P52" s="396">
        <f t="shared" si="14"/>
        <v>0</v>
      </c>
    </row>
    <row r="53" spans="1:16">
      <c r="B53" t="s">
        <v>572</v>
      </c>
      <c r="D53" s="396"/>
      <c r="E53" s="396"/>
      <c r="F53" s="396"/>
      <c r="G53" s="396"/>
      <c r="H53" s="396"/>
      <c r="I53" s="396"/>
      <c r="J53" s="396"/>
      <c r="K53" s="396"/>
      <c r="L53" s="396"/>
      <c r="M53" s="396">
        <v>0</v>
      </c>
      <c r="N53" s="396">
        <v>0</v>
      </c>
      <c r="O53" s="396">
        <v>0</v>
      </c>
      <c r="P53" s="396">
        <f t="shared" si="14"/>
        <v>0</v>
      </c>
    </row>
    <row r="54" spans="1:16">
      <c r="B54" t="s">
        <v>550</v>
      </c>
      <c r="D54" s="396">
        <v>10599098.857480001</v>
      </c>
      <c r="E54" s="396">
        <v>10474942.53136</v>
      </c>
      <c r="F54" s="396">
        <v>10898959.141860001</v>
      </c>
      <c r="G54" s="396">
        <v>8787409.3593799993</v>
      </c>
      <c r="H54" s="396">
        <v>5879186.0550899999</v>
      </c>
      <c r="I54" s="396">
        <v>2894111.8379799998</v>
      </c>
      <c r="J54" s="396">
        <v>2320621.92289</v>
      </c>
      <c r="K54" s="396">
        <v>1982982.7909599999</v>
      </c>
      <c r="L54" s="396">
        <v>2235091.8746699998</v>
      </c>
      <c r="M54" s="396">
        <v>6563723.9511599997</v>
      </c>
      <c r="N54" s="396">
        <v>9620467.1335000005</v>
      </c>
      <c r="O54" s="396">
        <v>10697247.52844</v>
      </c>
      <c r="P54" s="396">
        <f>SUM(D54:O54)</f>
        <v>82953842.98477</v>
      </c>
    </row>
    <row r="55" spans="1:16">
      <c r="B55" t="s">
        <v>551</v>
      </c>
      <c r="D55" s="396">
        <v>10571224.331189999</v>
      </c>
      <c r="E55" s="396">
        <v>11436355.536739999</v>
      </c>
      <c r="F55" s="396">
        <v>13019138.331359999</v>
      </c>
      <c r="G55" s="396">
        <v>3081201.7368800002</v>
      </c>
      <c r="H55" s="396">
        <v>702856.48450000002</v>
      </c>
      <c r="I55" s="396">
        <v>184244.63879</v>
      </c>
      <c r="J55" s="396">
        <v>212767.54294000001</v>
      </c>
      <c r="K55" s="396">
        <v>157743.01681</v>
      </c>
      <c r="L55" s="396">
        <v>206674.86277000001</v>
      </c>
      <c r="M55" s="396">
        <v>1037706.60695</v>
      </c>
      <c r="N55" s="396">
        <v>4314630.5612899996</v>
      </c>
      <c r="O55" s="396">
        <v>9562077.9307300001</v>
      </c>
      <c r="P55" s="396">
        <f t="shared" ref="P55" si="15">SUM(D55:O55)</f>
        <v>54486621.580949992</v>
      </c>
    </row>
    <row r="56" spans="1:16">
      <c r="B56" t="s">
        <v>552</v>
      </c>
      <c r="D56" s="396">
        <f>SUM(D44:D55)</f>
        <v>21169040.568670001</v>
      </c>
      <c r="E56" s="396">
        <f t="shared" ref="E56:O56" si="16">SUM(E44:E55)</f>
        <v>21909865.068099998</v>
      </c>
      <c r="F56" s="396">
        <f t="shared" si="16"/>
        <v>23917039.473219998</v>
      </c>
      <c r="G56" s="396">
        <f t="shared" si="16"/>
        <v>11867790.09626</v>
      </c>
      <c r="H56" s="396">
        <f t="shared" si="16"/>
        <v>6580393.5395900002</v>
      </c>
      <c r="I56" s="396">
        <f t="shared" si="16"/>
        <v>3077535.4767699996</v>
      </c>
      <c r="J56" s="396">
        <f t="shared" si="16"/>
        <v>2533389.4658300001</v>
      </c>
      <c r="K56" s="396">
        <f t="shared" si="16"/>
        <v>2140681.8077699998</v>
      </c>
      <c r="L56" s="396">
        <f t="shared" si="16"/>
        <v>2441636.7374399998</v>
      </c>
      <c r="M56" s="396">
        <f t="shared" si="16"/>
        <v>7600320.5581099996</v>
      </c>
      <c r="N56" s="396">
        <f t="shared" si="16"/>
        <v>13933385.69479</v>
      </c>
      <c r="O56" s="396">
        <f t="shared" si="16"/>
        <v>20257388.459169999</v>
      </c>
      <c r="P56" s="396">
        <f>SUM(D56:O56)</f>
        <v>137428466.94572002</v>
      </c>
    </row>
    <row r="57" spans="1:16">
      <c r="A57" t="s">
        <v>553</v>
      </c>
      <c r="B57" t="s">
        <v>543</v>
      </c>
      <c r="D57" s="396">
        <v>0</v>
      </c>
      <c r="E57" s="396">
        <v>0</v>
      </c>
      <c r="F57" s="396">
        <v>0</v>
      </c>
      <c r="G57" s="396">
        <v>0</v>
      </c>
      <c r="H57" s="396">
        <v>0</v>
      </c>
      <c r="I57" s="396">
        <v>0</v>
      </c>
      <c r="J57" s="396">
        <v>0</v>
      </c>
      <c r="K57" s="396">
        <v>0</v>
      </c>
      <c r="L57" s="396">
        <v>0</v>
      </c>
      <c r="M57" s="396">
        <v>0</v>
      </c>
      <c r="N57" s="396">
        <v>0</v>
      </c>
      <c r="O57" s="396">
        <v>0</v>
      </c>
      <c r="P57" s="396">
        <f t="shared" ref="P57:P68" si="17">SUM(D57:O57)</f>
        <v>0</v>
      </c>
    </row>
    <row r="58" spans="1:16">
      <c r="B58" t="s">
        <v>542</v>
      </c>
      <c r="D58" s="396">
        <v>0</v>
      </c>
      <c r="E58" s="396">
        <v>0</v>
      </c>
      <c r="F58" s="396">
        <v>0</v>
      </c>
      <c r="G58" s="396">
        <v>0</v>
      </c>
      <c r="H58" s="396">
        <v>0</v>
      </c>
      <c r="I58" s="396">
        <v>0</v>
      </c>
      <c r="J58" s="396">
        <v>0</v>
      </c>
      <c r="K58" s="396">
        <v>0</v>
      </c>
      <c r="L58" s="396">
        <v>0</v>
      </c>
      <c r="M58" s="396">
        <v>0</v>
      </c>
      <c r="N58" s="396">
        <v>0</v>
      </c>
      <c r="O58" s="396">
        <v>0</v>
      </c>
      <c r="P58" s="396">
        <f t="shared" si="17"/>
        <v>0</v>
      </c>
    </row>
    <row r="59" spans="1:16">
      <c r="B59" t="s">
        <v>544</v>
      </c>
      <c r="D59" s="396">
        <v>0</v>
      </c>
      <c r="E59" s="396">
        <v>0</v>
      </c>
      <c r="F59" s="396">
        <v>0</v>
      </c>
      <c r="G59" s="396">
        <v>0</v>
      </c>
      <c r="H59" s="396">
        <v>0</v>
      </c>
      <c r="I59" s="396">
        <v>0</v>
      </c>
      <c r="J59" s="396">
        <v>0</v>
      </c>
      <c r="K59" s="396">
        <v>0</v>
      </c>
      <c r="L59" s="396">
        <v>0</v>
      </c>
      <c r="M59" s="396">
        <v>0</v>
      </c>
      <c r="N59" s="396">
        <v>0</v>
      </c>
      <c r="O59" s="396">
        <v>0</v>
      </c>
      <c r="P59" s="396">
        <f t="shared" si="17"/>
        <v>0</v>
      </c>
    </row>
    <row r="60" spans="1:16">
      <c r="B60" t="s">
        <v>545</v>
      </c>
      <c r="D60" s="396">
        <v>0</v>
      </c>
      <c r="E60" s="396">
        <v>0</v>
      </c>
      <c r="F60" s="396">
        <v>0</v>
      </c>
      <c r="G60" s="396">
        <v>0</v>
      </c>
      <c r="H60" s="396">
        <v>0</v>
      </c>
      <c r="I60" s="396">
        <v>0</v>
      </c>
      <c r="J60" s="396">
        <v>0</v>
      </c>
      <c r="K60" s="396">
        <v>0</v>
      </c>
      <c r="L60" s="396">
        <v>0</v>
      </c>
      <c r="M60" s="396">
        <v>0</v>
      </c>
      <c r="N60" s="396">
        <v>0</v>
      </c>
      <c r="O60" s="396">
        <v>0</v>
      </c>
      <c r="P60" s="396">
        <f t="shared" si="17"/>
        <v>0</v>
      </c>
    </row>
    <row r="61" spans="1:16">
      <c r="B61" t="s">
        <v>546</v>
      </c>
      <c r="D61" s="396">
        <v>0</v>
      </c>
      <c r="E61" s="396">
        <v>0</v>
      </c>
      <c r="F61" s="396">
        <v>0</v>
      </c>
      <c r="G61" s="396">
        <v>0</v>
      </c>
      <c r="H61" s="396">
        <v>0</v>
      </c>
      <c r="I61" s="396">
        <v>0</v>
      </c>
      <c r="J61" s="396">
        <v>0</v>
      </c>
      <c r="K61" s="396">
        <v>0</v>
      </c>
      <c r="L61" s="396">
        <v>0</v>
      </c>
      <c r="M61" s="396">
        <v>0</v>
      </c>
      <c r="N61" s="396">
        <v>0</v>
      </c>
      <c r="O61" s="396">
        <v>0</v>
      </c>
      <c r="P61" s="396">
        <f t="shared" si="17"/>
        <v>0</v>
      </c>
    </row>
    <row r="62" spans="1:16">
      <c r="B62" t="s">
        <v>547</v>
      </c>
      <c r="D62" s="396">
        <v>0</v>
      </c>
      <c r="E62" s="396">
        <v>0</v>
      </c>
      <c r="F62" s="396">
        <v>0</v>
      </c>
      <c r="G62" s="396">
        <v>0</v>
      </c>
      <c r="H62" s="396">
        <v>0</v>
      </c>
      <c r="I62" s="396">
        <v>0</v>
      </c>
      <c r="J62" s="396">
        <v>0</v>
      </c>
      <c r="K62" s="396">
        <v>0</v>
      </c>
      <c r="L62" s="396">
        <v>0</v>
      </c>
      <c r="M62" s="396">
        <v>0</v>
      </c>
      <c r="N62" s="396">
        <v>0</v>
      </c>
      <c r="O62" s="396">
        <v>0</v>
      </c>
      <c r="P62" s="396">
        <f t="shared" si="17"/>
        <v>0</v>
      </c>
    </row>
    <row r="63" spans="1:16">
      <c r="B63" t="s">
        <v>571</v>
      </c>
      <c r="D63" s="396"/>
      <c r="E63" s="396"/>
      <c r="F63" s="396"/>
      <c r="G63" s="396"/>
      <c r="H63" s="396"/>
      <c r="I63" s="396"/>
      <c r="J63" s="396"/>
      <c r="K63" s="396"/>
      <c r="L63" s="396"/>
      <c r="M63" s="396"/>
      <c r="N63" s="396">
        <v>0</v>
      </c>
      <c r="O63" s="396">
        <v>0</v>
      </c>
      <c r="P63" s="396">
        <f t="shared" si="17"/>
        <v>0</v>
      </c>
    </row>
    <row r="64" spans="1:16">
      <c r="B64" t="s">
        <v>554</v>
      </c>
      <c r="D64" s="396">
        <v>0</v>
      </c>
      <c r="E64" s="396">
        <v>0</v>
      </c>
      <c r="F64" s="396">
        <v>0</v>
      </c>
      <c r="G64" s="396">
        <v>0</v>
      </c>
      <c r="H64" s="396">
        <v>0</v>
      </c>
      <c r="I64" s="396">
        <v>0</v>
      </c>
      <c r="J64" s="396">
        <v>0</v>
      </c>
      <c r="K64" s="396">
        <v>0</v>
      </c>
      <c r="L64" s="396">
        <v>0</v>
      </c>
      <c r="M64" s="396">
        <v>0</v>
      </c>
      <c r="N64" s="396">
        <v>0</v>
      </c>
      <c r="O64" s="396">
        <v>0</v>
      </c>
      <c r="P64" s="396">
        <f t="shared" si="17"/>
        <v>0</v>
      </c>
    </row>
    <row r="65" spans="1:16">
      <c r="B65" t="s">
        <v>548</v>
      </c>
      <c r="D65" s="396">
        <v>0</v>
      </c>
      <c r="E65" s="396">
        <v>0</v>
      </c>
      <c r="F65" s="396">
        <v>0</v>
      </c>
      <c r="G65" s="396">
        <v>0</v>
      </c>
      <c r="H65" s="396">
        <v>0</v>
      </c>
      <c r="I65" s="396">
        <v>0</v>
      </c>
      <c r="J65" s="396">
        <v>0</v>
      </c>
      <c r="K65" s="396">
        <v>0</v>
      </c>
      <c r="L65" s="396">
        <v>0</v>
      </c>
      <c r="M65" s="396">
        <v>0</v>
      </c>
      <c r="N65" s="396">
        <v>0</v>
      </c>
      <c r="O65" s="396">
        <v>0</v>
      </c>
      <c r="P65" s="396">
        <f t="shared" si="17"/>
        <v>0</v>
      </c>
    </row>
    <row r="66" spans="1:16">
      <c r="B66" t="s">
        <v>549</v>
      </c>
      <c r="D66" s="396">
        <v>0</v>
      </c>
      <c r="E66" s="396">
        <v>0</v>
      </c>
      <c r="F66" s="396">
        <v>0</v>
      </c>
      <c r="G66" s="396">
        <v>0</v>
      </c>
      <c r="H66" s="396">
        <v>0</v>
      </c>
      <c r="I66" s="396">
        <v>0</v>
      </c>
      <c r="J66" s="396">
        <v>0</v>
      </c>
      <c r="K66" s="396">
        <v>0</v>
      </c>
      <c r="L66" s="396">
        <v>0</v>
      </c>
      <c r="M66" s="396">
        <v>0</v>
      </c>
      <c r="N66" s="396">
        <v>0</v>
      </c>
      <c r="O66" s="396">
        <v>0</v>
      </c>
      <c r="P66" s="396">
        <f t="shared" si="17"/>
        <v>0</v>
      </c>
    </row>
    <row r="67" spans="1:16">
      <c r="B67" t="s">
        <v>550</v>
      </c>
      <c r="D67" s="396">
        <v>11502.249820000001</v>
      </c>
      <c r="E67" s="396">
        <v>11356.585999999999</v>
      </c>
      <c r="F67" s="396">
        <v>11452.98929</v>
      </c>
      <c r="G67" s="396">
        <v>9777.8402800000003</v>
      </c>
      <c r="H67" s="396">
        <v>6698.16806</v>
      </c>
      <c r="I67" s="396">
        <v>3018.10203</v>
      </c>
      <c r="J67" s="396">
        <v>2202.9206399999998</v>
      </c>
      <c r="K67" s="396">
        <v>1688.2435599999999</v>
      </c>
      <c r="L67" s="396">
        <v>2041.70389</v>
      </c>
      <c r="M67" s="396">
        <v>5658.9417700000004</v>
      </c>
      <c r="N67" s="396">
        <v>8759.0939099999996</v>
      </c>
      <c r="O67" s="396">
        <v>10607.951370000001</v>
      </c>
      <c r="P67" s="396">
        <f t="shared" si="17"/>
        <v>84764.790619999985</v>
      </c>
    </row>
    <row r="68" spans="1:16">
      <c r="B68" t="s">
        <v>551</v>
      </c>
      <c r="D68" s="396">
        <v>10477.249</v>
      </c>
      <c r="E68" s="396">
        <v>11165.88384</v>
      </c>
      <c r="F68" s="396">
        <v>13080.972390000001</v>
      </c>
      <c r="G68" s="396">
        <v>2946.8702899999998</v>
      </c>
      <c r="H68" s="396">
        <v>554.99699999999996</v>
      </c>
      <c r="I68" s="396">
        <v>26.334</v>
      </c>
      <c r="J68" s="396">
        <v>3.5750000000000002</v>
      </c>
      <c r="K68" s="396">
        <v>184.07599999999999</v>
      </c>
      <c r="L68" s="396">
        <v>209.69900000000001</v>
      </c>
      <c r="M68" s="396">
        <v>601.42836</v>
      </c>
      <c r="N68" s="396">
        <v>3039.45739</v>
      </c>
      <c r="O68" s="396">
        <v>7968.6739200000002</v>
      </c>
      <c r="P68" s="396">
        <f t="shared" si="17"/>
        <v>50259.216190000006</v>
      </c>
    </row>
    <row r="69" spans="1:16">
      <c r="B69" t="s">
        <v>555</v>
      </c>
      <c r="D69" s="396">
        <f>SUM(D57:D68)</f>
        <v>21979.498820000001</v>
      </c>
      <c r="E69" s="396">
        <f t="shared" ref="E69:O69" si="18">SUM(E57:E68)</f>
        <v>22522.469839999998</v>
      </c>
      <c r="F69" s="396">
        <f t="shared" si="18"/>
        <v>24533.96168</v>
      </c>
      <c r="G69" s="396">
        <f t="shared" si="18"/>
        <v>12724.710569999999</v>
      </c>
      <c r="H69" s="396">
        <f t="shared" si="18"/>
        <v>7253.1650600000003</v>
      </c>
      <c r="I69" s="396">
        <f t="shared" si="18"/>
        <v>3044.4360299999998</v>
      </c>
      <c r="J69" s="396">
        <f t="shared" si="18"/>
        <v>2206.4956399999996</v>
      </c>
      <c r="K69" s="396">
        <f t="shared" si="18"/>
        <v>1872.3195599999999</v>
      </c>
      <c r="L69" s="396">
        <f t="shared" si="18"/>
        <v>2251.4028899999998</v>
      </c>
      <c r="M69" s="396">
        <f t="shared" si="18"/>
        <v>6260.3701300000002</v>
      </c>
      <c r="N69" s="396">
        <f t="shared" si="18"/>
        <v>11798.551299999999</v>
      </c>
      <c r="O69" s="396">
        <f t="shared" si="18"/>
        <v>18576.62529</v>
      </c>
      <c r="P69" s="396">
        <f>SUM(D69:O69)</f>
        <v>135024.00680999996</v>
      </c>
    </row>
    <row r="70" spans="1:16">
      <c r="A70" t="s">
        <v>501</v>
      </c>
      <c r="B70" t="s">
        <v>543</v>
      </c>
      <c r="D70" s="396">
        <v>0</v>
      </c>
      <c r="E70" s="396">
        <v>0</v>
      </c>
      <c r="F70" s="396">
        <v>0</v>
      </c>
      <c r="G70" s="396">
        <v>0</v>
      </c>
      <c r="H70" s="396">
        <v>0</v>
      </c>
      <c r="I70" s="396">
        <v>0</v>
      </c>
      <c r="J70" s="396">
        <v>0</v>
      </c>
      <c r="K70" s="396">
        <v>0</v>
      </c>
      <c r="L70" s="396">
        <v>0</v>
      </c>
      <c r="M70" s="396">
        <v>0</v>
      </c>
      <c r="N70" s="396">
        <v>0</v>
      </c>
      <c r="O70" s="396">
        <v>0</v>
      </c>
      <c r="P70" s="396">
        <f>SUM(D70:O70)</f>
        <v>0</v>
      </c>
    </row>
    <row r="71" spans="1:16">
      <c r="B71" t="s">
        <v>542</v>
      </c>
      <c r="D71" s="396">
        <v>0</v>
      </c>
      <c r="E71" s="396">
        <v>0</v>
      </c>
      <c r="F71" s="396">
        <v>0</v>
      </c>
      <c r="G71" s="396">
        <v>0</v>
      </c>
      <c r="H71" s="396">
        <v>0</v>
      </c>
      <c r="I71" s="396">
        <v>0</v>
      </c>
      <c r="J71" s="396">
        <v>0</v>
      </c>
      <c r="K71" s="396">
        <v>0</v>
      </c>
      <c r="L71" s="396">
        <v>0</v>
      </c>
      <c r="M71" s="396">
        <v>0</v>
      </c>
      <c r="N71" s="396">
        <v>0</v>
      </c>
      <c r="O71" s="396">
        <v>0</v>
      </c>
      <c r="P71" s="396">
        <f t="shared" ref="P71:P81" si="19">SUM(D71:O71)</f>
        <v>0</v>
      </c>
    </row>
    <row r="72" spans="1:16">
      <c r="B72" t="s">
        <v>544</v>
      </c>
      <c r="D72" s="396">
        <v>0</v>
      </c>
      <c r="E72" s="396">
        <v>-201</v>
      </c>
      <c r="F72" s="396">
        <v>0</v>
      </c>
      <c r="G72" s="396">
        <v>0</v>
      </c>
      <c r="H72" s="396">
        <v>0</v>
      </c>
      <c r="I72" s="396">
        <v>0</v>
      </c>
      <c r="J72" s="396">
        <v>0</v>
      </c>
      <c r="K72" s="396">
        <v>0</v>
      </c>
      <c r="L72" s="396">
        <v>0</v>
      </c>
      <c r="M72" s="396">
        <v>0</v>
      </c>
      <c r="N72" s="396">
        <v>-327</v>
      </c>
      <c r="O72" s="396">
        <v>-167</v>
      </c>
      <c r="P72" s="396">
        <f t="shared" si="19"/>
        <v>-695</v>
      </c>
    </row>
    <row r="73" spans="1:16">
      <c r="B73" t="s">
        <v>545</v>
      </c>
      <c r="D73" s="396">
        <v>0</v>
      </c>
      <c r="E73" s="396">
        <v>0</v>
      </c>
      <c r="F73" s="396">
        <v>0</v>
      </c>
      <c r="G73" s="396">
        <v>0</v>
      </c>
      <c r="H73" s="396">
        <v>0</v>
      </c>
      <c r="I73" s="396">
        <v>0</v>
      </c>
      <c r="J73" s="396">
        <v>0</v>
      </c>
      <c r="K73" s="396">
        <v>0</v>
      </c>
      <c r="L73" s="396">
        <v>0</v>
      </c>
      <c r="M73" s="396">
        <v>0</v>
      </c>
      <c r="N73" s="396">
        <v>0</v>
      </c>
      <c r="O73" s="396">
        <v>0</v>
      </c>
      <c r="P73" s="396">
        <f t="shared" si="19"/>
        <v>0</v>
      </c>
    </row>
    <row r="74" spans="1:16">
      <c r="B74" t="s">
        <v>546</v>
      </c>
      <c r="D74" s="396">
        <v>0</v>
      </c>
      <c r="E74" s="396">
        <v>0</v>
      </c>
      <c r="F74" s="396">
        <v>0</v>
      </c>
      <c r="G74" s="396">
        <v>0</v>
      </c>
      <c r="H74" s="396">
        <v>0</v>
      </c>
      <c r="I74" s="396">
        <v>0</v>
      </c>
      <c r="J74" s="396">
        <v>0</v>
      </c>
      <c r="K74" s="396">
        <v>0</v>
      </c>
      <c r="L74" s="396">
        <v>0</v>
      </c>
      <c r="M74" s="396">
        <v>0</v>
      </c>
      <c r="N74" s="396">
        <v>0</v>
      </c>
      <c r="O74" s="396">
        <v>0</v>
      </c>
      <c r="P74" s="396">
        <f t="shared" si="19"/>
        <v>0</v>
      </c>
    </row>
    <row r="75" spans="1:16">
      <c r="B75" t="s">
        <v>571</v>
      </c>
      <c r="D75" s="396"/>
      <c r="E75" s="396"/>
      <c r="F75" s="396"/>
      <c r="G75" s="396"/>
      <c r="H75" s="396"/>
      <c r="I75" s="396"/>
      <c r="J75" s="396"/>
      <c r="K75" s="396"/>
      <c r="L75" s="396"/>
      <c r="M75" s="396">
        <v>0</v>
      </c>
      <c r="N75" s="396">
        <v>0</v>
      </c>
      <c r="O75" s="396">
        <v>0</v>
      </c>
      <c r="P75" s="396">
        <f t="shared" si="19"/>
        <v>0</v>
      </c>
    </row>
    <row r="76" spans="1:16">
      <c r="B76" t="s">
        <v>548</v>
      </c>
      <c r="D76" s="396">
        <v>0</v>
      </c>
      <c r="E76" s="396">
        <v>0</v>
      </c>
      <c r="F76" s="396">
        <v>0</v>
      </c>
      <c r="G76" s="396">
        <v>0</v>
      </c>
      <c r="H76" s="396">
        <v>0</v>
      </c>
      <c r="I76" s="396">
        <v>0</v>
      </c>
      <c r="J76" s="396">
        <v>0</v>
      </c>
      <c r="K76" s="396">
        <v>0</v>
      </c>
      <c r="L76" s="396">
        <v>0</v>
      </c>
      <c r="M76" s="396">
        <v>0</v>
      </c>
      <c r="N76" s="396">
        <v>0</v>
      </c>
      <c r="O76" s="396">
        <v>0</v>
      </c>
      <c r="P76" s="396">
        <f t="shared" si="19"/>
        <v>0</v>
      </c>
    </row>
    <row r="77" spans="1:16">
      <c r="B77" t="s">
        <v>549</v>
      </c>
      <c r="D77" s="396">
        <v>0</v>
      </c>
      <c r="E77" s="396">
        <v>0</v>
      </c>
      <c r="F77" s="396">
        <v>0</v>
      </c>
      <c r="G77" s="396">
        <v>0</v>
      </c>
      <c r="H77" s="396">
        <v>0</v>
      </c>
      <c r="I77" s="396">
        <v>0</v>
      </c>
      <c r="J77" s="396">
        <v>0</v>
      </c>
      <c r="K77" s="396">
        <v>0</v>
      </c>
      <c r="L77" s="396">
        <v>0</v>
      </c>
      <c r="M77" s="396">
        <v>0</v>
      </c>
      <c r="N77" s="396">
        <v>0</v>
      </c>
      <c r="O77" s="396">
        <v>0</v>
      </c>
      <c r="P77" s="396">
        <f t="shared" si="19"/>
        <v>0</v>
      </c>
    </row>
    <row r="78" spans="1:16">
      <c r="B78" t="s">
        <v>550</v>
      </c>
      <c r="D78" s="396">
        <v>614056.35540999996</v>
      </c>
      <c r="E78" s="396">
        <v>602122.74292999995</v>
      </c>
      <c r="F78" s="396">
        <v>622422.34710999997</v>
      </c>
      <c r="G78" s="396">
        <v>609380.26335999998</v>
      </c>
      <c r="H78" s="396">
        <v>576533.97387999995</v>
      </c>
      <c r="I78" s="396">
        <v>475143.39107999997</v>
      </c>
      <c r="J78" s="396">
        <v>418973.52477000002</v>
      </c>
      <c r="K78" s="396">
        <v>390683.52333</v>
      </c>
      <c r="L78" s="396">
        <v>412392.87789</v>
      </c>
      <c r="M78" s="396">
        <v>583775.72603999998</v>
      </c>
      <c r="N78" s="396">
        <v>605892.19857999997</v>
      </c>
      <c r="O78" s="396">
        <v>617103.10869000002</v>
      </c>
      <c r="P78" s="396">
        <f t="shared" si="19"/>
        <v>6528480.0330699999</v>
      </c>
    </row>
    <row r="79" spans="1:16">
      <c r="B79" t="s">
        <v>551</v>
      </c>
      <c r="D79" s="396">
        <v>2138595.4322799998</v>
      </c>
      <c r="E79" s="396">
        <v>2126686.93463</v>
      </c>
      <c r="F79" s="396">
        <v>2204489.0396699999</v>
      </c>
      <c r="G79" s="396">
        <v>1740453.23205</v>
      </c>
      <c r="H79" s="396">
        <v>1233274.3351400001</v>
      </c>
      <c r="I79" s="396">
        <v>790386.61638000002</v>
      </c>
      <c r="J79" s="396">
        <v>661102.01732999994</v>
      </c>
      <c r="K79" s="396">
        <v>598927.16105</v>
      </c>
      <c r="L79" s="396">
        <v>653630.31680999999</v>
      </c>
      <c r="M79" s="396">
        <v>1291112.3426399999</v>
      </c>
      <c r="N79" s="396">
        <v>1852542.1540000001</v>
      </c>
      <c r="O79" s="396">
        <v>2139447.9695700002</v>
      </c>
      <c r="P79" s="396">
        <f t="shared" si="19"/>
        <v>17430647.551550001</v>
      </c>
    </row>
    <row r="80" spans="1:16">
      <c r="B80" t="s">
        <v>556</v>
      </c>
      <c r="D80" s="396">
        <v>5155066.8745499998</v>
      </c>
      <c r="E80" s="396">
        <v>5631083.6064299997</v>
      </c>
      <c r="F80" s="396">
        <v>6052517.2962100003</v>
      </c>
      <c r="G80" s="396">
        <v>3000246.7173700002</v>
      </c>
      <c r="H80" s="396">
        <v>1482782.7072099999</v>
      </c>
      <c r="I80" s="396">
        <v>1094702.3844999999</v>
      </c>
      <c r="J80" s="396">
        <v>849960.72112999996</v>
      </c>
      <c r="K80" s="396">
        <v>736777.64992999996</v>
      </c>
      <c r="L80" s="396">
        <v>911913.09623000002</v>
      </c>
      <c r="M80" s="396">
        <v>1783804.8626699999</v>
      </c>
      <c r="N80" s="396">
        <v>3226679.9686099999</v>
      </c>
      <c r="O80" s="396">
        <v>4992833.8671000004</v>
      </c>
      <c r="P80" s="396">
        <f t="shared" si="19"/>
        <v>34918369.751939997</v>
      </c>
    </row>
    <row r="81" spans="1:17">
      <c r="B81" t="s">
        <v>557</v>
      </c>
      <c r="D81" s="396">
        <f>SUM(D70:D80)</f>
        <v>7907718.6622399995</v>
      </c>
      <c r="E81" s="396">
        <f t="shared" ref="E81:O81" si="20">SUM(E70:E80)</f>
        <v>8359692.2839899994</v>
      </c>
      <c r="F81" s="396">
        <f t="shared" si="20"/>
        <v>8879428.6829899997</v>
      </c>
      <c r="G81" s="396">
        <f t="shared" si="20"/>
        <v>5350080.2127800006</v>
      </c>
      <c r="H81" s="396">
        <f t="shared" si="20"/>
        <v>3292591.0162300002</v>
      </c>
      <c r="I81" s="396">
        <f t="shared" si="20"/>
        <v>2360232.3919599997</v>
      </c>
      <c r="J81" s="396">
        <f t="shared" si="20"/>
        <v>1930036.2632299999</v>
      </c>
      <c r="K81" s="396">
        <f t="shared" si="20"/>
        <v>1726388.3343099998</v>
      </c>
      <c r="L81" s="396">
        <f t="shared" si="20"/>
        <v>1977936.2909299999</v>
      </c>
      <c r="M81" s="396">
        <f t="shared" si="20"/>
        <v>3658692.9313500002</v>
      </c>
      <c r="N81" s="396">
        <f t="shared" si="20"/>
        <v>5684787.3211899996</v>
      </c>
      <c r="O81" s="396">
        <f t="shared" si="20"/>
        <v>7749217.9453600012</v>
      </c>
      <c r="P81" s="396">
        <f t="shared" si="19"/>
        <v>58876802.336560011</v>
      </c>
    </row>
    <row r="82" spans="1:17">
      <c r="A82" s="531" t="s">
        <v>593</v>
      </c>
      <c r="B82" t="s">
        <v>543</v>
      </c>
      <c r="D82" s="396">
        <v>0</v>
      </c>
      <c r="E82" s="396">
        <v>0</v>
      </c>
      <c r="F82" s="396">
        <v>0</v>
      </c>
      <c r="G82" s="396">
        <v>0</v>
      </c>
      <c r="H82" s="396">
        <v>0</v>
      </c>
      <c r="I82" s="396">
        <v>0</v>
      </c>
      <c r="J82" s="396">
        <v>0</v>
      </c>
      <c r="K82" s="396">
        <v>0</v>
      </c>
      <c r="L82" s="396">
        <v>0</v>
      </c>
      <c r="M82" s="396">
        <v>0</v>
      </c>
      <c r="N82" s="396">
        <v>0</v>
      </c>
      <c r="O82" s="396">
        <v>0</v>
      </c>
      <c r="P82" s="396">
        <f>SUM(D82:O82)</f>
        <v>0</v>
      </c>
    </row>
    <row r="83" spans="1:17">
      <c r="B83" t="s">
        <v>542</v>
      </c>
      <c r="D83" s="396">
        <v>0</v>
      </c>
      <c r="E83" s="396">
        <v>0</v>
      </c>
      <c r="F83" s="396">
        <v>0</v>
      </c>
      <c r="G83" s="396">
        <v>0</v>
      </c>
      <c r="H83" s="396">
        <v>0</v>
      </c>
      <c r="I83" s="396">
        <v>0</v>
      </c>
      <c r="J83" s="396">
        <v>0</v>
      </c>
      <c r="K83" s="396">
        <v>0</v>
      </c>
      <c r="L83" s="396">
        <v>0</v>
      </c>
      <c r="M83" s="396">
        <v>0</v>
      </c>
      <c r="N83" s="396">
        <v>0</v>
      </c>
      <c r="O83" s="396">
        <v>0</v>
      </c>
      <c r="P83" s="396">
        <f t="shared" ref="P83:P93" si="21">SUM(D83:O83)</f>
        <v>0</v>
      </c>
    </row>
    <row r="84" spans="1:17">
      <c r="B84" t="s">
        <v>544</v>
      </c>
      <c r="D84" s="396">
        <v>0</v>
      </c>
      <c r="E84" s="396">
        <v>0</v>
      </c>
      <c r="F84" s="396">
        <v>0</v>
      </c>
      <c r="G84" s="396">
        <v>0</v>
      </c>
      <c r="H84" s="396">
        <v>0</v>
      </c>
      <c r="I84" s="396">
        <v>0</v>
      </c>
      <c r="J84" s="396">
        <v>0</v>
      </c>
      <c r="K84" s="396">
        <v>0</v>
      </c>
      <c r="L84" s="396">
        <v>0</v>
      </c>
      <c r="M84" s="396">
        <v>0</v>
      </c>
      <c r="N84" s="396">
        <v>0</v>
      </c>
      <c r="O84" s="396">
        <v>0</v>
      </c>
      <c r="P84" s="396">
        <f t="shared" si="21"/>
        <v>0</v>
      </c>
    </row>
    <row r="85" spans="1:17">
      <c r="B85" t="s">
        <v>545</v>
      </c>
      <c r="D85" s="396">
        <v>0</v>
      </c>
      <c r="E85" s="396">
        <v>0</v>
      </c>
      <c r="F85" s="396">
        <v>0</v>
      </c>
      <c r="G85" s="396">
        <v>0</v>
      </c>
      <c r="H85" s="396">
        <v>0</v>
      </c>
      <c r="I85" s="396">
        <v>0</v>
      </c>
      <c r="J85" s="396">
        <v>0</v>
      </c>
      <c r="K85" s="396">
        <v>0</v>
      </c>
      <c r="L85" s="396">
        <v>0</v>
      </c>
      <c r="M85" s="396">
        <v>0</v>
      </c>
      <c r="N85" s="396">
        <v>0</v>
      </c>
      <c r="O85" s="396">
        <v>0</v>
      </c>
      <c r="P85" s="396">
        <f t="shared" si="21"/>
        <v>0</v>
      </c>
    </row>
    <row r="86" spans="1:17">
      <c r="B86" t="s">
        <v>546</v>
      </c>
      <c r="D86" s="396">
        <v>0</v>
      </c>
      <c r="E86" s="396">
        <v>0</v>
      </c>
      <c r="F86" s="396">
        <v>0</v>
      </c>
      <c r="G86" s="396">
        <v>0</v>
      </c>
      <c r="H86" s="396">
        <v>0</v>
      </c>
      <c r="I86" s="396">
        <v>0</v>
      </c>
      <c r="J86" s="396">
        <v>0</v>
      </c>
      <c r="K86" s="396">
        <v>0</v>
      </c>
      <c r="L86" s="396">
        <v>0</v>
      </c>
      <c r="M86" s="396">
        <v>0</v>
      </c>
      <c r="N86" s="396">
        <v>0</v>
      </c>
      <c r="O86" s="396">
        <v>0</v>
      </c>
      <c r="P86" s="396">
        <f t="shared" si="21"/>
        <v>0</v>
      </c>
    </row>
    <row r="87" spans="1:17">
      <c r="B87" t="s">
        <v>571</v>
      </c>
      <c r="D87" s="396"/>
      <c r="E87" s="396"/>
      <c r="F87" s="396"/>
      <c r="G87" s="396"/>
      <c r="H87" s="396"/>
      <c r="I87" s="396"/>
      <c r="J87" s="396"/>
      <c r="K87" s="396"/>
      <c r="L87" s="396"/>
      <c r="M87" s="396">
        <v>0</v>
      </c>
      <c r="N87" s="396">
        <v>0</v>
      </c>
      <c r="O87" s="396">
        <v>0</v>
      </c>
      <c r="P87" s="396">
        <f t="shared" si="21"/>
        <v>0</v>
      </c>
    </row>
    <row r="88" spans="1:17">
      <c r="B88" t="s">
        <v>548</v>
      </c>
      <c r="D88" s="396">
        <v>0</v>
      </c>
      <c r="E88" s="396">
        <v>0</v>
      </c>
      <c r="F88" s="396">
        <v>0</v>
      </c>
      <c r="G88" s="396">
        <v>0</v>
      </c>
      <c r="H88" s="396">
        <v>0</v>
      </c>
      <c r="I88" s="396">
        <v>0</v>
      </c>
      <c r="J88" s="396">
        <v>0</v>
      </c>
      <c r="K88" s="396">
        <v>0</v>
      </c>
      <c r="L88" s="396">
        <v>0</v>
      </c>
      <c r="M88" s="396">
        <v>0</v>
      </c>
      <c r="N88" s="396">
        <v>0</v>
      </c>
      <c r="O88" s="396">
        <v>0</v>
      </c>
      <c r="P88" s="396">
        <f t="shared" si="21"/>
        <v>0</v>
      </c>
    </row>
    <row r="89" spans="1:17">
      <c r="B89" t="s">
        <v>549</v>
      </c>
      <c r="D89" s="396">
        <v>0</v>
      </c>
      <c r="E89" s="396">
        <v>0</v>
      </c>
      <c r="F89" s="396">
        <v>0</v>
      </c>
      <c r="G89" s="396">
        <v>0</v>
      </c>
      <c r="H89" s="396">
        <v>0</v>
      </c>
      <c r="I89" s="396">
        <v>0</v>
      </c>
      <c r="J89" s="396">
        <v>0</v>
      </c>
      <c r="K89" s="396">
        <v>0</v>
      </c>
      <c r="L89" s="396">
        <v>0</v>
      </c>
      <c r="M89" s="396">
        <v>0</v>
      </c>
      <c r="N89" s="396">
        <v>0</v>
      </c>
      <c r="O89" s="396">
        <v>0</v>
      </c>
      <c r="P89" s="396">
        <f t="shared" si="21"/>
        <v>0</v>
      </c>
    </row>
    <row r="90" spans="1:17">
      <c r="B90" t="s">
        <v>550</v>
      </c>
      <c r="D90" s="396">
        <v>200</v>
      </c>
      <c r="E90" s="396">
        <v>200</v>
      </c>
      <c r="F90" s="396">
        <v>200</v>
      </c>
      <c r="G90" s="396">
        <v>200</v>
      </c>
      <c r="H90" s="396">
        <v>200</v>
      </c>
      <c r="I90" s="396">
        <v>200</v>
      </c>
      <c r="J90" s="396">
        <v>200</v>
      </c>
      <c r="K90" s="396">
        <v>200</v>
      </c>
      <c r="L90" s="396">
        <v>200</v>
      </c>
      <c r="M90" s="396">
        <v>200</v>
      </c>
      <c r="N90" s="396">
        <v>200</v>
      </c>
      <c r="O90" s="396">
        <v>200</v>
      </c>
      <c r="P90" s="396">
        <f t="shared" si="21"/>
        <v>2400</v>
      </c>
    </row>
    <row r="91" spans="1:17">
      <c r="B91" t="s">
        <v>551</v>
      </c>
      <c r="D91" s="396">
        <v>800</v>
      </c>
      <c r="E91" s="396">
        <v>800</v>
      </c>
      <c r="F91" s="396">
        <v>800</v>
      </c>
      <c r="G91" s="396">
        <v>800</v>
      </c>
      <c r="H91" s="396">
        <v>800</v>
      </c>
      <c r="I91" s="396">
        <v>800</v>
      </c>
      <c r="J91" s="396">
        <v>800</v>
      </c>
      <c r="K91" s="396">
        <v>800</v>
      </c>
      <c r="L91" s="396">
        <v>800</v>
      </c>
      <c r="M91" s="396">
        <v>800</v>
      </c>
      <c r="N91" s="396">
        <v>800</v>
      </c>
      <c r="O91" s="396">
        <v>800</v>
      </c>
      <c r="P91" s="396">
        <f t="shared" si="21"/>
        <v>9600</v>
      </c>
    </row>
    <row r="92" spans="1:17">
      <c r="B92" t="s">
        <v>556</v>
      </c>
      <c r="D92" s="396">
        <v>16301.425999999999</v>
      </c>
      <c r="E92" s="396">
        <v>21381.554</v>
      </c>
      <c r="F92" s="396">
        <v>16519.166000000001</v>
      </c>
      <c r="G92" s="396">
        <v>11233.788</v>
      </c>
      <c r="H92" s="396">
        <v>8290.1059999999998</v>
      </c>
      <c r="I92" s="396">
        <v>4926.2240000000002</v>
      </c>
      <c r="J92" s="396">
        <v>4552.99</v>
      </c>
      <c r="K92" s="396">
        <v>4665.0860000000002</v>
      </c>
      <c r="L92" s="396">
        <v>5765.2939999999999</v>
      </c>
      <c r="M92" s="396">
        <v>10540.242</v>
      </c>
      <c r="N92" s="396">
        <v>15255.312</v>
      </c>
      <c r="O92" s="396">
        <v>17990.132000000001</v>
      </c>
      <c r="P92" s="396">
        <f t="shared" si="21"/>
        <v>137421.32</v>
      </c>
    </row>
    <row r="93" spans="1:17">
      <c r="B93" t="s">
        <v>594</v>
      </c>
      <c r="D93" s="396">
        <f>SUM(D82:D92)</f>
        <v>17301.425999999999</v>
      </c>
      <c r="E93" s="396">
        <f t="shared" ref="E93" si="22">SUM(E82:E92)</f>
        <v>22381.554</v>
      </c>
      <c r="F93" s="396">
        <f t="shared" ref="F93" si="23">SUM(F82:F92)</f>
        <v>17519.166000000001</v>
      </c>
      <c r="G93" s="396">
        <f t="shared" ref="G93" si="24">SUM(G82:G92)</f>
        <v>12233.788</v>
      </c>
      <c r="H93" s="396">
        <f t="shared" ref="H93" si="25">SUM(H82:H92)</f>
        <v>9290.1059999999998</v>
      </c>
      <c r="I93" s="396">
        <f t="shared" ref="I93" si="26">SUM(I82:I92)</f>
        <v>5926.2240000000002</v>
      </c>
      <c r="J93" s="396">
        <f t="shared" ref="J93" si="27">SUM(J82:J92)</f>
        <v>5552.99</v>
      </c>
      <c r="K93" s="396">
        <f t="shared" ref="K93" si="28">SUM(K82:K92)</f>
        <v>5665.0860000000002</v>
      </c>
      <c r="L93" s="396">
        <f t="shared" ref="L93" si="29">SUM(L82:L92)</f>
        <v>6765.2939999999999</v>
      </c>
      <c r="M93" s="396">
        <f t="shared" ref="M93" si="30">SUM(M82:M92)</f>
        <v>11540.242</v>
      </c>
      <c r="N93" s="396">
        <f t="shared" ref="N93" si="31">SUM(N82:N92)</f>
        <v>16255.312</v>
      </c>
      <c r="O93" s="396">
        <f t="shared" ref="O93" si="32">SUM(O82:O92)</f>
        <v>18990.132000000001</v>
      </c>
      <c r="P93" s="396">
        <f t="shared" si="21"/>
        <v>149421.32</v>
      </c>
    </row>
    <row r="94" spans="1:17">
      <c r="A94" t="s">
        <v>502</v>
      </c>
      <c r="B94" t="s">
        <v>543</v>
      </c>
      <c r="D94" s="396"/>
      <c r="E94" s="396"/>
      <c r="F94" s="396"/>
      <c r="G94" s="396"/>
      <c r="H94" s="396"/>
      <c r="I94" s="396"/>
      <c r="J94" s="396"/>
      <c r="K94" s="396"/>
      <c r="L94" s="396">
        <v>0</v>
      </c>
      <c r="M94" s="396">
        <v>0</v>
      </c>
      <c r="N94" s="396">
        <v>0</v>
      </c>
      <c r="O94" s="396">
        <v>0</v>
      </c>
      <c r="P94" s="396">
        <f>SUM(D94:O94)</f>
        <v>0</v>
      </c>
      <c r="Q94" s="393"/>
    </row>
    <row r="95" spans="1:17">
      <c r="B95" t="s">
        <v>542</v>
      </c>
      <c r="D95" s="396">
        <v>0</v>
      </c>
      <c r="E95" s="396">
        <v>0</v>
      </c>
      <c r="F95" s="396">
        <v>0</v>
      </c>
      <c r="G95" s="396">
        <v>0</v>
      </c>
      <c r="H95" s="396">
        <v>0</v>
      </c>
      <c r="I95" s="396">
        <v>0</v>
      </c>
      <c r="J95" s="396">
        <v>0</v>
      </c>
      <c r="K95" s="396">
        <v>0</v>
      </c>
      <c r="L95" s="396">
        <v>0</v>
      </c>
      <c r="M95" s="396">
        <v>0</v>
      </c>
      <c r="N95" s="396">
        <v>0</v>
      </c>
      <c r="O95" s="396">
        <v>0</v>
      </c>
      <c r="P95" s="396">
        <f t="shared" ref="P95:P107" si="33">SUM(D95:O95)</f>
        <v>0</v>
      </c>
    </row>
    <row r="96" spans="1:17">
      <c r="B96" t="s">
        <v>544</v>
      </c>
      <c r="D96" s="396">
        <v>0</v>
      </c>
      <c r="E96" s="396">
        <v>0</v>
      </c>
      <c r="F96" s="396">
        <v>0</v>
      </c>
      <c r="G96" s="396">
        <v>0</v>
      </c>
      <c r="H96" s="396">
        <v>0</v>
      </c>
      <c r="I96" s="396">
        <v>0</v>
      </c>
      <c r="J96" s="396">
        <v>0</v>
      </c>
      <c r="K96" s="396">
        <v>0</v>
      </c>
      <c r="L96" s="396">
        <v>0</v>
      </c>
      <c r="M96" s="396">
        <v>0</v>
      </c>
      <c r="N96" s="396">
        <v>0</v>
      </c>
      <c r="O96" s="396">
        <v>0</v>
      </c>
      <c r="P96" s="396">
        <f t="shared" si="33"/>
        <v>0</v>
      </c>
    </row>
    <row r="97" spans="1:16">
      <c r="B97" t="s">
        <v>545</v>
      </c>
      <c r="D97" s="396">
        <v>0</v>
      </c>
      <c r="E97" s="396">
        <v>0</v>
      </c>
      <c r="F97" s="396">
        <v>0</v>
      </c>
      <c r="G97" s="396">
        <v>0</v>
      </c>
      <c r="H97" s="396">
        <v>0</v>
      </c>
      <c r="I97" s="396">
        <v>0</v>
      </c>
      <c r="J97" s="396">
        <v>0</v>
      </c>
      <c r="K97" s="396">
        <v>0</v>
      </c>
      <c r="L97" s="396">
        <v>0</v>
      </c>
      <c r="M97" s="396">
        <v>0</v>
      </c>
      <c r="N97" s="396">
        <v>0</v>
      </c>
      <c r="O97" s="396">
        <v>0</v>
      </c>
      <c r="P97" s="396">
        <f t="shared" si="33"/>
        <v>0</v>
      </c>
    </row>
    <row r="98" spans="1:16">
      <c r="B98" t="s">
        <v>546</v>
      </c>
      <c r="D98" s="396">
        <v>0</v>
      </c>
      <c r="E98" s="396">
        <v>0</v>
      </c>
      <c r="F98" s="396">
        <v>0</v>
      </c>
      <c r="G98" s="396">
        <v>0</v>
      </c>
      <c r="H98" s="396">
        <v>0</v>
      </c>
      <c r="I98" s="396">
        <v>0</v>
      </c>
      <c r="J98" s="396">
        <v>0</v>
      </c>
      <c r="K98" s="396">
        <v>0</v>
      </c>
      <c r="L98" s="396">
        <v>0</v>
      </c>
      <c r="M98" s="396">
        <v>0</v>
      </c>
      <c r="N98" s="396">
        <v>0</v>
      </c>
      <c r="O98" s="396">
        <v>0</v>
      </c>
      <c r="P98" s="396">
        <f t="shared" si="33"/>
        <v>0</v>
      </c>
    </row>
    <row r="99" spans="1:16">
      <c r="B99" t="s">
        <v>571</v>
      </c>
      <c r="D99" s="396"/>
      <c r="E99" s="396"/>
      <c r="F99" s="396"/>
      <c r="G99" s="396"/>
      <c r="H99" s="396"/>
      <c r="I99" s="396"/>
      <c r="J99" s="396"/>
      <c r="K99" s="396"/>
      <c r="L99" s="396"/>
      <c r="M99" s="396"/>
      <c r="N99" s="396">
        <v>0</v>
      </c>
      <c r="O99" s="396">
        <v>0</v>
      </c>
      <c r="P99" s="396">
        <f t="shared" si="33"/>
        <v>0</v>
      </c>
    </row>
    <row r="100" spans="1:16">
      <c r="B100" t="s">
        <v>548</v>
      </c>
      <c r="D100" s="396">
        <v>0</v>
      </c>
      <c r="E100" s="396">
        <v>0</v>
      </c>
      <c r="F100" s="396">
        <v>0</v>
      </c>
      <c r="G100" s="396">
        <v>0</v>
      </c>
      <c r="H100" s="396">
        <v>0</v>
      </c>
      <c r="I100" s="396">
        <v>0</v>
      </c>
      <c r="J100" s="396">
        <v>0</v>
      </c>
      <c r="K100" s="396">
        <v>0</v>
      </c>
      <c r="L100" s="396">
        <v>0</v>
      </c>
      <c r="M100" s="396">
        <v>0</v>
      </c>
      <c r="N100" s="396">
        <v>0</v>
      </c>
      <c r="O100" s="396">
        <v>0</v>
      </c>
      <c r="P100" s="396">
        <f t="shared" si="33"/>
        <v>0</v>
      </c>
    </row>
    <row r="101" spans="1:16">
      <c r="B101" t="s">
        <v>549</v>
      </c>
      <c r="D101" s="396">
        <v>0</v>
      </c>
      <c r="E101" s="396">
        <v>0</v>
      </c>
      <c r="F101" s="396">
        <v>0</v>
      </c>
      <c r="G101" s="396">
        <v>0</v>
      </c>
      <c r="H101" s="396">
        <v>0</v>
      </c>
      <c r="I101" s="396">
        <v>0</v>
      </c>
      <c r="J101" s="396">
        <v>0</v>
      </c>
      <c r="K101" s="396">
        <v>0</v>
      </c>
      <c r="L101" s="396">
        <v>0</v>
      </c>
      <c r="M101" s="396">
        <v>0</v>
      </c>
      <c r="N101" s="396">
        <v>0</v>
      </c>
      <c r="O101" s="396">
        <v>0</v>
      </c>
      <c r="P101" s="396">
        <f t="shared" si="33"/>
        <v>0</v>
      </c>
    </row>
    <row r="102" spans="1:16">
      <c r="B102" t="s">
        <v>550</v>
      </c>
      <c r="D102" s="396">
        <v>1500</v>
      </c>
      <c r="E102" s="396">
        <v>1500</v>
      </c>
      <c r="F102" s="396">
        <v>1500</v>
      </c>
      <c r="G102" s="396">
        <v>2262.183</v>
      </c>
      <c r="H102" s="396">
        <v>2500</v>
      </c>
      <c r="I102" s="396">
        <v>-3599.0826699999998</v>
      </c>
      <c r="J102" s="396">
        <v>1500</v>
      </c>
      <c r="K102" s="396">
        <v>1916.6666700000001</v>
      </c>
      <c r="L102" s="396">
        <v>2000</v>
      </c>
      <c r="M102" s="396">
        <v>2000</v>
      </c>
      <c r="N102" s="396">
        <v>2000</v>
      </c>
      <c r="O102" s="396">
        <v>2000</v>
      </c>
      <c r="P102" s="396">
        <f t="shared" si="33"/>
        <v>17079.767</v>
      </c>
    </row>
    <row r="103" spans="1:16">
      <c r="B103" t="s">
        <v>551</v>
      </c>
      <c r="D103" s="396">
        <v>1500</v>
      </c>
      <c r="E103" s="396">
        <v>1500</v>
      </c>
      <c r="F103" s="396">
        <v>1500</v>
      </c>
      <c r="G103" s="396">
        <v>1733.7</v>
      </c>
      <c r="H103" s="396">
        <v>2371.1999999999998</v>
      </c>
      <c r="I103" s="396">
        <v>-3616.6666599999999</v>
      </c>
      <c r="J103" s="396">
        <v>1500</v>
      </c>
      <c r="K103" s="396">
        <v>1916.6666600000001</v>
      </c>
      <c r="L103" s="396">
        <v>2000</v>
      </c>
      <c r="M103" s="396">
        <v>2000</v>
      </c>
      <c r="N103" s="396">
        <v>2000</v>
      </c>
      <c r="O103" s="396">
        <v>2000</v>
      </c>
      <c r="P103" s="396">
        <f t="shared" si="33"/>
        <v>16404.900000000001</v>
      </c>
    </row>
    <row r="104" spans="1:16">
      <c r="B104" t="s">
        <v>556</v>
      </c>
      <c r="D104" s="396">
        <v>27000</v>
      </c>
      <c r="E104" s="396">
        <v>27000</v>
      </c>
      <c r="F104" s="396">
        <v>27000</v>
      </c>
      <c r="G104" s="396">
        <v>26504.148000000001</v>
      </c>
      <c r="H104" s="396">
        <v>29844.404999999999</v>
      </c>
      <c r="I104" s="396">
        <v>-63941.101000000002</v>
      </c>
      <c r="J104" s="396">
        <v>21935.782999999999</v>
      </c>
      <c r="K104" s="396">
        <v>28270.388999999999</v>
      </c>
      <c r="L104" s="396">
        <v>27289.355</v>
      </c>
      <c r="M104" s="396">
        <v>30125</v>
      </c>
      <c r="N104" s="396">
        <v>32833.216</v>
      </c>
      <c r="O104" s="396">
        <v>32564.799999999999</v>
      </c>
      <c r="P104" s="396">
        <f t="shared" si="33"/>
        <v>246425.995</v>
      </c>
    </row>
    <row r="105" spans="1:16">
      <c r="B105" t="s">
        <v>558</v>
      </c>
      <c r="D105" s="396">
        <v>36521.375</v>
      </c>
      <c r="E105" s="396">
        <v>36230.735999999997</v>
      </c>
      <c r="F105" s="396">
        <v>35818.733999999997</v>
      </c>
      <c r="G105" s="396">
        <v>30000</v>
      </c>
      <c r="H105" s="396">
        <v>30000</v>
      </c>
      <c r="I105" s="396">
        <v>3070.4385900000002</v>
      </c>
      <c r="J105" s="396">
        <v>30000</v>
      </c>
      <c r="K105" s="396">
        <v>42500</v>
      </c>
      <c r="L105" s="396">
        <v>30000</v>
      </c>
      <c r="M105" s="396">
        <v>45000</v>
      </c>
      <c r="N105" s="396">
        <v>45000</v>
      </c>
      <c r="O105" s="396">
        <v>45000</v>
      </c>
      <c r="P105" s="396">
        <f t="shared" si="33"/>
        <v>409141.28359000001</v>
      </c>
    </row>
    <row r="106" spans="1:16">
      <c r="B106" t="s">
        <v>559</v>
      </c>
      <c r="D106" s="396">
        <v>106328.424</v>
      </c>
      <c r="E106" s="396">
        <v>104128.5</v>
      </c>
      <c r="F106" s="396">
        <v>99020.85</v>
      </c>
      <c r="G106" s="396">
        <v>57660.207000000002</v>
      </c>
      <c r="H106" s="396">
        <v>43447.576999999997</v>
      </c>
      <c r="I106" s="396">
        <v>26473.607</v>
      </c>
      <c r="J106" s="396">
        <v>24024.713</v>
      </c>
      <c r="K106" s="396">
        <v>35024.154670000004</v>
      </c>
      <c r="L106" s="396">
        <v>25157.077000000001</v>
      </c>
      <c r="M106" s="396">
        <v>58216.474000000002</v>
      </c>
      <c r="N106" s="396">
        <v>104272.602</v>
      </c>
      <c r="O106" s="396">
        <v>122777.09</v>
      </c>
      <c r="P106" s="396">
        <f t="shared" si="33"/>
        <v>806531.27566999989</v>
      </c>
    </row>
    <row r="107" spans="1:16">
      <c r="B107" t="s">
        <v>560</v>
      </c>
      <c r="D107" s="396">
        <f>SUM(D95:D106)</f>
        <v>172849.799</v>
      </c>
      <c r="E107" s="396">
        <f t="shared" ref="E107:O107" si="34">SUM(E95:E106)</f>
        <v>170359.236</v>
      </c>
      <c r="F107" s="396">
        <f t="shared" si="34"/>
        <v>164839.584</v>
      </c>
      <c r="G107" s="396">
        <f t="shared" si="34"/>
        <v>118160.23800000001</v>
      </c>
      <c r="H107" s="396">
        <f t="shared" si="34"/>
        <v>108163.182</v>
      </c>
      <c r="I107" s="396">
        <f t="shared" si="34"/>
        <v>-41612.804739999992</v>
      </c>
      <c r="J107" s="396">
        <f t="shared" si="34"/>
        <v>78960.495999999999</v>
      </c>
      <c r="K107" s="396">
        <f t="shared" si="34"/>
        <v>109627.87700000001</v>
      </c>
      <c r="L107" s="396">
        <f t="shared" si="34"/>
        <v>86446.432000000001</v>
      </c>
      <c r="M107" s="396">
        <f t="shared" si="34"/>
        <v>137341.47399999999</v>
      </c>
      <c r="N107" s="396">
        <f t="shared" si="34"/>
        <v>186105.818</v>
      </c>
      <c r="O107" s="396">
        <f t="shared" si="34"/>
        <v>204341.89</v>
      </c>
      <c r="P107" s="396">
        <f t="shared" si="33"/>
        <v>1495583.22126</v>
      </c>
    </row>
    <row r="108" spans="1:16">
      <c r="A108" t="s">
        <v>503</v>
      </c>
      <c r="B108" t="s">
        <v>543</v>
      </c>
      <c r="D108" s="396"/>
      <c r="E108" s="396"/>
      <c r="F108" s="396"/>
      <c r="G108" s="396"/>
      <c r="H108" s="396"/>
      <c r="I108" s="396"/>
      <c r="J108" s="396"/>
      <c r="K108" s="396"/>
      <c r="L108" s="396"/>
      <c r="M108" s="396"/>
      <c r="N108" s="396">
        <v>0</v>
      </c>
      <c r="O108" s="396">
        <v>0</v>
      </c>
      <c r="P108" s="396">
        <f>SUM(D108:O108)</f>
        <v>0</v>
      </c>
    </row>
    <row r="109" spans="1:16">
      <c r="B109" t="s">
        <v>542</v>
      </c>
      <c r="D109" s="396">
        <v>0</v>
      </c>
      <c r="E109" s="396">
        <v>0</v>
      </c>
      <c r="F109" s="396">
        <v>0</v>
      </c>
      <c r="G109" s="396">
        <v>0</v>
      </c>
      <c r="H109" s="396">
        <v>0</v>
      </c>
      <c r="I109" s="396">
        <v>0</v>
      </c>
      <c r="J109" s="396">
        <v>0</v>
      </c>
      <c r="K109" s="396">
        <v>0</v>
      </c>
      <c r="L109" s="396">
        <v>0</v>
      </c>
      <c r="M109" s="396">
        <v>0</v>
      </c>
      <c r="N109" s="396">
        <v>0</v>
      </c>
      <c r="O109" s="396">
        <v>0</v>
      </c>
      <c r="P109" s="396">
        <f t="shared" ref="P109:P120" si="35">SUM(D109:O109)</f>
        <v>0</v>
      </c>
    </row>
    <row r="110" spans="1:16">
      <c r="B110" t="s">
        <v>544</v>
      </c>
      <c r="D110" s="396">
        <v>0</v>
      </c>
      <c r="E110" s="396">
        <v>0</v>
      </c>
      <c r="F110" s="396">
        <v>0</v>
      </c>
      <c r="G110" s="396">
        <v>0</v>
      </c>
      <c r="H110" s="396">
        <v>0</v>
      </c>
      <c r="I110" s="396">
        <v>0</v>
      </c>
      <c r="J110" s="396">
        <v>0</v>
      </c>
      <c r="K110" s="396">
        <v>0</v>
      </c>
      <c r="L110" s="396">
        <v>0</v>
      </c>
      <c r="M110" s="396">
        <v>0</v>
      </c>
      <c r="N110" s="396">
        <v>0</v>
      </c>
      <c r="O110" s="396">
        <v>0</v>
      </c>
      <c r="P110" s="396">
        <f t="shared" si="35"/>
        <v>0</v>
      </c>
    </row>
    <row r="111" spans="1:16">
      <c r="B111" t="s">
        <v>545</v>
      </c>
      <c r="D111" s="396">
        <v>0</v>
      </c>
      <c r="E111" s="396">
        <v>0</v>
      </c>
      <c r="F111" s="396">
        <v>0</v>
      </c>
      <c r="G111" s="396">
        <v>0</v>
      </c>
      <c r="H111" s="396">
        <v>0</v>
      </c>
      <c r="I111" s="396">
        <v>0</v>
      </c>
      <c r="J111" s="396">
        <v>0</v>
      </c>
      <c r="K111" s="396">
        <v>0</v>
      </c>
      <c r="L111" s="396">
        <v>0</v>
      </c>
      <c r="M111" s="396">
        <v>0</v>
      </c>
      <c r="N111" s="396">
        <v>0</v>
      </c>
      <c r="O111" s="396">
        <v>0</v>
      </c>
      <c r="P111" s="396">
        <f t="shared" si="35"/>
        <v>0</v>
      </c>
    </row>
    <row r="112" spans="1:16">
      <c r="B112" t="s">
        <v>546</v>
      </c>
      <c r="D112" s="396">
        <v>0</v>
      </c>
      <c r="E112" s="396">
        <v>0</v>
      </c>
      <c r="F112" s="396">
        <v>0</v>
      </c>
      <c r="G112" s="396">
        <v>0</v>
      </c>
      <c r="H112" s="396">
        <v>0</v>
      </c>
      <c r="I112" s="396">
        <v>0</v>
      </c>
      <c r="J112" s="396">
        <v>0</v>
      </c>
      <c r="K112" s="396">
        <v>0</v>
      </c>
      <c r="L112" s="396">
        <v>0</v>
      </c>
      <c r="M112" s="396">
        <v>0</v>
      </c>
      <c r="N112" s="396">
        <v>0</v>
      </c>
      <c r="O112" s="396">
        <v>0</v>
      </c>
      <c r="P112" s="396">
        <f t="shared" si="35"/>
        <v>0</v>
      </c>
    </row>
    <row r="113" spans="1:16">
      <c r="B113" t="s">
        <v>571</v>
      </c>
      <c r="D113" s="396"/>
      <c r="E113" s="396"/>
      <c r="F113" s="396"/>
      <c r="G113" s="396"/>
      <c r="H113" s="396"/>
      <c r="I113" s="396"/>
      <c r="J113" s="396"/>
      <c r="K113" s="396"/>
      <c r="L113" s="396"/>
      <c r="M113" s="396"/>
      <c r="N113" s="396">
        <v>0</v>
      </c>
      <c r="O113" s="396">
        <v>0</v>
      </c>
      <c r="P113" s="396">
        <f t="shared" si="35"/>
        <v>0</v>
      </c>
    </row>
    <row r="114" spans="1:16">
      <c r="B114" t="s">
        <v>548</v>
      </c>
      <c r="D114" s="396">
        <v>0</v>
      </c>
      <c r="E114" s="396">
        <v>0</v>
      </c>
      <c r="F114" s="396">
        <v>0</v>
      </c>
      <c r="G114" s="396">
        <v>0</v>
      </c>
      <c r="H114" s="396">
        <v>0</v>
      </c>
      <c r="I114" s="396">
        <v>0</v>
      </c>
      <c r="J114" s="396">
        <v>0</v>
      </c>
      <c r="K114" s="396">
        <v>0</v>
      </c>
      <c r="L114" s="396">
        <v>0</v>
      </c>
      <c r="M114" s="396">
        <v>0</v>
      </c>
      <c r="N114" s="396">
        <v>0</v>
      </c>
      <c r="O114" s="396">
        <v>0</v>
      </c>
      <c r="P114" s="396">
        <f t="shared" si="35"/>
        <v>0</v>
      </c>
    </row>
    <row r="115" spans="1:16">
      <c r="B115" t="s">
        <v>549</v>
      </c>
      <c r="D115" s="396">
        <v>0</v>
      </c>
      <c r="E115" s="396">
        <v>0</v>
      </c>
      <c r="F115" s="396">
        <v>0</v>
      </c>
      <c r="G115" s="396">
        <v>0</v>
      </c>
      <c r="H115" s="396">
        <v>0</v>
      </c>
      <c r="I115" s="396">
        <v>0</v>
      </c>
      <c r="J115" s="396">
        <v>0</v>
      </c>
      <c r="K115" s="396">
        <v>0</v>
      </c>
      <c r="L115" s="396">
        <v>0</v>
      </c>
      <c r="M115" s="396">
        <v>0</v>
      </c>
      <c r="N115" s="396">
        <v>0</v>
      </c>
      <c r="O115" s="396">
        <v>0</v>
      </c>
      <c r="P115" s="396">
        <f t="shared" si="35"/>
        <v>0</v>
      </c>
    </row>
    <row r="116" spans="1:16">
      <c r="B116" t="s">
        <v>550</v>
      </c>
      <c r="D116" s="396">
        <v>500</v>
      </c>
      <c r="E116" s="396">
        <v>500</v>
      </c>
      <c r="F116" s="396">
        <v>500</v>
      </c>
      <c r="G116" s="396">
        <v>500</v>
      </c>
      <c r="H116" s="396">
        <v>500</v>
      </c>
      <c r="I116" s="396">
        <v>500</v>
      </c>
      <c r="J116" s="396">
        <v>500</v>
      </c>
      <c r="K116" s="396">
        <v>500</v>
      </c>
      <c r="L116" s="396">
        <v>500</v>
      </c>
      <c r="M116" s="396">
        <v>500</v>
      </c>
      <c r="N116" s="396">
        <v>1000</v>
      </c>
      <c r="O116" s="396">
        <v>2000</v>
      </c>
      <c r="P116" s="396">
        <f t="shared" si="35"/>
        <v>8000</v>
      </c>
    </row>
    <row r="117" spans="1:16">
      <c r="B117" t="s">
        <v>551</v>
      </c>
      <c r="D117" s="396">
        <v>500</v>
      </c>
      <c r="E117" s="396">
        <v>500</v>
      </c>
      <c r="F117" s="396">
        <v>500</v>
      </c>
      <c r="G117" s="396">
        <v>500</v>
      </c>
      <c r="H117" s="396">
        <v>500</v>
      </c>
      <c r="I117" s="396">
        <v>500</v>
      </c>
      <c r="J117" s="396">
        <v>500</v>
      </c>
      <c r="K117" s="396">
        <v>500</v>
      </c>
      <c r="L117" s="396">
        <v>500</v>
      </c>
      <c r="M117" s="396">
        <v>500</v>
      </c>
      <c r="N117" s="396">
        <v>1000</v>
      </c>
      <c r="O117" s="396">
        <v>2000</v>
      </c>
      <c r="P117" s="396">
        <f t="shared" si="35"/>
        <v>8000</v>
      </c>
    </row>
    <row r="118" spans="1:16">
      <c r="B118" t="s">
        <v>556</v>
      </c>
      <c r="D118" s="396">
        <v>9000</v>
      </c>
      <c r="E118" s="396">
        <v>9000</v>
      </c>
      <c r="F118" s="396">
        <v>9000</v>
      </c>
      <c r="G118" s="396">
        <v>9000</v>
      </c>
      <c r="H118" s="396">
        <v>9000</v>
      </c>
      <c r="I118" s="396">
        <v>9000</v>
      </c>
      <c r="J118" s="396">
        <v>9000</v>
      </c>
      <c r="K118" s="396">
        <v>9000</v>
      </c>
      <c r="L118" s="396">
        <v>9000</v>
      </c>
      <c r="M118" s="396">
        <v>9000</v>
      </c>
      <c r="N118" s="396">
        <v>18000</v>
      </c>
      <c r="O118" s="396">
        <v>36000</v>
      </c>
      <c r="P118" s="396">
        <f t="shared" si="35"/>
        <v>144000</v>
      </c>
    </row>
    <row r="119" spans="1:16">
      <c r="B119" t="s">
        <v>558</v>
      </c>
      <c r="D119" s="396">
        <v>15000</v>
      </c>
      <c r="E119" s="396">
        <v>15000</v>
      </c>
      <c r="F119" s="396">
        <v>15000</v>
      </c>
      <c r="G119" s="396">
        <v>15000</v>
      </c>
      <c r="H119" s="396">
        <v>15000</v>
      </c>
      <c r="I119" s="396">
        <v>15000</v>
      </c>
      <c r="J119" s="396">
        <v>15000</v>
      </c>
      <c r="K119" s="396">
        <v>15000</v>
      </c>
      <c r="L119" s="396">
        <v>14698.951999999999</v>
      </c>
      <c r="M119" s="396">
        <v>15000</v>
      </c>
      <c r="N119" s="396">
        <v>30000</v>
      </c>
      <c r="O119" s="396">
        <v>60000</v>
      </c>
      <c r="P119" s="396">
        <f t="shared" si="35"/>
        <v>239698.95199999999</v>
      </c>
    </row>
    <row r="120" spans="1:16">
      <c r="B120" t="s">
        <v>559</v>
      </c>
      <c r="D120" s="396">
        <v>33512.194000000003</v>
      </c>
      <c r="E120" s="396">
        <v>30557.243999999999</v>
      </c>
      <c r="F120" s="396">
        <v>44433.48</v>
      </c>
      <c r="G120" s="396">
        <v>22250.396000000001</v>
      </c>
      <c r="H120" s="396">
        <v>15225.32</v>
      </c>
      <c r="I120" s="396">
        <v>1141.6959999999999</v>
      </c>
      <c r="J120" s="396">
        <v>4214.0200000000004</v>
      </c>
      <c r="K120" s="396">
        <v>80.813000000000002</v>
      </c>
      <c r="L120" s="396">
        <v>0</v>
      </c>
      <c r="M120" s="396">
        <v>5772.9440000000004</v>
      </c>
      <c r="N120" s="396">
        <v>213533.557</v>
      </c>
      <c r="O120" s="396">
        <v>436882.13900000002</v>
      </c>
      <c r="P120" s="396">
        <f t="shared" si="35"/>
        <v>807603.80300000007</v>
      </c>
    </row>
    <row r="121" spans="1:16">
      <c r="B121" t="s">
        <v>561</v>
      </c>
      <c r="D121" s="396">
        <f>SUM(D109:D120)</f>
        <v>58512.194000000003</v>
      </c>
      <c r="E121" s="396">
        <f t="shared" ref="E121:P121" si="36">SUM(E109:E120)</f>
        <v>55557.243999999999</v>
      </c>
      <c r="F121" s="396">
        <f t="shared" si="36"/>
        <v>69433.48000000001</v>
      </c>
      <c r="G121" s="396">
        <f t="shared" si="36"/>
        <v>47250.396000000001</v>
      </c>
      <c r="H121" s="396">
        <f t="shared" si="36"/>
        <v>40225.32</v>
      </c>
      <c r="I121" s="396">
        <f t="shared" si="36"/>
        <v>26141.696</v>
      </c>
      <c r="J121" s="396">
        <f t="shared" si="36"/>
        <v>29214.02</v>
      </c>
      <c r="K121" s="396">
        <f t="shared" si="36"/>
        <v>25080.812999999998</v>
      </c>
      <c r="L121" s="396">
        <f t="shared" si="36"/>
        <v>24698.951999999997</v>
      </c>
      <c r="M121" s="396">
        <f t="shared" si="36"/>
        <v>30772.944</v>
      </c>
      <c r="N121" s="396">
        <f t="shared" si="36"/>
        <v>263533.55700000003</v>
      </c>
      <c r="O121" s="396">
        <f t="shared" si="36"/>
        <v>536882.13899999997</v>
      </c>
      <c r="P121" s="396">
        <f t="shared" si="36"/>
        <v>1207302.7550000001</v>
      </c>
    </row>
    <row r="122" spans="1:16">
      <c r="A122" t="s">
        <v>504</v>
      </c>
      <c r="B122" t="s">
        <v>542</v>
      </c>
      <c r="D122" s="396">
        <v>0</v>
      </c>
      <c r="E122" s="396">
        <v>0</v>
      </c>
      <c r="F122" s="396">
        <v>0</v>
      </c>
      <c r="G122" s="396">
        <v>0</v>
      </c>
      <c r="H122" s="396">
        <v>0</v>
      </c>
      <c r="I122" s="396">
        <v>0</v>
      </c>
      <c r="J122" s="396">
        <v>0</v>
      </c>
      <c r="K122" s="396">
        <v>0</v>
      </c>
      <c r="L122" s="396">
        <v>0</v>
      </c>
      <c r="M122" s="396">
        <v>0</v>
      </c>
      <c r="N122" s="396">
        <v>0</v>
      </c>
      <c r="O122" s="396">
        <v>0</v>
      </c>
      <c r="P122" s="396">
        <f>SUM(D122:O122)</f>
        <v>0</v>
      </c>
    </row>
    <row r="123" spans="1:16">
      <c r="B123" t="s">
        <v>544</v>
      </c>
      <c r="D123" s="396">
        <v>0</v>
      </c>
      <c r="E123" s="396">
        <v>0</v>
      </c>
      <c r="F123" s="396">
        <v>0</v>
      </c>
      <c r="G123" s="396">
        <v>0</v>
      </c>
      <c r="H123" s="396">
        <v>0</v>
      </c>
      <c r="I123" s="396">
        <v>0</v>
      </c>
      <c r="J123" s="396">
        <v>0</v>
      </c>
      <c r="K123" s="396">
        <v>0</v>
      </c>
      <c r="L123" s="396">
        <v>0</v>
      </c>
      <c r="M123" s="396">
        <v>0</v>
      </c>
      <c r="N123" s="396">
        <v>0</v>
      </c>
      <c r="O123" s="396">
        <v>0</v>
      </c>
      <c r="P123" s="396">
        <f t="shared" ref="P123:P133" si="37">SUM(D123:O123)</f>
        <v>0</v>
      </c>
    </row>
    <row r="124" spans="1:16">
      <c r="B124" t="s">
        <v>545</v>
      </c>
      <c r="D124" s="396">
        <v>0</v>
      </c>
      <c r="E124" s="396">
        <v>0</v>
      </c>
      <c r="F124" s="396">
        <v>0</v>
      </c>
      <c r="G124" s="396">
        <v>0</v>
      </c>
      <c r="H124" s="396">
        <v>0</v>
      </c>
      <c r="I124" s="396">
        <v>0</v>
      </c>
      <c r="J124" s="396">
        <v>0</v>
      </c>
      <c r="K124" s="396">
        <v>0</v>
      </c>
      <c r="L124" s="396">
        <v>0</v>
      </c>
      <c r="M124" s="396">
        <v>0</v>
      </c>
      <c r="N124" s="396">
        <v>0</v>
      </c>
      <c r="O124" s="396">
        <v>0</v>
      </c>
      <c r="P124" s="396">
        <f t="shared" si="37"/>
        <v>0</v>
      </c>
    </row>
    <row r="125" spans="1:16">
      <c r="B125" t="s">
        <v>546</v>
      </c>
      <c r="D125" s="396">
        <v>0</v>
      </c>
      <c r="E125" s="396">
        <v>0</v>
      </c>
      <c r="F125" s="396">
        <v>0</v>
      </c>
      <c r="G125" s="396">
        <v>0</v>
      </c>
      <c r="H125" s="396">
        <v>0</v>
      </c>
      <c r="I125" s="396">
        <v>0</v>
      </c>
      <c r="J125" s="396">
        <v>0</v>
      </c>
      <c r="K125" s="396">
        <v>0</v>
      </c>
      <c r="L125" s="396">
        <v>0</v>
      </c>
      <c r="M125" s="396">
        <v>0</v>
      </c>
      <c r="N125" s="396">
        <v>0</v>
      </c>
      <c r="O125" s="396">
        <v>0</v>
      </c>
      <c r="P125" s="396">
        <f t="shared" si="37"/>
        <v>0</v>
      </c>
    </row>
    <row r="126" spans="1:16">
      <c r="B126" t="s">
        <v>571</v>
      </c>
      <c r="D126" s="396"/>
      <c r="E126" s="396"/>
      <c r="F126" s="396"/>
      <c r="G126" s="396"/>
      <c r="H126" s="396"/>
      <c r="I126" s="396"/>
      <c r="J126" s="396"/>
      <c r="K126" s="396"/>
      <c r="L126" s="396"/>
      <c r="M126" s="396"/>
      <c r="N126" s="396">
        <v>0</v>
      </c>
      <c r="O126" s="396">
        <v>0</v>
      </c>
      <c r="P126" s="396">
        <f t="shared" si="37"/>
        <v>0</v>
      </c>
    </row>
    <row r="127" spans="1:16">
      <c r="B127" t="s">
        <v>548</v>
      </c>
      <c r="D127" s="396">
        <v>0</v>
      </c>
      <c r="E127" s="396">
        <v>0</v>
      </c>
      <c r="F127" s="396">
        <v>0</v>
      </c>
      <c r="G127" s="396">
        <v>0</v>
      </c>
      <c r="H127" s="396">
        <v>0</v>
      </c>
      <c r="I127" s="396">
        <v>0</v>
      </c>
      <c r="J127" s="396">
        <v>0</v>
      </c>
      <c r="K127" s="396">
        <v>0</v>
      </c>
      <c r="L127" s="396">
        <v>0</v>
      </c>
      <c r="M127" s="396">
        <v>0</v>
      </c>
      <c r="N127" s="396">
        <v>0</v>
      </c>
      <c r="O127" s="396">
        <v>0</v>
      </c>
      <c r="P127" s="396">
        <f t="shared" si="37"/>
        <v>0</v>
      </c>
    </row>
    <row r="128" spans="1:16">
      <c r="B128" t="s">
        <v>549</v>
      </c>
      <c r="D128" s="396">
        <v>0</v>
      </c>
      <c r="E128" s="396">
        <v>0</v>
      </c>
      <c r="F128" s="396">
        <v>0</v>
      </c>
      <c r="G128" s="396">
        <v>0</v>
      </c>
      <c r="H128" s="396">
        <v>0</v>
      </c>
      <c r="I128" s="396">
        <v>0</v>
      </c>
      <c r="J128" s="396">
        <v>0</v>
      </c>
      <c r="K128" s="396">
        <v>0</v>
      </c>
      <c r="L128" s="396">
        <v>0</v>
      </c>
      <c r="M128" s="396">
        <v>0</v>
      </c>
      <c r="N128" s="396">
        <v>0</v>
      </c>
      <c r="O128" s="396">
        <v>0</v>
      </c>
      <c r="P128" s="396">
        <f t="shared" si="37"/>
        <v>0</v>
      </c>
    </row>
    <row r="129" spans="1:16">
      <c r="B129" t="s">
        <v>550</v>
      </c>
      <c r="D129" s="396">
        <v>20000</v>
      </c>
      <c r="E129" s="396">
        <v>20000</v>
      </c>
      <c r="F129" s="396">
        <v>20000</v>
      </c>
      <c r="G129" s="396">
        <v>20000</v>
      </c>
      <c r="H129" s="396">
        <v>20000</v>
      </c>
      <c r="I129" s="396">
        <v>20000</v>
      </c>
      <c r="J129" s="396">
        <v>20000</v>
      </c>
      <c r="K129" s="396">
        <v>20000</v>
      </c>
      <c r="L129" s="396">
        <v>10000</v>
      </c>
      <c r="M129" s="396">
        <v>30000</v>
      </c>
      <c r="N129" s="396">
        <v>20000</v>
      </c>
      <c r="O129" s="396">
        <v>10000</v>
      </c>
      <c r="P129" s="396">
        <f t="shared" si="37"/>
        <v>230000</v>
      </c>
    </row>
    <row r="130" spans="1:16">
      <c r="B130" t="s">
        <v>551</v>
      </c>
      <c r="D130" s="396">
        <v>30000</v>
      </c>
      <c r="E130" s="396">
        <v>30000</v>
      </c>
      <c r="F130" s="396">
        <v>30000</v>
      </c>
      <c r="G130" s="396">
        <v>30000</v>
      </c>
      <c r="H130" s="396">
        <v>30000</v>
      </c>
      <c r="I130" s="396">
        <v>28688.616000000002</v>
      </c>
      <c r="J130" s="396">
        <v>15356.308999999999</v>
      </c>
      <c r="K130" s="396">
        <v>16912.334999999999</v>
      </c>
      <c r="L130" s="396">
        <v>1737.692</v>
      </c>
      <c r="M130" s="396">
        <v>42708.305999999997</v>
      </c>
      <c r="N130" s="396">
        <v>30000</v>
      </c>
      <c r="O130" s="396">
        <v>15000</v>
      </c>
      <c r="P130" s="396">
        <f t="shared" si="37"/>
        <v>300403.25800000003</v>
      </c>
    </row>
    <row r="131" spans="1:16">
      <c r="B131" t="s">
        <v>556</v>
      </c>
      <c r="D131" s="396">
        <v>50000</v>
      </c>
      <c r="E131" s="396">
        <v>50000</v>
      </c>
      <c r="F131" s="396">
        <v>50000</v>
      </c>
      <c r="G131" s="396">
        <v>45350.682999999997</v>
      </c>
      <c r="H131" s="396">
        <v>24295.216</v>
      </c>
      <c r="I131" s="396">
        <v>3785.57</v>
      </c>
      <c r="J131" s="396">
        <v>3243.3710000000001</v>
      </c>
      <c r="K131" s="396">
        <v>0</v>
      </c>
      <c r="L131" s="396">
        <v>0</v>
      </c>
      <c r="M131" s="396">
        <v>34296.074000000001</v>
      </c>
      <c r="N131" s="396">
        <v>41014.214999999997</v>
      </c>
      <c r="O131" s="396">
        <v>25000</v>
      </c>
      <c r="P131" s="396">
        <f t="shared" si="37"/>
        <v>326985.12899999996</v>
      </c>
    </row>
    <row r="132" spans="1:16">
      <c r="B132" t="s">
        <v>558</v>
      </c>
      <c r="D132" s="396">
        <v>41223.597999999998</v>
      </c>
      <c r="E132" s="396">
        <v>42095.962</v>
      </c>
      <c r="F132" s="396">
        <v>33435.254000000001</v>
      </c>
      <c r="G132" s="396">
        <v>2448.4720000000002</v>
      </c>
      <c r="H132" s="396">
        <v>0</v>
      </c>
      <c r="I132" s="396">
        <v>0</v>
      </c>
      <c r="J132" s="396">
        <v>0</v>
      </c>
      <c r="K132" s="396">
        <v>0</v>
      </c>
      <c r="L132" s="396">
        <v>0</v>
      </c>
      <c r="M132" s="396">
        <v>0</v>
      </c>
      <c r="N132" s="396">
        <v>4158.9920000000002</v>
      </c>
      <c r="O132" s="396">
        <v>12449.625</v>
      </c>
      <c r="P132" s="396">
        <f t="shared" si="37"/>
        <v>135811.90299999999</v>
      </c>
    </row>
    <row r="133" spans="1:16">
      <c r="B133" t="s">
        <v>562</v>
      </c>
      <c r="D133" s="396">
        <f>SUM(D122:D132)</f>
        <v>141223.598</v>
      </c>
      <c r="E133" s="396">
        <f t="shared" ref="E133:O133" si="38">SUM(E122:E132)</f>
        <v>142095.962</v>
      </c>
      <c r="F133" s="396">
        <f t="shared" si="38"/>
        <v>133435.25400000002</v>
      </c>
      <c r="G133" s="396">
        <f t="shared" si="38"/>
        <v>97799.154999999984</v>
      </c>
      <c r="H133" s="396">
        <f t="shared" si="38"/>
        <v>74295.216</v>
      </c>
      <c r="I133" s="396">
        <f t="shared" si="38"/>
        <v>52474.186000000002</v>
      </c>
      <c r="J133" s="396">
        <f t="shared" si="38"/>
        <v>38599.68</v>
      </c>
      <c r="K133" s="396">
        <f t="shared" si="38"/>
        <v>36912.334999999999</v>
      </c>
      <c r="L133" s="396">
        <f t="shared" si="38"/>
        <v>11737.691999999999</v>
      </c>
      <c r="M133" s="396">
        <f t="shared" si="38"/>
        <v>107004.38</v>
      </c>
      <c r="N133" s="396">
        <f t="shared" si="38"/>
        <v>95173.206999999995</v>
      </c>
      <c r="O133" s="396">
        <f t="shared" si="38"/>
        <v>62449.625</v>
      </c>
      <c r="P133" s="396">
        <f t="shared" si="37"/>
        <v>993200.29</v>
      </c>
    </row>
    <row r="134" spans="1:16">
      <c r="A134" t="s">
        <v>505</v>
      </c>
      <c r="B134" t="s">
        <v>543</v>
      </c>
      <c r="D134" s="396">
        <v>0</v>
      </c>
      <c r="E134" s="396">
        <v>0</v>
      </c>
      <c r="F134" s="396">
        <v>0</v>
      </c>
      <c r="G134" s="396">
        <v>0</v>
      </c>
      <c r="H134" s="396">
        <v>0</v>
      </c>
      <c r="I134" s="396">
        <v>0</v>
      </c>
      <c r="J134" s="396">
        <v>0</v>
      </c>
      <c r="K134" s="396">
        <v>0</v>
      </c>
      <c r="L134" s="396">
        <v>0</v>
      </c>
      <c r="M134" s="396">
        <v>0</v>
      </c>
      <c r="N134" s="396">
        <v>0</v>
      </c>
      <c r="O134" s="396">
        <v>0</v>
      </c>
      <c r="P134" s="396">
        <f>SUM(D134:O134)</f>
        <v>0</v>
      </c>
    </row>
    <row r="135" spans="1:16">
      <c r="B135" t="s">
        <v>542</v>
      </c>
      <c r="D135" s="396">
        <v>0</v>
      </c>
      <c r="E135" s="396">
        <v>0</v>
      </c>
      <c r="F135" s="396">
        <v>0</v>
      </c>
      <c r="G135" s="396">
        <v>0</v>
      </c>
      <c r="H135" s="396">
        <v>0</v>
      </c>
      <c r="I135" s="396">
        <v>0</v>
      </c>
      <c r="J135" s="396">
        <v>0</v>
      </c>
      <c r="K135" s="396">
        <v>0</v>
      </c>
      <c r="L135" s="396">
        <v>0</v>
      </c>
      <c r="M135" s="396">
        <v>0</v>
      </c>
      <c r="N135" s="396">
        <v>0</v>
      </c>
      <c r="O135" s="396">
        <v>0</v>
      </c>
      <c r="P135" s="396">
        <f t="shared" ref="P135:P143" si="39">SUM(D135:O135)</f>
        <v>0</v>
      </c>
    </row>
    <row r="136" spans="1:16">
      <c r="B136" t="s">
        <v>544</v>
      </c>
      <c r="D136" s="396">
        <v>0</v>
      </c>
      <c r="E136" s="396">
        <v>0</v>
      </c>
      <c r="F136" s="396">
        <v>0</v>
      </c>
      <c r="G136" s="396">
        <v>0</v>
      </c>
      <c r="H136" s="396">
        <v>0</v>
      </c>
      <c r="I136" s="396">
        <v>0</v>
      </c>
      <c r="J136" s="396">
        <v>0</v>
      </c>
      <c r="K136" s="396">
        <v>0</v>
      </c>
      <c r="L136" s="396">
        <v>0</v>
      </c>
      <c r="M136" s="396">
        <v>0</v>
      </c>
      <c r="N136" s="396">
        <v>0</v>
      </c>
      <c r="O136" s="396">
        <v>0</v>
      </c>
      <c r="P136" s="396">
        <f t="shared" si="39"/>
        <v>0</v>
      </c>
    </row>
    <row r="137" spans="1:16">
      <c r="B137" t="s">
        <v>545</v>
      </c>
      <c r="D137" s="396">
        <v>0</v>
      </c>
      <c r="E137" s="396">
        <v>0</v>
      </c>
      <c r="F137" s="396">
        <v>0</v>
      </c>
      <c r="G137" s="396">
        <v>0</v>
      </c>
      <c r="H137" s="396">
        <v>0</v>
      </c>
      <c r="I137" s="396">
        <v>0</v>
      </c>
      <c r="J137" s="396">
        <v>0</v>
      </c>
      <c r="K137" s="396">
        <v>0</v>
      </c>
      <c r="L137" s="396">
        <v>0</v>
      </c>
      <c r="M137" s="396">
        <v>0</v>
      </c>
      <c r="N137" s="396">
        <v>0</v>
      </c>
      <c r="O137" s="396">
        <v>0</v>
      </c>
      <c r="P137" s="396">
        <f t="shared" si="39"/>
        <v>0</v>
      </c>
    </row>
    <row r="138" spans="1:16">
      <c r="B138" t="s">
        <v>549</v>
      </c>
      <c r="D138" s="396">
        <v>0</v>
      </c>
      <c r="E138" s="396">
        <v>0</v>
      </c>
      <c r="F138" s="396">
        <v>0</v>
      </c>
      <c r="G138" s="396">
        <v>0</v>
      </c>
      <c r="H138" s="396">
        <v>0</v>
      </c>
      <c r="I138" s="396">
        <v>0</v>
      </c>
      <c r="J138" s="396">
        <v>0</v>
      </c>
      <c r="K138" s="396">
        <v>0</v>
      </c>
      <c r="L138" s="396">
        <v>0</v>
      </c>
      <c r="M138" s="396">
        <v>0</v>
      </c>
      <c r="N138" s="396">
        <v>0</v>
      </c>
      <c r="O138" s="396">
        <v>0</v>
      </c>
      <c r="P138" s="396">
        <f t="shared" si="39"/>
        <v>0</v>
      </c>
    </row>
    <row r="139" spans="1:16">
      <c r="B139" t="s">
        <v>550</v>
      </c>
      <c r="D139" s="396">
        <v>675586</v>
      </c>
      <c r="E139" s="396">
        <v>676645</v>
      </c>
      <c r="F139" s="396">
        <v>676872</v>
      </c>
      <c r="G139" s="396">
        <v>680115</v>
      </c>
      <c r="H139" s="396">
        <v>737212</v>
      </c>
      <c r="I139" s="396">
        <v>729149</v>
      </c>
      <c r="J139" s="396">
        <v>682316</v>
      </c>
      <c r="K139" s="396">
        <v>660970</v>
      </c>
      <c r="L139" s="396">
        <v>651097</v>
      </c>
      <c r="M139" s="396">
        <v>725132</v>
      </c>
      <c r="N139" s="396">
        <v>730503</v>
      </c>
      <c r="O139" s="396">
        <v>679873</v>
      </c>
      <c r="P139" s="396">
        <f t="shared" si="39"/>
        <v>8305470</v>
      </c>
    </row>
    <row r="140" spans="1:16">
      <c r="B140" t="s">
        <v>551</v>
      </c>
      <c r="D140" s="396">
        <v>789204</v>
      </c>
      <c r="E140" s="396">
        <v>857635</v>
      </c>
      <c r="F140" s="396">
        <v>821345</v>
      </c>
      <c r="G140" s="396">
        <v>814880</v>
      </c>
      <c r="H140" s="396">
        <v>705203</v>
      </c>
      <c r="I140" s="396">
        <v>617644</v>
      </c>
      <c r="J140" s="396">
        <v>540738</v>
      </c>
      <c r="K140" s="396">
        <v>541994</v>
      </c>
      <c r="L140" s="396">
        <v>516837</v>
      </c>
      <c r="M140" s="396">
        <v>586908</v>
      </c>
      <c r="N140" s="396">
        <v>844642</v>
      </c>
      <c r="O140" s="396">
        <v>747410</v>
      </c>
      <c r="P140" s="396">
        <f t="shared" si="39"/>
        <v>8384440</v>
      </c>
    </row>
    <row r="141" spans="1:16">
      <c r="B141" t="s">
        <v>556</v>
      </c>
      <c r="D141" s="396">
        <v>1493745</v>
      </c>
      <c r="E141" s="396">
        <v>1724226</v>
      </c>
      <c r="F141" s="396">
        <v>1861045</v>
      </c>
      <c r="G141" s="396">
        <v>1620552</v>
      </c>
      <c r="H141" s="396">
        <v>1169089</v>
      </c>
      <c r="I141" s="396">
        <v>796207</v>
      </c>
      <c r="J141" s="396">
        <v>729723</v>
      </c>
      <c r="K141" s="396">
        <v>784513</v>
      </c>
      <c r="L141" s="396">
        <v>708883</v>
      </c>
      <c r="M141" s="396">
        <v>772666</v>
      </c>
      <c r="N141" s="396">
        <v>1157091</v>
      </c>
      <c r="O141" s="396">
        <v>1275903</v>
      </c>
      <c r="P141" s="396">
        <f t="shared" si="39"/>
        <v>14093643</v>
      </c>
    </row>
    <row r="142" spans="1:16">
      <c r="B142" t="s">
        <v>558</v>
      </c>
      <c r="D142" s="396">
        <v>307320</v>
      </c>
      <c r="E142" s="396">
        <v>336828</v>
      </c>
      <c r="F142" s="396">
        <v>440471</v>
      </c>
      <c r="G142" s="396">
        <v>235580</v>
      </c>
      <c r="H142" s="396">
        <v>200000</v>
      </c>
      <c r="I142" s="396">
        <v>200000</v>
      </c>
      <c r="J142" s="396">
        <v>200000</v>
      </c>
      <c r="K142" s="396">
        <v>200000</v>
      </c>
      <c r="L142" s="396">
        <v>200000</v>
      </c>
      <c r="M142" s="396">
        <v>200000</v>
      </c>
      <c r="N142" s="396">
        <v>203840</v>
      </c>
      <c r="O142" s="396">
        <v>214974</v>
      </c>
      <c r="P142" s="396">
        <f t="shared" si="39"/>
        <v>2939013</v>
      </c>
    </row>
    <row r="143" spans="1:16">
      <c r="B143" t="s">
        <v>559</v>
      </c>
      <c r="D143" s="396">
        <v>279708</v>
      </c>
      <c r="E143" s="396">
        <v>322615</v>
      </c>
      <c r="F143" s="396">
        <v>255701</v>
      </c>
      <c r="G143" s="396">
        <v>343724</v>
      </c>
      <c r="H143" s="396">
        <v>298636</v>
      </c>
      <c r="I143" s="396">
        <v>256480</v>
      </c>
      <c r="J143" s="396">
        <v>267901</v>
      </c>
      <c r="K143" s="396">
        <v>237026</v>
      </c>
      <c r="L143" s="396">
        <v>248772</v>
      </c>
      <c r="M143" s="396">
        <v>281364</v>
      </c>
      <c r="N143" s="396">
        <v>274559</v>
      </c>
      <c r="O143" s="396">
        <v>289231</v>
      </c>
      <c r="P143" s="396">
        <f t="shared" si="39"/>
        <v>3355717</v>
      </c>
    </row>
    <row r="144" spans="1:16">
      <c r="B144" t="s">
        <v>563</v>
      </c>
      <c r="D144" s="396">
        <f>SUM(D134:D143)</f>
        <v>3545563</v>
      </c>
      <c r="E144" s="396">
        <f t="shared" ref="E144:P144" si="40">SUM(E134:E143)</f>
        <v>3917949</v>
      </c>
      <c r="F144" s="396">
        <f t="shared" si="40"/>
        <v>4055434</v>
      </c>
      <c r="G144" s="396">
        <f t="shared" si="40"/>
        <v>3694851</v>
      </c>
      <c r="H144" s="396">
        <f t="shared" si="40"/>
        <v>3110140</v>
      </c>
      <c r="I144" s="396">
        <f t="shared" si="40"/>
        <v>2599480</v>
      </c>
      <c r="J144" s="396">
        <f t="shared" si="40"/>
        <v>2420678</v>
      </c>
      <c r="K144" s="396">
        <f t="shared" si="40"/>
        <v>2424503</v>
      </c>
      <c r="L144" s="396">
        <f t="shared" si="40"/>
        <v>2325589</v>
      </c>
      <c r="M144" s="396">
        <f t="shared" si="40"/>
        <v>2566070</v>
      </c>
      <c r="N144" s="396">
        <f t="shared" si="40"/>
        <v>3210635</v>
      </c>
      <c r="O144" s="396">
        <f t="shared" si="40"/>
        <v>3207391</v>
      </c>
      <c r="P144" s="396">
        <f t="shared" si="40"/>
        <v>37078283</v>
      </c>
    </row>
    <row r="145" spans="1:17">
      <c r="A145" t="s">
        <v>506</v>
      </c>
      <c r="B145" t="s">
        <v>542</v>
      </c>
      <c r="D145" s="396">
        <v>0</v>
      </c>
      <c r="E145" s="396">
        <v>0</v>
      </c>
      <c r="F145" s="396">
        <v>0</v>
      </c>
      <c r="G145" s="396">
        <v>0</v>
      </c>
      <c r="H145" s="396">
        <v>0</v>
      </c>
      <c r="I145" s="396">
        <v>0</v>
      </c>
      <c r="J145" s="396">
        <v>0</v>
      </c>
      <c r="K145" s="396">
        <v>0</v>
      </c>
      <c r="L145" s="396">
        <v>0</v>
      </c>
      <c r="M145" s="396">
        <v>0</v>
      </c>
      <c r="N145" s="396">
        <v>0</v>
      </c>
      <c r="O145" s="396">
        <v>0</v>
      </c>
      <c r="P145" s="396">
        <v>0</v>
      </c>
    </row>
    <row r="146" spans="1:17">
      <c r="B146" t="s">
        <v>550</v>
      </c>
      <c r="D146" s="396">
        <v>379164</v>
      </c>
      <c r="E146" s="396">
        <v>176712</v>
      </c>
      <c r="F146" s="396">
        <v>583729</v>
      </c>
      <c r="G146" s="396">
        <v>814272</v>
      </c>
      <c r="H146" s="396">
        <v>68975</v>
      </c>
      <c r="I146" s="396">
        <v>121440</v>
      </c>
      <c r="J146" s="396">
        <v>369851</v>
      </c>
      <c r="K146" s="396">
        <v>649887</v>
      </c>
      <c r="L146" s="396">
        <v>1405649</v>
      </c>
      <c r="M146" s="396">
        <v>813959</v>
      </c>
      <c r="N146" s="396">
        <v>1435027</v>
      </c>
      <c r="O146" s="396">
        <v>1088514</v>
      </c>
      <c r="P146" s="396">
        <f>SUM(D146:O146)</f>
        <v>7907179</v>
      </c>
    </row>
    <row r="147" spans="1:17">
      <c r="B147" t="s">
        <v>564</v>
      </c>
      <c r="D147" s="396">
        <f>SUM(D145:D146)</f>
        <v>379164</v>
      </c>
      <c r="E147" s="396">
        <f t="shared" ref="E147:P147" si="41">SUM(E145:E146)</f>
        <v>176712</v>
      </c>
      <c r="F147" s="396">
        <f t="shared" si="41"/>
        <v>583729</v>
      </c>
      <c r="G147" s="396">
        <f t="shared" si="41"/>
        <v>814272</v>
      </c>
      <c r="H147" s="396">
        <f t="shared" si="41"/>
        <v>68975</v>
      </c>
      <c r="I147" s="396">
        <f t="shared" si="41"/>
        <v>121440</v>
      </c>
      <c r="J147" s="396">
        <f t="shared" si="41"/>
        <v>369851</v>
      </c>
      <c r="K147" s="396">
        <f t="shared" si="41"/>
        <v>649887</v>
      </c>
      <c r="L147" s="396">
        <f t="shared" si="41"/>
        <v>1405649</v>
      </c>
      <c r="M147" s="396">
        <f t="shared" si="41"/>
        <v>813959</v>
      </c>
      <c r="N147" s="396">
        <f t="shared" si="41"/>
        <v>1435027</v>
      </c>
      <c r="O147" s="396">
        <f t="shared" si="41"/>
        <v>1088514</v>
      </c>
      <c r="P147" s="396">
        <f t="shared" si="41"/>
        <v>7907179</v>
      </c>
      <c r="Q147" s="396"/>
    </row>
    <row r="148" spans="1:17">
      <c r="A148" t="s">
        <v>507</v>
      </c>
      <c r="B148" t="s">
        <v>543</v>
      </c>
      <c r="D148" s="396">
        <v>0</v>
      </c>
      <c r="E148" s="396">
        <v>0</v>
      </c>
      <c r="F148" s="396">
        <v>0</v>
      </c>
      <c r="G148" s="396">
        <v>0</v>
      </c>
      <c r="H148" s="396">
        <v>0</v>
      </c>
      <c r="I148" s="396">
        <v>0</v>
      </c>
      <c r="J148" s="396">
        <v>0</v>
      </c>
      <c r="K148" s="396">
        <v>0</v>
      </c>
      <c r="L148" s="396">
        <v>0</v>
      </c>
      <c r="M148" s="396">
        <v>0</v>
      </c>
      <c r="N148" s="396">
        <v>0</v>
      </c>
      <c r="O148" s="396">
        <v>0</v>
      </c>
      <c r="P148" s="396">
        <f>SUM(D148:O148)</f>
        <v>0</v>
      </c>
    </row>
    <row r="149" spans="1:17">
      <c r="B149" t="s">
        <v>542</v>
      </c>
      <c r="D149" s="396">
        <v>0</v>
      </c>
      <c r="E149" s="396">
        <v>0</v>
      </c>
      <c r="F149" s="396">
        <v>0</v>
      </c>
      <c r="G149" s="396">
        <v>0</v>
      </c>
      <c r="H149" s="396">
        <v>0</v>
      </c>
      <c r="I149" s="396">
        <v>0</v>
      </c>
      <c r="J149" s="396">
        <v>0</v>
      </c>
      <c r="K149" s="396">
        <v>0</v>
      </c>
      <c r="L149" s="396">
        <v>0</v>
      </c>
      <c r="M149" s="396">
        <v>0</v>
      </c>
      <c r="N149" s="396">
        <v>0</v>
      </c>
      <c r="O149" s="396">
        <v>0</v>
      </c>
      <c r="P149" s="396">
        <f t="shared" ref="P149:P150" si="42">SUM(D149:O149)</f>
        <v>0</v>
      </c>
    </row>
    <row r="150" spans="1:17">
      <c r="B150" t="s">
        <v>550</v>
      </c>
      <c r="D150" s="396">
        <v>4907937</v>
      </c>
      <c r="E150" s="396">
        <v>4829560</v>
      </c>
      <c r="F150" s="396">
        <v>4089100</v>
      </c>
      <c r="G150" s="396">
        <v>4540506</v>
      </c>
      <c r="H150" s="396">
        <v>3983350</v>
      </c>
      <c r="I150" s="396">
        <v>3756335</v>
      </c>
      <c r="J150" s="396">
        <v>3510549</v>
      </c>
      <c r="K150" s="396">
        <v>3507047</v>
      </c>
      <c r="L150" s="396">
        <v>3514085</v>
      </c>
      <c r="M150" s="396">
        <v>3678027</v>
      </c>
      <c r="N150" s="396">
        <v>4170776</v>
      </c>
      <c r="O150" s="396">
        <v>4436580</v>
      </c>
      <c r="P150" s="396">
        <f t="shared" si="42"/>
        <v>48923852</v>
      </c>
    </row>
    <row r="151" spans="1:17">
      <c r="B151" t="s">
        <v>565</v>
      </c>
      <c r="D151" s="396">
        <f>SUM(D148:D150)</f>
        <v>4907937</v>
      </c>
      <c r="E151" s="396">
        <f t="shared" ref="E151:P151" si="43">SUM(E148:E150)</f>
        <v>4829560</v>
      </c>
      <c r="F151" s="396">
        <f t="shared" si="43"/>
        <v>4089100</v>
      </c>
      <c r="G151" s="396">
        <f t="shared" si="43"/>
        <v>4540506</v>
      </c>
      <c r="H151" s="396">
        <f t="shared" si="43"/>
        <v>3983350</v>
      </c>
      <c r="I151" s="396">
        <f t="shared" si="43"/>
        <v>3756335</v>
      </c>
      <c r="J151" s="396">
        <f t="shared" si="43"/>
        <v>3510549</v>
      </c>
      <c r="K151" s="396">
        <f t="shared" si="43"/>
        <v>3507047</v>
      </c>
      <c r="L151" s="396">
        <f t="shared" si="43"/>
        <v>3514085</v>
      </c>
      <c r="M151" s="396">
        <f t="shared" si="43"/>
        <v>3678027</v>
      </c>
      <c r="N151" s="396">
        <f t="shared" si="43"/>
        <v>4170776</v>
      </c>
      <c r="O151" s="396">
        <f t="shared" si="43"/>
        <v>4436580</v>
      </c>
      <c r="P151" s="396">
        <f t="shared" si="43"/>
        <v>48923852</v>
      </c>
    </row>
    <row r="152" spans="1:17">
      <c r="A152" t="s">
        <v>508</v>
      </c>
      <c r="B152" t="s">
        <v>542</v>
      </c>
      <c r="D152" s="396">
        <v>0</v>
      </c>
      <c r="E152" s="396">
        <v>0</v>
      </c>
      <c r="F152" s="396">
        <v>0</v>
      </c>
      <c r="G152" s="396">
        <v>0</v>
      </c>
      <c r="H152" s="396">
        <v>0</v>
      </c>
      <c r="I152" s="396">
        <v>0</v>
      </c>
      <c r="J152" s="396">
        <v>0</v>
      </c>
      <c r="K152" s="396">
        <v>0</v>
      </c>
      <c r="L152" s="396">
        <v>0</v>
      </c>
      <c r="M152" s="396">
        <v>0</v>
      </c>
      <c r="N152" s="396">
        <v>0</v>
      </c>
      <c r="O152" s="396">
        <v>0</v>
      </c>
      <c r="P152" s="396">
        <v>0</v>
      </c>
    </row>
    <row r="153" spans="1:17">
      <c r="B153" t="s">
        <v>566</v>
      </c>
      <c r="D153" s="396">
        <v>0</v>
      </c>
      <c r="E153" s="396">
        <v>0</v>
      </c>
      <c r="F153" s="396">
        <v>0</v>
      </c>
      <c r="G153" s="396">
        <v>0</v>
      </c>
      <c r="H153" s="396">
        <v>0</v>
      </c>
      <c r="I153" s="396">
        <v>0</v>
      </c>
      <c r="J153" s="396">
        <v>0</v>
      </c>
      <c r="K153" s="396">
        <v>0</v>
      </c>
      <c r="L153" s="396">
        <v>0</v>
      </c>
      <c r="M153" s="396">
        <v>0</v>
      </c>
      <c r="N153" s="396">
        <v>0</v>
      </c>
      <c r="O153" s="396">
        <v>0</v>
      </c>
      <c r="P153" s="396">
        <v>0</v>
      </c>
    </row>
    <row r="154" spans="1:17">
      <c r="B154" t="s">
        <v>567</v>
      </c>
      <c r="D154" s="396">
        <v>0</v>
      </c>
      <c r="E154" s="396">
        <v>0</v>
      </c>
      <c r="F154" s="396">
        <v>0</v>
      </c>
      <c r="G154" s="396">
        <v>0</v>
      </c>
      <c r="H154" s="396">
        <v>0</v>
      </c>
      <c r="I154" s="396">
        <v>0</v>
      </c>
      <c r="J154" s="396">
        <v>0</v>
      </c>
      <c r="K154" s="396">
        <v>0</v>
      </c>
      <c r="L154" s="396">
        <v>0</v>
      </c>
      <c r="M154" s="396">
        <v>0</v>
      </c>
      <c r="N154" s="396">
        <v>0</v>
      </c>
      <c r="O154" s="396">
        <v>0</v>
      </c>
      <c r="P154" s="396">
        <v>0</v>
      </c>
    </row>
    <row r="155" spans="1:17">
      <c r="A155" t="s">
        <v>509</v>
      </c>
      <c r="B155" t="s">
        <v>566</v>
      </c>
      <c r="D155" s="396">
        <v>0</v>
      </c>
      <c r="E155" s="396">
        <v>0</v>
      </c>
      <c r="F155" s="396">
        <v>0</v>
      </c>
      <c r="G155" s="396">
        <v>0</v>
      </c>
      <c r="H155" s="396">
        <v>0</v>
      </c>
      <c r="I155" s="396">
        <v>0</v>
      </c>
      <c r="J155" s="396">
        <v>0</v>
      </c>
      <c r="K155" s="396">
        <v>0</v>
      </c>
      <c r="L155" s="396">
        <v>0</v>
      </c>
      <c r="M155" s="396">
        <v>0</v>
      </c>
      <c r="N155" s="396">
        <v>0</v>
      </c>
      <c r="O155" s="396">
        <v>0</v>
      </c>
      <c r="P155" s="396">
        <v>0</v>
      </c>
    </row>
    <row r="156" spans="1:17">
      <c r="B156" t="s">
        <v>568</v>
      </c>
      <c r="D156" s="396">
        <v>0</v>
      </c>
      <c r="E156" s="396">
        <v>0</v>
      </c>
      <c r="F156" s="396">
        <v>0</v>
      </c>
      <c r="G156" s="396">
        <v>0</v>
      </c>
      <c r="H156" s="396">
        <v>0</v>
      </c>
      <c r="I156" s="396">
        <v>0</v>
      </c>
      <c r="J156" s="396">
        <v>0</v>
      </c>
      <c r="K156" s="396">
        <v>0</v>
      </c>
      <c r="L156" s="396">
        <v>0</v>
      </c>
      <c r="M156" s="396">
        <v>0</v>
      </c>
      <c r="N156" s="396">
        <v>0</v>
      </c>
      <c r="O156" s="396">
        <v>0</v>
      </c>
      <c r="P156" s="396">
        <v>0</v>
      </c>
    </row>
    <row r="157" spans="1:17">
      <c r="A157" t="s">
        <v>510</v>
      </c>
      <c r="B157" t="s">
        <v>542</v>
      </c>
      <c r="D157" s="396">
        <v>0</v>
      </c>
      <c r="E157" s="396">
        <v>0</v>
      </c>
      <c r="F157" s="396">
        <v>0</v>
      </c>
      <c r="G157" s="396">
        <v>0</v>
      </c>
      <c r="H157" s="396">
        <v>0</v>
      </c>
      <c r="I157" s="396">
        <v>0</v>
      </c>
      <c r="J157" s="396">
        <v>0</v>
      </c>
      <c r="K157" s="396">
        <v>0</v>
      </c>
      <c r="L157" s="396">
        <v>0</v>
      </c>
      <c r="M157" s="396">
        <v>0</v>
      </c>
      <c r="N157" s="396">
        <v>0</v>
      </c>
      <c r="O157" s="396">
        <v>0</v>
      </c>
      <c r="P157" s="396">
        <v>0</v>
      </c>
    </row>
    <row r="158" spans="1:17">
      <c r="B158" t="s">
        <v>569</v>
      </c>
      <c r="D158" s="396">
        <v>0</v>
      </c>
      <c r="E158" s="396">
        <v>0</v>
      </c>
      <c r="F158" s="396">
        <v>0</v>
      </c>
      <c r="G158" s="396">
        <v>0</v>
      </c>
      <c r="H158" s="396">
        <v>0</v>
      </c>
      <c r="I158" s="396">
        <v>0</v>
      </c>
      <c r="J158" s="396">
        <v>0</v>
      </c>
      <c r="K158" s="396">
        <v>0</v>
      </c>
      <c r="L158" s="396">
        <v>0</v>
      </c>
      <c r="M158" s="396">
        <v>0</v>
      </c>
      <c r="N158" s="396">
        <v>0</v>
      </c>
      <c r="O158" s="396">
        <v>0</v>
      </c>
      <c r="P158" s="396">
        <v>0</v>
      </c>
    </row>
    <row r="159" spans="1:17">
      <c r="A159" t="s">
        <v>417</v>
      </c>
      <c r="D159" s="396">
        <f>D56+D69+D81+D93+D107+D121+D133+D144+D147+D151</f>
        <v>38321289.74673</v>
      </c>
      <c r="E159" s="396">
        <f t="shared" ref="E159:P159" si="44">E56+E69+E81+E93+E107+E121+E133+E144+E147+E151</f>
        <v>39606694.817929998</v>
      </c>
      <c r="F159" s="396">
        <f t="shared" si="44"/>
        <v>41934492.601889998</v>
      </c>
      <c r="G159" s="396">
        <f t="shared" si="44"/>
        <v>26555667.596610006</v>
      </c>
      <c r="H159" s="396">
        <f t="shared" si="44"/>
        <v>17274676.544880003</v>
      </c>
      <c r="I159" s="396">
        <f t="shared" si="44"/>
        <v>11960996.60602</v>
      </c>
      <c r="J159" s="396">
        <f t="shared" si="44"/>
        <v>10919037.410700001</v>
      </c>
      <c r="K159" s="396">
        <f t="shared" si="44"/>
        <v>10627665.57264</v>
      </c>
      <c r="L159" s="396">
        <f t="shared" si="44"/>
        <v>11796795.801259998</v>
      </c>
      <c r="M159" s="396">
        <f t="shared" si="44"/>
        <v>18609988.899590001</v>
      </c>
      <c r="N159" s="396">
        <f t="shared" si="44"/>
        <v>29007477.461279999</v>
      </c>
      <c r="O159" s="396">
        <f t="shared" si="44"/>
        <v>37580331.815819994</v>
      </c>
      <c r="P159" s="396">
        <f t="shared" si="44"/>
        <v>294195114.87535</v>
      </c>
    </row>
    <row r="160" spans="1:17">
      <c r="D160" s="396"/>
      <c r="E160" s="396"/>
      <c r="F160" s="396"/>
      <c r="G160" s="396"/>
      <c r="H160" s="396"/>
      <c r="I160" s="396"/>
      <c r="J160" s="396"/>
      <c r="K160" s="396"/>
      <c r="L160" s="396"/>
      <c r="M160" s="396"/>
      <c r="N160" s="396"/>
      <c r="O160" s="396"/>
      <c r="P160" s="396"/>
    </row>
    <row r="161" spans="1:16">
      <c r="A161" t="s">
        <v>628</v>
      </c>
      <c r="D161">
        <v>201801</v>
      </c>
      <c r="E161">
        <v>201802</v>
      </c>
      <c r="F161">
        <v>201803</v>
      </c>
      <c r="G161">
        <v>201804</v>
      </c>
      <c r="H161">
        <v>201805</v>
      </c>
      <c r="I161">
        <v>201806</v>
      </c>
      <c r="J161">
        <v>201807</v>
      </c>
      <c r="K161">
        <v>201808</v>
      </c>
      <c r="L161">
        <v>201809</v>
      </c>
      <c r="M161">
        <v>201810</v>
      </c>
      <c r="N161">
        <v>201811</v>
      </c>
      <c r="O161">
        <v>201812</v>
      </c>
      <c r="P161" t="s">
        <v>418</v>
      </c>
    </row>
    <row r="162" spans="1:16">
      <c r="C162" t="s">
        <v>573</v>
      </c>
      <c r="D162" s="396">
        <f t="shared" ref="D162:P162" si="45">D56+D69</f>
        <v>21191020.06749</v>
      </c>
      <c r="E162" s="396">
        <f t="shared" si="45"/>
        <v>21932387.537939999</v>
      </c>
      <c r="F162" s="396">
        <f t="shared" si="45"/>
        <v>23941573.434899997</v>
      </c>
      <c r="G162" s="396">
        <f t="shared" si="45"/>
        <v>11880514.80683</v>
      </c>
      <c r="H162" s="396">
        <f t="shared" si="45"/>
        <v>6587646.7046499997</v>
      </c>
      <c r="I162" s="396">
        <f t="shared" si="45"/>
        <v>3080579.9127999996</v>
      </c>
      <c r="J162" s="396">
        <f t="shared" si="45"/>
        <v>2535595.96147</v>
      </c>
      <c r="K162" s="396">
        <f t="shared" si="45"/>
        <v>2142554.12733</v>
      </c>
      <c r="L162" s="396">
        <f t="shared" si="45"/>
        <v>2443888.1403299998</v>
      </c>
      <c r="M162" s="396">
        <f t="shared" si="45"/>
        <v>7606580.9282399993</v>
      </c>
      <c r="N162" s="396">
        <f t="shared" si="45"/>
        <v>13945184.24609</v>
      </c>
      <c r="O162" s="396">
        <f t="shared" si="45"/>
        <v>20275965.084459998</v>
      </c>
      <c r="P162" s="396">
        <f t="shared" si="45"/>
        <v>137563490.95253003</v>
      </c>
    </row>
    <row r="163" spans="1:16">
      <c r="C163" t="s">
        <v>387</v>
      </c>
      <c r="D163" s="396">
        <f>D81+D93</f>
        <v>7925020.0882399995</v>
      </c>
      <c r="E163" s="396">
        <f t="shared" ref="E163:P163" si="46">E81+E93</f>
        <v>8382073.837989999</v>
      </c>
      <c r="F163" s="396">
        <f t="shared" si="46"/>
        <v>8896947.8489899989</v>
      </c>
      <c r="G163" s="396">
        <f t="shared" si="46"/>
        <v>5362314.0007800004</v>
      </c>
      <c r="H163" s="396">
        <f t="shared" si="46"/>
        <v>3301881.1222300003</v>
      </c>
      <c r="I163" s="396">
        <f t="shared" si="46"/>
        <v>2366158.6159599996</v>
      </c>
      <c r="J163" s="396">
        <f t="shared" si="46"/>
        <v>1935589.2532299999</v>
      </c>
      <c r="K163" s="396">
        <f t="shared" si="46"/>
        <v>1732053.4203099997</v>
      </c>
      <c r="L163" s="396">
        <f t="shared" si="46"/>
        <v>1984701.5849299999</v>
      </c>
      <c r="M163" s="396">
        <f t="shared" si="46"/>
        <v>3670233.1733500003</v>
      </c>
      <c r="N163" s="396">
        <f t="shared" si="46"/>
        <v>5701042.6331899995</v>
      </c>
      <c r="O163" s="396">
        <f t="shared" si="46"/>
        <v>7768208.0773600014</v>
      </c>
      <c r="P163" s="396">
        <f t="shared" si="46"/>
        <v>59026223.656560011</v>
      </c>
    </row>
    <row r="164" spans="1:16">
      <c r="C164" t="s">
        <v>389</v>
      </c>
      <c r="D164" s="396">
        <f>D107+D121</f>
        <v>231361.99300000002</v>
      </c>
      <c r="E164" s="396">
        <f t="shared" ref="E164:P164" si="47">E107+E121</f>
        <v>225916.48</v>
      </c>
      <c r="F164" s="396">
        <f t="shared" si="47"/>
        <v>234273.06400000001</v>
      </c>
      <c r="G164" s="396">
        <f t="shared" si="47"/>
        <v>165410.63400000002</v>
      </c>
      <c r="H164" s="396">
        <f t="shared" si="47"/>
        <v>148388.50200000001</v>
      </c>
      <c r="I164" s="396">
        <f t="shared" si="47"/>
        <v>-15471.108739999992</v>
      </c>
      <c r="J164" s="396">
        <f t="shared" si="47"/>
        <v>108174.516</v>
      </c>
      <c r="K164" s="396">
        <f t="shared" si="47"/>
        <v>134708.69</v>
      </c>
      <c r="L164" s="396">
        <f t="shared" si="47"/>
        <v>111145.38399999999</v>
      </c>
      <c r="M164" s="396">
        <f t="shared" si="47"/>
        <v>168114.41799999998</v>
      </c>
      <c r="N164" s="396">
        <f t="shared" si="47"/>
        <v>449639.375</v>
      </c>
      <c r="O164" s="396">
        <f t="shared" si="47"/>
        <v>741224.02899999998</v>
      </c>
      <c r="P164" s="396">
        <f t="shared" si="47"/>
        <v>2702885.9762599999</v>
      </c>
    </row>
    <row r="165" spans="1:16">
      <c r="C165">
        <v>132</v>
      </c>
      <c r="D165" s="396">
        <f>D133</f>
        <v>141223.598</v>
      </c>
      <c r="E165" s="396">
        <f t="shared" ref="E165:P165" si="48">E133</f>
        <v>142095.962</v>
      </c>
      <c r="F165" s="396">
        <f t="shared" si="48"/>
        <v>133435.25400000002</v>
      </c>
      <c r="G165" s="396">
        <f t="shared" si="48"/>
        <v>97799.154999999984</v>
      </c>
      <c r="H165" s="396">
        <f t="shared" si="48"/>
        <v>74295.216</v>
      </c>
      <c r="I165" s="396">
        <f t="shared" si="48"/>
        <v>52474.186000000002</v>
      </c>
      <c r="J165" s="396">
        <f t="shared" si="48"/>
        <v>38599.68</v>
      </c>
      <c r="K165" s="396">
        <f t="shared" si="48"/>
        <v>36912.334999999999</v>
      </c>
      <c r="L165" s="396">
        <f t="shared" si="48"/>
        <v>11737.691999999999</v>
      </c>
      <c r="M165" s="396">
        <f t="shared" si="48"/>
        <v>107004.38</v>
      </c>
      <c r="N165" s="396">
        <f t="shared" si="48"/>
        <v>95173.206999999995</v>
      </c>
      <c r="O165" s="396">
        <f t="shared" si="48"/>
        <v>62449.625</v>
      </c>
      <c r="P165" s="396">
        <f t="shared" si="48"/>
        <v>993200.29</v>
      </c>
    </row>
    <row r="166" spans="1:16">
      <c r="C166">
        <v>146</v>
      </c>
      <c r="D166" s="396">
        <f>D144</f>
        <v>3545563</v>
      </c>
      <c r="E166" s="396">
        <f t="shared" ref="E166:P166" si="49">E144</f>
        <v>3917949</v>
      </c>
      <c r="F166" s="396">
        <f t="shared" si="49"/>
        <v>4055434</v>
      </c>
      <c r="G166" s="396">
        <f t="shared" si="49"/>
        <v>3694851</v>
      </c>
      <c r="H166" s="396">
        <f t="shared" si="49"/>
        <v>3110140</v>
      </c>
      <c r="I166" s="396">
        <f t="shared" si="49"/>
        <v>2599480</v>
      </c>
      <c r="J166" s="396">
        <f t="shared" si="49"/>
        <v>2420678</v>
      </c>
      <c r="K166" s="396">
        <f t="shared" si="49"/>
        <v>2424503</v>
      </c>
      <c r="L166" s="396">
        <f t="shared" si="49"/>
        <v>2325589</v>
      </c>
      <c r="M166" s="396">
        <f t="shared" si="49"/>
        <v>2566070</v>
      </c>
      <c r="N166" s="396">
        <f t="shared" si="49"/>
        <v>3210635</v>
      </c>
      <c r="O166" s="396">
        <f t="shared" si="49"/>
        <v>3207391</v>
      </c>
      <c r="P166" s="396">
        <f t="shared" si="49"/>
        <v>37078283</v>
      </c>
    </row>
    <row r="167" spans="1:16">
      <c r="C167">
        <v>147</v>
      </c>
      <c r="D167" s="396">
        <f>D147</f>
        <v>379164</v>
      </c>
      <c r="E167" s="396">
        <f t="shared" ref="E167:P167" si="50">E147</f>
        <v>176712</v>
      </c>
      <c r="F167" s="396">
        <f t="shared" si="50"/>
        <v>583729</v>
      </c>
      <c r="G167" s="396">
        <f t="shared" si="50"/>
        <v>814272</v>
      </c>
      <c r="H167" s="396">
        <f t="shared" si="50"/>
        <v>68975</v>
      </c>
      <c r="I167" s="396">
        <f t="shared" si="50"/>
        <v>121440</v>
      </c>
      <c r="J167" s="396">
        <f t="shared" si="50"/>
        <v>369851</v>
      </c>
      <c r="K167" s="396">
        <f t="shared" si="50"/>
        <v>649887</v>
      </c>
      <c r="L167" s="396">
        <f t="shared" si="50"/>
        <v>1405649</v>
      </c>
      <c r="M167" s="396">
        <f t="shared" si="50"/>
        <v>813959</v>
      </c>
      <c r="N167" s="396">
        <f t="shared" si="50"/>
        <v>1435027</v>
      </c>
      <c r="O167" s="396">
        <f t="shared" si="50"/>
        <v>1088514</v>
      </c>
      <c r="P167" s="396">
        <f t="shared" si="50"/>
        <v>7907179</v>
      </c>
    </row>
    <row r="168" spans="1:16">
      <c r="C168">
        <v>148</v>
      </c>
      <c r="D168" s="396">
        <f>D151</f>
        <v>4907937</v>
      </c>
      <c r="E168" s="396">
        <f t="shared" ref="E168:P168" si="51">E151</f>
        <v>4829560</v>
      </c>
      <c r="F168" s="396">
        <f t="shared" si="51"/>
        <v>4089100</v>
      </c>
      <c r="G168" s="396">
        <f t="shared" si="51"/>
        <v>4540506</v>
      </c>
      <c r="H168" s="396">
        <f t="shared" si="51"/>
        <v>3983350</v>
      </c>
      <c r="I168" s="396">
        <f t="shared" si="51"/>
        <v>3756335</v>
      </c>
      <c r="J168" s="396">
        <f t="shared" si="51"/>
        <v>3510549</v>
      </c>
      <c r="K168" s="396">
        <f t="shared" si="51"/>
        <v>3507047</v>
      </c>
      <c r="L168" s="396">
        <f t="shared" si="51"/>
        <v>3514085</v>
      </c>
      <c r="M168" s="396">
        <f t="shared" si="51"/>
        <v>3678027</v>
      </c>
      <c r="N168" s="396">
        <f t="shared" si="51"/>
        <v>4170776</v>
      </c>
      <c r="O168" s="396">
        <f t="shared" si="51"/>
        <v>4436580</v>
      </c>
      <c r="P168" s="396">
        <f t="shared" si="51"/>
        <v>48923852</v>
      </c>
    </row>
    <row r="169" spans="1:16">
      <c r="C169" t="s">
        <v>59</v>
      </c>
      <c r="D169" s="396">
        <f>SUM(D162:D168)</f>
        <v>38321289.74673</v>
      </c>
      <c r="E169" s="396">
        <f t="shared" ref="E169:P169" si="52">SUM(E162:E168)</f>
        <v>39606694.817929998</v>
      </c>
      <c r="F169" s="396">
        <f t="shared" si="52"/>
        <v>41934492.601889998</v>
      </c>
      <c r="G169" s="396">
        <f t="shared" si="52"/>
        <v>26555667.596610002</v>
      </c>
      <c r="H169" s="396">
        <f t="shared" si="52"/>
        <v>17274676.544880003</v>
      </c>
      <c r="I169" s="396">
        <f t="shared" si="52"/>
        <v>11960996.60602</v>
      </c>
      <c r="J169" s="396">
        <f t="shared" si="52"/>
        <v>10919037.410700001</v>
      </c>
      <c r="K169" s="396">
        <f t="shared" si="52"/>
        <v>10627665.57264</v>
      </c>
      <c r="L169" s="396">
        <f t="shared" si="52"/>
        <v>11796795.801259998</v>
      </c>
      <c r="M169" s="396">
        <f t="shared" si="52"/>
        <v>18609988.899590001</v>
      </c>
      <c r="N169" s="396">
        <f t="shared" si="52"/>
        <v>29007477.461279999</v>
      </c>
      <c r="O169" s="396">
        <f t="shared" si="52"/>
        <v>37580331.815819994</v>
      </c>
      <c r="P169" s="396">
        <f t="shared" si="52"/>
        <v>294195114.87535</v>
      </c>
    </row>
    <row r="170" spans="1:16">
      <c r="D170" s="396"/>
      <c r="E170" s="396"/>
      <c r="F170" s="396"/>
      <c r="G170" s="396"/>
      <c r="H170" s="396"/>
      <c r="I170" s="396"/>
      <c r="J170" s="396"/>
      <c r="K170" s="396"/>
      <c r="L170" s="396"/>
      <c r="M170" s="396"/>
      <c r="N170" s="396"/>
      <c r="O170" s="396"/>
      <c r="P170" s="396"/>
    </row>
    <row r="171" spans="1:16">
      <c r="D171" s="396">
        <f>D159-D169</f>
        <v>0</v>
      </c>
      <c r="E171" s="396">
        <f t="shared" ref="E171:P171" si="53">E159-E169</f>
        <v>0</v>
      </c>
      <c r="F171" s="396">
        <f t="shared" si="53"/>
        <v>0</v>
      </c>
      <c r="G171" s="396">
        <f t="shared" si="53"/>
        <v>0</v>
      </c>
      <c r="H171" s="396">
        <f t="shared" si="53"/>
        <v>0</v>
      </c>
      <c r="I171" s="396">
        <f t="shared" si="53"/>
        <v>0</v>
      </c>
      <c r="J171" s="396">
        <f t="shared" si="53"/>
        <v>0</v>
      </c>
      <c r="K171" s="396">
        <f t="shared" si="53"/>
        <v>0</v>
      </c>
      <c r="L171" s="396">
        <f t="shared" si="53"/>
        <v>0</v>
      </c>
      <c r="M171" s="396">
        <f t="shared" si="53"/>
        <v>0</v>
      </c>
      <c r="N171" s="396">
        <f t="shared" si="53"/>
        <v>0</v>
      </c>
      <c r="O171" s="396">
        <f t="shared" si="53"/>
        <v>0</v>
      </c>
      <c r="P171" s="396">
        <f t="shared" si="53"/>
        <v>0</v>
      </c>
    </row>
    <row r="173" spans="1:16">
      <c r="D173" s="393"/>
      <c r="E173" s="393"/>
      <c r="F173" s="393"/>
      <c r="G173" s="393"/>
      <c r="H173" s="393"/>
      <c r="I173" s="393"/>
      <c r="J173" s="393"/>
      <c r="K173" s="393"/>
      <c r="L173" s="393"/>
      <c r="M173" s="393"/>
      <c r="N173" s="393"/>
      <c r="O173" s="393"/>
    </row>
    <row r="175" spans="1:16">
      <c r="A175" s="460" t="s">
        <v>653</v>
      </c>
    </row>
    <row r="177" spans="1:16">
      <c r="A177" t="s">
        <v>520</v>
      </c>
      <c r="B177" t="s">
        <v>473</v>
      </c>
    </row>
    <row r="179" spans="1:16">
      <c r="D179" t="s">
        <v>649</v>
      </c>
    </row>
    <row r="180" spans="1:16">
      <c r="C180" t="s">
        <v>415</v>
      </c>
      <c r="D180">
        <v>201901</v>
      </c>
      <c r="E180">
        <v>201902</v>
      </c>
      <c r="F180">
        <v>201903</v>
      </c>
      <c r="G180">
        <v>201904</v>
      </c>
      <c r="H180">
        <v>201905</v>
      </c>
      <c r="I180">
        <v>201906</v>
      </c>
      <c r="J180">
        <v>201907</v>
      </c>
      <c r="K180">
        <v>201908</v>
      </c>
      <c r="L180">
        <v>201909</v>
      </c>
      <c r="M180">
        <v>201910</v>
      </c>
      <c r="N180">
        <v>201911</v>
      </c>
      <c r="O180">
        <v>201912</v>
      </c>
      <c r="P180" t="s">
        <v>418</v>
      </c>
    </row>
    <row r="181" spans="1:16">
      <c r="A181" t="s">
        <v>521</v>
      </c>
      <c r="B181" t="s">
        <v>339</v>
      </c>
    </row>
    <row r="182" spans="1:16">
      <c r="A182" t="s">
        <v>522</v>
      </c>
      <c r="B182" t="s">
        <v>246</v>
      </c>
      <c r="D182" s="396">
        <v>11324273</v>
      </c>
      <c r="E182" s="396">
        <v>12810504</v>
      </c>
      <c r="F182" s="396">
        <v>7364449</v>
      </c>
      <c r="G182" s="396">
        <v>4172084</v>
      </c>
      <c r="H182" s="396">
        <v>1901745</v>
      </c>
      <c r="I182" s="396">
        <v>1321131</v>
      </c>
      <c r="J182" s="396">
        <v>1180635</v>
      </c>
      <c r="K182" s="396">
        <v>1257274</v>
      </c>
      <c r="L182" s="396">
        <v>2486278</v>
      </c>
      <c r="M182" s="396">
        <v>7641625</v>
      </c>
      <c r="N182" s="396">
        <v>11025713</v>
      </c>
      <c r="O182" s="396">
        <v>10375003</v>
      </c>
      <c r="P182" s="396">
        <f>SUM(D182:O182)</f>
        <v>72860714</v>
      </c>
    </row>
    <row r="183" spans="1:16">
      <c r="B183" t="s">
        <v>247</v>
      </c>
      <c r="D183" s="396">
        <v>4053424</v>
      </c>
      <c r="E183" s="396">
        <v>4671541</v>
      </c>
      <c r="F183" s="396">
        <v>2618736</v>
      </c>
      <c r="G183" s="396">
        <v>1797571</v>
      </c>
      <c r="H183" s="396">
        <v>899949</v>
      </c>
      <c r="I183" s="396">
        <v>949948</v>
      </c>
      <c r="J183" s="396">
        <v>835623</v>
      </c>
      <c r="K183" s="396">
        <v>936252</v>
      </c>
      <c r="L183" s="396">
        <v>1802326</v>
      </c>
      <c r="M183" s="396">
        <v>3448041</v>
      </c>
      <c r="N183" s="396">
        <v>4267717</v>
      </c>
      <c r="O183" s="396">
        <v>3794161</v>
      </c>
      <c r="P183" s="396">
        <f t="shared" ref="P183:P198" si="54">SUM(D183:O183)</f>
        <v>30075289</v>
      </c>
    </row>
    <row r="184" spans="1:16">
      <c r="B184" t="s">
        <v>595</v>
      </c>
      <c r="D184" s="396">
        <v>9263</v>
      </c>
      <c r="E184" s="396">
        <v>13099</v>
      </c>
      <c r="F184" s="396">
        <v>5399</v>
      </c>
      <c r="G184" s="396">
        <v>4303</v>
      </c>
      <c r="H184" s="396">
        <v>2686</v>
      </c>
      <c r="I184" s="396">
        <v>2543</v>
      </c>
      <c r="J184" s="396">
        <v>2586</v>
      </c>
      <c r="K184" s="396">
        <v>3326</v>
      </c>
      <c r="L184" s="396">
        <v>6886</v>
      </c>
      <c r="M184" s="396">
        <v>11606</v>
      </c>
      <c r="N184" s="396">
        <v>12872</v>
      </c>
      <c r="O184" s="396">
        <v>9733</v>
      </c>
      <c r="P184" s="396">
        <f t="shared" si="54"/>
        <v>84302</v>
      </c>
    </row>
    <row r="185" spans="1:16">
      <c r="B185" t="s">
        <v>248</v>
      </c>
      <c r="D185" s="396">
        <v>92544</v>
      </c>
      <c r="E185" s="396">
        <v>99707</v>
      </c>
      <c r="F185" s="396">
        <v>50802</v>
      </c>
      <c r="G185" s="396">
        <v>41565</v>
      </c>
      <c r="H185" s="396">
        <v>31269</v>
      </c>
      <c r="I185" s="396">
        <v>-17856</v>
      </c>
      <c r="J185" s="396">
        <v>36777</v>
      </c>
      <c r="K185" s="396">
        <v>64354</v>
      </c>
      <c r="L185" s="396">
        <v>87993</v>
      </c>
      <c r="M185" s="396">
        <v>138127</v>
      </c>
      <c r="N185" s="396">
        <v>147373</v>
      </c>
      <c r="O185" s="396">
        <v>104730</v>
      </c>
      <c r="P185" s="396">
        <f t="shared" si="54"/>
        <v>877385</v>
      </c>
    </row>
    <row r="186" spans="1:16">
      <c r="B186" t="s">
        <v>596</v>
      </c>
      <c r="D186" s="396">
        <v>31328</v>
      </c>
      <c r="E186" s="396">
        <v>32516</v>
      </c>
      <c r="F186" s="396">
        <v>21399</v>
      </c>
      <c r="G186" s="396">
        <v>16621</v>
      </c>
      <c r="H186" s="396">
        <v>11629</v>
      </c>
      <c r="I186" s="396">
        <v>11217</v>
      </c>
      <c r="J186" s="396">
        <v>13607</v>
      </c>
      <c r="K186" s="396">
        <v>14723</v>
      </c>
      <c r="L186" s="396">
        <v>25141</v>
      </c>
      <c r="M186" s="396">
        <v>30949</v>
      </c>
      <c r="N186" s="396">
        <v>208686</v>
      </c>
      <c r="O186" s="396">
        <v>275164</v>
      </c>
      <c r="P186" s="396">
        <f t="shared" si="54"/>
        <v>692980</v>
      </c>
    </row>
    <row r="187" spans="1:16">
      <c r="B187" t="s">
        <v>250</v>
      </c>
      <c r="D187" s="396">
        <v>3917947</v>
      </c>
      <c r="E187" s="396">
        <v>3900871</v>
      </c>
      <c r="F187" s="396">
        <v>3691957</v>
      </c>
      <c r="G187" s="396">
        <v>3110199</v>
      </c>
      <c r="H187" s="396">
        <v>2599480</v>
      </c>
      <c r="I187" s="396">
        <v>2420689</v>
      </c>
      <c r="J187" s="396">
        <v>2422964</v>
      </c>
      <c r="K187" s="396">
        <v>2325581</v>
      </c>
      <c r="L187" s="396">
        <v>2566202</v>
      </c>
      <c r="M187" s="396">
        <v>3210986</v>
      </c>
      <c r="N187" s="396">
        <v>3206337</v>
      </c>
      <c r="O187" s="396">
        <v>3156615</v>
      </c>
      <c r="P187" s="396">
        <f t="shared" si="54"/>
        <v>36529828</v>
      </c>
    </row>
    <row r="188" spans="1:16">
      <c r="B188" t="s">
        <v>597</v>
      </c>
      <c r="D188" s="396"/>
      <c r="E188" s="396"/>
      <c r="F188" s="396"/>
      <c r="G188" s="396"/>
      <c r="H188" s="396"/>
      <c r="I188" s="396"/>
      <c r="J188" s="396"/>
      <c r="K188" s="396"/>
      <c r="L188" s="396"/>
      <c r="M188" s="396"/>
      <c r="N188" s="396"/>
      <c r="O188" s="396"/>
      <c r="P188" s="396">
        <f t="shared" si="54"/>
        <v>0</v>
      </c>
    </row>
    <row r="189" spans="1:16">
      <c r="B189" t="s">
        <v>260</v>
      </c>
      <c r="D189" s="396">
        <v>4829560</v>
      </c>
      <c r="E189" s="396">
        <v>3966821</v>
      </c>
      <c r="F189" s="396">
        <v>4540256</v>
      </c>
      <c r="G189" s="396">
        <v>4029134</v>
      </c>
      <c r="H189" s="396">
        <v>3756335</v>
      </c>
      <c r="I189" s="396">
        <v>3510549</v>
      </c>
      <c r="J189" s="396">
        <v>3507079</v>
      </c>
      <c r="K189" s="396">
        <v>3514085</v>
      </c>
      <c r="L189" s="396">
        <v>3678155</v>
      </c>
      <c r="M189" s="396">
        <v>4165893</v>
      </c>
      <c r="N189" s="396">
        <v>4436580</v>
      </c>
      <c r="O189" s="396">
        <v>4791048</v>
      </c>
      <c r="P189" s="396">
        <f t="shared" si="54"/>
        <v>48725495</v>
      </c>
    </row>
    <row r="190" spans="1:16">
      <c r="B190" t="s">
        <v>523</v>
      </c>
      <c r="D190" s="396">
        <f>SUM(D182:D189)</f>
        <v>24258339</v>
      </c>
      <c r="E190" s="396">
        <f t="shared" ref="E190:O190" si="55">SUM(E182:E189)</f>
        <v>25495059</v>
      </c>
      <c r="F190" s="396">
        <f t="shared" si="55"/>
        <v>18292998</v>
      </c>
      <c r="G190" s="396">
        <f t="shared" si="55"/>
        <v>13171477</v>
      </c>
      <c r="H190" s="396">
        <f t="shared" si="55"/>
        <v>9203093</v>
      </c>
      <c r="I190" s="396">
        <f t="shared" si="55"/>
        <v>8198221</v>
      </c>
      <c r="J190" s="396">
        <f t="shared" si="55"/>
        <v>7999271</v>
      </c>
      <c r="K190" s="396">
        <f t="shared" si="55"/>
        <v>8115595</v>
      </c>
      <c r="L190" s="396">
        <f t="shared" si="55"/>
        <v>10652981</v>
      </c>
      <c r="M190" s="396">
        <f t="shared" si="55"/>
        <v>18647227</v>
      </c>
      <c r="N190" s="396">
        <f t="shared" si="55"/>
        <v>23305278</v>
      </c>
      <c r="O190" s="396">
        <f t="shared" si="55"/>
        <v>22506454</v>
      </c>
      <c r="P190" s="396">
        <f>SUM(P182:P189)</f>
        <v>189845993</v>
      </c>
    </row>
    <row r="191" spans="1:16">
      <c r="A191" t="s">
        <v>524</v>
      </c>
      <c r="B191" t="s">
        <v>246</v>
      </c>
      <c r="D191" s="396">
        <v>-11417514</v>
      </c>
      <c r="E191" s="396">
        <v>-11324273</v>
      </c>
      <c r="F191" s="396">
        <v>-12810504</v>
      </c>
      <c r="G191" s="396">
        <v>-7364449</v>
      </c>
      <c r="H191" s="396">
        <v>-4172084</v>
      </c>
      <c r="I191" s="396">
        <v>-1901745</v>
      </c>
      <c r="J191" s="396">
        <v>-1321131</v>
      </c>
      <c r="K191" s="396">
        <v>-1180635</v>
      </c>
      <c r="L191" s="396">
        <v>-1257274</v>
      </c>
      <c r="M191" s="396">
        <v>-2486278</v>
      </c>
      <c r="N191" s="396">
        <v>-7641625</v>
      </c>
      <c r="O191" s="396">
        <v>-11025713</v>
      </c>
      <c r="P191" s="396">
        <f>SUM(D191:O191)</f>
        <v>-73903225</v>
      </c>
    </row>
    <row r="192" spans="1:16">
      <c r="B192" t="s">
        <v>247</v>
      </c>
      <c r="D192" s="396">
        <v>-3956196</v>
      </c>
      <c r="E192" s="396">
        <v>-4053424</v>
      </c>
      <c r="F192" s="396">
        <v>-4671541</v>
      </c>
      <c r="G192" s="396">
        <v>-2618736</v>
      </c>
      <c r="H192" s="396">
        <v>-1797571</v>
      </c>
      <c r="I192" s="396">
        <v>-899949</v>
      </c>
      <c r="J192" s="396">
        <v>-949948</v>
      </c>
      <c r="K192" s="396">
        <v>-835623</v>
      </c>
      <c r="L192" s="396">
        <v>-936252</v>
      </c>
      <c r="M192" s="396">
        <v>-1802326</v>
      </c>
      <c r="N192" s="396">
        <v>-3448041</v>
      </c>
      <c r="O192" s="396">
        <v>-4267717</v>
      </c>
      <c r="P192" s="396">
        <f t="shared" si="54"/>
        <v>-30237324</v>
      </c>
    </row>
    <row r="193" spans="1:16">
      <c r="B193" t="s">
        <v>595</v>
      </c>
      <c r="D193" s="396">
        <v>-10281</v>
      </c>
      <c r="E193" s="396">
        <v>-9263</v>
      </c>
      <c r="F193" s="396">
        <v>-13099</v>
      </c>
      <c r="G193" s="396">
        <v>-5399</v>
      </c>
      <c r="H193" s="396">
        <v>-4303</v>
      </c>
      <c r="I193" s="396">
        <v>-2686</v>
      </c>
      <c r="J193" s="396">
        <v>-2543</v>
      </c>
      <c r="K193" s="396">
        <v>-2586</v>
      </c>
      <c r="L193" s="396">
        <v>-3326</v>
      </c>
      <c r="M193" s="396">
        <v>-6886</v>
      </c>
      <c r="N193" s="396">
        <v>-11606</v>
      </c>
      <c r="O193" s="396">
        <v>-12872</v>
      </c>
      <c r="P193" s="396">
        <f t="shared" si="54"/>
        <v>-84850</v>
      </c>
    </row>
    <row r="194" spans="1:16">
      <c r="B194" t="s">
        <v>248</v>
      </c>
      <c r="D194" s="396">
        <v>-134000</v>
      </c>
      <c r="E194" s="396">
        <v>-92544</v>
      </c>
      <c r="F194" s="396">
        <v>-99707</v>
      </c>
      <c r="G194" s="396">
        <v>-50802</v>
      </c>
      <c r="H194" s="396">
        <v>-41565</v>
      </c>
      <c r="I194" s="396">
        <v>-31269</v>
      </c>
      <c r="J194" s="396">
        <v>17856</v>
      </c>
      <c r="K194" s="396">
        <v>-36777</v>
      </c>
      <c r="L194" s="396">
        <v>-64354</v>
      </c>
      <c r="M194" s="396">
        <v>-87993</v>
      </c>
      <c r="N194" s="396">
        <v>-138127</v>
      </c>
      <c r="O194" s="396">
        <v>-147373</v>
      </c>
      <c r="P194" s="396">
        <f t="shared" si="54"/>
        <v>-906655</v>
      </c>
    </row>
    <row r="195" spans="1:16">
      <c r="B195" t="s">
        <v>596</v>
      </c>
      <c r="D195" s="396">
        <v>-32072</v>
      </c>
      <c r="E195" s="396">
        <v>-31328</v>
      </c>
      <c r="F195" s="396">
        <v>-32516</v>
      </c>
      <c r="G195" s="396">
        <v>-21399</v>
      </c>
      <c r="H195" s="396">
        <v>-16621</v>
      </c>
      <c r="I195" s="396">
        <v>-11629</v>
      </c>
      <c r="J195" s="396">
        <v>-11217</v>
      </c>
      <c r="K195" s="396">
        <v>-13607</v>
      </c>
      <c r="L195" s="396">
        <v>-14723</v>
      </c>
      <c r="M195" s="396">
        <v>-25141</v>
      </c>
      <c r="N195" s="396">
        <v>-30949</v>
      </c>
      <c r="O195" s="396">
        <v>-208686</v>
      </c>
      <c r="P195" s="396">
        <f t="shared" si="54"/>
        <v>-449888</v>
      </c>
    </row>
    <row r="196" spans="1:16">
      <c r="B196" t="s">
        <v>250</v>
      </c>
      <c r="D196" s="396">
        <v>-3542437</v>
      </c>
      <c r="E196" s="396">
        <v>-3917947</v>
      </c>
      <c r="F196" s="396">
        <v>-3900871</v>
      </c>
      <c r="G196" s="396">
        <v>-3691957</v>
      </c>
      <c r="H196" s="396">
        <v>-3110199</v>
      </c>
      <c r="I196" s="396">
        <v>-2599480</v>
      </c>
      <c r="J196" s="396">
        <v>-2420689</v>
      </c>
      <c r="K196" s="396">
        <v>-2422964</v>
      </c>
      <c r="L196" s="396">
        <v>-2325581</v>
      </c>
      <c r="M196" s="396">
        <v>-2566202</v>
      </c>
      <c r="N196" s="396">
        <v>-3210986</v>
      </c>
      <c r="O196" s="396">
        <v>-3206337</v>
      </c>
      <c r="P196" s="396">
        <f t="shared" si="54"/>
        <v>-36915650</v>
      </c>
    </row>
    <row r="197" spans="1:16">
      <c r="B197" t="s">
        <v>597</v>
      </c>
      <c r="D197" s="396"/>
      <c r="E197" s="396"/>
      <c r="F197" s="396"/>
      <c r="G197" s="396"/>
      <c r="H197" s="396"/>
      <c r="I197" s="396"/>
      <c r="J197" s="396"/>
      <c r="K197" s="396"/>
      <c r="L197" s="396"/>
      <c r="M197" s="396"/>
      <c r="N197" s="396"/>
      <c r="O197" s="396"/>
      <c r="P197" s="396">
        <f t="shared" si="54"/>
        <v>0</v>
      </c>
    </row>
    <row r="198" spans="1:16">
      <c r="B198" t="s">
        <v>260</v>
      </c>
      <c r="D198" s="396">
        <v>-4907937</v>
      </c>
      <c r="E198" s="396">
        <v>-4829560</v>
      </c>
      <c r="F198" s="396">
        <v>-3966821</v>
      </c>
      <c r="G198" s="396">
        <v>-4540256</v>
      </c>
      <c r="H198" s="396">
        <v>-4029134</v>
      </c>
      <c r="I198" s="396">
        <v>-3756335</v>
      </c>
      <c r="J198" s="396">
        <v>-3510549</v>
      </c>
      <c r="K198" s="396">
        <v>-3507079</v>
      </c>
      <c r="L198" s="396">
        <v>-3514085</v>
      </c>
      <c r="M198" s="396">
        <v>-3678155</v>
      </c>
      <c r="N198" s="396">
        <v>-4165893</v>
      </c>
      <c r="O198" s="396">
        <v>-4436580</v>
      </c>
      <c r="P198" s="396">
        <f t="shared" si="54"/>
        <v>-48842384</v>
      </c>
    </row>
    <row r="199" spans="1:16">
      <c r="B199" t="s">
        <v>525</v>
      </c>
      <c r="D199" s="396">
        <f>SUM(D191:D198)</f>
        <v>-24000437</v>
      </c>
      <c r="E199" s="396">
        <f t="shared" ref="E199:O199" si="56">SUM(E191:E198)</f>
        <v>-24258339</v>
      </c>
      <c r="F199" s="396">
        <f t="shared" si="56"/>
        <v>-25495059</v>
      </c>
      <c r="G199" s="396">
        <f t="shared" si="56"/>
        <v>-18292998</v>
      </c>
      <c r="H199" s="396">
        <f t="shared" si="56"/>
        <v>-13171477</v>
      </c>
      <c r="I199" s="396">
        <f t="shared" si="56"/>
        <v>-9203093</v>
      </c>
      <c r="J199" s="396">
        <f t="shared" si="56"/>
        <v>-8198221</v>
      </c>
      <c r="K199" s="396">
        <f t="shared" si="56"/>
        <v>-7999271</v>
      </c>
      <c r="L199" s="396">
        <f t="shared" si="56"/>
        <v>-8115595</v>
      </c>
      <c r="M199" s="396">
        <f t="shared" si="56"/>
        <v>-10652981</v>
      </c>
      <c r="N199" s="396">
        <f t="shared" si="56"/>
        <v>-18647227</v>
      </c>
      <c r="O199" s="396">
        <f t="shared" si="56"/>
        <v>-23305278</v>
      </c>
      <c r="P199" s="396">
        <f>SUM(P191:P198)</f>
        <v>-191339976</v>
      </c>
    </row>
    <row r="200" spans="1:16">
      <c r="A200" t="s">
        <v>417</v>
      </c>
      <c r="D200" s="396">
        <f>D190+D199</f>
        <v>257902</v>
      </c>
      <c r="E200" s="396">
        <f t="shared" ref="E200:O200" si="57">E190+E199</f>
        <v>1236720</v>
      </c>
      <c r="F200" s="396">
        <f t="shared" si="57"/>
        <v>-7202061</v>
      </c>
      <c r="G200" s="396">
        <f t="shared" si="57"/>
        <v>-5121521</v>
      </c>
      <c r="H200" s="396">
        <f t="shared" si="57"/>
        <v>-3968384</v>
      </c>
      <c r="I200" s="396">
        <f t="shared" si="57"/>
        <v>-1004872</v>
      </c>
      <c r="J200" s="396">
        <f t="shared" si="57"/>
        <v>-198950</v>
      </c>
      <c r="K200" s="396">
        <f t="shared" si="57"/>
        <v>116324</v>
      </c>
      <c r="L200" s="396">
        <f t="shared" si="57"/>
        <v>2537386</v>
      </c>
      <c r="M200" s="396">
        <f t="shared" si="57"/>
        <v>7994246</v>
      </c>
      <c r="N200" s="396">
        <f t="shared" si="57"/>
        <v>4658051</v>
      </c>
      <c r="O200" s="396">
        <f t="shared" si="57"/>
        <v>-798824</v>
      </c>
      <c r="P200" s="396">
        <f>P190+P199</f>
        <v>-1493983</v>
      </c>
    </row>
    <row r="201" spans="1:16">
      <c r="D201" s="396"/>
      <c r="E201" s="396"/>
      <c r="F201" s="396"/>
      <c r="G201" s="396"/>
      <c r="H201" s="396"/>
      <c r="I201" s="396"/>
      <c r="J201" s="396"/>
      <c r="K201" s="396"/>
      <c r="L201" s="396"/>
      <c r="M201" s="396"/>
      <c r="N201" s="396"/>
      <c r="O201" s="396"/>
      <c r="P201" s="396"/>
    </row>
    <row r="202" spans="1:16">
      <c r="D202" s="396"/>
      <c r="E202" s="396"/>
      <c r="F202" s="396"/>
      <c r="G202" s="396"/>
      <c r="H202" s="396"/>
      <c r="I202" s="396"/>
      <c r="J202" s="396"/>
      <c r="K202" s="396"/>
      <c r="L202" s="396"/>
      <c r="M202" s="396"/>
      <c r="N202" s="396"/>
      <c r="O202" s="396"/>
      <c r="P202" s="396"/>
    </row>
    <row r="203" spans="1:16">
      <c r="D203" s="396"/>
      <c r="E203" s="396"/>
      <c r="F203" s="396"/>
      <c r="G203" s="396"/>
      <c r="H203" s="396"/>
      <c r="I203" s="396"/>
      <c r="J203" s="396"/>
      <c r="K203" s="396"/>
      <c r="L203" s="396"/>
      <c r="M203" s="396"/>
      <c r="N203" s="396"/>
      <c r="O203" s="396"/>
      <c r="P203" s="396"/>
    </row>
    <row r="204" spans="1:16">
      <c r="C204">
        <v>101</v>
      </c>
      <c r="D204" s="396">
        <f>D182+D191</f>
        <v>-93241</v>
      </c>
      <c r="E204" s="396">
        <f t="shared" ref="E204:O204" si="58">E182+E191</f>
        <v>1486231</v>
      </c>
      <c r="F204" s="396">
        <f t="shared" si="58"/>
        <v>-5446055</v>
      </c>
      <c r="G204" s="396">
        <f t="shared" si="58"/>
        <v>-3192365</v>
      </c>
      <c r="H204" s="396">
        <f t="shared" si="58"/>
        <v>-2270339</v>
      </c>
      <c r="I204" s="396">
        <f t="shared" si="58"/>
        <v>-580614</v>
      </c>
      <c r="J204" s="396">
        <f t="shared" si="58"/>
        <v>-140496</v>
      </c>
      <c r="K204" s="396">
        <f t="shared" si="58"/>
        <v>76639</v>
      </c>
      <c r="L204" s="396">
        <f t="shared" si="58"/>
        <v>1229004</v>
      </c>
      <c r="M204" s="396">
        <f t="shared" si="58"/>
        <v>5155347</v>
      </c>
      <c r="N204" s="396">
        <f t="shared" si="58"/>
        <v>3384088</v>
      </c>
      <c r="O204" s="396">
        <f t="shared" si="58"/>
        <v>-650710</v>
      </c>
      <c r="P204" s="396">
        <f>P182+P191</f>
        <v>-1042511</v>
      </c>
    </row>
    <row r="205" spans="1:16">
      <c r="C205">
        <v>111</v>
      </c>
      <c r="D205" s="396">
        <f>D183+D184+D193+D192</f>
        <v>96210</v>
      </c>
      <c r="E205" s="396">
        <f t="shared" ref="E205:O205" si="59">E183+E184+E193+E192</f>
        <v>621953</v>
      </c>
      <c r="F205" s="396">
        <f t="shared" si="59"/>
        <v>-2060505</v>
      </c>
      <c r="G205" s="396">
        <f t="shared" si="59"/>
        <v>-822261</v>
      </c>
      <c r="H205" s="396">
        <f t="shared" si="59"/>
        <v>-899239</v>
      </c>
      <c r="I205" s="396">
        <f t="shared" si="59"/>
        <v>49856</v>
      </c>
      <c r="J205" s="396">
        <f t="shared" si="59"/>
        <v>-114282</v>
      </c>
      <c r="K205" s="396">
        <f t="shared" si="59"/>
        <v>101369</v>
      </c>
      <c r="L205" s="396">
        <f t="shared" si="59"/>
        <v>869634</v>
      </c>
      <c r="M205" s="396">
        <f t="shared" si="59"/>
        <v>1650435</v>
      </c>
      <c r="N205" s="396">
        <f t="shared" si="59"/>
        <v>820942</v>
      </c>
      <c r="O205" s="396">
        <f t="shared" si="59"/>
        <v>-476695</v>
      </c>
      <c r="P205" s="396">
        <f>P183+P184+P193+P192</f>
        <v>-162583</v>
      </c>
    </row>
    <row r="206" spans="1:16">
      <c r="C206">
        <v>121</v>
      </c>
      <c r="D206" s="396">
        <f>D185+D186+D195+D194</f>
        <v>-42200</v>
      </c>
      <c r="E206" s="396">
        <f t="shared" ref="E206:O206" si="60">E185+E186+E195+E194</f>
        <v>8351</v>
      </c>
      <c r="F206" s="396">
        <f t="shared" si="60"/>
        <v>-60022</v>
      </c>
      <c r="G206" s="396">
        <f t="shared" si="60"/>
        <v>-14015</v>
      </c>
      <c r="H206" s="396">
        <f t="shared" si="60"/>
        <v>-15288</v>
      </c>
      <c r="I206" s="396">
        <f t="shared" si="60"/>
        <v>-49537</v>
      </c>
      <c r="J206" s="396">
        <f t="shared" si="60"/>
        <v>57023</v>
      </c>
      <c r="K206" s="396">
        <f t="shared" si="60"/>
        <v>28693</v>
      </c>
      <c r="L206" s="396">
        <f t="shared" si="60"/>
        <v>34057</v>
      </c>
      <c r="M206" s="396">
        <f t="shared" si="60"/>
        <v>55942</v>
      </c>
      <c r="N206" s="396">
        <f t="shared" si="60"/>
        <v>186983</v>
      </c>
      <c r="O206" s="396">
        <f t="shared" si="60"/>
        <v>23835</v>
      </c>
      <c r="P206" s="396">
        <f>P185+P186+P195+P194</f>
        <v>213822</v>
      </c>
    </row>
    <row r="207" spans="1:16">
      <c r="C207">
        <v>146</v>
      </c>
      <c r="D207" s="396">
        <f>D187+D196</f>
        <v>375510</v>
      </c>
      <c r="E207" s="396">
        <f t="shared" ref="E207:O207" si="61">E187+E196</f>
        <v>-17076</v>
      </c>
      <c r="F207" s="396">
        <f t="shared" si="61"/>
        <v>-208914</v>
      </c>
      <c r="G207" s="396">
        <f t="shared" si="61"/>
        <v>-581758</v>
      </c>
      <c r="H207" s="396">
        <f t="shared" si="61"/>
        <v>-510719</v>
      </c>
      <c r="I207" s="396">
        <f t="shared" si="61"/>
        <v>-178791</v>
      </c>
      <c r="J207" s="396">
        <f t="shared" si="61"/>
        <v>2275</v>
      </c>
      <c r="K207" s="396">
        <f t="shared" si="61"/>
        <v>-97383</v>
      </c>
      <c r="L207" s="396">
        <f t="shared" si="61"/>
        <v>240621</v>
      </c>
      <c r="M207" s="396">
        <f t="shared" si="61"/>
        <v>644784</v>
      </c>
      <c r="N207" s="396">
        <f t="shared" si="61"/>
        <v>-4649</v>
      </c>
      <c r="O207" s="396">
        <f t="shared" si="61"/>
        <v>-49722</v>
      </c>
      <c r="P207" s="396">
        <f>P187+P196</f>
        <v>-385822</v>
      </c>
    </row>
    <row r="208" spans="1:16">
      <c r="C208">
        <v>147</v>
      </c>
      <c r="D208" s="396">
        <f>D188+D197</f>
        <v>0</v>
      </c>
      <c r="E208" s="396">
        <f t="shared" ref="E208:O208" si="62">E188+E197</f>
        <v>0</v>
      </c>
      <c r="F208" s="396">
        <f t="shared" si="62"/>
        <v>0</v>
      </c>
      <c r="G208" s="396">
        <f t="shared" si="62"/>
        <v>0</v>
      </c>
      <c r="H208" s="396">
        <f t="shared" si="62"/>
        <v>0</v>
      </c>
      <c r="I208" s="396">
        <f t="shared" si="62"/>
        <v>0</v>
      </c>
      <c r="J208" s="396">
        <f t="shared" si="62"/>
        <v>0</v>
      </c>
      <c r="K208" s="396">
        <f t="shared" si="62"/>
        <v>0</v>
      </c>
      <c r="L208" s="396">
        <f t="shared" si="62"/>
        <v>0</v>
      </c>
      <c r="M208" s="396">
        <f t="shared" si="62"/>
        <v>0</v>
      </c>
      <c r="N208" s="396">
        <f t="shared" si="62"/>
        <v>0</v>
      </c>
      <c r="O208" s="396">
        <f t="shared" si="62"/>
        <v>0</v>
      </c>
      <c r="P208" s="396">
        <f>P188+P197</f>
        <v>0</v>
      </c>
    </row>
    <row r="209" spans="3:16">
      <c r="C209">
        <v>148</v>
      </c>
      <c r="D209" s="396">
        <f t="shared" ref="D209" si="63">D189+D198</f>
        <v>-78377</v>
      </c>
      <c r="E209" s="396">
        <f t="shared" ref="E209:O209" si="64">E189+E198</f>
        <v>-862739</v>
      </c>
      <c r="F209" s="396">
        <f t="shared" si="64"/>
        <v>573435</v>
      </c>
      <c r="G209" s="396">
        <f t="shared" si="64"/>
        <v>-511122</v>
      </c>
      <c r="H209" s="396">
        <f t="shared" si="64"/>
        <v>-272799</v>
      </c>
      <c r="I209" s="396">
        <f t="shared" si="64"/>
        <v>-245786</v>
      </c>
      <c r="J209" s="396">
        <f t="shared" si="64"/>
        <v>-3470</v>
      </c>
      <c r="K209" s="396">
        <f t="shared" si="64"/>
        <v>7006</v>
      </c>
      <c r="L209" s="396">
        <f t="shared" si="64"/>
        <v>164070</v>
      </c>
      <c r="M209" s="396">
        <f t="shared" si="64"/>
        <v>487738</v>
      </c>
      <c r="N209" s="396">
        <f t="shared" si="64"/>
        <v>270687</v>
      </c>
      <c r="O209" s="396">
        <f t="shared" si="64"/>
        <v>354468</v>
      </c>
      <c r="P209" s="396">
        <f>P189+P198</f>
        <v>-116889</v>
      </c>
    </row>
    <row r="210" spans="3:16">
      <c r="C210" t="s">
        <v>59</v>
      </c>
      <c r="D210" s="396">
        <f>SUM(D204:D209)</f>
        <v>257902</v>
      </c>
      <c r="E210" s="396">
        <f t="shared" ref="E210:O210" si="65">SUM(E204:E209)</f>
        <v>1236720</v>
      </c>
      <c r="F210" s="396">
        <f t="shared" si="65"/>
        <v>-7202061</v>
      </c>
      <c r="G210" s="396">
        <f t="shared" si="65"/>
        <v>-5121521</v>
      </c>
      <c r="H210" s="396">
        <f t="shared" si="65"/>
        <v>-3968384</v>
      </c>
      <c r="I210" s="396">
        <f t="shared" si="65"/>
        <v>-1004872</v>
      </c>
      <c r="J210" s="396">
        <f t="shared" si="65"/>
        <v>-198950</v>
      </c>
      <c r="K210" s="396">
        <f t="shared" si="65"/>
        <v>116324</v>
      </c>
      <c r="L210" s="396">
        <f t="shared" si="65"/>
        <v>2537386</v>
      </c>
      <c r="M210" s="396">
        <f t="shared" si="65"/>
        <v>7994246</v>
      </c>
      <c r="N210" s="396">
        <f t="shared" si="65"/>
        <v>4658051</v>
      </c>
      <c r="O210" s="396">
        <f t="shared" si="65"/>
        <v>-798824</v>
      </c>
      <c r="P210" s="396">
        <f t="shared" ref="P210" si="66">SUM(P204:P209)</f>
        <v>-1493983</v>
      </c>
    </row>
    <row r="211" spans="3:16">
      <c r="D211" s="396"/>
      <c r="E211" s="396"/>
      <c r="F211" s="396"/>
      <c r="G211" s="396"/>
      <c r="H211" s="396"/>
      <c r="I211" s="396"/>
      <c r="J211" s="396"/>
      <c r="K211" s="396"/>
      <c r="L211" s="396"/>
      <c r="M211" s="396"/>
      <c r="N211" s="396"/>
      <c r="O211" s="396"/>
      <c r="P211" s="396"/>
    </row>
    <row r="212" spans="3:16">
      <c r="D212" s="396">
        <f>D200-D210</f>
        <v>0</v>
      </c>
      <c r="E212" s="396">
        <f t="shared" ref="E212:P212" si="67">E200-E210</f>
        <v>0</v>
      </c>
      <c r="F212" s="396">
        <f t="shared" si="67"/>
        <v>0</v>
      </c>
      <c r="G212" s="396">
        <f t="shared" si="67"/>
        <v>0</v>
      </c>
      <c r="H212" s="396">
        <f t="shared" si="67"/>
        <v>0</v>
      </c>
      <c r="I212" s="396">
        <f t="shared" si="67"/>
        <v>0</v>
      </c>
      <c r="J212" s="396">
        <f t="shared" si="67"/>
        <v>0</v>
      </c>
      <c r="K212" s="396">
        <f t="shared" si="67"/>
        <v>0</v>
      </c>
      <c r="L212" s="396">
        <f t="shared" si="67"/>
        <v>0</v>
      </c>
      <c r="M212" s="396">
        <f t="shared" si="67"/>
        <v>0</v>
      </c>
      <c r="N212" s="396">
        <f t="shared" si="67"/>
        <v>0</v>
      </c>
      <c r="O212" s="396">
        <f t="shared" si="67"/>
        <v>0</v>
      </c>
      <c r="P212" s="396">
        <f t="shared" si="67"/>
        <v>0</v>
      </c>
    </row>
    <row r="214" spans="3:16">
      <c r="O214" t="s">
        <v>575</v>
      </c>
      <c r="P214" s="393">
        <f>P204+P205+P206</f>
        <v>-991272</v>
      </c>
    </row>
  </sheetData>
  <pageMargins left="0.7" right="0.7" top="0.75" bottom="0.75" header="0.3" footer="0.3"/>
  <pageSetup scale="5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21</vt:i4>
      </vt:variant>
    </vt:vector>
  </HeadingPairs>
  <TitlesOfParts>
    <vt:vector size="36" baseType="lpstr">
      <vt:lpstr>Pres &amp; Prop Rev</vt:lpstr>
      <vt:lpstr>Rate Design</vt:lpstr>
      <vt:lpstr>Exh1</vt:lpstr>
      <vt:lpstr>Exh2</vt:lpstr>
      <vt:lpstr>Exh3</vt:lpstr>
      <vt:lpstr>Exh4</vt:lpstr>
      <vt:lpstr>Exh5</vt:lpstr>
      <vt:lpstr>ROR</vt:lpstr>
      <vt:lpstr>BFG</vt:lpstr>
      <vt:lpstr>Rate Spread</vt:lpstr>
      <vt:lpstr>Bill Impact</vt:lpstr>
      <vt:lpstr>Bill Determ</vt:lpstr>
      <vt:lpstr>Block Usage</vt:lpstr>
      <vt:lpstr>Big Schedules</vt:lpstr>
      <vt:lpstr>12MEDEC19</vt:lpstr>
      <vt:lpstr>Base1_Billing2</vt:lpstr>
      <vt:lpstr>'12MEDEC19'!Print_Area</vt:lpstr>
      <vt:lpstr>BFG!Print_Area</vt:lpstr>
      <vt:lpstr>'Big Schedules'!Print_Area</vt:lpstr>
      <vt:lpstr>'Bill Determ'!Print_Area</vt:lpstr>
      <vt:lpstr>'Bill Impact'!Print_Area</vt:lpstr>
      <vt:lpstr>'Block Usage'!Print_Area</vt:lpstr>
      <vt:lpstr>'Exh1'!Print_Area</vt:lpstr>
      <vt:lpstr>'Exh2'!Print_Area</vt:lpstr>
      <vt:lpstr>'Exh3'!Print_Area</vt:lpstr>
      <vt:lpstr>'Exh4'!Print_Area</vt:lpstr>
      <vt:lpstr>'Exh5'!Print_Area</vt:lpstr>
      <vt:lpstr>'Pres &amp; Prop Rev'!Print_Area</vt:lpstr>
      <vt:lpstr>'Rate Design'!Print_Area</vt:lpstr>
      <vt:lpstr>'Rate Spread'!Print_Area</vt:lpstr>
      <vt:lpstr>ROR!Print_Area</vt:lpstr>
      <vt:lpstr>'Pres &amp; Prop Rev'!PrintHeader</vt:lpstr>
      <vt:lpstr>Rates_Base_Present</vt:lpstr>
      <vt:lpstr>Rates_Base_Proposed</vt:lpstr>
      <vt:lpstr>Rates_Billing_Present</vt:lpstr>
      <vt:lpstr>Rates_Billing_Proposed</vt:lpstr>
    </vt:vector>
  </TitlesOfParts>
  <Company>Information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zz1x44</dc:creator>
  <cp:lastModifiedBy>Miller, Joe</cp:lastModifiedBy>
  <cp:lastPrinted>2020-09-24T19:36:59Z</cp:lastPrinted>
  <dcterms:created xsi:type="dcterms:W3CDTF">2004-04-05T21:48:48Z</dcterms:created>
  <dcterms:modified xsi:type="dcterms:W3CDTF">2020-10-27T15:37:20Z</dcterms:modified>
</cp:coreProperties>
</file>