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0\2020 WA Elec and Gas GRC\Adjustments\3.18 EIM\"/>
    </mc:Choice>
  </mc:AlternateContent>
  <xr:revisionPtr revIDLastSave="0" documentId="13_ncr:1_{0952DADF-AB33-431F-BB21-B1593E8B5BA8}" xr6:coauthVersionLast="44" xr6:coauthVersionMax="44" xr10:uidLastSave="{00000000-0000-0000-0000-000000000000}"/>
  <bookViews>
    <workbookView xWindow="-120" yWindow="-120" windowWidth="29040" windowHeight="15840" tabRatio="336" xr2:uid="{00000000-000D-0000-FFFF-FFFF00000000}"/>
  </bookViews>
  <sheets>
    <sheet name="Grouped" sheetId="7" r:id="rId1"/>
    <sheet name="HR EIM Roles" sheetId="1" r:id="rId2"/>
    <sheet name="Assumption" sheetId="2" r:id="rId3"/>
    <sheet name="Deferral Chart" sheetId="5" r:id="rId4"/>
    <sheet name="Sheet1" sheetId="6" r:id="rId5"/>
  </sheets>
  <definedNames>
    <definedName name="_xlnm._FilterDatabase" localSheetId="0" hidden="1">Grouped!$A$1:$X$27</definedName>
    <definedName name="_xlnm._FilterDatabase" localSheetId="4" hidden="1">Sheet1!$A$1:$X$27</definedName>
    <definedName name="_xlnm.Print_Area" localSheetId="0">Grouped!$A$1:$AA$73</definedName>
    <definedName name="_xlnm.Print_Area" localSheetId="1">'HR EIM Roles'!$A$6:$G$23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24" i="7" l="1"/>
  <c r="R25" i="7" l="1"/>
  <c r="R27" i="7"/>
  <c r="K26" i="7" l="1"/>
  <c r="M72" i="7" l="1"/>
  <c r="X70" i="7" l="1"/>
  <c r="W70" i="7"/>
  <c r="V70" i="7"/>
  <c r="U70" i="7"/>
  <c r="T70" i="7"/>
  <c r="S70" i="7"/>
  <c r="R70" i="7"/>
  <c r="Q70" i="7"/>
  <c r="P70" i="7"/>
  <c r="O70" i="7"/>
  <c r="X85" i="7"/>
  <c r="W85" i="7"/>
  <c r="V85" i="7"/>
  <c r="U85" i="7"/>
  <c r="T85" i="7"/>
  <c r="S85" i="7"/>
  <c r="R85" i="7"/>
  <c r="Q85" i="7"/>
  <c r="P85" i="7"/>
  <c r="X84" i="7"/>
  <c r="W84" i="7"/>
  <c r="V84" i="7"/>
  <c r="U84" i="7"/>
  <c r="T84" i="7"/>
  <c r="S84" i="7"/>
  <c r="R84" i="7"/>
  <c r="Q84" i="7"/>
  <c r="P84" i="7"/>
  <c r="X83" i="7"/>
  <c r="W83" i="7"/>
  <c r="V83" i="7"/>
  <c r="U83" i="7"/>
  <c r="T83" i="7"/>
  <c r="S83" i="7"/>
  <c r="R83" i="7"/>
  <c r="Q83" i="7"/>
  <c r="P83" i="7"/>
  <c r="X82" i="7"/>
  <c r="W82" i="7"/>
  <c r="V82" i="7"/>
  <c r="U82" i="7"/>
  <c r="T82" i="7"/>
  <c r="S82" i="7"/>
  <c r="R82" i="7"/>
  <c r="Q82" i="7"/>
  <c r="P82" i="7"/>
  <c r="X81" i="7"/>
  <c r="W81" i="7"/>
  <c r="V81" i="7"/>
  <c r="U81" i="7"/>
  <c r="T81" i="7"/>
  <c r="S81" i="7"/>
  <c r="R81" i="7"/>
  <c r="Q81" i="7"/>
  <c r="P81" i="7"/>
  <c r="X80" i="7"/>
  <c r="W80" i="7"/>
  <c r="V80" i="7"/>
  <c r="U80" i="7"/>
  <c r="T80" i="7"/>
  <c r="S80" i="7"/>
  <c r="R80" i="7"/>
  <c r="Q80" i="7"/>
  <c r="P80" i="7"/>
  <c r="O85" i="7"/>
  <c r="O84" i="7"/>
  <c r="O83" i="7"/>
  <c r="O82" i="7"/>
  <c r="O81" i="7"/>
  <c r="O80" i="7"/>
  <c r="P69" i="7"/>
  <c r="Q69" i="7"/>
  <c r="R69" i="7"/>
  <c r="S69" i="7"/>
  <c r="T69" i="7"/>
  <c r="U69" i="7"/>
  <c r="V69" i="7"/>
  <c r="W69" i="7"/>
  <c r="X69" i="7"/>
  <c r="O69" i="7"/>
  <c r="W53" i="7"/>
  <c r="M53" i="7"/>
  <c r="N53" i="7" s="1"/>
  <c r="L53" i="7"/>
  <c r="S53" i="7" s="1"/>
  <c r="K53" i="7"/>
  <c r="G53" i="7"/>
  <c r="W52" i="7"/>
  <c r="M52" i="7"/>
  <c r="N52" i="7" s="1"/>
  <c r="L52" i="7"/>
  <c r="S52" i="7" s="1"/>
  <c r="K52" i="7"/>
  <c r="G52" i="7"/>
  <c r="W51" i="7"/>
  <c r="M51" i="7"/>
  <c r="N51" i="7" s="1"/>
  <c r="L51" i="7"/>
  <c r="S51" i="7" s="1"/>
  <c r="K51" i="7"/>
  <c r="G51" i="7"/>
  <c r="W50" i="7"/>
  <c r="M50" i="7"/>
  <c r="N50" i="7" s="1"/>
  <c r="L50" i="7"/>
  <c r="S50" i="7" s="1"/>
  <c r="K50" i="7"/>
  <c r="G50" i="7"/>
  <c r="W49" i="7"/>
  <c r="M49" i="7"/>
  <c r="N49" i="7" s="1"/>
  <c r="L49" i="7"/>
  <c r="S49" i="7" s="1"/>
  <c r="K49" i="7"/>
  <c r="G49" i="7"/>
  <c r="W48" i="7"/>
  <c r="M48" i="7"/>
  <c r="N48" i="7" s="1"/>
  <c r="L48" i="7"/>
  <c r="S48" i="7" s="1"/>
  <c r="K48" i="7"/>
  <c r="G48" i="7"/>
  <c r="W47" i="7"/>
  <c r="M47" i="7"/>
  <c r="N47" i="7" s="1"/>
  <c r="L47" i="7"/>
  <c r="K47" i="7"/>
  <c r="G47" i="7"/>
  <c r="M46" i="7"/>
  <c r="N46" i="7" s="1"/>
  <c r="L46" i="7"/>
  <c r="Q46" i="7" s="1"/>
  <c r="K46" i="7"/>
  <c r="G46" i="7"/>
  <c r="W45" i="7"/>
  <c r="M45" i="7"/>
  <c r="N45" i="7" s="1"/>
  <c r="L45" i="7"/>
  <c r="K45" i="7"/>
  <c r="G45" i="7"/>
  <c r="W44" i="7"/>
  <c r="M44" i="7"/>
  <c r="N44" i="7" s="1"/>
  <c r="L44" i="7"/>
  <c r="O44" i="7" s="1"/>
  <c r="K44" i="7"/>
  <c r="G44" i="7"/>
  <c r="W43" i="7"/>
  <c r="M43" i="7"/>
  <c r="N43" i="7" s="1"/>
  <c r="L43" i="7"/>
  <c r="S43" i="7" s="1"/>
  <c r="K43" i="7"/>
  <c r="G43" i="7"/>
  <c r="W42" i="7"/>
  <c r="M42" i="7"/>
  <c r="N42" i="7" s="1"/>
  <c r="L42" i="7"/>
  <c r="S42" i="7" s="1"/>
  <c r="K42" i="7"/>
  <c r="G42" i="7"/>
  <c r="W41" i="7"/>
  <c r="M41" i="7"/>
  <c r="N41" i="7" s="1"/>
  <c r="L41" i="7"/>
  <c r="S41" i="7" s="1"/>
  <c r="K41" i="7"/>
  <c r="G41" i="7"/>
  <c r="W40" i="7"/>
  <c r="M40" i="7"/>
  <c r="N40" i="7" s="1"/>
  <c r="L40" i="7"/>
  <c r="S40" i="7" s="1"/>
  <c r="K40" i="7"/>
  <c r="G40" i="7"/>
  <c r="W39" i="7"/>
  <c r="M39" i="7"/>
  <c r="N39" i="7" s="1"/>
  <c r="L39" i="7"/>
  <c r="S39" i="7" s="1"/>
  <c r="K39" i="7"/>
  <c r="G39" i="7"/>
  <c r="W38" i="7"/>
  <c r="M38" i="7"/>
  <c r="N38" i="7" s="1"/>
  <c r="L38" i="7"/>
  <c r="S38" i="7" s="1"/>
  <c r="K38" i="7"/>
  <c r="G38" i="7"/>
  <c r="W37" i="7"/>
  <c r="M37" i="7"/>
  <c r="N37" i="7" s="1"/>
  <c r="L37" i="7"/>
  <c r="Q37" i="7" s="1"/>
  <c r="K37" i="7"/>
  <c r="G37" i="7"/>
  <c r="W36" i="7"/>
  <c r="M36" i="7"/>
  <c r="N36" i="7" s="1"/>
  <c r="L36" i="7"/>
  <c r="O36" i="7" s="1"/>
  <c r="K36" i="7"/>
  <c r="G36" i="7"/>
  <c r="M35" i="7"/>
  <c r="N35" i="7" s="1"/>
  <c r="L35" i="7"/>
  <c r="K35" i="7"/>
  <c r="G35" i="7"/>
  <c r="M34" i="7"/>
  <c r="N34" i="7" s="1"/>
  <c r="L34" i="7"/>
  <c r="S34" i="7" s="1"/>
  <c r="K34" i="7"/>
  <c r="G34" i="7"/>
  <c r="K23" i="7"/>
  <c r="L23" i="7" s="1"/>
  <c r="H23" i="7"/>
  <c r="I23" i="7" s="1"/>
  <c r="J23" i="7" s="1"/>
  <c r="K22" i="7"/>
  <c r="L22" i="7" s="1"/>
  <c r="H22" i="7"/>
  <c r="I22" i="7" s="1"/>
  <c r="J22" i="7" s="1"/>
  <c r="K21" i="7"/>
  <c r="L21" i="7" s="1"/>
  <c r="H21" i="7"/>
  <c r="I21" i="7" s="1"/>
  <c r="J21" i="7" s="1"/>
  <c r="K20" i="7"/>
  <c r="L20" i="7" s="1"/>
  <c r="H20" i="7"/>
  <c r="I20" i="7" s="1"/>
  <c r="J20" i="7" s="1"/>
  <c r="K19" i="7"/>
  <c r="L19" i="7" s="1"/>
  <c r="H19" i="7"/>
  <c r="I19" i="7" s="1"/>
  <c r="J19" i="7" s="1"/>
  <c r="K18" i="7"/>
  <c r="L18" i="7" s="1"/>
  <c r="H18" i="7"/>
  <c r="I18" i="7" s="1"/>
  <c r="J18" i="7" s="1"/>
  <c r="K17" i="7"/>
  <c r="L17" i="7" s="1"/>
  <c r="H17" i="7"/>
  <c r="I17" i="7" s="1"/>
  <c r="J17" i="7" s="1"/>
  <c r="K16" i="7"/>
  <c r="L16" i="7" s="1"/>
  <c r="H16" i="7"/>
  <c r="I16" i="7" s="1"/>
  <c r="J16" i="7" s="1"/>
  <c r="K15" i="7"/>
  <c r="L15" i="7" s="1"/>
  <c r="H15" i="7"/>
  <c r="I15" i="7" s="1"/>
  <c r="J15" i="7" s="1"/>
  <c r="K14" i="7"/>
  <c r="L14" i="7" s="1"/>
  <c r="K13" i="7"/>
  <c r="L13" i="7" s="1"/>
  <c r="K12" i="7"/>
  <c r="L12" i="7" s="1"/>
  <c r="K11" i="7"/>
  <c r="L11" i="7" s="1"/>
  <c r="K10" i="7"/>
  <c r="L10" i="7" s="1"/>
  <c r="K9" i="7"/>
  <c r="L9" i="7" s="1"/>
  <c r="M9" i="7" s="1"/>
  <c r="H9" i="7"/>
  <c r="I9" i="7" s="1"/>
  <c r="J9" i="7" s="1"/>
  <c r="K8" i="7"/>
  <c r="L8" i="7" s="1"/>
  <c r="H8" i="7"/>
  <c r="I8" i="7" s="1"/>
  <c r="J8" i="7" s="1"/>
  <c r="G7" i="7"/>
  <c r="K7" i="7" s="1"/>
  <c r="L7" i="7" s="1"/>
  <c r="K6" i="7"/>
  <c r="L6" i="7" s="1"/>
  <c r="H6" i="7"/>
  <c r="I6" i="7" s="1"/>
  <c r="J6" i="7" s="1"/>
  <c r="K5" i="7"/>
  <c r="L5" i="7" s="1"/>
  <c r="H5" i="7"/>
  <c r="I5" i="7" s="1"/>
  <c r="J5" i="7" s="1"/>
  <c r="K4" i="7"/>
  <c r="H4" i="7"/>
  <c r="Q86" i="7" l="1"/>
  <c r="P86" i="7"/>
  <c r="X86" i="7"/>
  <c r="O86" i="7"/>
  <c r="R86" i="7"/>
  <c r="U9" i="7"/>
  <c r="S86" i="7"/>
  <c r="T86" i="7"/>
  <c r="U86" i="7"/>
  <c r="V86" i="7"/>
  <c r="W86" i="7"/>
  <c r="R16" i="7"/>
  <c r="S45" i="7"/>
  <c r="K24" i="7"/>
  <c r="O47" i="7"/>
  <c r="P17" i="7" s="1"/>
  <c r="Q47" i="7"/>
  <c r="R17" i="7" s="1"/>
  <c r="S36" i="7"/>
  <c r="O43" i="7"/>
  <c r="S37" i="7"/>
  <c r="S47" i="7"/>
  <c r="O46" i="7"/>
  <c r="P16" i="7" s="1"/>
  <c r="M14" i="7"/>
  <c r="M17" i="7"/>
  <c r="M6" i="7"/>
  <c r="O6" i="7"/>
  <c r="P6" i="7"/>
  <c r="M15" i="7"/>
  <c r="M5" i="7"/>
  <c r="Q43" i="7"/>
  <c r="Q13" i="7" s="1"/>
  <c r="M8" i="7"/>
  <c r="M7" i="7"/>
  <c r="Q7" i="7"/>
  <c r="R7" i="7"/>
  <c r="M20" i="7"/>
  <c r="M21" i="7"/>
  <c r="M11" i="7"/>
  <c r="M22" i="7"/>
  <c r="P14" i="7"/>
  <c r="O14" i="7"/>
  <c r="M19" i="7"/>
  <c r="M10" i="7"/>
  <c r="M23" i="7"/>
  <c r="M13" i="7"/>
  <c r="O35" i="7"/>
  <c r="N9" i="7"/>
  <c r="Q34" i="7"/>
  <c r="Q44" i="7"/>
  <c r="R14" i="7" s="1"/>
  <c r="O41" i="7"/>
  <c r="S44" i="7"/>
  <c r="Q41" i="7"/>
  <c r="R11" i="7" s="1"/>
  <c r="O51" i="7"/>
  <c r="O38" i="7"/>
  <c r="Q51" i="7"/>
  <c r="R21" i="7" s="1"/>
  <c r="Q38" i="7"/>
  <c r="R8" i="7" s="1"/>
  <c r="O48" i="7"/>
  <c r="Q48" i="7"/>
  <c r="Q18" i="7" s="1"/>
  <c r="V9" i="7"/>
  <c r="Q35" i="7"/>
  <c r="R5" i="7" s="1"/>
  <c r="S35" i="7"/>
  <c r="O45" i="7"/>
  <c r="T9" i="7"/>
  <c r="Q45" i="7"/>
  <c r="Q15" i="7" s="1"/>
  <c r="Q68" i="7" s="1"/>
  <c r="S9" i="7"/>
  <c r="O42" i="7"/>
  <c r="L4" i="7"/>
  <c r="Q42" i="7"/>
  <c r="R12" i="7" s="1"/>
  <c r="O52" i="7"/>
  <c r="O34" i="7"/>
  <c r="O39" i="7"/>
  <c r="Q52" i="7"/>
  <c r="Q22" i="7" s="1"/>
  <c r="M12" i="7"/>
  <c r="Q39" i="7"/>
  <c r="O49" i="7"/>
  <c r="Q49" i="7"/>
  <c r="Q19" i="7" s="1"/>
  <c r="Q36" i="7"/>
  <c r="R6" i="7" s="1"/>
  <c r="M16" i="7"/>
  <c r="I4" i="7"/>
  <c r="H7" i="7"/>
  <c r="I7" i="7" s="1"/>
  <c r="J7" i="7" s="1"/>
  <c r="M18" i="7"/>
  <c r="G24" i="7"/>
  <c r="O53" i="7"/>
  <c r="O40" i="7"/>
  <c r="Q53" i="7"/>
  <c r="R23" i="7" s="1"/>
  <c r="Q16" i="7"/>
  <c r="Q40" i="7"/>
  <c r="O50" i="7"/>
  <c r="O37" i="7"/>
  <c r="Q50" i="7"/>
  <c r="Q20" i="7" s="1"/>
  <c r="W53" i="6"/>
  <c r="M53" i="6"/>
  <c r="N53" i="6" s="1"/>
  <c r="L53" i="6"/>
  <c r="S53" i="6" s="1"/>
  <c r="K53" i="6"/>
  <c r="G53" i="6"/>
  <c r="W52" i="6"/>
  <c r="M52" i="6"/>
  <c r="N52" i="6" s="1"/>
  <c r="L52" i="6"/>
  <c r="Q52" i="6" s="1"/>
  <c r="K52" i="6"/>
  <c r="G52" i="6"/>
  <c r="W51" i="6"/>
  <c r="M51" i="6"/>
  <c r="N51" i="6" s="1"/>
  <c r="U51" i="6" s="1"/>
  <c r="L51" i="6"/>
  <c r="O51" i="6" s="1"/>
  <c r="K51" i="6"/>
  <c r="G51" i="6"/>
  <c r="W50" i="6"/>
  <c r="M50" i="6"/>
  <c r="N50" i="6" s="1"/>
  <c r="U50" i="6" s="1"/>
  <c r="L50" i="6"/>
  <c r="S50" i="6" s="1"/>
  <c r="K50" i="6"/>
  <c r="G50" i="6"/>
  <c r="W49" i="6"/>
  <c r="M49" i="6"/>
  <c r="N49" i="6" s="1"/>
  <c r="L49" i="6"/>
  <c r="S49" i="6" s="1"/>
  <c r="K49" i="6"/>
  <c r="G49" i="6"/>
  <c r="W48" i="6"/>
  <c r="M48" i="6"/>
  <c r="N48" i="6" s="1"/>
  <c r="U48" i="6" s="1"/>
  <c r="L48" i="6"/>
  <c r="S48" i="6" s="1"/>
  <c r="K48" i="6"/>
  <c r="G48" i="6"/>
  <c r="W47" i="6"/>
  <c r="M47" i="6"/>
  <c r="N47" i="6" s="1"/>
  <c r="U47" i="6" s="1"/>
  <c r="L47" i="6"/>
  <c r="K47" i="6"/>
  <c r="G47" i="6"/>
  <c r="M46" i="6"/>
  <c r="N46" i="6" s="1"/>
  <c r="L46" i="6"/>
  <c r="Q46" i="6" s="1"/>
  <c r="K46" i="6"/>
  <c r="G46" i="6"/>
  <c r="W45" i="6"/>
  <c r="M45" i="6"/>
  <c r="N45" i="6" s="1"/>
  <c r="U45" i="6" s="1"/>
  <c r="L45" i="6"/>
  <c r="Q45" i="6" s="1"/>
  <c r="K45" i="6"/>
  <c r="G45" i="6"/>
  <c r="W44" i="6"/>
  <c r="M44" i="6"/>
  <c r="N44" i="6" s="1"/>
  <c r="U44" i="6" s="1"/>
  <c r="L44" i="6"/>
  <c r="O44" i="6" s="1"/>
  <c r="K44" i="6"/>
  <c r="G44" i="6"/>
  <c r="W43" i="6"/>
  <c r="M43" i="6"/>
  <c r="N43" i="6" s="1"/>
  <c r="U43" i="6" s="1"/>
  <c r="L43" i="6"/>
  <c r="S43" i="6" s="1"/>
  <c r="K43" i="6"/>
  <c r="G43" i="6"/>
  <c r="W42" i="6"/>
  <c r="M42" i="6"/>
  <c r="N42" i="6" s="1"/>
  <c r="L42" i="6"/>
  <c r="O42" i="6" s="1"/>
  <c r="K42" i="6"/>
  <c r="G42" i="6"/>
  <c r="W41" i="6"/>
  <c r="M41" i="6"/>
  <c r="N41" i="6" s="1"/>
  <c r="U41" i="6" s="1"/>
  <c r="L41" i="6"/>
  <c r="Q41" i="6" s="1"/>
  <c r="K41" i="6"/>
  <c r="G41" i="6"/>
  <c r="W40" i="6"/>
  <c r="M40" i="6"/>
  <c r="N40" i="6" s="1"/>
  <c r="U40" i="6" s="1"/>
  <c r="L40" i="6"/>
  <c r="K40" i="6"/>
  <c r="G40" i="6"/>
  <c r="W39" i="6"/>
  <c r="M39" i="6"/>
  <c r="N39" i="6" s="1"/>
  <c r="U39" i="6" s="1"/>
  <c r="L39" i="6"/>
  <c r="S39" i="6" s="1"/>
  <c r="K39" i="6"/>
  <c r="G39" i="6"/>
  <c r="W38" i="6"/>
  <c r="M38" i="6"/>
  <c r="N38" i="6" s="1"/>
  <c r="U38" i="6" s="1"/>
  <c r="L38" i="6"/>
  <c r="S38" i="6" s="1"/>
  <c r="K38" i="6"/>
  <c r="G38" i="6"/>
  <c r="W37" i="6"/>
  <c r="M37" i="6"/>
  <c r="N37" i="6" s="1"/>
  <c r="U37" i="6" s="1"/>
  <c r="L37" i="6"/>
  <c r="Q37" i="6" s="1"/>
  <c r="K37" i="6"/>
  <c r="G37" i="6"/>
  <c r="W36" i="6"/>
  <c r="M36" i="6"/>
  <c r="N36" i="6" s="1"/>
  <c r="U36" i="6" s="1"/>
  <c r="L36" i="6"/>
  <c r="O36" i="6" s="1"/>
  <c r="K36" i="6"/>
  <c r="G36" i="6"/>
  <c r="M35" i="6"/>
  <c r="N35" i="6" s="1"/>
  <c r="L35" i="6"/>
  <c r="S35" i="6" s="1"/>
  <c r="K35" i="6"/>
  <c r="G35" i="6"/>
  <c r="M34" i="6"/>
  <c r="N34" i="6" s="1"/>
  <c r="U34" i="6" s="1"/>
  <c r="L34" i="6"/>
  <c r="O34" i="6" s="1"/>
  <c r="P4" i="6" s="1"/>
  <c r="K34" i="6"/>
  <c r="G34" i="6"/>
  <c r="K26" i="6"/>
  <c r="K23" i="6"/>
  <c r="L23" i="6" s="1"/>
  <c r="H23" i="6"/>
  <c r="I23" i="6" s="1"/>
  <c r="J23" i="6" s="1"/>
  <c r="K22" i="6"/>
  <c r="L22" i="6" s="1"/>
  <c r="H22" i="6"/>
  <c r="I22" i="6" s="1"/>
  <c r="J22" i="6" s="1"/>
  <c r="K21" i="6"/>
  <c r="L21" i="6" s="1"/>
  <c r="H21" i="6"/>
  <c r="I21" i="6" s="1"/>
  <c r="J21" i="6" s="1"/>
  <c r="K20" i="6"/>
  <c r="L20" i="6" s="1"/>
  <c r="H20" i="6"/>
  <c r="I20" i="6" s="1"/>
  <c r="J20" i="6" s="1"/>
  <c r="K19" i="6"/>
  <c r="L19" i="6" s="1"/>
  <c r="H19" i="6"/>
  <c r="I19" i="6" s="1"/>
  <c r="J19" i="6" s="1"/>
  <c r="K18" i="6"/>
  <c r="L18" i="6" s="1"/>
  <c r="M18" i="6" s="1"/>
  <c r="H18" i="6"/>
  <c r="I18" i="6" s="1"/>
  <c r="J18" i="6" s="1"/>
  <c r="K17" i="6"/>
  <c r="L17" i="6" s="1"/>
  <c r="M17" i="6" s="1"/>
  <c r="N17" i="6" s="1"/>
  <c r="H17" i="6"/>
  <c r="I17" i="6" s="1"/>
  <c r="J17" i="6" s="1"/>
  <c r="K16" i="6"/>
  <c r="L16" i="6" s="1"/>
  <c r="H16" i="6"/>
  <c r="I16" i="6" s="1"/>
  <c r="J16" i="6" s="1"/>
  <c r="K15" i="6"/>
  <c r="L15" i="6" s="1"/>
  <c r="H15" i="6"/>
  <c r="I15" i="6" s="1"/>
  <c r="J15" i="6" s="1"/>
  <c r="K14" i="6"/>
  <c r="L14" i="6" s="1"/>
  <c r="K13" i="6"/>
  <c r="L13" i="6" s="1"/>
  <c r="K12" i="6"/>
  <c r="L12" i="6" s="1"/>
  <c r="K11" i="6"/>
  <c r="L11" i="6" s="1"/>
  <c r="K10" i="6"/>
  <c r="L10" i="6" s="1"/>
  <c r="M10" i="6" s="1"/>
  <c r="K9" i="6"/>
  <c r="L9" i="6" s="1"/>
  <c r="M9" i="6" s="1"/>
  <c r="H9" i="6"/>
  <c r="I9" i="6" s="1"/>
  <c r="J9" i="6" s="1"/>
  <c r="K8" i="6"/>
  <c r="L8" i="6" s="1"/>
  <c r="H8" i="6"/>
  <c r="I8" i="6" s="1"/>
  <c r="J8" i="6" s="1"/>
  <c r="G7" i="6"/>
  <c r="G24" i="6" s="1"/>
  <c r="K6" i="6"/>
  <c r="L6" i="6" s="1"/>
  <c r="H6" i="6"/>
  <c r="I6" i="6" s="1"/>
  <c r="J6" i="6" s="1"/>
  <c r="K5" i="6"/>
  <c r="L5" i="6" s="1"/>
  <c r="H5" i="6"/>
  <c r="I5" i="6" s="1"/>
  <c r="J5" i="6" s="1"/>
  <c r="K4" i="6"/>
  <c r="L4" i="6" s="1"/>
  <c r="H4" i="6"/>
  <c r="I4" i="6" s="1"/>
  <c r="S52" i="6" l="1"/>
  <c r="R10" i="7"/>
  <c r="Q10" i="7"/>
  <c r="Q12" i="7"/>
  <c r="Q17" i="7"/>
  <c r="R20" i="7"/>
  <c r="R15" i="7"/>
  <c r="R68" i="7" s="1"/>
  <c r="O17" i="7"/>
  <c r="Q5" i="7"/>
  <c r="R18" i="7"/>
  <c r="R13" i="7"/>
  <c r="O16" i="7"/>
  <c r="Q21" i="7"/>
  <c r="Q23" i="7"/>
  <c r="Q8" i="7"/>
  <c r="O13" i="7"/>
  <c r="P13" i="7"/>
  <c r="V21" i="7"/>
  <c r="U21" i="7"/>
  <c r="T21" i="7"/>
  <c r="S21" i="7"/>
  <c r="N21" i="7"/>
  <c r="T8" i="7"/>
  <c r="V8" i="7"/>
  <c r="U8" i="7"/>
  <c r="S8" i="7"/>
  <c r="N8" i="7"/>
  <c r="P4" i="7"/>
  <c r="P65" i="7" s="1"/>
  <c r="O4" i="7"/>
  <c r="O65" i="7" s="1"/>
  <c r="L24" i="7"/>
  <c r="Q4" i="7"/>
  <c r="R4" i="7"/>
  <c r="R65" i="7" s="1"/>
  <c r="M4" i="7"/>
  <c r="V23" i="7"/>
  <c r="U23" i="7"/>
  <c r="T23" i="7"/>
  <c r="S23" i="7"/>
  <c r="N23" i="7"/>
  <c r="U16" i="7"/>
  <c r="N16" i="7"/>
  <c r="T16" i="7"/>
  <c r="V16" i="7"/>
  <c r="S16" i="7"/>
  <c r="N15" i="7"/>
  <c r="S15" i="7"/>
  <c r="S68" i="7" s="1"/>
  <c r="U15" i="7"/>
  <c r="U68" i="7" s="1"/>
  <c r="V15" i="7"/>
  <c r="V68" i="7" s="1"/>
  <c r="T15" i="7"/>
  <c r="T68" i="7" s="1"/>
  <c r="S18" i="7"/>
  <c r="N18" i="7"/>
  <c r="U18" i="7"/>
  <c r="T18" i="7"/>
  <c r="V18" i="7"/>
  <c r="W9" i="7"/>
  <c r="X9" i="7"/>
  <c r="R9" i="7"/>
  <c r="Q9" i="7"/>
  <c r="Q6" i="7"/>
  <c r="V13" i="7"/>
  <c r="S13" i="7"/>
  <c r="U13" i="7"/>
  <c r="T13" i="7"/>
  <c r="N13" i="7"/>
  <c r="V12" i="7"/>
  <c r="U12" i="7"/>
  <c r="T12" i="7"/>
  <c r="S12" i="7"/>
  <c r="N12" i="7"/>
  <c r="U10" i="7"/>
  <c r="V10" i="7"/>
  <c r="T10" i="7"/>
  <c r="S10" i="7"/>
  <c r="N10" i="7"/>
  <c r="P15" i="7"/>
  <c r="P68" i="7" s="1"/>
  <c r="O15" i="7"/>
  <c r="O68" i="7" s="1"/>
  <c r="N20" i="7"/>
  <c r="T20" i="7"/>
  <c r="V20" i="7"/>
  <c r="S20" i="7"/>
  <c r="U20" i="7"/>
  <c r="N5" i="7"/>
  <c r="T5" i="7"/>
  <c r="S5" i="7"/>
  <c r="V5" i="7"/>
  <c r="U5" i="7"/>
  <c r="T6" i="7"/>
  <c r="S6" i="7"/>
  <c r="V6" i="7"/>
  <c r="N6" i="7"/>
  <c r="U6" i="7"/>
  <c r="O11" i="7"/>
  <c r="P11" i="7"/>
  <c r="P18" i="7"/>
  <c r="O18" i="7"/>
  <c r="R22" i="7"/>
  <c r="R66" i="7" s="1"/>
  <c r="N22" i="7"/>
  <c r="T22" i="7"/>
  <c r="S22" i="7"/>
  <c r="U22" i="7"/>
  <c r="V22" i="7"/>
  <c r="J4" i="7"/>
  <c r="R19" i="7"/>
  <c r="V17" i="7"/>
  <c r="U17" i="7"/>
  <c r="T17" i="7"/>
  <c r="S17" i="7"/>
  <c r="N17" i="7"/>
  <c r="P5" i="7"/>
  <c r="O5" i="7"/>
  <c r="P19" i="7"/>
  <c r="O19" i="7"/>
  <c r="O22" i="7"/>
  <c r="P22" i="7"/>
  <c r="P8" i="7"/>
  <c r="O8" i="7"/>
  <c r="S11" i="7"/>
  <c r="V11" i="7"/>
  <c r="T11" i="7"/>
  <c r="U11" i="7"/>
  <c r="N11" i="7"/>
  <c r="V14" i="7"/>
  <c r="S14" i="7"/>
  <c r="U14" i="7"/>
  <c r="T14" i="7"/>
  <c r="N14" i="7"/>
  <c r="N7" i="7"/>
  <c r="T7" i="7"/>
  <c r="V7" i="7"/>
  <c r="U7" i="7"/>
  <c r="S7" i="7"/>
  <c r="N19" i="7"/>
  <c r="V19" i="7"/>
  <c r="U19" i="7"/>
  <c r="T19" i="7"/>
  <c r="S19" i="7"/>
  <c r="O7" i="7"/>
  <c r="P7" i="7"/>
  <c r="P20" i="7"/>
  <c r="O20" i="7"/>
  <c r="P10" i="7"/>
  <c r="O10" i="7"/>
  <c r="P21" i="7"/>
  <c r="O21" i="7"/>
  <c r="Q11" i="7"/>
  <c r="Q14" i="7"/>
  <c r="P9" i="7"/>
  <c r="O9" i="7"/>
  <c r="P12" i="7"/>
  <c r="O12" i="7"/>
  <c r="P23" i="7"/>
  <c r="O23" i="7"/>
  <c r="H7" i="6"/>
  <c r="K7" i="6"/>
  <c r="L7" i="6" s="1"/>
  <c r="X17" i="6"/>
  <c r="R11" i="6"/>
  <c r="S51" i="6"/>
  <c r="Q34" i="6"/>
  <c r="S34" i="6"/>
  <c r="O47" i="6"/>
  <c r="P17" i="6" s="1"/>
  <c r="O46" i="6"/>
  <c r="O16" i="6" s="1"/>
  <c r="T9" i="6"/>
  <c r="N9" i="6"/>
  <c r="X9" i="6" s="1"/>
  <c r="V9" i="6"/>
  <c r="O40" i="6"/>
  <c r="P10" i="6" s="1"/>
  <c r="S47" i="6"/>
  <c r="T17" i="6" s="1"/>
  <c r="O48" i="6"/>
  <c r="P18" i="6" s="1"/>
  <c r="V17" i="6"/>
  <c r="O4" i="6"/>
  <c r="Q38" i="6"/>
  <c r="R8" i="6" s="1"/>
  <c r="O39" i="6"/>
  <c r="O43" i="6"/>
  <c r="P13" i="6" s="1"/>
  <c r="Q48" i="6"/>
  <c r="O49" i="6"/>
  <c r="R18" i="6"/>
  <c r="S42" i="6"/>
  <c r="Q53" i="6"/>
  <c r="R23" i="6" s="1"/>
  <c r="K24" i="6"/>
  <c r="S18" i="6"/>
  <c r="M6" i="6"/>
  <c r="M14" i="6"/>
  <c r="M5" i="6"/>
  <c r="M20" i="6"/>
  <c r="M23" i="6"/>
  <c r="P6" i="6"/>
  <c r="O6" i="6"/>
  <c r="M15" i="6"/>
  <c r="R15" i="6"/>
  <c r="Q15" i="6"/>
  <c r="M21" i="6"/>
  <c r="O38" i="6"/>
  <c r="J4" i="6"/>
  <c r="M12" i="6"/>
  <c r="L24" i="6"/>
  <c r="M7" i="6"/>
  <c r="Q7" i="6"/>
  <c r="R7" i="6"/>
  <c r="P12" i="6"/>
  <c r="O12" i="6"/>
  <c r="U49" i="6"/>
  <c r="Q49" i="6"/>
  <c r="R19" i="6" s="1"/>
  <c r="O14" i="6"/>
  <c r="P14" i="6"/>
  <c r="M16" i="6"/>
  <c r="R16" i="6"/>
  <c r="Q16" i="6"/>
  <c r="U42" i="6"/>
  <c r="Q42" i="6"/>
  <c r="Q12" i="6" s="1"/>
  <c r="U53" i="6"/>
  <c r="O53" i="6"/>
  <c r="M8" i="6"/>
  <c r="M13" i="6"/>
  <c r="R22" i="6"/>
  <c r="Q22" i="6"/>
  <c r="M22" i="6"/>
  <c r="U52" i="6"/>
  <c r="O52" i="6"/>
  <c r="P21" i="6"/>
  <c r="O21" i="6"/>
  <c r="U10" i="6"/>
  <c r="N10" i="6"/>
  <c r="W17" i="6"/>
  <c r="U9" i="6"/>
  <c r="U17" i="6"/>
  <c r="T18" i="6"/>
  <c r="S37" i="6"/>
  <c r="S41" i="6"/>
  <c r="S45" i="6"/>
  <c r="Q47" i="6"/>
  <c r="Q17" i="6" s="1"/>
  <c r="Q51" i="6"/>
  <c r="Q21" i="6" s="1"/>
  <c r="M11" i="6"/>
  <c r="Q39" i="6"/>
  <c r="Q9" i="6" s="1"/>
  <c r="Q43" i="6"/>
  <c r="Q13" i="6" s="1"/>
  <c r="N18" i="6"/>
  <c r="I7" i="6"/>
  <c r="J7" i="6" s="1"/>
  <c r="M19" i="6"/>
  <c r="Q18" i="6"/>
  <c r="Q35" i="6"/>
  <c r="R5" i="6" s="1"/>
  <c r="Q36" i="6"/>
  <c r="R6" i="6" s="1"/>
  <c r="Q40" i="6"/>
  <c r="Q10" i="6" s="1"/>
  <c r="Q44" i="6"/>
  <c r="R14" i="6" s="1"/>
  <c r="O50" i="6"/>
  <c r="M4" i="6"/>
  <c r="O35" i="6"/>
  <c r="Q4" i="6"/>
  <c r="S9" i="6"/>
  <c r="Q11" i="6"/>
  <c r="S36" i="6"/>
  <c r="O37" i="6"/>
  <c r="P7" i="6" s="1"/>
  <c r="S40" i="6"/>
  <c r="S10" i="6" s="1"/>
  <c r="O41" i="6"/>
  <c r="S44" i="6"/>
  <c r="O45" i="6"/>
  <c r="Q50" i="6"/>
  <c r="Q20" i="6" s="1"/>
  <c r="U18" i="6"/>
  <c r="V10" i="6"/>
  <c r="V18" i="6"/>
  <c r="R4" i="6"/>
  <c r="E55" i="2"/>
  <c r="F55" i="2" s="1"/>
  <c r="G55" i="2" s="1"/>
  <c r="E61" i="2"/>
  <c r="F61" i="2" s="1"/>
  <c r="G61" i="2" s="1"/>
  <c r="G48" i="2"/>
  <c r="P47" i="2"/>
  <c r="M49" i="2"/>
  <c r="L49" i="2"/>
  <c r="K49" i="2"/>
  <c r="H47" i="2"/>
  <c r="H46" i="2"/>
  <c r="G49" i="2"/>
  <c r="G47" i="2"/>
  <c r="G46" i="2"/>
  <c r="E56" i="2"/>
  <c r="F56" i="2" s="1"/>
  <c r="G56" i="2" s="1"/>
  <c r="E57" i="2"/>
  <c r="I48" i="2" s="1"/>
  <c r="E58" i="2"/>
  <c r="K50" i="2" s="1"/>
  <c r="F58" i="2"/>
  <c r="G58" i="2" s="1"/>
  <c r="Q47" i="2" s="1"/>
  <c r="E59" i="2"/>
  <c r="H16" i="1"/>
  <c r="I16" i="1" s="1"/>
  <c r="J16" i="1" s="1"/>
  <c r="K16" i="1"/>
  <c r="L16" i="1" s="1"/>
  <c r="K15" i="1"/>
  <c r="G46" i="1"/>
  <c r="K46" i="1"/>
  <c r="L46" i="1"/>
  <c r="M46" i="1"/>
  <c r="N46" i="1" s="1"/>
  <c r="G47" i="1"/>
  <c r="I46" i="2" l="1"/>
  <c r="K46" i="2"/>
  <c r="L46" i="2"/>
  <c r="H49" i="2"/>
  <c r="I49" i="2"/>
  <c r="I47" i="2"/>
  <c r="K47" i="2"/>
  <c r="L47" i="2"/>
  <c r="R13" i="6"/>
  <c r="F57" i="2"/>
  <c r="H48" i="2"/>
  <c r="K48" i="2"/>
  <c r="L48" i="2"/>
  <c r="M48" i="2"/>
  <c r="R67" i="7"/>
  <c r="R71" i="7" s="1"/>
  <c r="P67" i="7"/>
  <c r="Q67" i="7"/>
  <c r="Q66" i="7"/>
  <c r="O67" i="7"/>
  <c r="Q24" i="7"/>
  <c r="Q65" i="7"/>
  <c r="V67" i="7"/>
  <c r="S67" i="7"/>
  <c r="T67" i="7"/>
  <c r="U66" i="7"/>
  <c r="V66" i="7"/>
  <c r="S66" i="7"/>
  <c r="T66" i="7"/>
  <c r="U67" i="7"/>
  <c r="O66" i="7"/>
  <c r="P66" i="7"/>
  <c r="W20" i="7"/>
  <c r="X20" i="7"/>
  <c r="X15" i="7"/>
  <c r="X68" i="7" s="1"/>
  <c r="W15" i="7"/>
  <c r="W68" i="7" s="1"/>
  <c r="X16" i="7"/>
  <c r="W16" i="7"/>
  <c r="X23" i="7"/>
  <c r="W23" i="7"/>
  <c r="W13" i="7"/>
  <c r="X13" i="7"/>
  <c r="X12" i="7"/>
  <c r="W12" i="7"/>
  <c r="R24" i="7"/>
  <c r="O24" i="7"/>
  <c r="X19" i="7"/>
  <c r="W19" i="7"/>
  <c r="X7" i="7"/>
  <c r="W7" i="7"/>
  <c r="P24" i="7"/>
  <c r="W22" i="7"/>
  <c r="X22" i="7"/>
  <c r="X8" i="7"/>
  <c r="W8" i="7"/>
  <c r="X17" i="7"/>
  <c r="W17" i="7"/>
  <c r="W14" i="7"/>
  <c r="X14" i="7"/>
  <c r="U4" i="7"/>
  <c r="N4" i="7"/>
  <c r="V4" i="7"/>
  <c r="T4" i="7"/>
  <c r="S4" i="7"/>
  <c r="M24" i="7"/>
  <c r="X21" i="7"/>
  <c r="W21" i="7"/>
  <c r="X6" i="7"/>
  <c r="W6" i="7"/>
  <c r="W18" i="7"/>
  <c r="X18" i="7"/>
  <c r="W10" i="7"/>
  <c r="X10" i="7"/>
  <c r="X11" i="7"/>
  <c r="W11" i="7"/>
  <c r="W5" i="7"/>
  <c r="X5" i="7"/>
  <c r="Q19" i="6"/>
  <c r="Q46" i="2"/>
  <c r="S17" i="6"/>
  <c r="O10" i="6"/>
  <c r="H50" i="2"/>
  <c r="O13" i="6"/>
  <c r="O46" i="1"/>
  <c r="J46" i="2"/>
  <c r="H10" i="7" s="1"/>
  <c r="I50" i="2"/>
  <c r="W9" i="6"/>
  <c r="Q23" i="6"/>
  <c r="O17" i="6"/>
  <c r="P16" i="6"/>
  <c r="Q8" i="6"/>
  <c r="Q5" i="6"/>
  <c r="O18" i="6"/>
  <c r="Q14" i="6"/>
  <c r="P19" i="6"/>
  <c r="O19" i="6"/>
  <c r="P9" i="6"/>
  <c r="O9" i="6"/>
  <c r="R17" i="6"/>
  <c r="P23" i="6"/>
  <c r="O23" i="6"/>
  <c r="U16" i="6"/>
  <c r="T16" i="6"/>
  <c r="S16" i="6"/>
  <c r="V16" i="6"/>
  <c r="N16" i="6"/>
  <c r="V23" i="6"/>
  <c r="N23" i="6"/>
  <c r="U23" i="6"/>
  <c r="S23" i="6"/>
  <c r="T23" i="6"/>
  <c r="U5" i="6"/>
  <c r="V5" i="6"/>
  <c r="T5" i="6"/>
  <c r="N5" i="6"/>
  <c r="S5" i="6"/>
  <c r="O11" i="6"/>
  <c r="P11" i="6"/>
  <c r="T10" i="6"/>
  <c r="V7" i="6"/>
  <c r="N7" i="6"/>
  <c r="U7" i="6"/>
  <c r="T7" i="6"/>
  <c r="S7" i="6"/>
  <c r="R21" i="6"/>
  <c r="U11" i="6"/>
  <c r="N11" i="6"/>
  <c r="V11" i="6"/>
  <c r="T11" i="6"/>
  <c r="S11" i="6"/>
  <c r="O22" i="6"/>
  <c r="P22" i="6"/>
  <c r="R9" i="6"/>
  <c r="U21" i="6"/>
  <c r="V21" i="6"/>
  <c r="N21" i="6"/>
  <c r="T21" i="6"/>
  <c r="S21" i="6"/>
  <c r="O7" i="6"/>
  <c r="R10" i="6"/>
  <c r="V14" i="6"/>
  <c r="N14" i="6"/>
  <c r="U14" i="6"/>
  <c r="T14" i="6"/>
  <c r="S14" i="6"/>
  <c r="V13" i="6"/>
  <c r="N13" i="6"/>
  <c r="T13" i="6"/>
  <c r="U13" i="6"/>
  <c r="S13" i="6"/>
  <c r="P5" i="6"/>
  <c r="O5" i="6"/>
  <c r="R12" i="6"/>
  <c r="T20" i="6"/>
  <c r="S20" i="6"/>
  <c r="V20" i="6"/>
  <c r="N20" i="6"/>
  <c r="U20" i="6"/>
  <c r="N4" i="6"/>
  <c r="V4" i="6"/>
  <c r="U4" i="6"/>
  <c r="T4" i="6"/>
  <c r="M24" i="6"/>
  <c r="S4" i="6"/>
  <c r="N19" i="6"/>
  <c r="V19" i="6"/>
  <c r="U19" i="6"/>
  <c r="S19" i="6"/>
  <c r="T19" i="6"/>
  <c r="V22" i="6"/>
  <c r="N22" i="6"/>
  <c r="U22" i="6"/>
  <c r="T22" i="6"/>
  <c r="S22" i="6"/>
  <c r="U8" i="6"/>
  <c r="T8" i="6"/>
  <c r="S8" i="6"/>
  <c r="V8" i="6"/>
  <c r="N8" i="6"/>
  <c r="N12" i="6"/>
  <c r="U12" i="6"/>
  <c r="T12" i="6"/>
  <c r="S12" i="6"/>
  <c r="V12" i="6"/>
  <c r="R20" i="6"/>
  <c r="V6" i="6"/>
  <c r="N6" i="6"/>
  <c r="U6" i="6"/>
  <c r="T6" i="6"/>
  <c r="S6" i="6"/>
  <c r="O8" i="6"/>
  <c r="P8" i="6"/>
  <c r="P20" i="6"/>
  <c r="O20" i="6"/>
  <c r="X10" i="6"/>
  <c r="W10" i="6"/>
  <c r="Q6" i="6"/>
  <c r="P15" i="6"/>
  <c r="O15" i="6"/>
  <c r="X18" i="6"/>
  <c r="W18" i="6"/>
  <c r="V15" i="6"/>
  <c r="N15" i="6"/>
  <c r="U15" i="6"/>
  <c r="T15" i="6"/>
  <c r="S15" i="6"/>
  <c r="M16" i="1"/>
  <c r="N16" i="1" s="1"/>
  <c r="W16" i="1" s="1"/>
  <c r="F59" i="2"/>
  <c r="J50" i="2"/>
  <c r="H14" i="7" s="1"/>
  <c r="N49" i="2"/>
  <c r="I13" i="7" s="1"/>
  <c r="J13" i="7" s="1"/>
  <c r="J49" i="2"/>
  <c r="H13" i="7" s="1"/>
  <c r="N48" i="2"/>
  <c r="I12" i="7" s="1"/>
  <c r="J12" i="7" s="1"/>
  <c r="J47" i="2"/>
  <c r="H11" i="7" s="1"/>
  <c r="Q46" i="1"/>
  <c r="G7" i="1"/>
  <c r="N47" i="2" l="1"/>
  <c r="I11" i="7" s="1"/>
  <c r="J11" i="7" s="1"/>
  <c r="G57" i="2"/>
  <c r="P46" i="2" s="1"/>
  <c r="O47" i="2"/>
  <c r="R47" i="2" s="1"/>
  <c r="M47" i="2"/>
  <c r="O46" i="2"/>
  <c r="R46" i="2" s="1"/>
  <c r="M46" i="2"/>
  <c r="O71" i="7"/>
  <c r="P71" i="7"/>
  <c r="X66" i="7"/>
  <c r="Q71" i="7"/>
  <c r="W67" i="7"/>
  <c r="W66" i="7"/>
  <c r="X67" i="7"/>
  <c r="S24" i="7"/>
  <c r="S65" i="7"/>
  <c r="S71" i="7" s="1"/>
  <c r="V24" i="7"/>
  <c r="V65" i="7"/>
  <c r="V71" i="7" s="1"/>
  <c r="U24" i="7"/>
  <c r="U65" i="7"/>
  <c r="U71" i="7" s="1"/>
  <c r="T24" i="7"/>
  <c r="T65" i="7"/>
  <c r="T71" i="7" s="1"/>
  <c r="X4" i="7"/>
  <c r="W4" i="7"/>
  <c r="N24" i="7"/>
  <c r="H11" i="6"/>
  <c r="H11" i="1"/>
  <c r="I12" i="6"/>
  <c r="J12" i="6" s="1"/>
  <c r="I12" i="1"/>
  <c r="H10" i="6"/>
  <c r="H10" i="1"/>
  <c r="O16" i="1"/>
  <c r="P16" i="1"/>
  <c r="O50" i="2"/>
  <c r="L50" i="2"/>
  <c r="M50" i="2"/>
  <c r="H14" i="6"/>
  <c r="H14" i="1"/>
  <c r="I11" i="6"/>
  <c r="J11" i="6" s="1"/>
  <c r="I11" i="1"/>
  <c r="H13" i="6"/>
  <c r="H13" i="1"/>
  <c r="I13" i="6"/>
  <c r="J13" i="6" s="1"/>
  <c r="I13" i="1"/>
  <c r="Q24" i="6"/>
  <c r="R24" i="6"/>
  <c r="V24" i="6"/>
  <c r="U24" i="6"/>
  <c r="X16" i="6"/>
  <c r="W16" i="6"/>
  <c r="X11" i="6"/>
  <c r="W11" i="6"/>
  <c r="W14" i="6"/>
  <c r="X14" i="6"/>
  <c r="P24" i="6"/>
  <c r="X15" i="6"/>
  <c r="W15" i="6"/>
  <c r="X19" i="6"/>
  <c r="W19" i="6"/>
  <c r="X20" i="6"/>
  <c r="W20" i="6"/>
  <c r="X7" i="6"/>
  <c r="W7" i="6"/>
  <c r="X12" i="6"/>
  <c r="W12" i="6"/>
  <c r="S24" i="6"/>
  <c r="X21" i="6"/>
  <c r="W21" i="6"/>
  <c r="X6" i="6"/>
  <c r="W6" i="6"/>
  <c r="X13" i="6"/>
  <c r="W13" i="6"/>
  <c r="X23" i="6"/>
  <c r="W23" i="6"/>
  <c r="O24" i="6"/>
  <c r="X4" i="6"/>
  <c r="W4" i="6"/>
  <c r="N24" i="6"/>
  <c r="X8" i="6"/>
  <c r="W8" i="6"/>
  <c r="W22" i="6"/>
  <c r="X22" i="6"/>
  <c r="T24" i="6"/>
  <c r="X5" i="6"/>
  <c r="W5" i="6"/>
  <c r="V16" i="1"/>
  <c r="T16" i="1"/>
  <c r="X16" i="1"/>
  <c r="U16" i="1"/>
  <c r="S16" i="1"/>
  <c r="O48" i="2"/>
  <c r="G59" i="2"/>
  <c r="O49" i="2"/>
  <c r="J48" i="2"/>
  <c r="H12" i="7" s="1"/>
  <c r="H24" i="7" s="1"/>
  <c r="Q16" i="1"/>
  <c r="R16" i="1"/>
  <c r="K26" i="1"/>
  <c r="AA27" i="7" l="1"/>
  <c r="W24" i="7"/>
  <c r="W65" i="7"/>
  <c r="W71" i="7" s="1"/>
  <c r="X24" i="7"/>
  <c r="X65" i="7"/>
  <c r="X71" i="7" s="1"/>
  <c r="H12" i="6"/>
  <c r="H12" i="1"/>
  <c r="N50" i="2"/>
  <c r="I14" i="7" s="1"/>
  <c r="J14" i="7" s="1"/>
  <c r="H24" i="6"/>
  <c r="P50" i="2"/>
  <c r="Q50" i="2"/>
  <c r="W24" i="6"/>
  <c r="X24" i="6"/>
  <c r="P49" i="2"/>
  <c r="P48" i="2"/>
  <c r="R48" i="2" s="1"/>
  <c r="Q48" i="2"/>
  <c r="Q49" i="2"/>
  <c r="N46" i="2"/>
  <c r="I10" i="7" s="1"/>
  <c r="H8" i="1"/>
  <c r="I8" i="1" s="1"/>
  <c r="J8" i="1" s="1"/>
  <c r="H23" i="1"/>
  <c r="I23" i="1" s="1"/>
  <c r="J23" i="1" s="1"/>
  <c r="H22" i="1"/>
  <c r="I22" i="1" s="1"/>
  <c r="J22" i="1" s="1"/>
  <c r="H21" i="1"/>
  <c r="I21" i="1" s="1"/>
  <c r="J21" i="1" s="1"/>
  <c r="H20" i="1"/>
  <c r="I20" i="1" s="1"/>
  <c r="J20" i="1" s="1"/>
  <c r="H19" i="1"/>
  <c r="I19" i="1" s="1"/>
  <c r="J19" i="1" s="1"/>
  <c r="H18" i="1"/>
  <c r="I18" i="1" s="1"/>
  <c r="J18" i="1" s="1"/>
  <c r="H17" i="1"/>
  <c r="I17" i="1" s="1"/>
  <c r="J17" i="1" s="1"/>
  <c r="H15" i="1"/>
  <c r="I15" i="1" s="1"/>
  <c r="J15" i="1" s="1"/>
  <c r="J13" i="1"/>
  <c r="J12" i="1"/>
  <c r="J11" i="1"/>
  <c r="H9" i="1"/>
  <c r="I9" i="1" s="1"/>
  <c r="J9" i="1" s="1"/>
  <c r="H7" i="1"/>
  <c r="I7" i="1" s="1"/>
  <c r="J7" i="1" s="1"/>
  <c r="H6" i="1"/>
  <c r="I6" i="1" s="1"/>
  <c r="J6" i="1" s="1"/>
  <c r="H5" i="1"/>
  <c r="I5" i="1" s="1"/>
  <c r="J5" i="1" s="1"/>
  <c r="H4" i="1"/>
  <c r="I4" i="1" s="1"/>
  <c r="J4" i="1" s="1"/>
  <c r="J10" i="7" l="1"/>
  <c r="J24" i="7" s="1"/>
  <c r="I24" i="7"/>
  <c r="R50" i="2"/>
  <c r="I10" i="6"/>
  <c r="I10" i="1"/>
  <c r="J10" i="1" s="1"/>
  <c r="R49" i="2"/>
  <c r="I14" i="6"/>
  <c r="J14" i="6" s="1"/>
  <c r="I14" i="1"/>
  <c r="J14" i="1" s="1"/>
  <c r="H24" i="1"/>
  <c r="G24" i="1"/>
  <c r="L15" i="1"/>
  <c r="M15" i="1" s="1"/>
  <c r="N15" i="1" s="1"/>
  <c r="K14" i="1"/>
  <c r="L14" i="1" s="1"/>
  <c r="M14" i="1" s="1"/>
  <c r="N14" i="1" s="1"/>
  <c r="K13" i="1"/>
  <c r="L13" i="1" s="1"/>
  <c r="M13" i="1" s="1"/>
  <c r="N13" i="1" s="1"/>
  <c r="K12" i="1"/>
  <c r="L12" i="1" s="1"/>
  <c r="M12" i="1" s="1"/>
  <c r="N12" i="1" s="1"/>
  <c r="K11" i="1"/>
  <c r="L11" i="1" s="1"/>
  <c r="M11" i="1" s="1"/>
  <c r="N11" i="1" s="1"/>
  <c r="K10" i="1"/>
  <c r="L10" i="1" s="1"/>
  <c r="M10" i="1" s="1"/>
  <c r="N10" i="1" s="1"/>
  <c r="K8" i="1"/>
  <c r="L8" i="1" s="1"/>
  <c r="M8" i="1" s="1"/>
  <c r="N8" i="1" s="1"/>
  <c r="K7" i="1"/>
  <c r="L7" i="1" s="1"/>
  <c r="M7" i="1" s="1"/>
  <c r="N7" i="1" s="1"/>
  <c r="K23" i="1"/>
  <c r="L23" i="1" s="1"/>
  <c r="M23" i="1" s="1"/>
  <c r="N23" i="1" s="1"/>
  <c r="K22" i="1"/>
  <c r="L22" i="1" s="1"/>
  <c r="M22" i="1" s="1"/>
  <c r="N22" i="1" s="1"/>
  <c r="K21" i="1"/>
  <c r="L21" i="1" s="1"/>
  <c r="M21" i="1" s="1"/>
  <c r="N21" i="1" s="1"/>
  <c r="K20" i="1"/>
  <c r="L20" i="1" s="1"/>
  <c r="M20" i="1" s="1"/>
  <c r="N20" i="1" s="1"/>
  <c r="K19" i="1"/>
  <c r="L19" i="1" s="1"/>
  <c r="M19" i="1" s="1"/>
  <c r="N19" i="1" s="1"/>
  <c r="K18" i="1"/>
  <c r="L18" i="1" s="1"/>
  <c r="M18" i="1" s="1"/>
  <c r="N18" i="1" s="1"/>
  <c r="K17" i="1"/>
  <c r="L17" i="1" s="1"/>
  <c r="M17" i="1" s="1"/>
  <c r="N17" i="1" s="1"/>
  <c r="K9" i="1"/>
  <c r="L9" i="1" s="1"/>
  <c r="K6" i="1"/>
  <c r="L6" i="1" s="1"/>
  <c r="M6" i="1" s="1"/>
  <c r="N6" i="1" s="1"/>
  <c r="K5" i="1"/>
  <c r="L5" i="1" s="1"/>
  <c r="M5" i="1" s="1"/>
  <c r="N5" i="1" s="1"/>
  <c r="K4" i="1"/>
  <c r="L4" i="1" s="1"/>
  <c r="M4" i="1" s="1"/>
  <c r="N4" i="1" s="1"/>
  <c r="J10" i="6" l="1"/>
  <c r="J24" i="6" s="1"/>
  <c r="I24" i="6"/>
  <c r="M9" i="1"/>
  <c r="N9" i="1" s="1"/>
  <c r="J24" i="1"/>
  <c r="I24" i="1"/>
  <c r="K24" i="1"/>
  <c r="L24" i="1" l="1"/>
  <c r="Q27" i="2"/>
  <c r="P27" i="2"/>
  <c r="K25" i="7" s="1"/>
  <c r="N72" i="7" l="1"/>
  <c r="O25" i="7"/>
  <c r="O72" i="7" s="1"/>
  <c r="P25" i="7"/>
  <c r="Q25" i="7"/>
  <c r="Q72" i="7" s="1"/>
  <c r="T25" i="7"/>
  <c r="S25" i="7"/>
  <c r="S72" i="7" s="1"/>
  <c r="U25" i="7"/>
  <c r="U72" i="7" s="1"/>
  <c r="V25" i="7"/>
  <c r="V72" i="7" s="1"/>
  <c r="W25" i="7"/>
  <c r="W72" i="7" s="1"/>
  <c r="X25" i="7"/>
  <c r="X72" i="7" s="1"/>
  <c r="K25" i="1"/>
  <c r="K25" i="6"/>
  <c r="R27" i="2"/>
  <c r="G34" i="1"/>
  <c r="K34" i="1"/>
  <c r="L34" i="1"/>
  <c r="O34" i="1" s="1"/>
  <c r="M34" i="1"/>
  <c r="N34" i="1" s="1"/>
  <c r="U34" i="1" s="1"/>
  <c r="W36" i="1"/>
  <c r="W37" i="1"/>
  <c r="W38" i="1"/>
  <c r="W39" i="1"/>
  <c r="W40" i="1"/>
  <c r="W41" i="1"/>
  <c r="W42" i="1"/>
  <c r="W43" i="1"/>
  <c r="W44" i="1"/>
  <c r="W45" i="1"/>
  <c r="W47" i="1"/>
  <c r="W48" i="1"/>
  <c r="W49" i="1"/>
  <c r="W50" i="1"/>
  <c r="W51" i="1"/>
  <c r="W52" i="1"/>
  <c r="W53" i="1"/>
  <c r="R26" i="7" l="1"/>
  <c r="R72" i="7"/>
  <c r="P26" i="7"/>
  <c r="P27" i="7" s="1"/>
  <c r="P72" i="7"/>
  <c r="T72" i="7"/>
  <c r="T26" i="7"/>
  <c r="T27" i="7" s="1"/>
  <c r="Q25" i="6"/>
  <c r="V25" i="6"/>
  <c r="T25" i="6"/>
  <c r="T26" i="6" s="1"/>
  <c r="T27" i="6" s="1"/>
  <c r="R25" i="6"/>
  <c r="R26" i="6" s="1"/>
  <c r="R27" i="6" s="1"/>
  <c r="U25" i="6"/>
  <c r="S25" i="6"/>
  <c r="P25" i="6"/>
  <c r="P26" i="6" s="1"/>
  <c r="P27" i="6" s="1"/>
  <c r="O25" i="6"/>
  <c r="W25" i="6"/>
  <c r="X25" i="6"/>
  <c r="W9" i="1"/>
  <c r="X9" i="1"/>
  <c r="W14" i="1"/>
  <c r="X14" i="1"/>
  <c r="P4" i="1"/>
  <c r="O4" i="1"/>
  <c r="S34" i="1"/>
  <c r="Q34" i="1"/>
  <c r="R4" i="1" s="1"/>
  <c r="W11" i="1"/>
  <c r="X11" i="1"/>
  <c r="X7" i="1" l="1"/>
  <c r="W7" i="1"/>
  <c r="Q4" i="1"/>
  <c r="X4" i="1"/>
  <c r="W4" i="1"/>
  <c r="S4" i="1"/>
  <c r="U4" i="1"/>
  <c r="T4" i="1"/>
  <c r="V4" i="1"/>
  <c r="W10" i="1"/>
  <c r="X10" i="1"/>
  <c r="M35" i="1"/>
  <c r="N35" i="1" s="1"/>
  <c r="K35" i="1"/>
  <c r="K36" i="1"/>
  <c r="K37" i="1"/>
  <c r="K38" i="1"/>
  <c r="K39" i="1"/>
  <c r="K40" i="1"/>
  <c r="K41" i="1"/>
  <c r="K42" i="1"/>
  <c r="K43" i="1"/>
  <c r="K44" i="1"/>
  <c r="K45" i="1"/>
  <c r="K47" i="1"/>
  <c r="K48" i="1"/>
  <c r="K49" i="1"/>
  <c r="K50" i="1"/>
  <c r="K51" i="1"/>
  <c r="K52" i="1"/>
  <c r="K53" i="1"/>
  <c r="L36" i="1"/>
  <c r="S36" i="1" s="1"/>
  <c r="L37" i="1"/>
  <c r="L38" i="1"/>
  <c r="S38" i="1" s="1"/>
  <c r="L39" i="1"/>
  <c r="S39" i="1" s="1"/>
  <c r="L40" i="1"/>
  <c r="S40" i="1" s="1"/>
  <c r="L41" i="1"/>
  <c r="S41" i="1" s="1"/>
  <c r="L42" i="1"/>
  <c r="S42" i="1" s="1"/>
  <c r="S12" i="1" s="1"/>
  <c r="L43" i="1"/>
  <c r="L44" i="1"/>
  <c r="S44" i="1" s="1"/>
  <c r="L45" i="1"/>
  <c r="L47" i="1"/>
  <c r="L48" i="1"/>
  <c r="L49" i="1"/>
  <c r="L50" i="1"/>
  <c r="S50" i="1" s="1"/>
  <c r="L51" i="1"/>
  <c r="S51" i="1" s="1"/>
  <c r="L52" i="1"/>
  <c r="S52" i="1" s="1"/>
  <c r="L53" i="1"/>
  <c r="S53" i="1" s="1"/>
  <c r="L35" i="1"/>
  <c r="S35" i="1" s="1"/>
  <c r="M36" i="1"/>
  <c r="N36" i="1" s="1"/>
  <c r="U36" i="1" s="1"/>
  <c r="M37" i="1"/>
  <c r="N37" i="1" s="1"/>
  <c r="U37" i="1" s="1"/>
  <c r="M38" i="1"/>
  <c r="N38" i="1" s="1"/>
  <c r="U38" i="1" s="1"/>
  <c r="M39" i="1"/>
  <c r="N39" i="1" s="1"/>
  <c r="U39" i="1" s="1"/>
  <c r="M40" i="1"/>
  <c r="N40" i="1" s="1"/>
  <c r="U40" i="1" s="1"/>
  <c r="M41" i="1"/>
  <c r="N41" i="1" s="1"/>
  <c r="M42" i="1"/>
  <c r="N42" i="1" s="1"/>
  <c r="U42" i="1" s="1"/>
  <c r="V12" i="1" s="1"/>
  <c r="M43" i="1"/>
  <c r="N43" i="1" s="1"/>
  <c r="U43" i="1" s="1"/>
  <c r="V13" i="1" s="1"/>
  <c r="M44" i="1"/>
  <c r="N44" i="1" s="1"/>
  <c r="U44" i="1" s="1"/>
  <c r="M45" i="1"/>
  <c r="N45" i="1" s="1"/>
  <c r="U45" i="1" s="1"/>
  <c r="M47" i="1"/>
  <c r="N47" i="1" s="1"/>
  <c r="U47" i="1" s="1"/>
  <c r="M48" i="1"/>
  <c r="N48" i="1" s="1"/>
  <c r="U48" i="1" s="1"/>
  <c r="M49" i="1"/>
  <c r="N49" i="1" s="1"/>
  <c r="U49" i="1" s="1"/>
  <c r="M50" i="1"/>
  <c r="N50" i="1" s="1"/>
  <c r="U50" i="1" s="1"/>
  <c r="M51" i="1"/>
  <c r="N51" i="1" s="1"/>
  <c r="U51" i="1" s="1"/>
  <c r="M52" i="1"/>
  <c r="N52" i="1" s="1"/>
  <c r="U52" i="1" s="1"/>
  <c r="M53" i="1"/>
  <c r="N53" i="1" s="1"/>
  <c r="U53" i="1" s="1"/>
  <c r="G48" i="1"/>
  <c r="G49" i="1"/>
  <c r="G50" i="1"/>
  <c r="G51" i="1"/>
  <c r="G52" i="1"/>
  <c r="G53" i="1"/>
  <c r="G45" i="1"/>
  <c r="G41" i="1"/>
  <c r="G42" i="1"/>
  <c r="G43" i="1"/>
  <c r="G44" i="1"/>
  <c r="G40" i="1"/>
  <c r="G39" i="1"/>
  <c r="G38" i="1"/>
  <c r="G36" i="1"/>
  <c r="G37" i="1"/>
  <c r="G35" i="1"/>
  <c r="U13" i="1" l="1"/>
  <c r="U12" i="1"/>
  <c r="T12" i="1"/>
  <c r="U7" i="1"/>
  <c r="V7" i="1"/>
  <c r="U14" i="1"/>
  <c r="V14" i="1"/>
  <c r="S14" i="1"/>
  <c r="T14" i="1"/>
  <c r="U10" i="1"/>
  <c r="V10" i="1"/>
  <c r="S9" i="1"/>
  <c r="T9" i="1"/>
  <c r="U9" i="1"/>
  <c r="V9" i="1"/>
  <c r="S11" i="1"/>
  <c r="T11" i="1"/>
  <c r="X12" i="1"/>
  <c r="W12" i="1"/>
  <c r="S22" i="1"/>
  <c r="T22" i="1"/>
  <c r="V22" i="1"/>
  <c r="U22" i="1"/>
  <c r="S23" i="1"/>
  <c r="U23" i="1"/>
  <c r="T23" i="1"/>
  <c r="V23" i="1"/>
  <c r="S10" i="1"/>
  <c r="T10" i="1"/>
  <c r="W13" i="1"/>
  <c r="X13" i="1"/>
  <c r="O49" i="1"/>
  <c r="S49" i="1"/>
  <c r="Q45" i="1"/>
  <c r="Q15" i="1" s="1"/>
  <c r="S45" i="1"/>
  <c r="Q37" i="1"/>
  <c r="S37" i="1"/>
  <c r="O48" i="1"/>
  <c r="S48" i="1"/>
  <c r="Q47" i="1"/>
  <c r="R17" i="1" s="1"/>
  <c r="S47" i="1"/>
  <c r="Q43" i="1"/>
  <c r="S43" i="1"/>
  <c r="O41" i="1"/>
  <c r="U41" i="1"/>
  <c r="Q49" i="1"/>
  <c r="Q19" i="1" s="1"/>
  <c r="O40" i="1"/>
  <c r="O53" i="1"/>
  <c r="Q44" i="1"/>
  <c r="Q41" i="1"/>
  <c r="Q48" i="1"/>
  <c r="Q18" i="1" s="1"/>
  <c r="Q40" i="1"/>
  <c r="O47" i="1"/>
  <c r="Q39" i="1"/>
  <c r="R9" i="1" s="1"/>
  <c r="O51" i="1"/>
  <c r="Q36" i="1"/>
  <c r="R6" i="1" s="1"/>
  <c r="O35" i="1"/>
  <c r="O52" i="1"/>
  <c r="O43" i="1"/>
  <c r="O39" i="1"/>
  <c r="O42" i="1"/>
  <c r="Q35" i="1"/>
  <c r="R5" i="1" s="1"/>
  <c r="Q50" i="1"/>
  <c r="Q20" i="1" s="1"/>
  <c r="O50" i="1"/>
  <c r="Q42" i="1"/>
  <c r="Q53" i="1"/>
  <c r="O44" i="1"/>
  <c r="Q52" i="1"/>
  <c r="Q38" i="1"/>
  <c r="Q8" i="1" s="1"/>
  <c r="O45" i="1"/>
  <c r="O38" i="1"/>
  <c r="O36" i="1"/>
  <c r="Q51" i="1"/>
  <c r="Q21" i="1" s="1"/>
  <c r="O37" i="1"/>
  <c r="Q5" i="1" l="1"/>
  <c r="M24" i="1"/>
  <c r="X8" i="1"/>
  <c r="R8" i="1"/>
  <c r="R21" i="1"/>
  <c r="R20" i="1"/>
  <c r="T6" i="1"/>
  <c r="U6" i="1"/>
  <c r="V6" i="1"/>
  <c r="S6" i="1"/>
  <c r="P22" i="1"/>
  <c r="O22" i="1"/>
  <c r="O17" i="1"/>
  <c r="P17" i="1"/>
  <c r="V11" i="1"/>
  <c r="U11" i="1"/>
  <c r="S7" i="1"/>
  <c r="T7" i="1"/>
  <c r="Q17" i="1"/>
  <c r="O13" i="1"/>
  <c r="P13" i="1"/>
  <c r="R12" i="1"/>
  <c r="Q12" i="1"/>
  <c r="P5" i="1"/>
  <c r="O5" i="1"/>
  <c r="Q10" i="1"/>
  <c r="R10" i="1"/>
  <c r="O11" i="1"/>
  <c r="P11" i="1"/>
  <c r="R7" i="1"/>
  <c r="Q7" i="1"/>
  <c r="U20" i="1"/>
  <c r="V20" i="1"/>
  <c r="S20" i="1"/>
  <c r="T20" i="1"/>
  <c r="S21" i="1"/>
  <c r="T21" i="1"/>
  <c r="U21" i="1"/>
  <c r="V21" i="1"/>
  <c r="P18" i="1"/>
  <c r="O18" i="1"/>
  <c r="U15" i="1"/>
  <c r="V15" i="1"/>
  <c r="S15" i="1"/>
  <c r="T15" i="1"/>
  <c r="O8" i="1"/>
  <c r="P8" i="1"/>
  <c r="O20" i="1"/>
  <c r="P20" i="1"/>
  <c r="S13" i="1"/>
  <c r="T13" i="1"/>
  <c r="S5" i="1"/>
  <c r="T5" i="1"/>
  <c r="U5" i="1"/>
  <c r="V5" i="1"/>
  <c r="R18" i="1"/>
  <c r="S17" i="1"/>
  <c r="T17" i="1"/>
  <c r="U17" i="1"/>
  <c r="V17" i="1"/>
  <c r="O7" i="1"/>
  <c r="P7" i="1"/>
  <c r="R13" i="1"/>
  <c r="Q13" i="1"/>
  <c r="Q14" i="1"/>
  <c r="R14" i="1"/>
  <c r="Q6" i="1"/>
  <c r="R19" i="1"/>
  <c r="S18" i="1"/>
  <c r="T18" i="1"/>
  <c r="U18" i="1"/>
  <c r="V18" i="1"/>
  <c r="Q23" i="1"/>
  <c r="R23" i="1"/>
  <c r="X23" i="1"/>
  <c r="W23" i="1"/>
  <c r="O15" i="1"/>
  <c r="P15" i="1"/>
  <c r="R11" i="1"/>
  <c r="Q11" i="1"/>
  <c r="R22" i="1"/>
  <c r="Q22" i="1"/>
  <c r="O12" i="1"/>
  <c r="P12" i="1"/>
  <c r="W19" i="1"/>
  <c r="X19" i="1"/>
  <c r="O23" i="1"/>
  <c r="P23" i="1"/>
  <c r="O19" i="1"/>
  <c r="P19" i="1"/>
  <c r="R15" i="1"/>
  <c r="S8" i="1"/>
  <c r="T8" i="1"/>
  <c r="U8" i="1"/>
  <c r="V8" i="1"/>
  <c r="Q9" i="1"/>
  <c r="O6" i="1"/>
  <c r="P6" i="1"/>
  <c r="O14" i="1"/>
  <c r="P14" i="1"/>
  <c r="O9" i="1"/>
  <c r="P9" i="1"/>
  <c r="O21" i="1"/>
  <c r="P21" i="1"/>
  <c r="O10" i="1"/>
  <c r="P10" i="1"/>
  <c r="X22" i="1"/>
  <c r="W22" i="1"/>
  <c r="V19" i="1"/>
  <c r="S19" i="1"/>
  <c r="T19" i="1"/>
  <c r="U19" i="1"/>
  <c r="W8" i="1" l="1"/>
  <c r="N24" i="1"/>
  <c r="Q24" i="1"/>
  <c r="R24" i="1"/>
  <c r="V24" i="1"/>
  <c r="U24" i="1"/>
  <c r="U25" i="1" s="1"/>
  <c r="W15" i="1"/>
  <c r="X15" i="1"/>
  <c r="W18" i="1"/>
  <c r="X18" i="1"/>
  <c r="W17" i="1"/>
  <c r="X17" i="1"/>
  <c r="T24" i="1"/>
  <c r="O24" i="1"/>
  <c r="O25" i="1" s="1"/>
  <c r="W20" i="1"/>
  <c r="X20" i="1"/>
  <c r="P24" i="1"/>
  <c r="W21" i="1"/>
  <c r="X21" i="1"/>
  <c r="S24" i="1"/>
  <c r="S25" i="1" s="1"/>
  <c r="W6" i="1"/>
  <c r="X6" i="1"/>
  <c r="W5" i="1"/>
  <c r="X5" i="1"/>
  <c r="X24" i="1" l="1"/>
  <c r="V25" i="1"/>
  <c r="L2" i="5" s="1"/>
  <c r="W24" i="1"/>
  <c r="W25" i="1" s="1"/>
  <c r="T25" i="1"/>
  <c r="I2" i="5" s="1"/>
  <c r="Q25" i="1"/>
  <c r="R25" i="1"/>
  <c r="X25" i="1" l="1"/>
  <c r="M2" i="5" s="1"/>
  <c r="R26" i="1"/>
  <c r="G3" i="5" s="1"/>
  <c r="G2" i="5"/>
  <c r="T26" i="1"/>
  <c r="R27" i="1" l="1"/>
  <c r="G5" i="5" s="1"/>
  <c r="T27" i="1"/>
  <c r="I5" i="5" s="1"/>
  <c r="I3" i="5"/>
  <c r="P25" i="1"/>
  <c r="P26" i="1" l="1"/>
  <c r="E3" i="5" s="1"/>
  <c r="E2" i="5"/>
  <c r="P27" i="1" l="1"/>
  <c r="E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Dengel, Kelly</author>
    <author>Benjamin, Tia</author>
  </authors>
  <commentList>
    <comment ref="G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This is not loaded salary
Annual Salary they start with in the year they're hired - Tia adds in merit increase &amp; Mike to provide step increases for BA operators and hiring timing.</t>
        </r>
      </text>
    </comment>
    <comment ref="D7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Hired Feb @ step 5.  
Apr 1 + 3%</t>
        </r>
      </text>
    </comment>
    <comment ref="F7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EESC projects starts April 2020-Jan.2021. Testing Feb 2021-July 2021.</t>
        </r>
      </text>
    </comment>
    <comment ref="D8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likey 50% RC and 50% EIM - Mike to confirm split</t>
        </r>
      </text>
    </comment>
    <comment ref="E9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Assuemed same as the Power Supply Analyst</t>
        </r>
      </text>
    </comment>
    <comment ref="D15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Mike to provide split for EIM and Regular BA duties</t>
        </r>
      </text>
    </comment>
    <comment ref="D16" authorId="1" shapeId="0" xr:uid="{00000000-0006-0000-0400-000007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Expect 2 yr commitment to EIM.  Beginning at 100%; 30% 2021</t>
        </r>
      </text>
    </comment>
    <comment ref="H16" authorId="1" shapeId="0" xr:uid="{00000000-0006-0000-0400-000008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2021 shift to 30% of work on EIM</t>
        </r>
      </text>
    </comment>
    <comment ref="D17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manager is market 11 and mid point is $123k</t>
        </r>
      </text>
    </comment>
    <comment ref="F17" authorId="0" shapeId="0" xr:uid="{00000000-0006-0000-0400-00000A000000}">
      <text>
        <r>
          <rPr>
            <b/>
            <sz val="10"/>
            <color indexed="81"/>
            <rFont val="Tahoma"/>
            <family val="2"/>
          </rPr>
          <t>Dengel, Kelly:</t>
        </r>
        <r>
          <rPr>
            <sz val="10"/>
            <color indexed="81"/>
            <rFont val="Tahoma"/>
            <family val="2"/>
          </rPr>
          <t xml:space="preserve">
Settlements project starts June 2020 - Feb. 2021. Limited testing in March - July 2021.</t>
        </r>
      </text>
    </comment>
    <comment ref="D18" authorId="0" shapeId="0" xr:uid="{00000000-0006-0000-0400-00000B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level 10 - midpoint is $107k</t>
        </r>
      </text>
    </comment>
    <comment ref="D20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Level 9 - midpoint is $94k</t>
        </r>
      </text>
    </comment>
    <comment ref="D21" authorId="0" shapeId="0" xr:uid="{00000000-0006-0000-0400-00000D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Level 9</t>
        </r>
      </text>
    </comment>
    <comment ref="T33" authorId="1" shapeId="0" xr:uid="{00000000-0006-0000-0400-00000E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90% capital esitmate assumes some regular non-cap activities such as corp training and office meetings</t>
        </r>
      </text>
    </comment>
    <comment ref="G38" authorId="0" shapeId="0" xr:uid="{00000000-0006-0000-0400-00000F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from Mike
About 30% of the FNM Engineer’s time (15% Cap/15% O&amp;M) will be charged to EIM because the model is impacted by other projects, like the EMS upgrade and substation capital projects for example.</t>
        </r>
      </text>
    </comment>
    <comment ref="P38" authorId="1" shapeId="0" xr:uid="{00000000-0006-0000-0400-000010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training and regular non-cap activities such as corp training and office meetings</t>
        </r>
      </text>
    </comment>
    <comment ref="R38" authorId="1" shapeId="0" xr:uid="{00000000-0006-0000-0400-000011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regular non-cap activities such as corp training and office meetings</t>
        </r>
      </text>
    </comment>
    <comment ref="G45" authorId="0" shapeId="0" xr:uid="{00000000-0006-0000-0400-000012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Mike to provide split for EIM and Regular BA duties</t>
        </r>
      </text>
    </comment>
    <comment ref="P46" authorId="1" shapeId="0" xr:uid="{00000000-0006-0000-0400-000013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10% other, non EIM stuff s/a corporate training, etc. and 5% EIM specific O&amp;M</t>
        </r>
      </text>
    </comment>
    <comment ref="P52" authorId="1" shapeId="0" xr:uid="{00000000-0006-0000-0400-000014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training and regular non-cap activities such as corp training and office meetings</t>
        </r>
      </text>
    </comment>
    <comment ref="R52" authorId="1" shapeId="0" xr:uid="{00000000-0006-0000-0400-000015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regular non-cap activities such as corp training and office meetings</t>
        </r>
      </text>
    </comment>
    <comment ref="P53" authorId="1" shapeId="0" xr:uid="{00000000-0006-0000-0400-000016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training and regular non-cap activities such as corp training and office meetings</t>
        </r>
      </text>
    </comment>
    <comment ref="R53" authorId="1" shapeId="0" xr:uid="{00000000-0006-0000-0400-000017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regular non-cap activities such as corp training and office meetings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Dengel, Kelly</author>
    <author>Benjamin, Tia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This is not loaded salary
Annual Salary they start with in the year they're hired - Tia adds in merit increase &amp; Mike to provide step increases for BA operators and hiring timing.</t>
        </r>
      </text>
    </comment>
    <comment ref="D7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Hired Feb @ step 5.  
Apr 1 + 3%</t>
        </r>
      </text>
    </comment>
    <comment ref="F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EESC projects starts April 2020-Jan.2021. Testing Feb 2021-July 2021.</t>
        </r>
      </text>
    </comment>
    <comment ref="D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likey 50% RC and 50% EIM - Mike to confirm split</t>
        </r>
      </text>
    </comment>
    <comment ref="E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Assuemed same as the Power Supply Analyst</t>
        </r>
      </text>
    </comment>
    <comment ref="D1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Mike to provide split for EIM and Regular BA duties</t>
        </r>
      </text>
    </comment>
    <comment ref="D16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Expect 2 yr commitment to EIM.  Beginning at 100%; 30% 2021</t>
        </r>
      </text>
    </comment>
    <comment ref="H16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2021 shift to 30% of work on EIM</t>
        </r>
      </text>
    </comment>
    <comment ref="D1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manager is market 11 and mid point is $123k</t>
        </r>
      </text>
    </comment>
    <comment ref="F1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Settlements project starts June 2020 - Feb. 2021. Limited testing in March - July 2021.</t>
        </r>
      </text>
    </comment>
    <comment ref="D18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level 10 - midpoint is $107k</t>
        </r>
      </text>
    </comment>
    <comment ref="D20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Level 9 - midpoint is $94k</t>
        </r>
      </text>
    </comment>
    <comment ref="D21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Level 9</t>
        </r>
      </text>
    </comment>
    <comment ref="T33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90% capital esitmate assumes some regular non-cap activities such as corp training and office meetings</t>
        </r>
      </text>
    </comment>
    <comment ref="G38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Dengel, Kelly: 5.20.20</t>
        </r>
        <r>
          <rPr>
            <sz val="9"/>
            <color indexed="81"/>
            <rFont val="Tahoma"/>
            <family val="2"/>
          </rPr>
          <t xml:space="preserve">
From Mike
About 30% of the FNM Engineer’s time (15% Cap/15% O&amp;M) will be charged to EIM because the model is impacted by other projects, like the EMS upgrade and substation capital projects for example.</t>
        </r>
      </text>
    </comment>
    <comment ref="P38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training and regular non-cap activities such as corp training and office meetings</t>
        </r>
      </text>
    </comment>
    <comment ref="R38" authorId="1" shapeId="0" xr:uid="{00000000-0006-0000-0000-000011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regular non-cap activities such as corp training and office meetings</t>
        </r>
      </text>
    </comment>
    <comment ref="G45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Mike to provide split for EIM and Regular BA duties</t>
        </r>
      </text>
    </comment>
    <comment ref="G46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KG</t>
        </r>
      </text>
    </comment>
    <comment ref="P46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10% other, non EIM stuff s/a corporate training, etc. and 5% EIM specific O&amp;M</t>
        </r>
      </text>
    </comment>
    <comment ref="P52" authorId="1" shapeId="0" xr:uid="{00000000-0006-0000-0000-000015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training and regular non-cap activities such as corp training and office meetings</t>
        </r>
      </text>
    </comment>
    <comment ref="R52" authorId="1" shapeId="0" xr:uid="{00000000-0006-0000-0000-000016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regular non-cap activities such as corp training and office meetings</t>
        </r>
      </text>
    </comment>
    <comment ref="P53" authorId="1" shapeId="0" xr:uid="{00000000-0006-0000-0000-000017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training and regular non-cap activities such as corp training and office meetings</t>
        </r>
      </text>
    </comment>
    <comment ref="R53" authorId="1" shapeId="0" xr:uid="{00000000-0006-0000-0000-000018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regular non-cap activities such as corp training and office meetings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Benjamin, Tia</author>
  </authors>
  <commentList>
    <comment ref="C3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3% annual adjusted for March start for Non-Union and Aprils start fo Union</t>
        </r>
      </text>
    </comment>
    <comment ref="C3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from 2020 Budget Assumptions document</t>
        </r>
      </text>
    </comment>
    <comment ref="I4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Assumed advance to step 2 and that step 2 has increased since 2020 by merit</t>
        </r>
      </text>
    </comment>
    <comment ref="I4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Assumed step date due to hire date</t>
        </r>
      </text>
    </comment>
    <comment ref="K4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Assumed step date due to hire date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Dengel, Kelly</author>
    <author>Benjamin, Tia</author>
  </authors>
  <commentList>
    <comment ref="G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This is not loaded salary
Annual Salary they start with in the year they're hired - Tia adds in merit increase &amp; Mike to provide step increases for BA operators and hiring timing.</t>
        </r>
      </text>
    </comment>
    <comment ref="D7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Hired Feb @ step 5.  
Apr 1 + 3%</t>
        </r>
      </text>
    </comment>
    <comment ref="F7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EESC projects starts April 2020-Jan.2021. Testing Feb 2021-July 2021.</t>
        </r>
      </text>
    </comment>
    <comment ref="D8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likey 50% RC and 50% EIM - Mike to confirm split</t>
        </r>
      </text>
    </comment>
    <comment ref="E9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Assuemed same as the Power Supply Analyst</t>
        </r>
      </text>
    </comment>
    <comment ref="D15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Mike to provide split for EIM and Regular BA duties</t>
        </r>
      </text>
    </comment>
    <comment ref="D16" authorId="1" shapeId="0" xr:uid="{00000000-0006-0000-0300-000007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Expect 2 yr commitment to EIM.  Beginning at 100%; 30% 2021</t>
        </r>
      </text>
    </comment>
    <comment ref="H16" authorId="1" shapeId="0" xr:uid="{00000000-0006-0000-0300-000008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2021 shift to 30% of work on EIM</t>
        </r>
      </text>
    </comment>
    <comment ref="D17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manager is market 11 and mid point is $123k</t>
        </r>
      </text>
    </comment>
    <comment ref="F17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Settlements project starts June 2020 - Feb. 2021. Limited testing in March - July 2021.</t>
        </r>
      </text>
    </comment>
    <comment ref="D18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level 10 - midpoint is $107k</t>
        </r>
      </text>
    </comment>
    <comment ref="D20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Level 9 - midpoint is $94k</t>
        </r>
      </text>
    </comment>
    <comment ref="D21" authorId="0" shapeId="0" xr:uid="{00000000-0006-0000-0300-00000D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Level 9</t>
        </r>
      </text>
    </comment>
    <comment ref="T33" authorId="1" shapeId="0" xr:uid="{00000000-0006-0000-0300-00000E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90% capital esitmate assumes some regular non-cap activities such as corp training and office meetings</t>
        </r>
      </text>
    </comment>
    <comment ref="G38" authorId="0" shapeId="0" xr:uid="{00000000-0006-0000-0300-00000F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likey 50% RC and 50% EIM - Mike to confirm split</t>
        </r>
      </text>
    </comment>
    <comment ref="P38" authorId="1" shapeId="0" xr:uid="{00000000-0006-0000-0300-000010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training and regular non-cap activities such as corp training and office meetings</t>
        </r>
      </text>
    </comment>
    <comment ref="R38" authorId="1" shapeId="0" xr:uid="{00000000-0006-0000-0300-000011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regular non-cap activities such as corp training and office meetings</t>
        </r>
      </text>
    </comment>
    <comment ref="G45" authorId="0" shapeId="0" xr:uid="{00000000-0006-0000-0300-000012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Mike to provide split for EIM and Regular BA duties</t>
        </r>
      </text>
    </comment>
    <comment ref="P46" authorId="1" shapeId="0" xr:uid="{00000000-0006-0000-0300-000013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10% other, non EIM stuff s/a corporate training, etc. and 5% EIM specific O&amp;M</t>
        </r>
      </text>
    </comment>
    <comment ref="P52" authorId="1" shapeId="0" xr:uid="{00000000-0006-0000-0300-000014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training and regular non-cap activities such as corp training and office meetings</t>
        </r>
      </text>
    </comment>
    <comment ref="R52" authorId="1" shapeId="0" xr:uid="{00000000-0006-0000-0300-000015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regular non-cap activities such as corp training and office meetings</t>
        </r>
      </text>
    </comment>
    <comment ref="P53" authorId="1" shapeId="0" xr:uid="{00000000-0006-0000-0300-000016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training and regular non-cap activities such as corp training and office meetings</t>
        </r>
      </text>
    </comment>
    <comment ref="R53" authorId="1" shapeId="0" xr:uid="{00000000-0006-0000-0300-000017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regular non-cap activities such as corp training and office meetings</t>
        </r>
      </text>
    </comment>
  </commentList>
</comments>
</file>

<file path=xl/sharedStrings.xml><?xml version="1.0" encoding="utf-8"?>
<sst xmlns="http://schemas.openxmlformats.org/spreadsheetml/2006/main" count="326" uniqueCount="90">
  <si>
    <t>Capital</t>
  </si>
  <si>
    <t>Department</t>
  </si>
  <si>
    <t>Exp. Hire Date</t>
  </si>
  <si>
    <t>Analyst</t>
  </si>
  <si>
    <t>Power Supply Operations</t>
  </si>
  <si>
    <t>VP</t>
  </si>
  <si>
    <t>Thackston</t>
  </si>
  <si>
    <t>O&amp;M</t>
  </si>
  <si>
    <t>Months</t>
  </si>
  <si>
    <t>System Operations</t>
  </si>
  <si>
    <t>EMS Modeling Engineer</t>
  </si>
  <si>
    <t>Rosentrater</t>
  </si>
  <si>
    <t>EIM BA Operator</t>
  </si>
  <si>
    <t>EIM BA Operator (Relief)</t>
  </si>
  <si>
    <t>Settlements Manager</t>
  </si>
  <si>
    <t xml:space="preserve">Settlements Meter Analyst </t>
  </si>
  <si>
    <t>Settlement Analyst</t>
  </si>
  <si>
    <t>Kensok</t>
  </si>
  <si>
    <t>TBD</t>
  </si>
  <si>
    <t>EIM BA Analyst</t>
  </si>
  <si>
    <t>IS/IT</t>
  </si>
  <si>
    <t>Training Admin</t>
  </si>
  <si>
    <t>OCM</t>
  </si>
  <si>
    <t>EIM Settlements</t>
  </si>
  <si>
    <t>Proposed Market Level</t>
  </si>
  <si>
    <t>EIM BA Operator SME</t>
  </si>
  <si>
    <t>Est 2021 Sal</t>
  </si>
  <si>
    <t>Est 2022 Sal</t>
  </si>
  <si>
    <t>Est 2023 Sal</t>
  </si>
  <si>
    <t>Est Start</t>
  </si>
  <si>
    <t>Est. 2020 Salary</t>
  </si>
  <si>
    <t>% Capital</t>
  </si>
  <si>
    <t>Start Yr</t>
  </si>
  <si>
    <t>Start Mo</t>
  </si>
  <si>
    <t>Remaining Months</t>
  </si>
  <si>
    <t>(Grey cells are formulas; to modify, change exp. Hire date above)</t>
  </si>
  <si>
    <t>Est. O&amp;M Labor Less Deferral</t>
  </si>
  <si>
    <t>this role will end after go live</t>
  </si>
  <si>
    <t>Post Go-Live</t>
  </si>
  <si>
    <t>Implementation</t>
  </si>
  <si>
    <t>EIM Program Manager</t>
  </si>
  <si>
    <t>Non-Union</t>
  </si>
  <si>
    <t>Union</t>
  </si>
  <si>
    <t>Loaded Labor Estimate</t>
  </si>
  <si>
    <t>assumes role ends at 2022 EOY</t>
  </si>
  <si>
    <t>Sal less OL</t>
  </si>
  <si>
    <t>2020 One Leave Percents</t>
  </si>
  <si>
    <t>OL %</t>
  </si>
  <si>
    <t>Total</t>
  </si>
  <si>
    <t>EIM Incremental FTE Plan</t>
  </si>
  <si>
    <t>2021 Sal Less OL</t>
  </si>
  <si>
    <t>2022 Sal Less OL</t>
  </si>
  <si>
    <t>2023 Sal Less OL</t>
  </si>
  <si>
    <t>Assume 10% of work is tasks such as corp training and office mtgs, etc. and cannot be capitalized</t>
  </si>
  <si>
    <t>Merit Assumption</t>
  </si>
  <si>
    <t>ID Deferral Estimate</t>
  </si>
  <si>
    <t>Substation Design</t>
  </si>
  <si>
    <t>Sr Engineer</t>
  </si>
  <si>
    <t>Jan-Mar</t>
  </si>
  <si>
    <t>Apr-Aug</t>
  </si>
  <si>
    <t>Sept-Dec</t>
  </si>
  <si>
    <t>Ann Total</t>
  </si>
  <si>
    <t>Step1</t>
  </si>
  <si>
    <t>Step2</t>
  </si>
  <si>
    <t>Step3</t>
  </si>
  <si>
    <t>Step4</t>
  </si>
  <si>
    <t>Step5</t>
  </si>
  <si>
    <t>SR SO</t>
  </si>
  <si>
    <t>Technical Systems Analyst</t>
  </si>
  <si>
    <t>Ops Technical Lead</t>
  </si>
  <si>
    <t>Position</t>
  </si>
  <si>
    <t>Role #</t>
  </si>
  <si>
    <r>
      <t xml:space="preserve">2022 </t>
    </r>
    <r>
      <rPr>
        <b/>
        <sz val="10"/>
        <rFont val="Calibri"/>
        <family val="2"/>
        <scheme val="minor"/>
      </rPr>
      <t>(Jan-March)</t>
    </r>
  </si>
  <si>
    <r>
      <t xml:space="preserve">2022 </t>
    </r>
    <r>
      <rPr>
        <b/>
        <sz val="10"/>
        <rFont val="Calibri"/>
        <family val="2"/>
        <scheme val="minor"/>
      </rPr>
      <t>(April-December)</t>
    </r>
  </si>
  <si>
    <t>New Hires 2020</t>
  </si>
  <si>
    <t>New Hires 2019</t>
  </si>
  <si>
    <t>New Hires 2021</t>
  </si>
  <si>
    <t>New Hires 2022 (Jan - March)</t>
  </si>
  <si>
    <t>New Hires 2022 (Apr - Dec)</t>
  </si>
  <si>
    <t>New Hires 2023</t>
  </si>
  <si>
    <t>Count Validations</t>
  </si>
  <si>
    <t xml:space="preserve">Total: </t>
  </si>
  <si>
    <t xml:space="preserve">Est. O&amp;M Labor Less Deferral: </t>
  </si>
  <si>
    <t xml:space="preserve">Loaded Labor Estimate: </t>
  </si>
  <si>
    <t xml:space="preserve">ID Deferral Estimate: </t>
  </si>
  <si>
    <t>EIM FTE Positions
Grouped by New Hire Year</t>
  </si>
  <si>
    <t>$ in Millions</t>
  </si>
  <si>
    <t>2022 (thru March)</t>
  </si>
  <si>
    <t>Note 7</t>
  </si>
  <si>
    <t>Note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</si>
</sst>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[$-409]mmm\-yy;@"/>
    <numFmt numFmtId="166" formatCode="_(* #,##0_);_(* \(#,##0\);_(* &quot;-&quot;??_);_(@_)"/>
    <numFmt numFmtId="167" formatCode="&quot;$&quot;* ##0.00,,&quot; MM&quot;"/>
    <numFmt numFmtId="168" formatCode="&quot;$&quot;* ##0.00,,&quot; M&quot;"/>
    <numFmt numFmtId="169" formatCode="&quot;$&quot;* ##0.00,,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b/>
      <sz val="10"/>
      <color indexed="12"/>
      <name val="MS Sans Serif"/>
      <family val="2"/>
    </font>
    <font>
      <sz val="11"/>
      <color indexed="8"/>
      <name val="Calibri"/>
      <family val="2"/>
    </font>
    <font>
      <b/>
      <sz val="10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darkGray">
        <bgColor theme="4"/>
      </patternFill>
    </fill>
    <fill>
      <patternFill patternType="darkGray">
        <bgColor theme="0" tint="-0.249977111117893"/>
      </patternFill>
    </fill>
    <fill>
      <patternFill patternType="darkGray">
        <bgColor rgb="FFFFC000"/>
      </patternFill>
    </fill>
    <fill>
      <patternFill patternType="darkGray">
        <bgColor theme="7" tint="0.79998168889431442"/>
      </patternFill>
    </fill>
    <fill>
      <patternFill patternType="darkGray">
        <bgColor theme="7" tint="0.59999389629810485"/>
      </patternFill>
    </fill>
    <fill>
      <patternFill patternType="darkGray">
        <bgColor theme="9" tint="0.79998168889431442"/>
      </patternFill>
    </fill>
    <fill>
      <patternFill patternType="darkGray">
        <bgColor theme="4" tint="0.79998168889431442"/>
      </patternFill>
    </fill>
    <fill>
      <patternFill patternType="darkGray"/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</cellStyleXfs>
  <cellXfs count="27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165" fontId="0" fillId="0" borderId="1" xfId="0" applyNumberForma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9" fontId="0" fillId="4" borderId="12" xfId="0" applyNumberFormat="1" applyFill="1" applyBorder="1"/>
    <xf numFmtId="9" fontId="0" fillId="4" borderId="13" xfId="0" applyNumberFormat="1" applyFill="1" applyBorder="1"/>
    <xf numFmtId="0" fontId="2" fillId="3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6" xfId="0" applyBorder="1"/>
    <xf numFmtId="165" fontId="0" fillId="0" borderId="16" xfId="0" applyNumberFormat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0" fillId="0" borderId="0" xfId="0" applyBorder="1"/>
    <xf numFmtId="164" fontId="0" fillId="0" borderId="1" xfId="1" applyNumberFormat="1" applyFont="1" applyBorder="1" applyAlignment="1">
      <alignment horizontal="center"/>
    </xf>
    <xf numFmtId="164" fontId="0" fillId="0" borderId="16" xfId="1" applyNumberFormat="1" applyFont="1" applyBorder="1" applyAlignment="1">
      <alignment horizontal="center"/>
    </xf>
    <xf numFmtId="0" fontId="0" fillId="0" borderId="32" xfId="0" applyBorder="1"/>
    <xf numFmtId="165" fontId="0" fillId="0" borderId="32" xfId="0" applyNumberFormat="1" applyBorder="1" applyAlignment="1">
      <alignment horizontal="center"/>
    </xf>
    <xf numFmtId="164" fontId="0" fillId="0" borderId="32" xfId="1" applyNumberFormat="1" applyFont="1" applyBorder="1" applyAlignment="1">
      <alignment horizontal="center"/>
    </xf>
    <xf numFmtId="0" fontId="0" fillId="9" borderId="0" xfId="0" applyFill="1" applyBorder="1"/>
    <xf numFmtId="164" fontId="8" fillId="0" borderId="16" xfId="1" applyNumberFormat="1" applyFont="1" applyBorder="1" applyAlignment="1">
      <alignment horizontal="center"/>
    </xf>
    <xf numFmtId="164" fontId="9" fillId="0" borderId="1" xfId="1" applyNumberFormat="1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9" fontId="0" fillId="4" borderId="34" xfId="0" applyNumberFormat="1" applyFill="1" applyBorder="1"/>
    <xf numFmtId="9" fontId="0" fillId="4" borderId="35" xfId="0" applyNumberFormat="1" applyFill="1" applyBorder="1"/>
    <xf numFmtId="0" fontId="0" fillId="5" borderId="0" xfId="0" applyFill="1"/>
    <xf numFmtId="165" fontId="0" fillId="5" borderId="33" xfId="0" applyNumberFormat="1" applyFill="1" applyBorder="1"/>
    <xf numFmtId="165" fontId="0" fillId="5" borderId="15" xfId="0" applyNumberFormat="1" applyFill="1" applyBorder="1"/>
    <xf numFmtId="0" fontId="0" fillId="5" borderId="37" xfId="0" applyFill="1" applyBorder="1" applyAlignment="1"/>
    <xf numFmtId="0" fontId="0" fillId="5" borderId="0" xfId="0" applyFill="1" applyAlignment="1"/>
    <xf numFmtId="0" fontId="0" fillId="5" borderId="38" xfId="0" applyFill="1" applyBorder="1" applyAlignment="1"/>
    <xf numFmtId="9" fontId="0" fillId="4" borderId="40" xfId="0" applyNumberFormat="1" applyFill="1" applyBorder="1"/>
    <xf numFmtId="9" fontId="0" fillId="4" borderId="41" xfId="0" applyNumberFormat="1" applyFill="1" applyBorder="1"/>
    <xf numFmtId="164" fontId="0" fillId="0" borderId="42" xfId="1" applyNumberFormat="1" applyFont="1" applyBorder="1"/>
    <xf numFmtId="164" fontId="0" fillId="0" borderId="42" xfId="1" applyNumberFormat="1" applyFont="1" applyBorder="1" applyAlignment="1">
      <alignment horizontal="center"/>
    </xf>
    <xf numFmtId="164" fontId="0" fillId="0" borderId="43" xfId="1" applyNumberFormat="1" applyFont="1" applyBorder="1"/>
    <xf numFmtId="164" fontId="0" fillId="0" borderId="44" xfId="1" applyNumberFormat="1" applyFont="1" applyBorder="1"/>
    <xf numFmtId="164" fontId="0" fillId="0" borderId="44" xfId="1" applyNumberFormat="1" applyFont="1" applyBorder="1" applyAlignment="1">
      <alignment horizontal="center"/>
    </xf>
    <xf numFmtId="164" fontId="0" fillId="0" borderId="45" xfId="1" applyNumberFormat="1" applyFont="1" applyBorder="1"/>
    <xf numFmtId="164" fontId="0" fillId="0" borderId="46" xfId="1" applyNumberFormat="1" applyFont="1" applyBorder="1"/>
    <xf numFmtId="164" fontId="0" fillId="0" borderId="46" xfId="1" applyNumberFormat="1" applyFont="1" applyBorder="1" applyAlignment="1">
      <alignment horizontal="center"/>
    </xf>
    <xf numFmtId="164" fontId="0" fillId="0" borderId="47" xfId="1" applyNumberFormat="1" applyFont="1" applyBorder="1"/>
    <xf numFmtId="0" fontId="4" fillId="0" borderId="0" xfId="0" applyFont="1" applyFill="1" applyBorder="1" applyAlignment="1">
      <alignment horizontal="right"/>
    </xf>
    <xf numFmtId="164" fontId="4" fillId="0" borderId="0" xfId="1" applyNumberFormat="1" applyFont="1" applyBorder="1"/>
    <xf numFmtId="0" fontId="8" fillId="0" borderId="0" xfId="0" applyFont="1"/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164" fontId="10" fillId="0" borderId="0" xfId="1" applyNumberFormat="1" applyFont="1" applyBorder="1"/>
    <xf numFmtId="0" fontId="5" fillId="5" borderId="27" xfId="0" applyFont="1" applyFill="1" applyBorder="1" applyAlignment="1">
      <alignment vertical="center"/>
    </xf>
    <xf numFmtId="0" fontId="5" fillId="5" borderId="28" xfId="0" applyFont="1" applyFill="1" applyBorder="1" applyAlignment="1">
      <alignment vertical="center"/>
    </xf>
    <xf numFmtId="0" fontId="0" fillId="5" borderId="36" xfId="0" applyFill="1" applyBorder="1"/>
    <xf numFmtId="0" fontId="0" fillId="5" borderId="11" xfId="0" applyFill="1" applyBorder="1"/>
    <xf numFmtId="0" fontId="2" fillId="10" borderId="6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9" fillId="0" borderId="0" xfId="0" applyFont="1"/>
    <xf numFmtId="0" fontId="11" fillId="0" borderId="0" xfId="0" applyFont="1"/>
    <xf numFmtId="0" fontId="0" fillId="0" borderId="0" xfId="0" applyAlignment="1">
      <alignment horizontal="left" vertical="center"/>
    </xf>
    <xf numFmtId="164" fontId="8" fillId="0" borderId="0" xfId="1" applyNumberFormat="1" applyFont="1" applyBorder="1"/>
    <xf numFmtId="164" fontId="8" fillId="0" borderId="49" xfId="1" applyNumberFormat="1" applyFont="1" applyBorder="1"/>
    <xf numFmtId="0" fontId="9" fillId="0" borderId="0" xfId="0" applyFont="1" applyBorder="1"/>
    <xf numFmtId="0" fontId="9" fillId="5" borderId="0" xfId="0" applyFont="1" applyFill="1"/>
    <xf numFmtId="9" fontId="0" fillId="4" borderId="51" xfId="0" applyNumberFormat="1" applyFill="1" applyBorder="1"/>
    <xf numFmtId="9" fontId="0" fillId="4" borderId="52" xfId="0" applyNumberFormat="1" applyFill="1" applyBorder="1"/>
    <xf numFmtId="0" fontId="8" fillId="5" borderId="8" xfId="0" applyFont="1" applyFill="1" applyBorder="1"/>
    <xf numFmtId="0" fontId="8" fillId="5" borderId="11" xfId="0" applyFont="1" applyFill="1" applyBorder="1"/>
    <xf numFmtId="0" fontId="2" fillId="0" borderId="0" xfId="0" applyFont="1" applyBorder="1"/>
    <xf numFmtId="0" fontId="8" fillId="0" borderId="58" xfId="0" applyFont="1" applyFill="1" applyBorder="1" applyAlignment="1">
      <alignment horizontal="left" vertical="center" wrapText="1"/>
    </xf>
    <xf numFmtId="0" fontId="8" fillId="0" borderId="58" xfId="0" applyFont="1" applyFill="1" applyBorder="1" applyAlignment="1">
      <alignment horizontal="center" vertical="center" wrapText="1"/>
    </xf>
    <xf numFmtId="165" fontId="0" fillId="0" borderId="58" xfId="0" applyNumberFormat="1" applyBorder="1" applyAlignment="1">
      <alignment horizontal="center"/>
    </xf>
    <xf numFmtId="164" fontId="0" fillId="0" borderId="58" xfId="1" applyNumberFormat="1" applyFont="1" applyBorder="1" applyAlignment="1">
      <alignment horizontal="center"/>
    </xf>
    <xf numFmtId="164" fontId="0" fillId="0" borderId="59" xfId="1" applyNumberFormat="1" applyFont="1" applyBorder="1"/>
    <xf numFmtId="164" fontId="0" fillId="0" borderId="59" xfId="1" applyNumberFormat="1" applyFont="1" applyBorder="1" applyAlignment="1">
      <alignment horizontal="center"/>
    </xf>
    <xf numFmtId="164" fontId="0" fillId="0" borderId="60" xfId="1" applyNumberFormat="1" applyFont="1" applyBorder="1"/>
    <xf numFmtId="165" fontId="9" fillId="5" borderId="15" xfId="0" applyNumberFormat="1" applyFont="1" applyFill="1" applyBorder="1"/>
    <xf numFmtId="165" fontId="8" fillId="5" borderId="14" xfId="0" applyNumberFormat="1" applyFont="1" applyFill="1" applyBorder="1"/>
    <xf numFmtId="0" fontId="8" fillId="5" borderId="0" xfId="0" applyFont="1" applyFill="1"/>
    <xf numFmtId="9" fontId="8" fillId="4" borderId="9" xfId="0" applyNumberFormat="1" applyFont="1" applyFill="1" applyBorder="1"/>
    <xf numFmtId="9" fontId="8" fillId="4" borderId="39" xfId="0" applyNumberFormat="1" applyFont="1" applyFill="1" applyBorder="1"/>
    <xf numFmtId="9" fontId="8" fillId="4" borderId="10" xfId="0" applyNumberFormat="1" applyFont="1" applyFill="1" applyBorder="1"/>
    <xf numFmtId="9" fontId="8" fillId="4" borderId="50" xfId="0" applyNumberFormat="1" applyFont="1" applyFill="1" applyBorder="1"/>
    <xf numFmtId="0" fontId="0" fillId="0" borderId="0" xfId="0" applyFill="1"/>
    <xf numFmtId="0" fontId="8" fillId="0" borderId="0" xfId="0" applyFont="1" applyBorder="1"/>
    <xf numFmtId="0" fontId="9" fillId="5" borderId="36" xfId="0" applyFont="1" applyFill="1" applyBorder="1"/>
    <xf numFmtId="9" fontId="9" fillId="4" borderId="34" xfId="0" applyNumberFormat="1" applyFont="1" applyFill="1" applyBorder="1"/>
    <xf numFmtId="9" fontId="9" fillId="4" borderId="40" xfId="0" applyNumberFormat="1" applyFont="1" applyFill="1" applyBorder="1"/>
    <xf numFmtId="0" fontId="8" fillId="5" borderId="36" xfId="0" applyFont="1" applyFill="1" applyBorder="1"/>
    <xf numFmtId="9" fontId="9" fillId="4" borderId="35" xfId="0" applyNumberFormat="1" applyFont="1" applyFill="1" applyBorder="1"/>
    <xf numFmtId="9" fontId="9" fillId="4" borderId="51" xfId="0" applyNumberFormat="1" applyFont="1" applyFill="1" applyBorder="1"/>
    <xf numFmtId="0" fontId="12" fillId="0" borderId="0" xfId="0" applyFont="1"/>
    <xf numFmtId="0" fontId="12" fillId="0" borderId="49" xfId="0" applyFont="1" applyBorder="1"/>
    <xf numFmtId="164" fontId="2" fillId="0" borderId="61" xfId="1" applyNumberFormat="1" applyFont="1" applyBorder="1"/>
    <xf numFmtId="164" fontId="2" fillId="0" borderId="62" xfId="1" applyNumberFormat="1" applyFont="1" applyBorder="1"/>
    <xf numFmtId="164" fontId="0" fillId="0" borderId="0" xfId="0" applyNumberFormat="1" applyFill="1" applyAlignment="1">
      <alignment horizontal="center" vertical="center" wrapText="1"/>
    </xf>
    <xf numFmtId="0" fontId="14" fillId="13" borderId="0" xfId="4" applyFont="1" applyFill="1" applyAlignment="1"/>
    <xf numFmtId="0" fontId="15" fillId="14" borderId="63" xfId="0" applyFont="1" applyFill="1" applyBorder="1" applyAlignment="1">
      <alignment horizontal="center"/>
    </xf>
    <xf numFmtId="10" fontId="13" fillId="0" borderId="0" xfId="2" applyNumberFormat="1" applyFont="1"/>
    <xf numFmtId="0" fontId="12" fillId="0" borderId="0" xfId="0" applyFont="1" applyFill="1" applyBorder="1"/>
    <xf numFmtId="166" fontId="4" fillId="0" borderId="0" xfId="2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8" fillId="0" borderId="16" xfId="2" applyNumberFormat="1" applyFont="1" applyBorder="1" applyAlignment="1">
      <alignment horizontal="center"/>
    </xf>
    <xf numFmtId="166" fontId="8" fillId="0" borderId="1" xfId="2" applyNumberFormat="1" applyFont="1" applyBorder="1" applyAlignment="1">
      <alignment horizontal="center"/>
    </xf>
    <xf numFmtId="166" fontId="8" fillId="0" borderId="32" xfId="2" applyNumberFormat="1" applyFont="1" applyBorder="1" applyAlignment="1">
      <alignment horizontal="center"/>
    </xf>
    <xf numFmtId="164" fontId="3" fillId="7" borderId="29" xfId="0" applyNumberFormat="1" applyFont="1" applyFill="1" applyBorder="1" applyAlignment="1"/>
    <xf numFmtId="164" fontId="8" fillId="0" borderId="1" xfId="1" applyNumberFormat="1" applyFont="1" applyFill="1" applyBorder="1" applyAlignment="1">
      <alignment horizontal="center"/>
    </xf>
    <xf numFmtId="164" fontId="8" fillId="0" borderId="32" xfId="1" applyNumberFormat="1" applyFont="1" applyFill="1" applyBorder="1" applyAlignment="1">
      <alignment horizontal="center"/>
    </xf>
    <xf numFmtId="166" fontId="8" fillId="0" borderId="58" xfId="2" applyNumberFormat="1" applyFont="1" applyBorder="1" applyAlignment="1">
      <alignment horizontal="center"/>
    </xf>
    <xf numFmtId="10" fontId="4" fillId="0" borderId="0" xfId="3" applyNumberFormat="1" applyFont="1" applyFill="1" applyBorder="1" applyAlignment="1">
      <alignment horizontal="right"/>
    </xf>
    <xf numFmtId="164" fontId="8" fillId="0" borderId="16" xfId="1" applyNumberFormat="1" applyFont="1" applyFill="1" applyBorder="1" applyAlignment="1">
      <alignment horizontal="center"/>
    </xf>
    <xf numFmtId="164" fontId="0" fillId="0" borderId="16" xfId="1" applyNumberFormat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10" fontId="0" fillId="0" borderId="0" xfId="0" applyNumberFormat="1"/>
    <xf numFmtId="0" fontId="0" fillId="0" borderId="31" xfId="0" applyBorder="1" applyAlignment="1">
      <alignment horizontal="center" vertical="center"/>
    </xf>
    <xf numFmtId="43" fontId="4" fillId="0" borderId="0" xfId="2" applyFont="1" applyFill="1" applyBorder="1" applyAlignment="1">
      <alignment horizontal="right"/>
    </xf>
    <xf numFmtId="164" fontId="8" fillId="0" borderId="55" xfId="1" applyNumberFormat="1" applyFont="1" applyFill="1" applyBorder="1" applyAlignment="1">
      <alignment horizontal="center"/>
    </xf>
    <xf numFmtId="164" fontId="8" fillId="0" borderId="20" xfId="1" applyNumberFormat="1" applyFont="1" applyFill="1" applyBorder="1" applyAlignment="1">
      <alignment horizontal="center"/>
    </xf>
    <xf numFmtId="164" fontId="0" fillId="0" borderId="64" xfId="1" applyNumberFormat="1" applyFont="1" applyBorder="1"/>
    <xf numFmtId="164" fontId="0" fillId="0" borderId="64" xfId="1" applyNumberFormat="1" applyFont="1" applyBorder="1" applyAlignment="1">
      <alignment horizontal="center"/>
    </xf>
    <xf numFmtId="164" fontId="0" fillId="0" borderId="65" xfId="1" applyNumberFormat="1" applyFont="1" applyBorder="1"/>
    <xf numFmtId="164" fontId="0" fillId="0" borderId="0" xfId="0" applyNumberFormat="1" applyFill="1" applyBorder="1" applyAlignment="1">
      <alignment horizontal="center" vertical="center" wrapText="1"/>
    </xf>
    <xf numFmtId="166" fontId="0" fillId="0" borderId="0" xfId="2" applyNumberFormat="1" applyFont="1"/>
    <xf numFmtId="164" fontId="0" fillId="0" borderId="0" xfId="1" applyNumberFormat="1" applyFont="1" applyFill="1" applyBorder="1" applyAlignment="1">
      <alignment horizontal="center"/>
    </xf>
    <xf numFmtId="166" fontId="0" fillId="0" borderId="0" xfId="0" applyNumberFormat="1"/>
    <xf numFmtId="0" fontId="0" fillId="0" borderId="0" xfId="0" applyAlignment="1">
      <alignment horizontal="right"/>
    </xf>
    <xf numFmtId="166" fontId="0" fillId="0" borderId="0" xfId="2" applyNumberFormat="1" applyFont="1" applyFill="1" applyBorder="1"/>
    <xf numFmtId="166" fontId="0" fillId="0" borderId="20" xfId="2" applyNumberFormat="1" applyFont="1" applyFill="1" applyBorder="1"/>
    <xf numFmtId="166" fontId="0" fillId="0" borderId="58" xfId="2" applyNumberFormat="1" applyFont="1" applyFill="1" applyBorder="1"/>
    <xf numFmtId="166" fontId="0" fillId="0" borderId="20" xfId="0" applyNumberFormat="1" applyBorder="1"/>
    <xf numFmtId="166" fontId="0" fillId="0" borderId="58" xfId="0" applyNumberFormat="1" applyBorder="1"/>
    <xf numFmtId="166" fontId="0" fillId="0" borderId="20" xfId="2" applyNumberFormat="1" applyFont="1" applyBorder="1"/>
    <xf numFmtId="166" fontId="0" fillId="0" borderId="58" xfId="2" applyNumberFormat="1" applyFont="1" applyBorder="1"/>
    <xf numFmtId="166" fontId="0" fillId="0" borderId="1" xfId="2" applyNumberFormat="1" applyFont="1" applyBorder="1"/>
    <xf numFmtId="0" fontId="8" fillId="0" borderId="16" xfId="0" applyFont="1" applyFill="1" applyBorder="1"/>
    <xf numFmtId="0" fontId="8" fillId="0" borderId="16" xfId="0" applyFont="1" applyFill="1" applyBorder="1" applyAlignment="1">
      <alignment horizontal="center"/>
    </xf>
    <xf numFmtId="165" fontId="8" fillId="0" borderId="16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center"/>
    </xf>
    <xf numFmtId="0" fontId="8" fillId="0" borderId="55" xfId="0" applyFont="1" applyFill="1" applyBorder="1"/>
    <xf numFmtId="0" fontId="8" fillId="0" borderId="55" xfId="0" applyFont="1" applyFill="1" applyBorder="1" applyAlignment="1">
      <alignment horizontal="center"/>
    </xf>
    <xf numFmtId="165" fontId="8" fillId="0" borderId="55" xfId="0" applyNumberFormat="1" applyFont="1" applyFill="1" applyBorder="1" applyAlignment="1">
      <alignment horizontal="center"/>
    </xf>
    <xf numFmtId="0" fontId="8" fillId="0" borderId="32" xfId="0" applyFont="1" applyFill="1" applyBorder="1"/>
    <xf numFmtId="0" fontId="8" fillId="0" borderId="32" xfId="0" applyFont="1" applyFill="1" applyBorder="1" applyAlignment="1">
      <alignment horizontal="center"/>
    </xf>
    <xf numFmtId="165" fontId="8" fillId="0" borderId="32" xfId="0" applyNumberFormat="1" applyFont="1" applyFill="1" applyBorder="1" applyAlignment="1">
      <alignment horizontal="center"/>
    </xf>
    <xf numFmtId="0" fontId="0" fillId="0" borderId="5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7" fontId="0" fillId="0" borderId="0" xfId="0" applyNumberFormat="1"/>
    <xf numFmtId="0" fontId="0" fillId="0" borderId="5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2" fillId="22" borderId="22" xfId="0" applyFont="1" applyFill="1" applyBorder="1" applyAlignment="1">
      <alignment horizontal="center" vertical="center"/>
    </xf>
    <xf numFmtId="0" fontId="2" fillId="23" borderId="23" xfId="0" applyFont="1" applyFill="1" applyBorder="1" applyAlignment="1">
      <alignment horizontal="center" vertical="center"/>
    </xf>
    <xf numFmtId="166" fontId="0" fillId="24" borderId="68" xfId="2" applyNumberFormat="1" applyFont="1" applyFill="1" applyBorder="1"/>
    <xf numFmtId="166" fontId="0" fillId="24" borderId="44" xfId="2" applyNumberFormat="1" applyFont="1" applyFill="1" applyBorder="1"/>
    <xf numFmtId="166" fontId="0" fillId="24" borderId="67" xfId="2" applyNumberFormat="1" applyFont="1" applyFill="1" applyBorder="1"/>
    <xf numFmtId="0" fontId="0" fillId="24" borderId="0" xfId="0" applyFill="1"/>
    <xf numFmtId="166" fontId="0" fillId="24" borderId="0" xfId="0" applyNumberFormat="1" applyFill="1"/>
    <xf numFmtId="168" fontId="0" fillId="0" borderId="0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10" fontId="2" fillId="0" borderId="0" xfId="0" applyNumberFormat="1" applyFont="1" applyAlignment="1">
      <alignment vertical="center"/>
    </xf>
    <xf numFmtId="0" fontId="2" fillId="3" borderId="83" xfId="0" applyFont="1" applyFill="1" applyBorder="1" applyAlignment="1">
      <alignment horizontal="center" vertical="center"/>
    </xf>
    <xf numFmtId="169" fontId="0" fillId="0" borderId="84" xfId="1" applyNumberFormat="1" applyFont="1" applyBorder="1" applyAlignment="1">
      <alignment vertical="center"/>
    </xf>
    <xf numFmtId="169" fontId="0" fillId="0" borderId="68" xfId="1" applyNumberFormat="1" applyFont="1" applyBorder="1" applyAlignment="1">
      <alignment vertical="center"/>
    </xf>
    <xf numFmtId="169" fontId="0" fillId="0" borderId="72" xfId="1" applyNumberFormat="1" applyFont="1" applyBorder="1" applyAlignment="1">
      <alignment vertical="center"/>
    </xf>
    <xf numFmtId="169" fontId="0" fillId="0" borderId="76" xfId="1" applyNumberFormat="1" applyFont="1" applyBorder="1" applyAlignment="1">
      <alignment vertical="center"/>
    </xf>
    <xf numFmtId="169" fontId="0" fillId="0" borderId="44" xfId="1" applyNumberFormat="1" applyFont="1" applyBorder="1" applyAlignment="1">
      <alignment vertical="center"/>
    </xf>
    <xf numFmtId="169" fontId="0" fillId="0" borderId="45" xfId="1" applyNumberFormat="1" applyFont="1" applyBorder="1" applyAlignment="1">
      <alignment vertical="center"/>
    </xf>
    <xf numFmtId="169" fontId="0" fillId="0" borderId="79" xfId="1" applyNumberFormat="1" applyFont="1" applyBorder="1" applyAlignment="1">
      <alignment vertical="center"/>
    </xf>
    <xf numFmtId="169" fontId="0" fillId="0" borderId="67" xfId="1" applyNumberFormat="1" applyFont="1" applyBorder="1" applyAlignment="1">
      <alignment vertical="center"/>
    </xf>
    <xf numFmtId="169" fontId="0" fillId="0" borderId="73" xfId="1" applyNumberFormat="1" applyFont="1" applyBorder="1" applyAlignment="1">
      <alignment vertical="center"/>
    </xf>
    <xf numFmtId="169" fontId="2" fillId="0" borderId="28" xfId="0" applyNumberFormat="1" applyFont="1" applyBorder="1" applyAlignment="1">
      <alignment vertical="center"/>
    </xf>
    <xf numFmtId="169" fontId="2" fillId="0" borderId="29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7" xfId="0" applyFont="1" applyBorder="1" applyAlignment="1">
      <alignment horizontal="right" vertical="center"/>
    </xf>
    <xf numFmtId="10" fontId="2" fillId="0" borderId="5" xfId="0" applyNumberFormat="1" applyFont="1" applyBorder="1" applyAlignment="1">
      <alignment horizontal="center" vertical="center"/>
    </xf>
    <xf numFmtId="0" fontId="0" fillId="0" borderId="0" xfId="0" applyFill="1" applyBorder="1"/>
    <xf numFmtId="0" fontId="0" fillId="0" borderId="0" xfId="0" applyFont="1" applyBorder="1"/>
    <xf numFmtId="164" fontId="2" fillId="4" borderId="62" xfId="1" applyNumberFormat="1" applyFont="1" applyFill="1" applyBorder="1"/>
    <xf numFmtId="164" fontId="0" fillId="0" borderId="0" xfId="0" applyNumberFormat="1"/>
    <xf numFmtId="44" fontId="4" fillId="11" borderId="3" xfId="0" applyNumberFormat="1" applyFont="1" applyFill="1" applyBorder="1"/>
    <xf numFmtId="0" fontId="3" fillId="7" borderId="25" xfId="0" applyFont="1" applyFill="1" applyBorder="1" applyAlignment="1">
      <alignment horizontal="center" vertical="center" wrapText="1"/>
    </xf>
    <xf numFmtId="0" fontId="3" fillId="7" borderId="55" xfId="0" applyFont="1" applyFill="1" applyBorder="1" applyAlignment="1">
      <alignment horizontal="center" vertical="center" wrapText="1"/>
    </xf>
    <xf numFmtId="0" fontId="3" fillId="7" borderId="48" xfId="0" applyFont="1" applyFill="1" applyBorder="1" applyAlignment="1">
      <alignment horizontal="center" vertical="center" wrapText="1"/>
    </xf>
    <xf numFmtId="0" fontId="3" fillId="7" borderId="57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/>
    </xf>
    <xf numFmtId="0" fontId="5" fillId="12" borderId="17" xfId="0" applyFont="1" applyFill="1" applyBorder="1" applyAlignment="1">
      <alignment horizontal="center" vertical="center"/>
    </xf>
    <xf numFmtId="0" fontId="5" fillId="12" borderId="5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4" fillId="6" borderId="53" xfId="0" applyFont="1" applyFill="1" applyBorder="1" applyAlignment="1">
      <alignment horizontal="center" vertical="center"/>
    </xf>
    <xf numFmtId="0" fontId="4" fillId="6" borderId="54" xfId="0" applyFont="1" applyFill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7" borderId="4" xfId="0" applyFont="1" applyFill="1" applyBorder="1" applyAlignment="1">
      <alignment horizontal="right"/>
    </xf>
    <xf numFmtId="0" fontId="3" fillId="7" borderId="17" xfId="0" applyFont="1" applyFill="1" applyBorder="1" applyAlignment="1">
      <alignment horizontal="right"/>
    </xf>
    <xf numFmtId="0" fontId="2" fillId="8" borderId="4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4" fillId="6" borderId="82" xfId="0" applyFont="1" applyFill="1" applyBorder="1" applyAlignment="1">
      <alignment horizontal="center" vertical="center"/>
    </xf>
    <xf numFmtId="0" fontId="3" fillId="7" borderId="69" xfId="0" applyFont="1" applyFill="1" applyBorder="1" applyAlignment="1">
      <alignment horizontal="center" vertical="center" wrapText="1"/>
    </xf>
    <xf numFmtId="0" fontId="3" fillId="7" borderId="70" xfId="0" applyFont="1" applyFill="1" applyBorder="1" applyAlignment="1">
      <alignment horizontal="center" vertical="center" wrapText="1"/>
    </xf>
    <xf numFmtId="0" fontId="3" fillId="7" borderId="71" xfId="0" applyFont="1" applyFill="1" applyBorder="1" applyAlignment="1">
      <alignment horizontal="center" vertical="center" wrapText="1"/>
    </xf>
    <xf numFmtId="0" fontId="3" fillId="7" borderId="37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7" borderId="38" xfId="0" applyFont="1" applyFill="1" applyBorder="1" applyAlignment="1">
      <alignment horizontal="center" vertical="center" wrapText="1"/>
    </xf>
    <xf numFmtId="0" fontId="3" fillId="17" borderId="0" xfId="0" applyFont="1" applyFill="1" applyBorder="1" applyAlignment="1">
      <alignment horizontal="center" vertical="center" wrapText="1"/>
    </xf>
    <xf numFmtId="0" fontId="3" fillId="17" borderId="38" xfId="0" applyFont="1" applyFill="1" applyBorder="1" applyAlignment="1">
      <alignment horizontal="center" vertical="center" wrapText="1"/>
    </xf>
    <xf numFmtId="0" fontId="0" fillId="24" borderId="0" xfId="0" applyFill="1" applyAlignment="1">
      <alignment horizontal="right"/>
    </xf>
    <xf numFmtId="0" fontId="0" fillId="24" borderId="66" xfId="0" applyFill="1" applyBorder="1" applyAlignment="1">
      <alignment horizontal="right"/>
    </xf>
    <xf numFmtId="0" fontId="0" fillId="0" borderId="74" xfId="0" applyBorder="1" applyAlignment="1">
      <alignment horizontal="right" vertical="center"/>
    </xf>
    <xf numFmtId="0" fontId="0" fillId="0" borderId="51" xfId="0" applyBorder="1" applyAlignment="1">
      <alignment horizontal="right" vertical="center"/>
    </xf>
    <xf numFmtId="0" fontId="0" fillId="0" borderId="85" xfId="0" applyBorder="1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0" fillId="0" borderId="52" xfId="0" applyBorder="1" applyAlignment="1">
      <alignment horizontal="right" vertical="center"/>
    </xf>
    <xf numFmtId="0" fontId="0" fillId="0" borderId="86" xfId="0" applyBorder="1" applyAlignment="1">
      <alignment horizontal="right" vertical="center"/>
    </xf>
    <xf numFmtId="0" fontId="0" fillId="0" borderId="77" xfId="0" applyBorder="1" applyAlignment="1">
      <alignment horizontal="right" vertical="center"/>
    </xf>
    <xf numFmtId="0" fontId="0" fillId="0" borderId="78" xfId="0" applyBorder="1" applyAlignment="1">
      <alignment horizontal="right" vertical="center"/>
    </xf>
    <xf numFmtId="0" fontId="0" fillId="0" borderId="87" xfId="0" applyBorder="1" applyAlignment="1">
      <alignment horizontal="right" vertical="center"/>
    </xf>
    <xf numFmtId="0" fontId="5" fillId="18" borderId="4" xfId="0" applyFont="1" applyFill="1" applyBorder="1" applyAlignment="1">
      <alignment horizontal="center" vertical="center"/>
    </xf>
    <xf numFmtId="0" fontId="5" fillId="18" borderId="17" xfId="0" applyFont="1" applyFill="1" applyBorder="1" applyAlignment="1">
      <alignment horizontal="center" vertical="center"/>
    </xf>
    <xf numFmtId="0" fontId="5" fillId="18" borderId="5" xfId="0" applyFont="1" applyFill="1" applyBorder="1" applyAlignment="1">
      <alignment horizontal="center" vertical="center"/>
    </xf>
    <xf numFmtId="0" fontId="5" fillId="19" borderId="4" xfId="0" applyFont="1" applyFill="1" applyBorder="1" applyAlignment="1">
      <alignment horizontal="center" vertical="center"/>
    </xf>
    <xf numFmtId="0" fontId="5" fillId="19" borderId="17" xfId="0" applyFont="1" applyFill="1" applyBorder="1" applyAlignment="1">
      <alignment horizontal="center" vertical="center"/>
    </xf>
    <xf numFmtId="0" fontId="5" fillId="19" borderId="5" xfId="0" applyFont="1" applyFill="1" applyBorder="1" applyAlignment="1">
      <alignment horizontal="center" vertical="center"/>
    </xf>
    <xf numFmtId="0" fontId="4" fillId="20" borderId="6" xfId="0" applyFont="1" applyFill="1" applyBorder="1" applyAlignment="1">
      <alignment horizontal="center" vertical="center"/>
    </xf>
    <xf numFmtId="0" fontId="4" fillId="20" borderId="7" xfId="0" applyFont="1" applyFill="1" applyBorder="1" applyAlignment="1">
      <alignment horizontal="center" vertical="center"/>
    </xf>
    <xf numFmtId="0" fontId="2" fillId="21" borderId="6" xfId="0" applyFont="1" applyFill="1" applyBorder="1" applyAlignment="1">
      <alignment horizontal="center" vertical="center"/>
    </xf>
    <xf numFmtId="0" fontId="2" fillId="21" borderId="7" xfId="0" applyFont="1" applyFill="1" applyBorder="1" applyAlignment="1">
      <alignment horizontal="center" vertical="center"/>
    </xf>
    <xf numFmtId="0" fontId="4" fillId="20" borderId="53" xfId="0" applyFont="1" applyFill="1" applyBorder="1" applyAlignment="1">
      <alignment horizontal="center" vertical="center"/>
    </xf>
    <xf numFmtId="0" fontId="4" fillId="20" borderId="54" xfId="0" applyFont="1" applyFill="1" applyBorder="1" applyAlignment="1">
      <alignment horizontal="center" vertical="center"/>
    </xf>
    <xf numFmtId="0" fontId="3" fillId="7" borderId="80" xfId="0" applyFont="1" applyFill="1" applyBorder="1" applyAlignment="1">
      <alignment horizontal="right" vertical="center"/>
    </xf>
    <xf numFmtId="0" fontId="3" fillId="7" borderId="81" xfId="0" applyFont="1" applyFill="1" applyBorder="1" applyAlignment="1">
      <alignment horizontal="right" vertical="center"/>
    </xf>
    <xf numFmtId="0" fontId="3" fillId="7" borderId="88" xfId="0" applyFont="1" applyFill="1" applyBorder="1" applyAlignment="1">
      <alignment horizontal="right" vertical="center"/>
    </xf>
    <xf numFmtId="0" fontId="0" fillId="16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15" borderId="0" xfId="0" applyFill="1" applyAlignment="1">
      <alignment horizontal="center"/>
    </xf>
  </cellXfs>
  <cellStyles count="5">
    <cellStyle name="Comma" xfId="2" builtinId="3"/>
    <cellStyle name="Currency" xfId="1" builtinId="4"/>
    <cellStyle name="Normal" xfId="0" builtinId="0"/>
    <cellStyle name="Normal_QRY_OL_PERCENT" xfId="4" xr:uid="{00000000-0005-0000-0000-000003000000}"/>
    <cellStyle name="Percent" xfId="3" builtinId="5"/>
  </cellStyles>
  <dxfs count="0"/>
  <tableStyles count="0" defaultTableStyle="TableStyleMedium2" defaultPivotStyle="PivotStyleLight16"/>
  <colors>
    <mruColors>
      <color rgb="FFFBCE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714375</xdr:colOff>
      <xdr:row>27</xdr:row>
      <xdr:rowOff>160733</xdr:rowOff>
    </xdr:from>
    <xdr:to>
      <xdr:col>18</xdr:col>
      <xdr:colOff>309562</xdr:colOff>
      <xdr:row>30</xdr:row>
      <xdr:rowOff>196452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6037719" y="5322093"/>
          <a:ext cx="2274093" cy="5774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=$291,544 + $871,174 =</a:t>
          </a:r>
          <a:r>
            <a:rPr lang="en-US" sz="1100" baseline="0"/>
            <a:t> $1,162,718 Total EIM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58208</xdr:rowOff>
    </xdr:from>
    <xdr:to>
      <xdr:col>13</xdr:col>
      <xdr:colOff>445485</xdr:colOff>
      <xdr:row>27</xdr:row>
      <xdr:rowOff>46302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8708"/>
          <a:ext cx="10287985" cy="4814094"/>
        </a:xfrm>
        <a:prstGeom prst="rect">
          <a:avLst/>
        </a:prstGeom>
      </xdr:spPr>
    </xdr:pic>
    <xdr:clientData/>
  </xdr:twoCellAnchor>
  <xdr:twoCellAnchor editAs="oneCell">
    <xdr:from>
      <xdr:col>19</xdr:col>
      <xdr:colOff>116417</xdr:colOff>
      <xdr:row>30</xdr:row>
      <xdr:rowOff>179916</xdr:rowOff>
    </xdr:from>
    <xdr:to>
      <xdr:col>25</xdr:col>
      <xdr:colOff>558318</xdr:colOff>
      <xdr:row>62</xdr:row>
      <xdr:rowOff>18819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01750" y="5767916"/>
          <a:ext cx="4124901" cy="5934903"/>
        </a:xfrm>
        <a:prstGeom prst="rect">
          <a:avLst/>
        </a:prstGeom>
      </xdr:spPr>
    </xdr:pic>
    <xdr:clientData/>
  </xdr:twoCellAnchor>
  <xdr:twoCellAnchor editAs="oneCell">
    <xdr:from>
      <xdr:col>6</xdr:col>
      <xdr:colOff>349249</xdr:colOff>
      <xdr:row>29</xdr:row>
      <xdr:rowOff>132673</xdr:rowOff>
    </xdr:from>
    <xdr:to>
      <xdr:col>12</xdr:col>
      <xdr:colOff>675990</xdr:colOff>
      <xdr:row>40</xdr:row>
      <xdr:rowOff>26824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23416" y="5530173"/>
          <a:ext cx="4210825" cy="1989651"/>
        </a:xfrm>
        <a:prstGeom prst="rect">
          <a:avLst/>
        </a:prstGeom>
      </xdr:spPr>
    </xdr:pic>
    <xdr:clientData/>
  </xdr:twoCellAnchor>
  <xdr:twoCellAnchor editAs="oneCell">
    <xdr:from>
      <xdr:col>24</xdr:col>
      <xdr:colOff>497417</xdr:colOff>
      <xdr:row>31</xdr:row>
      <xdr:rowOff>0</xdr:rowOff>
    </xdr:from>
    <xdr:to>
      <xdr:col>39</xdr:col>
      <xdr:colOff>16035</xdr:colOff>
      <xdr:row>59</xdr:row>
      <xdr:rowOff>57902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451917" y="5778500"/>
          <a:ext cx="8726118" cy="53919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183444</xdr:colOff>
      <xdr:row>5</xdr:row>
      <xdr:rowOff>91723</xdr:rowOff>
    </xdr:from>
    <xdr:to>
      <xdr:col>13</xdr:col>
      <xdr:colOff>42334</xdr:colOff>
      <xdr:row>19</xdr:row>
      <xdr:rowOff>156296</xdr:rowOff>
    </xdr:to>
    <xdr:pic>
      <xdr:nvPicPr>
        <xdr:cNvPr id="3" name="Picture 2" descr="Slide Tables for FTEspptx  PowerPoint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3777" y="1008945"/>
          <a:ext cx="6477001" cy="26327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AA86"/>
  <sheetViews>
    <sheetView tabSelected="1" view="pageBreakPreview" zoomScale="60" zoomScaleNormal="80" workbookViewId="0">
      <selection activeCell="X60" sqref="X60"/>
    </sheetView>
  </sheetViews>
  <sheetFormatPr defaultRowHeight="15" x14ac:dyDescent="0.25"/>
  <cols>
    <col min="1" max="1" width="13.42578125" customWidth="1"/>
    <col min="2" max="2" width="22.140625" customWidth="1"/>
    <col min="3" max="3" width="7.85546875" customWidth="1"/>
    <col min="4" max="4" width="27.5703125" customWidth="1"/>
    <col min="5" max="5" width="12.5703125" style="24" customWidth="1"/>
    <col min="6" max="6" width="17" customWidth="1"/>
    <col min="7" max="7" width="12.5703125" customWidth="1"/>
    <col min="8" max="9" width="13" customWidth="1"/>
    <col min="10" max="10" width="12.140625" customWidth="1"/>
    <col min="11" max="11" width="12.28515625" bestFit="1" customWidth="1"/>
    <col min="12" max="12" width="15.5703125" customWidth="1"/>
    <col min="13" max="13" width="12" customWidth="1"/>
    <col min="14" max="14" width="20" bestFit="1" customWidth="1"/>
    <col min="15" max="24" width="12.42578125" customWidth="1"/>
    <col min="27" max="27" width="13.42578125" bestFit="1" customWidth="1"/>
  </cols>
  <sheetData>
    <row r="1" spans="1:25" ht="25.5" customHeight="1" thickBot="1" x14ac:dyDescent="0.3">
      <c r="A1" s="50" t="s">
        <v>49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27"/>
      <c r="O1" s="196" t="s">
        <v>39</v>
      </c>
      <c r="P1" s="197"/>
      <c r="Q1" s="197"/>
      <c r="R1" s="197"/>
      <c r="S1" s="197"/>
      <c r="T1" s="198"/>
      <c r="U1" s="199" t="s">
        <v>38</v>
      </c>
      <c r="V1" s="200"/>
      <c r="W1" s="200"/>
      <c r="X1" s="201"/>
    </row>
    <row r="2" spans="1:25" ht="17.25" customHeight="1" x14ac:dyDescent="0.25">
      <c r="A2" s="213" t="s">
        <v>5</v>
      </c>
      <c r="B2" s="215" t="s">
        <v>1</v>
      </c>
      <c r="C2" s="192" t="s">
        <v>71</v>
      </c>
      <c r="D2" s="215" t="s">
        <v>70</v>
      </c>
      <c r="E2" s="192" t="s">
        <v>24</v>
      </c>
      <c r="F2" s="215" t="s">
        <v>2</v>
      </c>
      <c r="G2" s="217" t="s">
        <v>30</v>
      </c>
      <c r="H2" s="192" t="s">
        <v>26</v>
      </c>
      <c r="I2" s="192" t="s">
        <v>27</v>
      </c>
      <c r="J2" s="194" t="s">
        <v>28</v>
      </c>
      <c r="K2" s="192" t="s">
        <v>45</v>
      </c>
      <c r="L2" s="192" t="s">
        <v>50</v>
      </c>
      <c r="M2" s="192" t="s">
        <v>51</v>
      </c>
      <c r="N2" s="194" t="s">
        <v>52</v>
      </c>
      <c r="O2" s="202">
        <v>2020</v>
      </c>
      <c r="P2" s="203"/>
      <c r="Q2" s="204">
        <v>2021</v>
      </c>
      <c r="R2" s="205"/>
      <c r="S2" s="202" t="s">
        <v>72</v>
      </c>
      <c r="T2" s="203"/>
      <c r="U2" s="206" t="s">
        <v>73</v>
      </c>
      <c r="V2" s="207"/>
      <c r="W2" s="204">
        <v>2023</v>
      </c>
      <c r="X2" s="205"/>
    </row>
    <row r="3" spans="1:25" s="1" customFormat="1" ht="17.25" customHeight="1" thickBot="1" x14ac:dyDescent="0.3">
      <c r="A3" s="214"/>
      <c r="B3" s="216"/>
      <c r="C3" s="193"/>
      <c r="D3" s="216"/>
      <c r="E3" s="212"/>
      <c r="F3" s="216"/>
      <c r="G3" s="218"/>
      <c r="H3" s="193"/>
      <c r="I3" s="193"/>
      <c r="J3" s="195"/>
      <c r="K3" s="212"/>
      <c r="L3" s="193"/>
      <c r="M3" s="193"/>
      <c r="N3" s="195"/>
      <c r="O3" s="7" t="s">
        <v>0</v>
      </c>
      <c r="P3" s="8" t="s">
        <v>7</v>
      </c>
      <c r="Q3" s="7" t="s">
        <v>0</v>
      </c>
      <c r="R3" s="8" t="s">
        <v>7</v>
      </c>
      <c r="S3" s="7" t="s">
        <v>0</v>
      </c>
      <c r="T3" s="8" t="s">
        <v>7</v>
      </c>
      <c r="U3" s="7" t="s">
        <v>0</v>
      </c>
      <c r="V3" s="8" t="s">
        <v>7</v>
      </c>
      <c r="W3" s="7" t="s">
        <v>0</v>
      </c>
      <c r="X3" s="8" t="s">
        <v>7</v>
      </c>
      <c r="Y3" s="59"/>
    </row>
    <row r="4" spans="1:25" s="11" customFormat="1" ht="17.25" customHeight="1" x14ac:dyDescent="0.25">
      <c r="A4" s="208" t="s">
        <v>6</v>
      </c>
      <c r="B4" s="210" t="s">
        <v>4</v>
      </c>
      <c r="C4" s="156">
        <v>1</v>
      </c>
      <c r="D4" s="9" t="s">
        <v>40</v>
      </c>
      <c r="E4" s="22">
        <v>11</v>
      </c>
      <c r="F4" s="10">
        <v>43466</v>
      </c>
      <c r="G4" s="19">
        <v>123000</v>
      </c>
      <c r="H4" s="14">
        <f>+G4*(1+Assumption!$D$31)</f>
        <v>126074.99999999999</v>
      </c>
      <c r="I4" s="14">
        <f>+H4*(1+Assumption!$D$31)</f>
        <v>129226.87499999997</v>
      </c>
      <c r="J4" s="14">
        <f>+I4*(1+Assumption!$D$31)</f>
        <v>132457.54687499997</v>
      </c>
      <c r="K4" s="102">
        <f>+G4-(G4*Assumption!$C$39)</f>
        <v>110035.8</v>
      </c>
      <c r="L4" s="14">
        <f>+K4*(1+Assumption!$D$31)</f>
        <v>112786.69499999999</v>
      </c>
      <c r="M4" s="14">
        <f>+L4*(1+Assumption!$D$31)</f>
        <v>115606.36237499998</v>
      </c>
      <c r="N4" s="14">
        <f>+M4*(1+Assumption!$D$31)</f>
        <v>118496.52143437497</v>
      </c>
      <c r="O4" s="35">
        <f t="shared" ref="O4:O23" si="0">$G4*(O34/12)*P34</f>
        <v>92250</v>
      </c>
      <c r="P4" s="35">
        <f t="shared" ref="P4:P23" si="1">$G4*(O34/12)*(1-P34)</f>
        <v>30750</v>
      </c>
      <c r="Q4" s="35">
        <f t="shared" ref="Q4:Q23" si="2">$L4*(Q34/12)*R34</f>
        <v>84590.021249999991</v>
      </c>
      <c r="R4" s="36">
        <f t="shared" ref="R4:R23" si="3">$L4*(Q34/12)*(1-R34)</f>
        <v>28196.673749999998</v>
      </c>
      <c r="S4" s="35">
        <f t="shared" ref="S4:S23" si="4">$M4*(S34/12)*T34</f>
        <v>28901.590593749992</v>
      </c>
      <c r="T4" s="36">
        <f t="shared" ref="T4:T23" si="5">$M4*(S34/12)*(1-T34)</f>
        <v>9633.8635312499973</v>
      </c>
      <c r="U4" s="35">
        <f t="shared" ref="U4:U23" si="6">$M4*(U34/12)*V34</f>
        <v>0</v>
      </c>
      <c r="V4" s="36">
        <f t="shared" ref="V4:V23" si="7">$M4*(U34/12)*(1-V34)</f>
        <v>28901.590593749996</v>
      </c>
      <c r="W4" s="35">
        <f t="shared" ref="W4:W23" si="8">$N4*(W34/12)*X34</f>
        <v>0</v>
      </c>
      <c r="X4" s="37">
        <f t="shared" ref="X4:X23" si="9">$N4*(W34/12)*(1-X34)</f>
        <v>0</v>
      </c>
      <c r="Y4" s="95"/>
    </row>
    <row r="5" spans="1:25" s="11" customFormat="1" ht="17.25" customHeight="1" x14ac:dyDescent="0.25">
      <c r="A5" s="208"/>
      <c r="B5" s="210"/>
      <c r="C5" s="156">
        <v>2</v>
      </c>
      <c r="D5" s="69" t="s">
        <v>22</v>
      </c>
      <c r="E5" s="70">
        <v>9</v>
      </c>
      <c r="F5" s="71">
        <v>44075</v>
      </c>
      <c r="G5" s="72">
        <v>75000</v>
      </c>
      <c r="H5" s="13">
        <f>+G5*(1+Assumption!$D$31)</f>
        <v>76875</v>
      </c>
      <c r="I5" s="13">
        <f>+H5*(1+Assumption!$D$31)</f>
        <v>78796.875</v>
      </c>
      <c r="J5" s="13">
        <f>+I5*(1+Assumption!$D$31)</f>
        <v>80766.796875</v>
      </c>
      <c r="K5" s="103">
        <f>+G5-(G5*Assumption!$C$39)</f>
        <v>67095</v>
      </c>
      <c r="L5" s="13">
        <f>+K5*(1+Assumption!$D$31)</f>
        <v>68772.375</v>
      </c>
      <c r="M5" s="13">
        <f>+L5*(1+Assumption!$D$31)</f>
        <v>70491.684374999997</v>
      </c>
      <c r="N5" s="13">
        <f>+M5*(1+Assumption!$D$31)</f>
        <v>72253.976484374987</v>
      </c>
      <c r="O5" s="73">
        <f t="shared" si="0"/>
        <v>0</v>
      </c>
      <c r="P5" s="73">
        <f t="shared" si="1"/>
        <v>25000</v>
      </c>
      <c r="Q5" s="73">
        <f t="shared" si="2"/>
        <v>0</v>
      </c>
      <c r="R5" s="74">
        <f t="shared" si="3"/>
        <v>68772.375</v>
      </c>
      <c r="S5" s="73">
        <f t="shared" si="4"/>
        <v>11748.614062499999</v>
      </c>
      <c r="T5" s="74">
        <f t="shared" si="5"/>
        <v>11748.614062499999</v>
      </c>
      <c r="U5" s="73">
        <f t="shared" si="6"/>
        <v>0</v>
      </c>
      <c r="V5" s="74">
        <f t="shared" si="7"/>
        <v>0</v>
      </c>
      <c r="W5" s="73">
        <f t="shared" si="8"/>
        <v>0</v>
      </c>
      <c r="X5" s="75">
        <f t="shared" si="9"/>
        <v>0</v>
      </c>
      <c r="Y5" s="95"/>
    </row>
    <row r="6" spans="1:25" ht="15.75" thickBot="1" x14ac:dyDescent="0.3">
      <c r="A6" s="209"/>
      <c r="B6" s="211"/>
      <c r="C6" s="157">
        <v>4</v>
      </c>
      <c r="D6" s="15" t="s">
        <v>3</v>
      </c>
      <c r="E6" s="21">
        <v>12</v>
      </c>
      <c r="F6" s="16">
        <v>44378</v>
      </c>
      <c r="G6" s="17">
        <v>140000</v>
      </c>
      <c r="H6" s="17">
        <f>+G6*(1+Assumption!$D$31)</f>
        <v>143500</v>
      </c>
      <c r="I6" s="17">
        <f>+H6*(1+Assumption!$D$31)</f>
        <v>147087.5</v>
      </c>
      <c r="J6" s="17">
        <f>+I6*(1+Assumption!$D$31)</f>
        <v>150764.6875</v>
      </c>
      <c r="K6" s="104">
        <f>+G6-(G6*Assumption!$C$39)</f>
        <v>125244</v>
      </c>
      <c r="L6" s="17">
        <f>+K6*(1+Assumption!$D$31)</f>
        <v>128375.09999999999</v>
      </c>
      <c r="M6" s="17">
        <f>+L6*(1+Assumption!$D$31)</f>
        <v>131584.47749999998</v>
      </c>
      <c r="N6" s="17">
        <f>+M6*(1+Assumption!$D$31)</f>
        <v>134874.08943749996</v>
      </c>
      <c r="O6" s="41">
        <f t="shared" si="0"/>
        <v>0</v>
      </c>
      <c r="P6" s="41">
        <f t="shared" si="1"/>
        <v>0</v>
      </c>
      <c r="Q6" s="41">
        <f t="shared" si="2"/>
        <v>32093.774999999998</v>
      </c>
      <c r="R6" s="42">
        <f t="shared" si="3"/>
        <v>32093.774999999998</v>
      </c>
      <c r="S6" s="41">
        <f t="shared" si="4"/>
        <v>39475.343249999998</v>
      </c>
      <c r="T6" s="42">
        <f t="shared" si="5"/>
        <v>4386.1492499999986</v>
      </c>
      <c r="U6" s="41">
        <f t="shared" si="6"/>
        <v>0</v>
      </c>
      <c r="V6" s="42">
        <f t="shared" si="7"/>
        <v>32896.119374999995</v>
      </c>
      <c r="W6" s="41">
        <f t="shared" si="8"/>
        <v>0</v>
      </c>
      <c r="X6" s="43">
        <f t="shared" si="9"/>
        <v>134874.08943749996</v>
      </c>
      <c r="Y6" s="95"/>
    </row>
    <row r="7" spans="1:25" x14ac:dyDescent="0.25">
      <c r="A7" s="219" t="s">
        <v>11</v>
      </c>
      <c r="B7" s="220" t="s">
        <v>9</v>
      </c>
      <c r="C7" s="159">
        <v>7</v>
      </c>
      <c r="D7" s="134" t="s">
        <v>25</v>
      </c>
      <c r="E7" s="135">
        <v>10</v>
      </c>
      <c r="F7" s="136">
        <v>43862</v>
      </c>
      <c r="G7" s="110">
        <f>135526+(135526*(0.03*9/12))</f>
        <v>138575.33499999999</v>
      </c>
      <c r="H7" s="110">
        <f>+G7*(1+Assumption!$D$31)</f>
        <v>142039.71837499997</v>
      </c>
      <c r="I7" s="111">
        <f>+H7*(1+Assumption!$D$31)</f>
        <v>145590.71133437497</v>
      </c>
      <c r="J7" s="111">
        <f>+I7*(1+Assumption!$D$31)</f>
        <v>149230.47911773433</v>
      </c>
      <c r="K7" s="110">
        <f>+G7-(G7*Assumption!C39)</f>
        <v>123969.494691</v>
      </c>
      <c r="L7" s="111">
        <f>+K7*(1+Assumption!$D$31)</f>
        <v>127068.73205827498</v>
      </c>
      <c r="M7" s="111">
        <f>+L7*(1+Assumption!$D$31)</f>
        <v>130245.45035973184</v>
      </c>
      <c r="N7" s="111">
        <f>+M7*(1+Assumption!$D$31)</f>
        <v>133501.58661872512</v>
      </c>
      <c r="O7" s="35">
        <f t="shared" si="0"/>
        <v>68594.790824999989</v>
      </c>
      <c r="P7" s="35">
        <f t="shared" si="1"/>
        <v>58432.599591666651</v>
      </c>
      <c r="Q7" s="35">
        <f t="shared" si="2"/>
        <v>95301.54904370624</v>
      </c>
      <c r="R7" s="36">
        <f t="shared" si="3"/>
        <v>31767.183014568745</v>
      </c>
      <c r="S7" s="35">
        <f t="shared" si="4"/>
        <v>39073.635107919552</v>
      </c>
      <c r="T7" s="36">
        <f t="shared" si="5"/>
        <v>4341.5150119910604</v>
      </c>
      <c r="U7" s="35">
        <f t="shared" si="6"/>
        <v>0</v>
      </c>
      <c r="V7" s="36">
        <f t="shared" si="7"/>
        <v>32561.36258993296</v>
      </c>
      <c r="W7" s="35">
        <f t="shared" si="8"/>
        <v>0</v>
      </c>
      <c r="X7" s="37">
        <f t="shared" si="9"/>
        <v>133501.58661872512</v>
      </c>
      <c r="Y7" s="95"/>
    </row>
    <row r="8" spans="1:25" x14ac:dyDescent="0.25">
      <c r="A8" s="208"/>
      <c r="B8" s="221"/>
      <c r="C8" s="156">
        <v>6</v>
      </c>
      <c r="D8" s="137" t="s">
        <v>10</v>
      </c>
      <c r="E8" s="138">
        <v>11</v>
      </c>
      <c r="F8" s="139">
        <v>43983</v>
      </c>
      <c r="G8" s="106">
        <v>129000</v>
      </c>
      <c r="H8" s="106">
        <f>+G8*(1+Assumption!$D$31)</f>
        <v>132225</v>
      </c>
      <c r="I8" s="106">
        <f>+H8*(1+Assumption!$D$31)</f>
        <v>135530.625</v>
      </c>
      <c r="J8" s="106">
        <f>+I8*(1+Assumption!$D$31)</f>
        <v>138918.890625</v>
      </c>
      <c r="K8" s="106">
        <f>G8-(G8*Assumption!C39)</f>
        <v>115403.4</v>
      </c>
      <c r="L8" s="106">
        <f>+K8*(1+Assumption!$D$31)</f>
        <v>118288.48499999999</v>
      </c>
      <c r="M8" s="106">
        <f>+L8*(1+Assumption!$D$31)</f>
        <v>121245.69712499998</v>
      </c>
      <c r="N8" s="106">
        <f>+M8*(1+Assumption!$D$31)</f>
        <v>124276.83955312497</v>
      </c>
      <c r="O8" s="38">
        <f t="shared" si="0"/>
        <v>11287.5</v>
      </c>
      <c r="P8" s="38">
        <f t="shared" si="1"/>
        <v>63962.5</v>
      </c>
      <c r="Q8" s="38">
        <f t="shared" si="2"/>
        <v>17743.272749999996</v>
      </c>
      <c r="R8" s="39">
        <f t="shared" si="3"/>
        <v>100545.21224999998</v>
      </c>
      <c r="S8" s="38">
        <f t="shared" si="4"/>
        <v>6062.2848562499985</v>
      </c>
      <c r="T8" s="39">
        <f t="shared" si="5"/>
        <v>34352.947518749992</v>
      </c>
      <c r="U8" s="38">
        <f t="shared" si="6"/>
        <v>0</v>
      </c>
      <c r="V8" s="39">
        <f t="shared" si="7"/>
        <v>30311.424281249994</v>
      </c>
      <c r="W8" s="38">
        <f t="shared" si="8"/>
        <v>0</v>
      </c>
      <c r="X8" s="40">
        <f t="shared" si="9"/>
        <v>124276.83955312497</v>
      </c>
      <c r="Y8" s="95"/>
    </row>
    <row r="9" spans="1:25" x14ac:dyDescent="0.25">
      <c r="A9" s="208"/>
      <c r="B9" s="221"/>
      <c r="C9" s="156">
        <v>5</v>
      </c>
      <c r="D9" s="137" t="s">
        <v>19</v>
      </c>
      <c r="E9" s="138">
        <v>12</v>
      </c>
      <c r="F9" s="139">
        <v>44378</v>
      </c>
      <c r="G9" s="106">
        <v>120000</v>
      </c>
      <c r="H9" s="106">
        <f>+G9*(1+Assumption!$D$31)</f>
        <v>122999.99999999999</v>
      </c>
      <c r="I9" s="13">
        <f>+H9*(1+Assumption!$D$31)</f>
        <v>126074.99999999997</v>
      </c>
      <c r="J9" s="13">
        <f>+I9*(1+Assumption!$D$31)</f>
        <v>129226.87499999996</v>
      </c>
      <c r="K9" s="108">
        <f>+G9-(G9*Assumption!$C$39)</f>
        <v>107352</v>
      </c>
      <c r="L9" s="13">
        <f>+K9*(1+Assumption!$D$31)</f>
        <v>110035.79999999999</v>
      </c>
      <c r="M9" s="13">
        <f>+L9*(1+Assumption!$D$31)</f>
        <v>112786.69499999998</v>
      </c>
      <c r="N9" s="13">
        <f>+M9*(1+Assumption!$D$31)</f>
        <v>115606.36237499997</v>
      </c>
      <c r="O9" s="38">
        <f t="shared" si="0"/>
        <v>0</v>
      </c>
      <c r="P9" s="38">
        <f t="shared" si="1"/>
        <v>0</v>
      </c>
      <c r="Q9" s="38">
        <f t="shared" si="2"/>
        <v>27508.949999999997</v>
      </c>
      <c r="R9" s="39">
        <f t="shared" si="3"/>
        <v>27508.949999999997</v>
      </c>
      <c r="S9" s="38">
        <f t="shared" si="4"/>
        <v>33836.008499999989</v>
      </c>
      <c r="T9" s="39">
        <f t="shared" si="5"/>
        <v>3759.5564999999979</v>
      </c>
      <c r="U9" s="38">
        <f t="shared" si="6"/>
        <v>0</v>
      </c>
      <c r="V9" s="39">
        <f t="shared" si="7"/>
        <v>28196.673749999994</v>
      </c>
      <c r="W9" s="38">
        <f t="shared" si="8"/>
        <v>0</v>
      </c>
      <c r="X9" s="40">
        <f t="shared" si="9"/>
        <v>115606.36237499997</v>
      </c>
      <c r="Y9" s="95"/>
    </row>
    <row r="10" spans="1:25" x14ac:dyDescent="0.25">
      <c r="A10" s="208"/>
      <c r="B10" s="221"/>
      <c r="C10" s="156">
        <v>7</v>
      </c>
      <c r="D10" s="137" t="s">
        <v>12</v>
      </c>
      <c r="E10" s="138">
        <v>10</v>
      </c>
      <c r="F10" s="139">
        <v>44077</v>
      </c>
      <c r="G10" s="106">
        <v>113798</v>
      </c>
      <c r="H10" s="106">
        <f>Assumption!J46</f>
        <v>117269.47374999999</v>
      </c>
      <c r="I10" s="112">
        <f>Assumption!N46</f>
        <v>125169.33515677083</v>
      </c>
      <c r="J10" s="112">
        <f>+I10*(1+Assumption!$D$31)</f>
        <v>128298.56853569009</v>
      </c>
      <c r="K10" s="106">
        <f>+G10-(G10*Assumption!$C$39)</f>
        <v>101803.6908</v>
      </c>
      <c r="L10" s="112">
        <f>+K10*(1+Assumption!$D$31)</f>
        <v>104348.78306999999</v>
      </c>
      <c r="M10" s="112">
        <f>+L10*(1+Assumption!$D$31)</f>
        <v>106957.50264674998</v>
      </c>
      <c r="N10" s="112">
        <f>+M10*(1+Assumption!$D$31)</f>
        <v>109631.44021291872</v>
      </c>
      <c r="O10" s="38">
        <f t="shared" si="0"/>
        <v>9483.1666666666661</v>
      </c>
      <c r="P10" s="38">
        <f t="shared" si="1"/>
        <v>28449.5</v>
      </c>
      <c r="Q10" s="38">
        <f>$L10*(Q40/12)*R40</f>
        <v>20869.756613999998</v>
      </c>
      <c r="R10" s="39">
        <f t="shared" si="3"/>
        <v>83479.026455999992</v>
      </c>
      <c r="S10" s="38">
        <f t="shared" si="4"/>
        <v>32087.250794024996</v>
      </c>
      <c r="T10" s="39">
        <f t="shared" si="5"/>
        <v>3565.2500882249988</v>
      </c>
      <c r="U10" s="38">
        <f t="shared" si="6"/>
        <v>0</v>
      </c>
      <c r="V10" s="39">
        <f t="shared" si="7"/>
        <v>26739.375661687496</v>
      </c>
      <c r="W10" s="38">
        <f t="shared" si="8"/>
        <v>0</v>
      </c>
      <c r="X10" s="40">
        <f t="shared" si="9"/>
        <v>109631.44021291872</v>
      </c>
      <c r="Y10" s="95"/>
    </row>
    <row r="11" spans="1:25" x14ac:dyDescent="0.25">
      <c r="A11" s="208"/>
      <c r="B11" s="221"/>
      <c r="C11" s="156">
        <v>7</v>
      </c>
      <c r="D11" s="137" t="s">
        <v>12</v>
      </c>
      <c r="E11" s="138">
        <v>10</v>
      </c>
      <c r="F11" s="139">
        <v>44078</v>
      </c>
      <c r="G11" s="106">
        <v>113798</v>
      </c>
      <c r="H11" s="106">
        <f>Assumption!J47</f>
        <v>117269.47374999999</v>
      </c>
      <c r="I11" s="112">
        <f>Assumption!N47</f>
        <v>125169.33515677083</v>
      </c>
      <c r="J11" s="112">
        <f>+I11*(1+Assumption!$D$31)</f>
        <v>128298.56853569009</v>
      </c>
      <c r="K11" s="106">
        <f>+G11-(G11*Assumption!$C$39)</f>
        <v>101803.6908</v>
      </c>
      <c r="L11" s="112">
        <f>+K11*(1+Assumption!$D$31)</f>
        <v>104348.78306999999</v>
      </c>
      <c r="M11" s="112">
        <f>+L11*(1+Assumption!$D$31)</f>
        <v>106957.50264674998</v>
      </c>
      <c r="N11" s="112">
        <f>+M11*(1+Assumption!$D$31)</f>
        <v>109631.44021291872</v>
      </c>
      <c r="O11" s="38">
        <f t="shared" si="0"/>
        <v>9483.1666666666661</v>
      </c>
      <c r="P11" s="38">
        <f t="shared" si="1"/>
        <v>28449.5</v>
      </c>
      <c r="Q11" s="38">
        <f t="shared" si="2"/>
        <v>20869.756613999998</v>
      </c>
      <c r="R11" s="39">
        <f t="shared" si="3"/>
        <v>83479.026455999992</v>
      </c>
      <c r="S11" s="38">
        <f t="shared" si="4"/>
        <v>32087.250794024996</v>
      </c>
      <c r="T11" s="39">
        <f t="shared" si="5"/>
        <v>3565.2500882249988</v>
      </c>
      <c r="U11" s="38">
        <f t="shared" si="6"/>
        <v>0</v>
      </c>
      <c r="V11" s="39">
        <f t="shared" si="7"/>
        <v>26739.375661687496</v>
      </c>
      <c r="W11" s="38">
        <f t="shared" si="8"/>
        <v>0</v>
      </c>
      <c r="X11" s="40">
        <f t="shared" si="9"/>
        <v>109631.44021291872</v>
      </c>
      <c r="Y11" s="95"/>
    </row>
    <row r="12" spans="1:25" x14ac:dyDescent="0.25">
      <c r="A12" s="208"/>
      <c r="B12" s="221"/>
      <c r="C12" s="156">
        <v>7</v>
      </c>
      <c r="D12" s="137" t="s">
        <v>12</v>
      </c>
      <c r="E12" s="138">
        <v>10</v>
      </c>
      <c r="F12" s="139">
        <v>44197</v>
      </c>
      <c r="G12" s="106">
        <v>113798</v>
      </c>
      <c r="H12" s="106">
        <f>Assumption!J48</f>
        <v>126518.57062499999</v>
      </c>
      <c r="I12" s="112">
        <f>Assumption!N48</f>
        <v>136727.74140624999</v>
      </c>
      <c r="J12" s="112">
        <f>+I12*(1+Assumption!$D$31)</f>
        <v>140145.93494140622</v>
      </c>
      <c r="K12" s="106">
        <f>+G12-(G12*Assumption!$C$39)</f>
        <v>101803.6908</v>
      </c>
      <c r="L12" s="112">
        <f>+K12*(1+Assumption!$D$31)</f>
        <v>104348.78306999999</v>
      </c>
      <c r="M12" s="112">
        <f>+L12*(1+Assumption!$D$31)</f>
        <v>106957.50264674998</v>
      </c>
      <c r="N12" s="112">
        <f>+M12*(1+Assumption!$D$31)</f>
        <v>109631.44021291872</v>
      </c>
      <c r="O12" s="38">
        <f t="shared" si="0"/>
        <v>0</v>
      </c>
      <c r="P12" s="38">
        <f t="shared" si="1"/>
        <v>0</v>
      </c>
      <c r="Q12" s="38">
        <f t="shared" si="2"/>
        <v>20869.756613999998</v>
      </c>
      <c r="R12" s="39">
        <f t="shared" si="3"/>
        <v>83479.026455999992</v>
      </c>
      <c r="S12" s="38">
        <f t="shared" si="4"/>
        <v>32087.250794024996</v>
      </c>
      <c r="T12" s="39">
        <f t="shared" si="5"/>
        <v>3565.2500882249988</v>
      </c>
      <c r="U12" s="38">
        <f t="shared" si="6"/>
        <v>0</v>
      </c>
      <c r="V12" s="39">
        <f t="shared" si="7"/>
        <v>26739.375661687496</v>
      </c>
      <c r="W12" s="38">
        <f t="shared" si="8"/>
        <v>0</v>
      </c>
      <c r="X12" s="40">
        <f t="shared" si="9"/>
        <v>109631.44021291872</v>
      </c>
      <c r="Y12" s="95"/>
    </row>
    <row r="13" spans="1:25" x14ac:dyDescent="0.25">
      <c r="A13" s="208"/>
      <c r="B13" s="221"/>
      <c r="C13" s="156">
        <v>7</v>
      </c>
      <c r="D13" s="137" t="s">
        <v>12</v>
      </c>
      <c r="E13" s="138">
        <v>10</v>
      </c>
      <c r="F13" s="139">
        <v>44197</v>
      </c>
      <c r="G13" s="106">
        <v>113798</v>
      </c>
      <c r="H13" s="106">
        <f>Assumption!J49</f>
        <v>126518.57062499999</v>
      </c>
      <c r="I13" s="112">
        <f>Assumption!N49</f>
        <v>136727.74140624999</v>
      </c>
      <c r="J13" s="112">
        <f>+I13*(1+Assumption!$D$31)</f>
        <v>140145.93494140622</v>
      </c>
      <c r="K13" s="106">
        <f>+G13-(G13*Assumption!$C$39)</f>
        <v>101803.6908</v>
      </c>
      <c r="L13" s="112">
        <f>+K13*(1+Assumption!$D$31)</f>
        <v>104348.78306999999</v>
      </c>
      <c r="M13" s="112">
        <f>+L13*(1+Assumption!$D$31)</f>
        <v>106957.50264674998</v>
      </c>
      <c r="N13" s="112">
        <f>+M13*(1+Assumption!$D$31)</f>
        <v>109631.44021291872</v>
      </c>
      <c r="O13" s="38">
        <f t="shared" si="0"/>
        <v>0</v>
      </c>
      <c r="P13" s="38">
        <f t="shared" si="1"/>
        <v>0</v>
      </c>
      <c r="Q13" s="38">
        <f t="shared" si="2"/>
        <v>20869.756613999998</v>
      </c>
      <c r="R13" s="39">
        <f t="shared" si="3"/>
        <v>83479.026455999992</v>
      </c>
      <c r="S13" s="38">
        <f t="shared" si="4"/>
        <v>32087.250794024996</v>
      </c>
      <c r="T13" s="39">
        <f t="shared" si="5"/>
        <v>3565.2500882249988</v>
      </c>
      <c r="U13" s="38">
        <f t="shared" si="6"/>
        <v>0</v>
      </c>
      <c r="V13" s="39">
        <f t="shared" si="7"/>
        <v>26739.375661687496</v>
      </c>
      <c r="W13" s="38">
        <f t="shared" si="8"/>
        <v>0</v>
      </c>
      <c r="X13" s="40">
        <f t="shared" si="9"/>
        <v>109631.44021291872</v>
      </c>
      <c r="Y13" s="95"/>
    </row>
    <row r="14" spans="1:25" x14ac:dyDescent="0.25">
      <c r="A14" s="208"/>
      <c r="B14" s="221"/>
      <c r="C14" s="156">
        <v>7</v>
      </c>
      <c r="D14" s="137" t="s">
        <v>13</v>
      </c>
      <c r="E14" s="138">
        <v>10</v>
      </c>
      <c r="F14" s="139">
        <v>44256</v>
      </c>
      <c r="G14" s="106">
        <v>113798</v>
      </c>
      <c r="H14" s="106">
        <f>Assumption!J50</f>
        <v>100844.0625</v>
      </c>
      <c r="I14" s="112">
        <f>Assumption!N50</f>
        <v>143072.91883750001</v>
      </c>
      <c r="J14" s="112">
        <f>+I14*(1+Assumption!$D$31)</f>
        <v>146649.74180843751</v>
      </c>
      <c r="K14" s="106">
        <f>+G14-(G14*Assumption!$C$39)</f>
        <v>101803.6908</v>
      </c>
      <c r="L14" s="112">
        <f>+K14*(1+Assumption!$D$31)</f>
        <v>104348.78306999999</v>
      </c>
      <c r="M14" s="112">
        <f>+L14*(1+Assumption!$D$31)</f>
        <v>106957.50264674998</v>
      </c>
      <c r="N14" s="112">
        <f>+M14*(1+Assumption!$D$31)</f>
        <v>109631.44021291872</v>
      </c>
      <c r="O14" s="38">
        <f t="shared" si="0"/>
        <v>0</v>
      </c>
      <c r="P14" s="38">
        <f t="shared" si="1"/>
        <v>0</v>
      </c>
      <c r="Q14" s="38">
        <f t="shared" si="2"/>
        <v>17391.463845000002</v>
      </c>
      <c r="R14" s="39">
        <f t="shared" si="3"/>
        <v>69565.855380000008</v>
      </c>
      <c r="S14" s="38">
        <f t="shared" si="4"/>
        <v>32087.250794024996</v>
      </c>
      <c r="T14" s="39">
        <f t="shared" si="5"/>
        <v>3565.2500882249988</v>
      </c>
      <c r="U14" s="38">
        <f t="shared" si="6"/>
        <v>0</v>
      </c>
      <c r="V14" s="39">
        <f t="shared" si="7"/>
        <v>26739.375661687496</v>
      </c>
      <c r="W14" s="38">
        <f t="shared" si="8"/>
        <v>0</v>
      </c>
      <c r="X14" s="40">
        <f t="shared" si="9"/>
        <v>109631.44021291872</v>
      </c>
      <c r="Y14" s="95"/>
    </row>
    <row r="15" spans="1:25" s="12" customFormat="1" x14ac:dyDescent="0.25">
      <c r="A15" s="208"/>
      <c r="B15" s="221"/>
      <c r="C15" s="156">
        <v>8</v>
      </c>
      <c r="D15" s="137" t="s">
        <v>21</v>
      </c>
      <c r="E15" s="138">
        <v>9</v>
      </c>
      <c r="F15" s="139">
        <v>44621</v>
      </c>
      <c r="G15" s="106">
        <v>80000</v>
      </c>
      <c r="H15" s="117">
        <f>+G15*(1+Assumption!$D$31)</f>
        <v>82000</v>
      </c>
      <c r="I15" s="117">
        <f>+H15*(1+Assumption!$D$31)</f>
        <v>84049.999999999985</v>
      </c>
      <c r="J15" s="117">
        <f>+I15*(1+Assumption!$D$31)</f>
        <v>86151.249999999971</v>
      </c>
      <c r="K15" s="117">
        <f>+G15-(G15*Assumption!$C$39)</f>
        <v>71568</v>
      </c>
      <c r="L15" s="117">
        <f>+K15*(1+Assumption!$D$31)</f>
        <v>73357.2</v>
      </c>
      <c r="M15" s="117">
        <f>+L15*(1+Assumption!$D$31)</f>
        <v>75191.12999999999</v>
      </c>
      <c r="N15" s="117">
        <f>+M15*(1+Assumption!$D$31)</f>
        <v>77070.908249999979</v>
      </c>
      <c r="O15" s="118">
        <f t="shared" si="0"/>
        <v>0</v>
      </c>
      <c r="P15" s="118">
        <f t="shared" si="1"/>
        <v>0</v>
      </c>
      <c r="Q15" s="118">
        <f t="shared" si="2"/>
        <v>0</v>
      </c>
      <c r="R15" s="119">
        <f t="shared" si="3"/>
        <v>0</v>
      </c>
      <c r="S15" s="118">
        <f t="shared" si="4"/>
        <v>0</v>
      </c>
      <c r="T15" s="119">
        <f t="shared" si="5"/>
        <v>12531.854999999998</v>
      </c>
      <c r="U15" s="118">
        <f t="shared" si="6"/>
        <v>0</v>
      </c>
      <c r="V15" s="119">
        <f t="shared" si="7"/>
        <v>18797.782499999998</v>
      </c>
      <c r="W15" s="118">
        <f t="shared" si="8"/>
        <v>0</v>
      </c>
      <c r="X15" s="120">
        <f t="shared" si="9"/>
        <v>77070.908249999979</v>
      </c>
      <c r="Y15" s="121"/>
    </row>
    <row r="16" spans="1:25" ht="15.75" thickBot="1" x14ac:dyDescent="0.3">
      <c r="A16" s="209"/>
      <c r="B16" s="154" t="s">
        <v>56</v>
      </c>
      <c r="C16" s="153">
        <v>3</v>
      </c>
      <c r="D16" s="140" t="s">
        <v>57</v>
      </c>
      <c r="E16" s="141">
        <v>10</v>
      </c>
      <c r="F16" s="142">
        <v>43831</v>
      </c>
      <c r="G16" s="116">
        <v>100000</v>
      </c>
      <c r="H16" s="117">
        <f>+G16*(1+Assumption!$D$31)*0.3</f>
        <v>30749.999999999993</v>
      </c>
      <c r="I16" s="117">
        <f>+H16*(1+Assumption!$D$31)</f>
        <v>31518.749999999989</v>
      </c>
      <c r="J16" s="117">
        <f>+I16*(1+Assumption!$D$31)</f>
        <v>32306.718749999985</v>
      </c>
      <c r="K16" s="117">
        <f>+G16-(G16*Assumption!$C$39)</f>
        <v>89460</v>
      </c>
      <c r="L16" s="117">
        <f>+K16*(1+Assumption!$D$31)*0.3</f>
        <v>27508.949999999993</v>
      </c>
      <c r="M16" s="117">
        <f>+L16*(1+Assumption!$D$31)</f>
        <v>28196.673749999991</v>
      </c>
      <c r="N16" s="117">
        <f>+M16*(1+Assumption!$D$31)</f>
        <v>28901.590593749988</v>
      </c>
      <c r="O16" s="118">
        <f t="shared" si="0"/>
        <v>85000</v>
      </c>
      <c r="P16" s="118">
        <f t="shared" si="1"/>
        <v>15000.000000000002</v>
      </c>
      <c r="Q16" s="118">
        <f t="shared" si="2"/>
        <v>27508.949999999993</v>
      </c>
      <c r="R16" s="119">
        <f t="shared" si="3"/>
        <v>0</v>
      </c>
      <c r="S16" s="118">
        <f t="shared" si="4"/>
        <v>0</v>
      </c>
      <c r="T16" s="119">
        <f t="shared" si="5"/>
        <v>0</v>
      </c>
      <c r="U16" s="118">
        <f t="shared" si="6"/>
        <v>0</v>
      </c>
      <c r="V16" s="119">
        <f t="shared" si="7"/>
        <v>0</v>
      </c>
      <c r="W16" s="118">
        <f t="shared" si="8"/>
        <v>0</v>
      </c>
      <c r="X16" s="120">
        <f t="shared" si="9"/>
        <v>0</v>
      </c>
      <c r="Y16" s="95"/>
    </row>
    <row r="17" spans="1:27" x14ac:dyDescent="0.25">
      <c r="A17" s="222" t="s">
        <v>18</v>
      </c>
      <c r="B17" s="220" t="s">
        <v>23</v>
      </c>
      <c r="C17" s="155">
        <v>9</v>
      </c>
      <c r="D17" s="134" t="s">
        <v>14</v>
      </c>
      <c r="E17" s="135">
        <v>11</v>
      </c>
      <c r="F17" s="136">
        <v>44075</v>
      </c>
      <c r="G17" s="110">
        <v>123000</v>
      </c>
      <c r="H17" s="110">
        <f>+G17*(1+Assumption!$D$31)</f>
        <v>126074.99999999999</v>
      </c>
      <c r="I17" s="14">
        <f>+H17*(1+Assumption!$D$31)</f>
        <v>129226.87499999997</v>
      </c>
      <c r="J17" s="14">
        <f>+I17*(1+Assumption!$D$31)</f>
        <v>132457.54687499997</v>
      </c>
      <c r="K17" s="102">
        <f>+G17-(G17*Assumption!$C$39)</f>
        <v>110035.8</v>
      </c>
      <c r="L17" s="14">
        <f>+K17*(1+Assumption!$D$31)</f>
        <v>112786.69499999999</v>
      </c>
      <c r="M17" s="14">
        <f>+L17*(1+Assumption!$D$31)</f>
        <v>115606.36237499998</v>
      </c>
      <c r="N17" s="14">
        <f>+M17*(1+Assumption!$D$31)</f>
        <v>118496.52143437497</v>
      </c>
      <c r="O17" s="35">
        <f t="shared" si="0"/>
        <v>20500</v>
      </c>
      <c r="P17" s="35">
        <f t="shared" si="1"/>
        <v>20500</v>
      </c>
      <c r="Q17" s="35">
        <f t="shared" si="2"/>
        <v>56393.347499999996</v>
      </c>
      <c r="R17" s="36">
        <f t="shared" si="3"/>
        <v>56393.347499999996</v>
      </c>
      <c r="S17" s="35">
        <f t="shared" si="4"/>
        <v>34681.908712499993</v>
      </c>
      <c r="T17" s="36">
        <f t="shared" si="5"/>
        <v>3853.5454124999983</v>
      </c>
      <c r="U17" s="35">
        <f t="shared" si="6"/>
        <v>0</v>
      </c>
      <c r="V17" s="36">
        <f t="shared" si="7"/>
        <v>28901.590593749996</v>
      </c>
      <c r="W17" s="35">
        <f t="shared" si="8"/>
        <v>0</v>
      </c>
      <c r="X17" s="37">
        <f t="shared" si="9"/>
        <v>118496.52143437497</v>
      </c>
      <c r="Y17" s="95"/>
    </row>
    <row r="18" spans="1:27" x14ac:dyDescent="0.25">
      <c r="A18" s="223"/>
      <c r="B18" s="221"/>
      <c r="C18" s="156">
        <v>11</v>
      </c>
      <c r="D18" s="137" t="s">
        <v>15</v>
      </c>
      <c r="E18" s="138">
        <v>10</v>
      </c>
      <c r="F18" s="139">
        <v>44287</v>
      </c>
      <c r="G18" s="106">
        <v>107000</v>
      </c>
      <c r="H18" s="106">
        <f>+G18*(1+Assumption!$D$31)</f>
        <v>109674.99999999999</v>
      </c>
      <c r="I18" s="13">
        <f>+H18*(1+Assumption!$D$31)</f>
        <v>112416.87499999997</v>
      </c>
      <c r="J18" s="13">
        <f>+I18*(1+Assumption!$D$31)</f>
        <v>115227.29687499996</v>
      </c>
      <c r="K18" s="103">
        <f>+G18-(G18*Assumption!$C$39)</f>
        <v>95722.2</v>
      </c>
      <c r="L18" s="13">
        <f>+K18*(1+Assumption!$D$31)</f>
        <v>98115.25499999999</v>
      </c>
      <c r="M18" s="13">
        <f>+L18*(1+Assumption!$D$31)</f>
        <v>100568.13637499999</v>
      </c>
      <c r="N18" s="13">
        <f>+M18*(1+Assumption!$D$31)</f>
        <v>103082.33978437498</v>
      </c>
      <c r="O18" s="38">
        <f t="shared" si="0"/>
        <v>0</v>
      </c>
      <c r="P18" s="38">
        <f t="shared" si="1"/>
        <v>0</v>
      </c>
      <c r="Q18" s="38">
        <f t="shared" si="2"/>
        <v>36793.220624999994</v>
      </c>
      <c r="R18" s="39">
        <f t="shared" si="3"/>
        <v>36793.220624999994</v>
      </c>
      <c r="S18" s="38">
        <f t="shared" si="4"/>
        <v>30170.440912499991</v>
      </c>
      <c r="T18" s="39">
        <f t="shared" si="5"/>
        <v>3352.2712124999985</v>
      </c>
      <c r="U18" s="38">
        <f t="shared" si="6"/>
        <v>0</v>
      </c>
      <c r="V18" s="39">
        <f t="shared" si="7"/>
        <v>25142.034093749997</v>
      </c>
      <c r="W18" s="38">
        <f t="shared" si="8"/>
        <v>0</v>
      </c>
      <c r="X18" s="40">
        <f t="shared" si="9"/>
        <v>103082.33978437498</v>
      </c>
      <c r="Y18" s="95"/>
    </row>
    <row r="19" spans="1:27" x14ac:dyDescent="0.25">
      <c r="A19" s="223"/>
      <c r="B19" s="221"/>
      <c r="C19" s="156">
        <v>10</v>
      </c>
      <c r="D19" s="137" t="s">
        <v>16</v>
      </c>
      <c r="E19" s="138">
        <v>10</v>
      </c>
      <c r="F19" s="139">
        <v>44287</v>
      </c>
      <c r="G19" s="106">
        <v>107000</v>
      </c>
      <c r="H19" s="106">
        <f>+G19*(1+Assumption!$D$31)</f>
        <v>109674.99999999999</v>
      </c>
      <c r="I19" s="13">
        <f>+H19*(1+Assumption!$D$31)</f>
        <v>112416.87499999997</v>
      </c>
      <c r="J19" s="13">
        <f>+I19*(1+Assumption!$D$31)</f>
        <v>115227.29687499996</v>
      </c>
      <c r="K19" s="103">
        <f>+G19-(G19*Assumption!$C$39)</f>
        <v>95722.2</v>
      </c>
      <c r="L19" s="13">
        <f>+K19*(1+Assumption!$D$31)</f>
        <v>98115.25499999999</v>
      </c>
      <c r="M19" s="13">
        <f>+L19*(1+Assumption!$D$31)</f>
        <v>100568.13637499999</v>
      </c>
      <c r="N19" s="13">
        <f>+M19*(1+Assumption!$D$31)</f>
        <v>103082.33978437498</v>
      </c>
      <c r="O19" s="38">
        <f t="shared" si="0"/>
        <v>0</v>
      </c>
      <c r="P19" s="38">
        <f t="shared" si="1"/>
        <v>0</v>
      </c>
      <c r="Q19" s="38">
        <f t="shared" si="2"/>
        <v>36793.220624999994</v>
      </c>
      <c r="R19" s="39">
        <f t="shared" si="3"/>
        <v>36793.220624999994</v>
      </c>
      <c r="S19" s="38">
        <f t="shared" si="4"/>
        <v>30170.440912499991</v>
      </c>
      <c r="T19" s="39">
        <f t="shared" si="5"/>
        <v>3352.2712124999985</v>
      </c>
      <c r="U19" s="38">
        <f t="shared" si="6"/>
        <v>0</v>
      </c>
      <c r="V19" s="39">
        <f t="shared" si="7"/>
        <v>25142.034093749997</v>
      </c>
      <c r="W19" s="38">
        <f t="shared" si="8"/>
        <v>0</v>
      </c>
      <c r="X19" s="40">
        <f t="shared" si="9"/>
        <v>103082.33978437498</v>
      </c>
      <c r="Y19" s="95"/>
    </row>
    <row r="20" spans="1:27" x14ac:dyDescent="0.25">
      <c r="A20" s="223"/>
      <c r="B20" s="221"/>
      <c r="C20" s="156">
        <v>10</v>
      </c>
      <c r="D20" s="137" t="s">
        <v>16</v>
      </c>
      <c r="E20" s="138">
        <v>9</v>
      </c>
      <c r="F20" s="139">
        <v>44378</v>
      </c>
      <c r="G20" s="106">
        <v>94000</v>
      </c>
      <c r="H20" s="106">
        <f>+G20*(1+Assumption!$D$31)</f>
        <v>96349.999999999985</v>
      </c>
      <c r="I20" s="13">
        <f>+H20*(1+Assumption!$D$31)</f>
        <v>98758.749999999971</v>
      </c>
      <c r="J20" s="13">
        <f>+I20*(1+Assumption!$D$31)</f>
        <v>101227.71874999996</v>
      </c>
      <c r="K20" s="103">
        <f>+G20-(G20*Assumption!$C$39)</f>
        <v>84092.4</v>
      </c>
      <c r="L20" s="13">
        <f>+K20*(1+Assumption!$D$31)</f>
        <v>86194.709999999992</v>
      </c>
      <c r="M20" s="13">
        <f>+L20*(1+Assumption!$D$31)</f>
        <v>88349.577749999982</v>
      </c>
      <c r="N20" s="13">
        <f>+M20*(1+Assumption!$D$31)</f>
        <v>90558.317193749972</v>
      </c>
      <c r="O20" s="38">
        <f t="shared" si="0"/>
        <v>0</v>
      </c>
      <c r="P20" s="38">
        <f t="shared" si="1"/>
        <v>0</v>
      </c>
      <c r="Q20" s="38">
        <f t="shared" si="2"/>
        <v>21548.677499999998</v>
      </c>
      <c r="R20" s="39">
        <f t="shared" si="3"/>
        <v>21548.677499999998</v>
      </c>
      <c r="S20" s="38">
        <f t="shared" si="4"/>
        <v>26504.873324999997</v>
      </c>
      <c r="T20" s="39">
        <f t="shared" si="5"/>
        <v>2944.9859249999986</v>
      </c>
      <c r="U20" s="38">
        <f t="shared" si="6"/>
        <v>0</v>
      </c>
      <c r="V20" s="39">
        <f t="shared" si="7"/>
        <v>22087.394437499996</v>
      </c>
      <c r="W20" s="38">
        <f t="shared" si="8"/>
        <v>0</v>
      </c>
      <c r="X20" s="40">
        <f t="shared" si="9"/>
        <v>90558.317193749972</v>
      </c>
      <c r="Y20" s="95"/>
    </row>
    <row r="21" spans="1:27" ht="15.75" thickBot="1" x14ac:dyDescent="0.3">
      <c r="A21" s="224"/>
      <c r="B21" s="225"/>
      <c r="C21" s="157">
        <v>10</v>
      </c>
      <c r="D21" s="143" t="s">
        <v>16</v>
      </c>
      <c r="E21" s="144">
        <v>9</v>
      </c>
      <c r="F21" s="145">
        <v>44378</v>
      </c>
      <c r="G21" s="107">
        <v>94000</v>
      </c>
      <c r="H21" s="107">
        <f>+G21*(1+Assumption!$D$31)</f>
        <v>96349.999999999985</v>
      </c>
      <c r="I21" s="17">
        <f>+H21*(1+Assumption!$D$31)</f>
        <v>98758.749999999971</v>
      </c>
      <c r="J21" s="17">
        <f>+I21*(1+Assumption!$D$31)</f>
        <v>101227.71874999996</v>
      </c>
      <c r="K21" s="104">
        <f>+G21-(G21*Assumption!$C$39)</f>
        <v>84092.4</v>
      </c>
      <c r="L21" s="17">
        <f>+K21*(1+Assumption!$D$31)</f>
        <v>86194.709999999992</v>
      </c>
      <c r="M21" s="17">
        <f>+L21*(1+Assumption!$D$31)</f>
        <v>88349.577749999982</v>
      </c>
      <c r="N21" s="17">
        <f>+M21*(1+Assumption!$D$31)</f>
        <v>90558.317193749972</v>
      </c>
      <c r="O21" s="41">
        <f t="shared" si="0"/>
        <v>0</v>
      </c>
      <c r="P21" s="41">
        <f t="shared" si="1"/>
        <v>0</v>
      </c>
      <c r="Q21" s="41">
        <f t="shared" si="2"/>
        <v>32323.016249999997</v>
      </c>
      <c r="R21" s="42">
        <f t="shared" si="3"/>
        <v>10774.338749999999</v>
      </c>
      <c r="S21" s="41">
        <f t="shared" si="4"/>
        <v>26504.873324999997</v>
      </c>
      <c r="T21" s="42">
        <f t="shared" si="5"/>
        <v>2944.9859249999986</v>
      </c>
      <c r="U21" s="41">
        <f t="shared" si="6"/>
        <v>0</v>
      </c>
      <c r="V21" s="42">
        <f t="shared" si="7"/>
        <v>22087.394437499996</v>
      </c>
      <c r="W21" s="41">
        <f t="shared" si="8"/>
        <v>0</v>
      </c>
      <c r="X21" s="43">
        <f t="shared" si="9"/>
        <v>90558.317193749972</v>
      </c>
      <c r="Y21" s="95"/>
    </row>
    <row r="22" spans="1:27" x14ac:dyDescent="0.25">
      <c r="A22" s="219" t="s">
        <v>17</v>
      </c>
      <c r="B22" s="226" t="s">
        <v>20</v>
      </c>
      <c r="C22" s="158">
        <v>12</v>
      </c>
      <c r="D22" s="134" t="s">
        <v>68</v>
      </c>
      <c r="E22" s="135">
        <v>10</v>
      </c>
      <c r="F22" s="136">
        <v>43983</v>
      </c>
      <c r="G22" s="110">
        <v>85000</v>
      </c>
      <c r="H22" s="110">
        <f>+G22*(1+Assumption!$D$31)</f>
        <v>87124.999999999985</v>
      </c>
      <c r="I22" s="14">
        <f>+H22*(1+Assumption!$D$31)</f>
        <v>89303.124999999971</v>
      </c>
      <c r="J22" s="14">
        <f>+I22*(1+Assumption!$D$31)</f>
        <v>91535.703124999956</v>
      </c>
      <c r="K22" s="102">
        <f>+G22-(G22*Assumption!$C$39)</f>
        <v>76041</v>
      </c>
      <c r="L22" s="14">
        <f>+K22*(1+Assumption!$D$31)</f>
        <v>77942.024999999994</v>
      </c>
      <c r="M22" s="14">
        <f>+L22*(1+Assumption!$D$31)</f>
        <v>79890.575624999983</v>
      </c>
      <c r="N22" s="14">
        <f>+M22*(1+Assumption!$D$31)</f>
        <v>81887.84001562497</v>
      </c>
      <c r="O22" s="35">
        <f t="shared" si="0"/>
        <v>39666.666666666672</v>
      </c>
      <c r="P22" s="35">
        <f t="shared" si="1"/>
        <v>9916.6666666666642</v>
      </c>
      <c r="Q22" s="35">
        <f t="shared" si="2"/>
        <v>70147.822499999995</v>
      </c>
      <c r="R22" s="36">
        <f t="shared" si="3"/>
        <v>7794.2024999999976</v>
      </c>
      <c r="S22" s="35">
        <f t="shared" si="4"/>
        <v>23967.172687499995</v>
      </c>
      <c r="T22" s="36">
        <f t="shared" si="5"/>
        <v>2663.0191874999987</v>
      </c>
      <c r="U22" s="35">
        <f t="shared" si="6"/>
        <v>0</v>
      </c>
      <c r="V22" s="36">
        <f t="shared" si="7"/>
        <v>19972.643906249996</v>
      </c>
      <c r="W22" s="35">
        <f t="shared" si="8"/>
        <v>0</v>
      </c>
      <c r="X22" s="37">
        <f t="shared" si="9"/>
        <v>81887.84001562497</v>
      </c>
      <c r="Y22" s="95"/>
      <c r="Z22" s="57"/>
    </row>
    <row r="23" spans="1:27" ht="15.75" thickBot="1" x14ac:dyDescent="0.3">
      <c r="A23" s="209"/>
      <c r="B23" s="211"/>
      <c r="C23" s="154">
        <v>13</v>
      </c>
      <c r="D23" s="143" t="s">
        <v>69</v>
      </c>
      <c r="E23" s="144">
        <v>11</v>
      </c>
      <c r="F23" s="145">
        <v>43983</v>
      </c>
      <c r="G23" s="107">
        <v>95000</v>
      </c>
      <c r="H23" s="106">
        <f>+G23*(1+Assumption!$D$31)</f>
        <v>97374.999999999985</v>
      </c>
      <c r="I23" s="13">
        <f>+H23*(1+Assumption!$D$31)</f>
        <v>99809.374999999971</v>
      </c>
      <c r="J23" s="13">
        <f>+I23*(1+Assumption!$D$31)</f>
        <v>102304.60937499996</v>
      </c>
      <c r="K23" s="103">
        <f>+G23-(G23*Assumption!$C$39)</f>
        <v>84987</v>
      </c>
      <c r="L23" s="13">
        <f>+K23*(1+Assumption!$D$31)</f>
        <v>87111.674999999988</v>
      </c>
      <c r="M23" s="13">
        <f>+L23*(1+Assumption!$D$31)</f>
        <v>89289.466874999984</v>
      </c>
      <c r="N23" s="13">
        <f>+M23*(1+Assumption!$D$31)</f>
        <v>91521.703546874982</v>
      </c>
      <c r="O23" s="41">
        <f t="shared" si="0"/>
        <v>44333.333333333343</v>
      </c>
      <c r="P23" s="41">
        <f t="shared" si="1"/>
        <v>11083.333333333332</v>
      </c>
      <c r="Q23" s="41">
        <f t="shared" si="2"/>
        <v>78400.507499999992</v>
      </c>
      <c r="R23" s="42">
        <f t="shared" si="3"/>
        <v>8711.1674999999977</v>
      </c>
      <c r="S23" s="41">
        <f t="shared" si="4"/>
        <v>26786.840062499992</v>
      </c>
      <c r="T23" s="42">
        <f t="shared" si="5"/>
        <v>2976.3155624999986</v>
      </c>
      <c r="U23" s="41">
        <f t="shared" si="6"/>
        <v>0</v>
      </c>
      <c r="V23" s="42">
        <f t="shared" si="7"/>
        <v>22322.366718749996</v>
      </c>
      <c r="W23" s="41">
        <f t="shared" si="8"/>
        <v>0</v>
      </c>
      <c r="X23" s="43">
        <f t="shared" si="9"/>
        <v>91521.703546874982</v>
      </c>
      <c r="Y23" s="95"/>
      <c r="Z23" s="57"/>
    </row>
    <row r="24" spans="1:27" ht="15.75" thickBot="1" x14ac:dyDescent="0.3">
      <c r="A24" s="227" t="s">
        <v>48</v>
      </c>
      <c r="B24" s="228"/>
      <c r="C24" s="228"/>
      <c r="D24" s="228"/>
      <c r="E24" s="228"/>
      <c r="F24" s="228"/>
      <c r="G24" s="105">
        <f t="shared" ref="G24:W24" si="10">SUM(G4:G23)</f>
        <v>2179565.335</v>
      </c>
      <c r="H24" s="105">
        <f t="shared" si="10"/>
        <v>2167509.8696249998</v>
      </c>
      <c r="I24" s="105">
        <f t="shared" si="10"/>
        <v>2285434.0332979169</v>
      </c>
      <c r="J24" s="105">
        <f t="shared" si="10"/>
        <v>2342569.8841303643</v>
      </c>
      <c r="K24" s="105">
        <f t="shared" si="10"/>
        <v>1949839.1486909997</v>
      </c>
      <c r="L24" s="105">
        <f t="shared" si="10"/>
        <v>1934397.5774082744</v>
      </c>
      <c r="M24" s="105">
        <f t="shared" si="10"/>
        <v>1982757.5168434815</v>
      </c>
      <c r="N24" s="105">
        <f t="shared" si="10"/>
        <v>2032326.4547645678</v>
      </c>
      <c r="O24" s="93">
        <f t="shared" si="10"/>
        <v>380598.62415833329</v>
      </c>
      <c r="P24" s="189">
        <f t="shared" si="10"/>
        <v>291544.09959166666</v>
      </c>
      <c r="Q24" s="93">
        <f t="shared" si="10"/>
        <v>718016.82084470626</v>
      </c>
      <c r="R24" s="189">
        <f t="shared" si="10"/>
        <v>871174.30521856854</v>
      </c>
      <c r="S24" s="93">
        <f t="shared" si="10"/>
        <v>518320.28027804446</v>
      </c>
      <c r="T24" s="189">
        <f t="shared" si="10"/>
        <v>120668.14575311603</v>
      </c>
      <c r="U24" s="93">
        <f t="shared" si="10"/>
        <v>0</v>
      </c>
      <c r="V24" s="94">
        <f t="shared" si="10"/>
        <v>471017.28967962036</v>
      </c>
      <c r="W24" s="93">
        <f t="shared" si="10"/>
        <v>0</v>
      </c>
      <c r="X24" s="94">
        <f>SUM(X4:X23)</f>
        <v>1812674.3662520684</v>
      </c>
      <c r="AA24" s="190">
        <f>P24+R24+T24+(V24/9*6)</f>
        <v>1597398.0770164314</v>
      </c>
    </row>
    <row r="25" spans="1:27" s="46" customFormat="1" x14ac:dyDescent="0.25">
      <c r="A25" s="44"/>
      <c r="B25" s="44"/>
      <c r="C25" s="44"/>
      <c r="D25" s="44"/>
      <c r="E25" s="44"/>
      <c r="F25" s="44"/>
      <c r="G25" s="44" t="s">
        <v>83</v>
      </c>
      <c r="H25" s="44"/>
      <c r="I25" s="44"/>
      <c r="J25" s="44"/>
      <c r="K25" s="109">
        <f>Assumption!P27</f>
        <v>0.78050000000000008</v>
      </c>
      <c r="M25" s="44"/>
      <c r="O25" s="45">
        <f t="shared" ref="O25:W25" si="11">+O24*(1+$K$25)</f>
        <v>677655.85031391238</v>
      </c>
      <c r="P25" s="45">
        <f t="shared" si="11"/>
        <v>519094.2693229625</v>
      </c>
      <c r="Q25" s="45">
        <f t="shared" si="11"/>
        <v>1278428.9495139995</v>
      </c>
      <c r="R25" s="45">
        <f>+R24*(1+$K$25)</f>
        <v>1551125.8504416612</v>
      </c>
      <c r="S25" s="45">
        <f t="shared" si="11"/>
        <v>922869.2590350582</v>
      </c>
      <c r="T25" s="45">
        <f t="shared" si="11"/>
        <v>214849.63351342309</v>
      </c>
      <c r="U25" s="45">
        <f t="shared" si="11"/>
        <v>0</v>
      </c>
      <c r="V25" s="45">
        <f t="shared" si="11"/>
        <v>838646.28427456401</v>
      </c>
      <c r="W25" s="45">
        <f t="shared" si="11"/>
        <v>0</v>
      </c>
      <c r="X25" s="45">
        <f>+X24*(1+$K$25)</f>
        <v>3227466.7091118079</v>
      </c>
      <c r="Z25" s="46" t="s">
        <v>88</v>
      </c>
      <c r="AA25" s="46">
        <v>0.70577999999999996</v>
      </c>
    </row>
    <row r="26" spans="1:27" s="46" customFormat="1" ht="15.75" thickBot="1" x14ac:dyDescent="0.3">
      <c r="A26" s="44"/>
      <c r="B26" s="44"/>
      <c r="C26" s="44"/>
      <c r="D26" s="44"/>
      <c r="E26" s="44"/>
      <c r="F26" s="44"/>
      <c r="G26" s="44" t="s">
        <v>84</v>
      </c>
      <c r="H26" s="44"/>
      <c r="I26" s="44"/>
      <c r="J26" s="44"/>
      <c r="K26" s="109">
        <f>34.36%</f>
        <v>0.34360000000000002</v>
      </c>
      <c r="L26" s="44"/>
      <c r="M26" s="44"/>
      <c r="N26" s="100"/>
      <c r="O26" s="60"/>
      <c r="P26" s="61">
        <f>+P25*$K$26</f>
        <v>178360.79093936994</v>
      </c>
      <c r="Q26" s="60"/>
      <c r="R26" s="61">
        <f>+R25*$K$26</f>
        <v>532966.84221175476</v>
      </c>
      <c r="S26" s="60"/>
      <c r="T26" s="61">
        <f>+T25*$K$26</f>
        <v>73822.334075212173</v>
      </c>
      <c r="U26" s="60"/>
      <c r="V26" s="60"/>
      <c r="W26" s="45"/>
      <c r="X26" s="45"/>
      <c r="Z26" s="46" t="s">
        <v>89</v>
      </c>
      <c r="AA26" s="46">
        <v>0.69189000000000001</v>
      </c>
    </row>
    <row r="27" spans="1:27" s="46" customFormat="1" ht="15.75" thickBot="1" x14ac:dyDescent="0.3">
      <c r="A27" s="44"/>
      <c r="B27" s="44"/>
      <c r="C27" s="44"/>
      <c r="D27" s="44"/>
      <c r="E27" s="44"/>
      <c r="F27" s="44"/>
      <c r="G27" s="44" t="s">
        <v>82</v>
      </c>
      <c r="H27" s="44"/>
      <c r="I27" s="44"/>
      <c r="J27" s="44"/>
      <c r="K27" s="44"/>
      <c r="L27" s="44"/>
      <c r="M27" s="44"/>
      <c r="N27" s="100"/>
      <c r="O27" s="60"/>
      <c r="P27" s="60">
        <f>+P25-P26</f>
        <v>340733.47838359256</v>
      </c>
      <c r="Q27" s="60"/>
      <c r="R27" s="60">
        <f>+R25-R26</f>
        <v>1018159.0082299064</v>
      </c>
      <c r="S27" s="60"/>
      <c r="T27" s="60">
        <f>+T25-T26</f>
        <v>141027.2994382109</v>
      </c>
      <c r="U27" s="60"/>
      <c r="V27" s="60"/>
      <c r="W27" s="45"/>
      <c r="X27" s="45"/>
      <c r="AA27" s="191">
        <f>AA24*AA25*AA26</f>
        <v>780044.8221616589</v>
      </c>
    </row>
    <row r="28" spans="1:27" s="46" customFormat="1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101"/>
      <c r="O28" s="60"/>
      <c r="P28" s="60"/>
      <c r="Q28" s="60"/>
      <c r="R28" s="60"/>
      <c r="S28" s="60"/>
      <c r="T28" s="60"/>
      <c r="U28" s="45"/>
      <c r="V28" s="45"/>
    </row>
    <row r="29" spans="1:27" s="46" customFormat="1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60"/>
      <c r="O29" s="60"/>
      <c r="P29" s="60"/>
      <c r="Q29" s="60"/>
      <c r="R29" s="60"/>
      <c r="S29" s="60"/>
      <c r="T29" s="45"/>
      <c r="U29" s="45"/>
    </row>
    <row r="30" spans="1:27" s="46" customFormat="1" ht="15.75" thickBot="1" x14ac:dyDescent="0.3">
      <c r="A30" s="44"/>
      <c r="B30" s="44"/>
      <c r="C30" s="44"/>
      <c r="D30" s="115"/>
      <c r="E30" s="44"/>
      <c r="F30" s="44"/>
      <c r="G30" t="s">
        <v>53</v>
      </c>
      <c r="H30"/>
      <c r="I30"/>
      <c r="J30"/>
      <c r="K30" s="44"/>
      <c r="L30" s="44"/>
      <c r="M30" s="44"/>
      <c r="N30" s="44"/>
      <c r="O30" s="45"/>
      <c r="P30" s="45"/>
      <c r="Q30" s="45"/>
      <c r="R30" s="45"/>
      <c r="S30" s="45"/>
      <c r="T30" s="57"/>
      <c r="U30" s="45"/>
      <c r="V30" s="45"/>
      <c r="W30" s="45"/>
      <c r="X30" s="45"/>
    </row>
    <row r="31" spans="1:27" s="46" customFormat="1" ht="16.5" thickBot="1" x14ac:dyDescent="0.3">
      <c r="D31" s="47"/>
      <c r="E31" s="47"/>
      <c r="F31" s="48"/>
      <c r="G31" s="58" t="s">
        <v>35</v>
      </c>
      <c r="H31" s="58"/>
      <c r="I31" s="58"/>
      <c r="J31" s="58"/>
      <c r="L31" s="49"/>
      <c r="M31" s="49"/>
      <c r="N31" s="49"/>
      <c r="O31" s="196" t="s">
        <v>39</v>
      </c>
      <c r="P31" s="197"/>
      <c r="Q31" s="197"/>
      <c r="R31" s="197"/>
      <c r="S31" s="197"/>
      <c r="T31" s="198"/>
      <c r="U31" s="199" t="s">
        <v>38</v>
      </c>
      <c r="V31" s="200"/>
      <c r="W31" s="200"/>
      <c r="X31" s="201"/>
    </row>
    <row r="32" spans="1:27" ht="15.75" thickBot="1" x14ac:dyDescent="0.3">
      <c r="E32"/>
      <c r="O32" s="202">
        <v>2020</v>
      </c>
      <c r="P32" s="203"/>
      <c r="Q32" s="229">
        <v>2021</v>
      </c>
      <c r="R32" s="230"/>
      <c r="S32" s="231">
        <v>2022</v>
      </c>
      <c r="T32" s="232"/>
      <c r="U32" s="231">
        <v>2022</v>
      </c>
      <c r="V32" s="232"/>
      <c r="W32" s="229">
        <v>2023</v>
      </c>
      <c r="X32" s="233"/>
    </row>
    <row r="33" spans="5:26" ht="15.75" thickBot="1" x14ac:dyDescent="0.3">
      <c r="E33"/>
      <c r="F33" s="24"/>
      <c r="K33" s="4" t="s">
        <v>29</v>
      </c>
      <c r="L33" s="30" t="s">
        <v>32</v>
      </c>
      <c r="M33" s="31" t="s">
        <v>33</v>
      </c>
      <c r="N33" s="32" t="s">
        <v>34</v>
      </c>
      <c r="O33" s="54" t="s">
        <v>8</v>
      </c>
      <c r="P33" s="55" t="s">
        <v>31</v>
      </c>
      <c r="Q33" s="54" t="s">
        <v>8</v>
      </c>
      <c r="R33" s="56" t="s">
        <v>31</v>
      </c>
      <c r="S33" s="54" t="s">
        <v>8</v>
      </c>
      <c r="T33" s="55" t="s">
        <v>31</v>
      </c>
      <c r="U33" s="54" t="s">
        <v>8</v>
      </c>
      <c r="V33" s="55" t="s">
        <v>31</v>
      </c>
      <c r="W33" s="54" t="s">
        <v>8</v>
      </c>
      <c r="X33" s="55" t="s">
        <v>31</v>
      </c>
    </row>
    <row r="34" spans="5:26" x14ac:dyDescent="0.25">
      <c r="E34"/>
      <c r="F34" s="24"/>
      <c r="G34" s="84" t="str">
        <f t="shared" ref="G34:G53" si="12">D4</f>
        <v>EIM Program Manager</v>
      </c>
      <c r="H34" s="84"/>
      <c r="I34" s="84"/>
      <c r="J34" s="84"/>
      <c r="K34" s="77">
        <f t="shared" ref="K34:K53" si="13">IF(F4="","",F4)</f>
        <v>43466</v>
      </c>
      <c r="L34" s="78">
        <f t="shared" ref="L34:L53" si="14">YEAR(F4)</f>
        <v>2019</v>
      </c>
      <c r="M34" s="78">
        <f t="shared" ref="M34:M53" si="15">MONTH(F4)</f>
        <v>1</v>
      </c>
      <c r="N34" s="78">
        <f>12-M34+1</f>
        <v>12</v>
      </c>
      <c r="O34" s="66">
        <f>IF(L34=$O$32,N34,IF(L34&gt;$O$32,0,12))</f>
        <v>12</v>
      </c>
      <c r="P34" s="79">
        <v>0.75</v>
      </c>
      <c r="Q34" s="66">
        <f>IF(L34=$Q$32,N34,IF(L34&gt;$Q$32,0,12))</f>
        <v>12</v>
      </c>
      <c r="R34" s="80">
        <v>0.75</v>
      </c>
      <c r="S34" s="66">
        <f>IF(L34=$S$32,N34-8,IF(L34&gt;$S$32,0,4))</f>
        <v>4</v>
      </c>
      <c r="T34" s="81">
        <v>0.75</v>
      </c>
      <c r="U34" s="66">
        <v>3</v>
      </c>
      <c r="V34" s="82">
        <v>0</v>
      </c>
      <c r="W34" s="66"/>
      <c r="X34" s="81">
        <v>0</v>
      </c>
      <c r="Y34" t="s">
        <v>44</v>
      </c>
      <c r="Z34" s="83"/>
    </row>
    <row r="35" spans="5:26" x14ac:dyDescent="0.25">
      <c r="E35"/>
      <c r="F35" s="24"/>
      <c r="G35" s="62" t="str">
        <f t="shared" si="12"/>
        <v>OCM</v>
      </c>
      <c r="H35" s="62"/>
      <c r="I35" s="62"/>
      <c r="J35" s="62"/>
      <c r="K35" s="76">
        <f t="shared" si="13"/>
        <v>44075</v>
      </c>
      <c r="L35" s="63">
        <f t="shared" si="14"/>
        <v>2020</v>
      </c>
      <c r="M35" s="63">
        <f t="shared" si="15"/>
        <v>9</v>
      </c>
      <c r="N35" s="63">
        <f>12-M35+1</f>
        <v>4</v>
      </c>
      <c r="O35" s="85">
        <f>IF(L35=$O$32,N35,IF(L35&gt;$O$32,0,12))</f>
        <v>4</v>
      </c>
      <c r="P35" s="86">
        <v>0</v>
      </c>
      <c r="Q35" s="85">
        <f>IF(L35=$Q$32,N35,IF(L35&gt;$Q$32,0,12))</f>
        <v>12</v>
      </c>
      <c r="R35" s="87">
        <v>0</v>
      </c>
      <c r="S35" s="88">
        <f>IF(L35=$S$32,N35-8,IF(L35&gt;$S$32,0,4))</f>
        <v>4</v>
      </c>
      <c r="T35" s="89">
        <v>0.5</v>
      </c>
      <c r="U35" s="88"/>
      <c r="V35" s="90">
        <v>0</v>
      </c>
      <c r="W35" s="88"/>
      <c r="X35" s="89">
        <v>0</v>
      </c>
      <c r="Y35" s="57" t="s">
        <v>37</v>
      </c>
      <c r="Z35" s="83"/>
    </row>
    <row r="36" spans="5:26" x14ac:dyDescent="0.25">
      <c r="E36"/>
      <c r="F36" s="24"/>
      <c r="G36" s="12" t="str">
        <f t="shared" si="12"/>
        <v>Analyst</v>
      </c>
      <c r="H36" s="12"/>
      <c r="I36" s="12"/>
      <c r="J36" s="12"/>
      <c r="K36" s="28">
        <f t="shared" si="13"/>
        <v>44378</v>
      </c>
      <c r="L36" s="27">
        <f t="shared" si="14"/>
        <v>2021</v>
      </c>
      <c r="M36" s="27">
        <f t="shared" si="15"/>
        <v>7</v>
      </c>
      <c r="N36" s="27">
        <f>12-M36+1</f>
        <v>6</v>
      </c>
      <c r="O36" s="52">
        <f>IF(L36=$O$32,N36,IF(L36&gt;$O$32,0,12))</f>
        <v>0</v>
      </c>
      <c r="P36" s="25">
        <v>0</v>
      </c>
      <c r="Q36" s="53">
        <f t="shared" ref="Q36:Q53" si="16">IF(L36=$Q$32,N36,IF(L36&gt;$Q$32,0,12))</f>
        <v>6</v>
      </c>
      <c r="R36" s="33">
        <v>0.5</v>
      </c>
      <c r="S36" s="67">
        <f t="shared" ref="S36:S53" si="17">IF(L36=$S$32,N36-8,IF(L36&gt;$S$32,0,4))</f>
        <v>4</v>
      </c>
      <c r="T36" s="26">
        <v>0.9</v>
      </c>
      <c r="U36" s="67">
        <v>3</v>
      </c>
      <c r="V36" s="64">
        <v>0</v>
      </c>
      <c r="W36" s="67">
        <f t="shared" ref="W36:W53" si="18">IF(R36=$Q$32,T36,IF(R36&gt;$Q$32,0,12))</f>
        <v>12</v>
      </c>
      <c r="X36" s="26">
        <v>0</v>
      </c>
    </row>
    <row r="37" spans="5:26" x14ac:dyDescent="0.25">
      <c r="E37"/>
      <c r="F37" s="24"/>
      <c r="G37" s="12" t="str">
        <f t="shared" si="12"/>
        <v>EIM BA Operator SME</v>
      </c>
      <c r="H37" s="12"/>
      <c r="I37" s="12"/>
      <c r="J37" s="12"/>
      <c r="K37" s="29">
        <f t="shared" si="13"/>
        <v>43862</v>
      </c>
      <c r="L37" s="27">
        <f t="shared" si="14"/>
        <v>2020</v>
      </c>
      <c r="M37" s="27">
        <f t="shared" si="15"/>
        <v>2</v>
      </c>
      <c r="N37" s="27">
        <f t="shared" ref="N37:N53" si="19">12-M37+1</f>
        <v>11</v>
      </c>
      <c r="O37" s="53">
        <f t="shared" ref="O37:O52" si="20">IF(L37=$O$32,N37,IF(L37&gt;$O$32,0,12))</f>
        <v>11</v>
      </c>
      <c r="P37" s="5">
        <v>0.54</v>
      </c>
      <c r="Q37" s="53">
        <f t="shared" si="16"/>
        <v>12</v>
      </c>
      <c r="R37" s="34">
        <v>0.75</v>
      </c>
      <c r="S37" s="67">
        <f t="shared" si="17"/>
        <v>4</v>
      </c>
      <c r="T37" s="6">
        <v>0.9</v>
      </c>
      <c r="U37" s="67">
        <v>3</v>
      </c>
      <c r="V37" s="65">
        <v>0</v>
      </c>
      <c r="W37" s="67">
        <f t="shared" si="18"/>
        <v>12</v>
      </c>
      <c r="X37" s="6">
        <v>0</v>
      </c>
    </row>
    <row r="38" spans="5:26" x14ac:dyDescent="0.25">
      <c r="E38"/>
      <c r="F38" s="24"/>
      <c r="G38" s="18" t="str">
        <f t="shared" si="12"/>
        <v>EMS Modeling Engineer</v>
      </c>
      <c r="H38" s="18"/>
      <c r="I38" s="18"/>
      <c r="J38" s="18"/>
      <c r="K38" s="29">
        <f t="shared" si="13"/>
        <v>43983</v>
      </c>
      <c r="L38" s="27">
        <f t="shared" si="14"/>
        <v>2020</v>
      </c>
      <c r="M38" s="27">
        <f t="shared" si="15"/>
        <v>6</v>
      </c>
      <c r="N38" s="27">
        <f t="shared" si="19"/>
        <v>7</v>
      </c>
      <c r="O38" s="53">
        <f t="shared" si="20"/>
        <v>7</v>
      </c>
      <c r="P38" s="5">
        <v>0.15</v>
      </c>
      <c r="Q38" s="53">
        <f t="shared" si="16"/>
        <v>12</v>
      </c>
      <c r="R38" s="34">
        <v>0.15</v>
      </c>
      <c r="S38" s="67">
        <f t="shared" si="17"/>
        <v>4</v>
      </c>
      <c r="T38" s="6">
        <v>0.15</v>
      </c>
      <c r="U38" s="67">
        <v>3</v>
      </c>
      <c r="V38" s="65">
        <v>0</v>
      </c>
      <c r="W38" s="67">
        <f t="shared" si="18"/>
        <v>12</v>
      </c>
      <c r="X38" s="6">
        <v>0</v>
      </c>
    </row>
    <row r="39" spans="5:26" x14ac:dyDescent="0.25">
      <c r="E39"/>
      <c r="F39" s="24"/>
      <c r="G39" s="18" t="str">
        <f t="shared" si="12"/>
        <v>EIM BA Analyst</v>
      </c>
      <c r="H39" s="18"/>
      <c r="I39" s="18"/>
      <c r="J39" s="18"/>
      <c r="K39" s="29">
        <f t="shared" si="13"/>
        <v>44378</v>
      </c>
      <c r="L39" s="27">
        <f t="shared" si="14"/>
        <v>2021</v>
      </c>
      <c r="M39" s="27">
        <f t="shared" si="15"/>
        <v>7</v>
      </c>
      <c r="N39" s="27">
        <f t="shared" si="19"/>
        <v>6</v>
      </c>
      <c r="O39" s="53">
        <f t="shared" si="20"/>
        <v>0</v>
      </c>
      <c r="P39" s="5">
        <v>0</v>
      </c>
      <c r="Q39" s="53">
        <f t="shared" si="16"/>
        <v>6</v>
      </c>
      <c r="R39" s="34">
        <v>0.5</v>
      </c>
      <c r="S39" s="67">
        <f t="shared" si="17"/>
        <v>4</v>
      </c>
      <c r="T39" s="6">
        <v>0.9</v>
      </c>
      <c r="U39" s="67">
        <v>3</v>
      </c>
      <c r="V39" s="65">
        <v>0</v>
      </c>
      <c r="W39" s="67">
        <f t="shared" si="18"/>
        <v>12</v>
      </c>
      <c r="X39" s="6">
        <v>0</v>
      </c>
    </row>
    <row r="40" spans="5:26" x14ac:dyDescent="0.25">
      <c r="E40"/>
      <c r="F40" s="24"/>
      <c r="G40" s="12" t="str">
        <f t="shared" si="12"/>
        <v>EIM BA Operator</v>
      </c>
      <c r="H40" s="12"/>
      <c r="I40" s="12"/>
      <c r="J40" s="12"/>
      <c r="K40" s="29">
        <f t="shared" si="13"/>
        <v>44077</v>
      </c>
      <c r="L40" s="27">
        <f t="shared" si="14"/>
        <v>2020</v>
      </c>
      <c r="M40" s="27">
        <f t="shared" si="15"/>
        <v>9</v>
      </c>
      <c r="N40" s="27">
        <f t="shared" si="19"/>
        <v>4</v>
      </c>
      <c r="O40" s="53">
        <f t="shared" si="20"/>
        <v>4</v>
      </c>
      <c r="P40" s="5">
        <v>0.25</v>
      </c>
      <c r="Q40" s="53">
        <f t="shared" si="16"/>
        <v>12</v>
      </c>
      <c r="R40" s="34">
        <v>0.2</v>
      </c>
      <c r="S40" s="67">
        <f t="shared" si="17"/>
        <v>4</v>
      </c>
      <c r="T40" s="6">
        <v>0.9</v>
      </c>
      <c r="U40" s="67">
        <v>3</v>
      </c>
      <c r="V40" s="65">
        <v>0</v>
      </c>
      <c r="W40" s="67">
        <f t="shared" si="18"/>
        <v>12</v>
      </c>
      <c r="X40" s="6">
        <v>0</v>
      </c>
    </row>
    <row r="41" spans="5:26" x14ac:dyDescent="0.25">
      <c r="E41"/>
      <c r="F41" s="24"/>
      <c r="G41" s="12" t="str">
        <f t="shared" si="12"/>
        <v>EIM BA Operator</v>
      </c>
      <c r="H41" s="12"/>
      <c r="I41" s="12"/>
      <c r="J41" s="12"/>
      <c r="K41" s="29">
        <f t="shared" si="13"/>
        <v>44078</v>
      </c>
      <c r="L41" s="27">
        <f t="shared" si="14"/>
        <v>2020</v>
      </c>
      <c r="M41" s="27">
        <f t="shared" si="15"/>
        <v>9</v>
      </c>
      <c r="N41" s="27">
        <f t="shared" si="19"/>
        <v>4</v>
      </c>
      <c r="O41" s="53">
        <f t="shared" si="20"/>
        <v>4</v>
      </c>
      <c r="P41" s="5">
        <v>0.25</v>
      </c>
      <c r="Q41" s="53">
        <f t="shared" si="16"/>
        <v>12</v>
      </c>
      <c r="R41" s="34">
        <v>0.2</v>
      </c>
      <c r="S41" s="67">
        <f t="shared" si="17"/>
        <v>4</v>
      </c>
      <c r="T41" s="6">
        <v>0.9</v>
      </c>
      <c r="U41" s="67">
        <v>3</v>
      </c>
      <c r="V41" s="65">
        <v>0</v>
      </c>
      <c r="W41" s="67">
        <f t="shared" si="18"/>
        <v>12</v>
      </c>
      <c r="X41" s="6">
        <v>0</v>
      </c>
    </row>
    <row r="42" spans="5:26" x14ac:dyDescent="0.25">
      <c r="E42"/>
      <c r="F42" s="24"/>
      <c r="G42" s="12" t="str">
        <f t="shared" si="12"/>
        <v>EIM BA Operator</v>
      </c>
      <c r="H42" s="12"/>
      <c r="I42" s="12"/>
      <c r="J42" s="12"/>
      <c r="K42" s="29">
        <f t="shared" si="13"/>
        <v>44197</v>
      </c>
      <c r="L42" s="27">
        <f t="shared" si="14"/>
        <v>2021</v>
      </c>
      <c r="M42" s="27">
        <f t="shared" si="15"/>
        <v>1</v>
      </c>
      <c r="N42" s="27">
        <f t="shared" si="19"/>
        <v>12</v>
      </c>
      <c r="O42" s="53">
        <f t="shared" si="20"/>
        <v>0</v>
      </c>
      <c r="P42" s="5">
        <v>0</v>
      </c>
      <c r="Q42" s="53">
        <f t="shared" si="16"/>
        <v>12</v>
      </c>
      <c r="R42" s="34">
        <v>0.2</v>
      </c>
      <c r="S42" s="67">
        <f t="shared" si="17"/>
        <v>4</v>
      </c>
      <c r="T42" s="6">
        <v>0.9</v>
      </c>
      <c r="U42" s="67">
        <v>3</v>
      </c>
      <c r="V42" s="65">
        <v>0</v>
      </c>
      <c r="W42" s="67">
        <f t="shared" si="18"/>
        <v>12</v>
      </c>
      <c r="X42" s="6">
        <v>0</v>
      </c>
    </row>
    <row r="43" spans="5:26" x14ac:dyDescent="0.25">
      <c r="E43"/>
      <c r="F43" s="24"/>
      <c r="G43" s="12" t="str">
        <f t="shared" si="12"/>
        <v>EIM BA Operator</v>
      </c>
      <c r="H43" s="12"/>
      <c r="I43" s="12"/>
      <c r="J43" s="12"/>
      <c r="K43" s="29">
        <f t="shared" si="13"/>
        <v>44197</v>
      </c>
      <c r="L43" s="27">
        <f t="shared" si="14"/>
        <v>2021</v>
      </c>
      <c r="M43" s="27">
        <f t="shared" si="15"/>
        <v>1</v>
      </c>
      <c r="N43" s="27">
        <f t="shared" si="19"/>
        <v>12</v>
      </c>
      <c r="O43" s="53">
        <f t="shared" si="20"/>
        <v>0</v>
      </c>
      <c r="P43" s="5">
        <v>0</v>
      </c>
      <c r="Q43" s="53">
        <f t="shared" si="16"/>
        <v>12</v>
      </c>
      <c r="R43" s="34">
        <v>0.2</v>
      </c>
      <c r="S43" s="67">
        <f t="shared" si="17"/>
        <v>4</v>
      </c>
      <c r="T43" s="6">
        <v>0.9</v>
      </c>
      <c r="U43" s="67">
        <v>3</v>
      </c>
      <c r="V43" s="65">
        <v>0</v>
      </c>
      <c r="W43" s="67">
        <f t="shared" si="18"/>
        <v>12</v>
      </c>
      <c r="X43" s="6">
        <v>0</v>
      </c>
    </row>
    <row r="44" spans="5:26" x14ac:dyDescent="0.25">
      <c r="E44"/>
      <c r="F44" s="24"/>
      <c r="G44" s="12" t="str">
        <f t="shared" si="12"/>
        <v>EIM BA Operator (Relief)</v>
      </c>
      <c r="H44" s="12"/>
      <c r="I44" s="12"/>
      <c r="J44" s="12"/>
      <c r="K44" s="29">
        <f t="shared" si="13"/>
        <v>44256</v>
      </c>
      <c r="L44" s="27">
        <f t="shared" si="14"/>
        <v>2021</v>
      </c>
      <c r="M44" s="27">
        <f t="shared" si="15"/>
        <v>3</v>
      </c>
      <c r="N44" s="27">
        <f t="shared" si="19"/>
        <v>10</v>
      </c>
      <c r="O44" s="53">
        <f t="shared" si="20"/>
        <v>0</v>
      </c>
      <c r="P44" s="5">
        <v>0</v>
      </c>
      <c r="Q44" s="53">
        <f t="shared" si="16"/>
        <v>10</v>
      </c>
      <c r="R44" s="34">
        <v>0.2</v>
      </c>
      <c r="S44" s="67">
        <f t="shared" si="17"/>
        <v>4</v>
      </c>
      <c r="T44" s="6">
        <v>0.9</v>
      </c>
      <c r="U44" s="67">
        <v>3</v>
      </c>
      <c r="V44" s="65">
        <v>0</v>
      </c>
      <c r="W44" s="67">
        <f t="shared" si="18"/>
        <v>12</v>
      </c>
      <c r="X44" s="6">
        <v>0</v>
      </c>
    </row>
    <row r="45" spans="5:26" x14ac:dyDescent="0.25">
      <c r="E45"/>
      <c r="F45" s="24"/>
      <c r="G45" s="18" t="str">
        <f t="shared" si="12"/>
        <v>Training Admin</v>
      </c>
      <c r="H45" s="18"/>
      <c r="I45" s="18"/>
      <c r="J45" s="18"/>
      <c r="K45" s="29">
        <f t="shared" si="13"/>
        <v>44621</v>
      </c>
      <c r="L45" s="27">
        <f t="shared" si="14"/>
        <v>2022</v>
      </c>
      <c r="M45" s="27">
        <f t="shared" si="15"/>
        <v>3</v>
      </c>
      <c r="N45" s="27">
        <f t="shared" si="19"/>
        <v>10</v>
      </c>
      <c r="O45" s="53">
        <f t="shared" si="20"/>
        <v>0</v>
      </c>
      <c r="P45" s="5">
        <v>0</v>
      </c>
      <c r="Q45" s="53">
        <f t="shared" si="16"/>
        <v>0</v>
      </c>
      <c r="R45" s="34">
        <v>0</v>
      </c>
      <c r="S45" s="67">
        <f t="shared" si="17"/>
        <v>2</v>
      </c>
      <c r="T45" s="6">
        <v>0</v>
      </c>
      <c r="U45" s="67">
        <v>3</v>
      </c>
      <c r="V45" s="65">
        <v>0</v>
      </c>
      <c r="W45" s="67">
        <f t="shared" si="18"/>
        <v>12</v>
      </c>
      <c r="X45" s="6">
        <v>0</v>
      </c>
    </row>
    <row r="46" spans="5:26" x14ac:dyDescent="0.25">
      <c r="E46"/>
      <c r="F46" s="24"/>
      <c r="G46" s="12" t="str">
        <f t="shared" si="12"/>
        <v>Sr Engineer</v>
      </c>
      <c r="H46" s="12"/>
      <c r="I46" s="12"/>
      <c r="J46" s="12"/>
      <c r="K46" s="29">
        <f t="shared" si="13"/>
        <v>43831</v>
      </c>
      <c r="L46" s="27">
        <f t="shared" si="14"/>
        <v>2020</v>
      </c>
      <c r="M46" s="27">
        <f t="shared" si="15"/>
        <v>1</v>
      </c>
      <c r="N46" s="27">
        <f t="shared" si="19"/>
        <v>12</v>
      </c>
      <c r="O46" s="53">
        <f t="shared" si="20"/>
        <v>12</v>
      </c>
      <c r="P46" s="5">
        <v>0.85</v>
      </c>
      <c r="Q46" s="53">
        <f t="shared" si="16"/>
        <v>12</v>
      </c>
      <c r="R46" s="34">
        <v>1</v>
      </c>
      <c r="S46" s="67"/>
      <c r="T46" s="6">
        <v>0</v>
      </c>
      <c r="U46" s="67"/>
      <c r="V46" s="65">
        <v>0</v>
      </c>
      <c r="W46" s="67"/>
      <c r="X46" s="6">
        <v>0</v>
      </c>
    </row>
    <row r="47" spans="5:26" x14ac:dyDescent="0.25">
      <c r="E47"/>
      <c r="F47" s="24"/>
      <c r="G47" s="12" t="str">
        <f t="shared" si="12"/>
        <v>Settlements Manager</v>
      </c>
      <c r="H47" s="12"/>
      <c r="I47" s="12"/>
      <c r="J47" s="12"/>
      <c r="K47" s="29">
        <f t="shared" si="13"/>
        <v>44075</v>
      </c>
      <c r="L47" s="27">
        <f t="shared" si="14"/>
        <v>2020</v>
      </c>
      <c r="M47" s="27">
        <f t="shared" si="15"/>
        <v>9</v>
      </c>
      <c r="N47" s="27">
        <f t="shared" si="19"/>
        <v>4</v>
      </c>
      <c r="O47" s="53">
        <f t="shared" si="20"/>
        <v>4</v>
      </c>
      <c r="P47" s="5">
        <v>0.5</v>
      </c>
      <c r="Q47" s="53">
        <f t="shared" si="16"/>
        <v>12</v>
      </c>
      <c r="R47" s="34">
        <v>0.5</v>
      </c>
      <c r="S47" s="67">
        <f t="shared" si="17"/>
        <v>4</v>
      </c>
      <c r="T47" s="6">
        <v>0.9</v>
      </c>
      <c r="U47" s="67">
        <v>3</v>
      </c>
      <c r="V47" s="65">
        <v>0</v>
      </c>
      <c r="W47" s="67">
        <f t="shared" si="18"/>
        <v>12</v>
      </c>
      <c r="X47" s="6">
        <v>0</v>
      </c>
    </row>
    <row r="48" spans="5:26" x14ac:dyDescent="0.25">
      <c r="E48"/>
      <c r="F48" s="24"/>
      <c r="G48" s="12" t="str">
        <f t="shared" si="12"/>
        <v xml:space="preserve">Settlements Meter Analyst </v>
      </c>
      <c r="H48" s="12"/>
      <c r="I48" s="12"/>
      <c r="J48" s="12"/>
      <c r="K48" s="29">
        <f t="shared" si="13"/>
        <v>44287</v>
      </c>
      <c r="L48" s="27">
        <f t="shared" si="14"/>
        <v>2021</v>
      </c>
      <c r="M48" s="27">
        <f t="shared" si="15"/>
        <v>4</v>
      </c>
      <c r="N48" s="27">
        <f t="shared" si="19"/>
        <v>9</v>
      </c>
      <c r="O48" s="53">
        <f t="shared" si="20"/>
        <v>0</v>
      </c>
      <c r="P48" s="5">
        <v>0.75</v>
      </c>
      <c r="Q48" s="53">
        <f t="shared" si="16"/>
        <v>9</v>
      </c>
      <c r="R48" s="34">
        <v>0.5</v>
      </c>
      <c r="S48" s="67">
        <f t="shared" si="17"/>
        <v>4</v>
      </c>
      <c r="T48" s="6">
        <v>0.9</v>
      </c>
      <c r="U48" s="67">
        <v>3</v>
      </c>
      <c r="V48" s="65">
        <v>0</v>
      </c>
      <c r="W48" s="67">
        <f t="shared" si="18"/>
        <v>12</v>
      </c>
      <c r="X48" s="6">
        <v>0</v>
      </c>
    </row>
    <row r="49" spans="5:24" x14ac:dyDescent="0.25">
      <c r="E49"/>
      <c r="F49" s="24"/>
      <c r="G49" s="12" t="str">
        <f t="shared" si="12"/>
        <v>Settlement Analyst</v>
      </c>
      <c r="H49" s="12"/>
      <c r="I49" s="12"/>
      <c r="J49" s="12"/>
      <c r="K49" s="29">
        <f t="shared" si="13"/>
        <v>44287</v>
      </c>
      <c r="L49" s="27">
        <f t="shared" si="14"/>
        <v>2021</v>
      </c>
      <c r="M49" s="27">
        <f t="shared" si="15"/>
        <v>4</v>
      </c>
      <c r="N49" s="27">
        <f t="shared" si="19"/>
        <v>9</v>
      </c>
      <c r="O49" s="53">
        <f t="shared" si="20"/>
        <v>0</v>
      </c>
      <c r="P49" s="5">
        <v>0.75</v>
      </c>
      <c r="Q49" s="53">
        <f t="shared" si="16"/>
        <v>9</v>
      </c>
      <c r="R49" s="34">
        <v>0.5</v>
      </c>
      <c r="S49" s="67">
        <f t="shared" si="17"/>
        <v>4</v>
      </c>
      <c r="T49" s="6">
        <v>0.9</v>
      </c>
      <c r="U49" s="67">
        <v>3</v>
      </c>
      <c r="V49" s="65">
        <v>0</v>
      </c>
      <c r="W49" s="67">
        <f t="shared" si="18"/>
        <v>12</v>
      </c>
      <c r="X49" s="6">
        <v>0</v>
      </c>
    </row>
    <row r="50" spans="5:24" x14ac:dyDescent="0.25">
      <c r="E50"/>
      <c r="F50" s="24"/>
      <c r="G50" s="12" t="str">
        <f t="shared" si="12"/>
        <v>Settlement Analyst</v>
      </c>
      <c r="H50" s="12"/>
      <c r="I50" s="12"/>
      <c r="J50" s="12"/>
      <c r="K50" s="29">
        <f t="shared" si="13"/>
        <v>44378</v>
      </c>
      <c r="L50" s="27">
        <f t="shared" si="14"/>
        <v>2021</v>
      </c>
      <c r="M50" s="27">
        <f t="shared" si="15"/>
        <v>7</v>
      </c>
      <c r="N50" s="27">
        <f t="shared" si="19"/>
        <v>6</v>
      </c>
      <c r="O50" s="53">
        <f t="shared" si="20"/>
        <v>0</v>
      </c>
      <c r="P50" s="5">
        <v>0.75</v>
      </c>
      <c r="Q50" s="53">
        <f t="shared" si="16"/>
        <v>6</v>
      </c>
      <c r="R50" s="34">
        <v>0.5</v>
      </c>
      <c r="S50" s="67">
        <f t="shared" si="17"/>
        <v>4</v>
      </c>
      <c r="T50" s="6">
        <v>0.9</v>
      </c>
      <c r="U50" s="67">
        <v>3</v>
      </c>
      <c r="V50" s="65">
        <v>0</v>
      </c>
      <c r="W50" s="67">
        <f t="shared" si="18"/>
        <v>12</v>
      </c>
      <c r="X50" s="6">
        <v>0</v>
      </c>
    </row>
    <row r="51" spans="5:24" x14ac:dyDescent="0.25">
      <c r="E51"/>
      <c r="F51" s="24"/>
      <c r="G51" s="12" t="str">
        <f t="shared" si="12"/>
        <v>Settlement Analyst</v>
      </c>
      <c r="H51" s="12"/>
      <c r="I51" s="12"/>
      <c r="J51" s="12"/>
      <c r="K51" s="29">
        <f t="shared" si="13"/>
        <v>44378</v>
      </c>
      <c r="L51" s="27">
        <f t="shared" si="14"/>
        <v>2021</v>
      </c>
      <c r="M51" s="27">
        <f t="shared" si="15"/>
        <v>7</v>
      </c>
      <c r="N51" s="27">
        <f t="shared" si="19"/>
        <v>6</v>
      </c>
      <c r="O51" s="53">
        <f t="shared" si="20"/>
        <v>0</v>
      </c>
      <c r="P51" s="5">
        <v>0.75</v>
      </c>
      <c r="Q51" s="53">
        <f t="shared" si="16"/>
        <v>6</v>
      </c>
      <c r="R51" s="34">
        <v>0.75</v>
      </c>
      <c r="S51" s="67">
        <f t="shared" si="17"/>
        <v>4</v>
      </c>
      <c r="T51" s="6">
        <v>0.9</v>
      </c>
      <c r="U51" s="67">
        <v>3</v>
      </c>
      <c r="V51" s="65">
        <v>0</v>
      </c>
      <c r="W51" s="67">
        <f t="shared" si="18"/>
        <v>12</v>
      </c>
      <c r="X51" s="6">
        <v>0</v>
      </c>
    </row>
    <row r="52" spans="5:24" x14ac:dyDescent="0.25">
      <c r="E52"/>
      <c r="F52" s="24"/>
      <c r="G52" s="12" t="str">
        <f t="shared" si="12"/>
        <v>Technical Systems Analyst</v>
      </c>
      <c r="H52" s="12"/>
      <c r="I52" s="12"/>
      <c r="J52" s="12"/>
      <c r="K52" s="29">
        <f t="shared" si="13"/>
        <v>43983</v>
      </c>
      <c r="L52" s="27">
        <f t="shared" si="14"/>
        <v>2020</v>
      </c>
      <c r="M52" s="27">
        <f t="shared" si="15"/>
        <v>6</v>
      </c>
      <c r="N52" s="27">
        <f t="shared" si="19"/>
        <v>7</v>
      </c>
      <c r="O52" s="53">
        <f t="shared" si="20"/>
        <v>7</v>
      </c>
      <c r="P52" s="5">
        <v>0.8</v>
      </c>
      <c r="Q52" s="53">
        <f t="shared" si="16"/>
        <v>12</v>
      </c>
      <c r="R52" s="34">
        <v>0.9</v>
      </c>
      <c r="S52" s="67">
        <f t="shared" si="17"/>
        <v>4</v>
      </c>
      <c r="T52" s="6">
        <v>0.9</v>
      </c>
      <c r="U52" s="67">
        <v>3</v>
      </c>
      <c r="V52" s="65">
        <v>0</v>
      </c>
      <c r="W52" s="67">
        <f t="shared" si="18"/>
        <v>12</v>
      </c>
      <c r="X52" s="6">
        <v>0</v>
      </c>
    </row>
    <row r="53" spans="5:24" x14ac:dyDescent="0.25">
      <c r="E53"/>
      <c r="F53" s="24"/>
      <c r="G53" s="12" t="str">
        <f t="shared" si="12"/>
        <v>Ops Technical Lead</v>
      </c>
      <c r="H53" s="12"/>
      <c r="I53" s="12"/>
      <c r="J53" s="12"/>
      <c r="K53" s="29">
        <f t="shared" si="13"/>
        <v>43983</v>
      </c>
      <c r="L53" s="27">
        <f t="shared" si="14"/>
        <v>2020</v>
      </c>
      <c r="M53" s="27">
        <f t="shared" si="15"/>
        <v>6</v>
      </c>
      <c r="N53" s="27">
        <f t="shared" si="19"/>
        <v>7</v>
      </c>
      <c r="O53" s="53">
        <f>IF(L53=$O$32,N53,IF(L53&gt;$O$32,0,12))</f>
        <v>7</v>
      </c>
      <c r="P53" s="5">
        <v>0.8</v>
      </c>
      <c r="Q53" s="53">
        <f t="shared" si="16"/>
        <v>12</v>
      </c>
      <c r="R53" s="34">
        <v>0.9</v>
      </c>
      <c r="S53" s="67">
        <f t="shared" si="17"/>
        <v>4</v>
      </c>
      <c r="T53" s="6">
        <v>0.9</v>
      </c>
      <c r="U53" s="67">
        <v>3</v>
      </c>
      <c r="V53" s="65">
        <v>0</v>
      </c>
      <c r="W53" s="67">
        <f t="shared" si="18"/>
        <v>12</v>
      </c>
      <c r="X53" s="6">
        <v>0</v>
      </c>
    </row>
    <row r="54" spans="5:24" x14ac:dyDescent="0.25">
      <c r="E54"/>
      <c r="F54" s="24"/>
    </row>
    <row r="61" spans="5:24" ht="15.75" thickBot="1" x14ac:dyDescent="0.3"/>
    <row r="62" spans="5:24" ht="16.5" customHeight="1" thickBot="1" x14ac:dyDescent="0.3">
      <c r="L62" s="235" t="s">
        <v>85</v>
      </c>
      <c r="M62" s="236"/>
      <c r="N62" s="237"/>
      <c r="O62" s="197" t="s">
        <v>39</v>
      </c>
      <c r="P62" s="197"/>
      <c r="Q62" s="197"/>
      <c r="R62" s="197"/>
      <c r="S62" s="197"/>
      <c r="T62" s="198"/>
      <c r="U62" s="199" t="s">
        <v>38</v>
      </c>
      <c r="V62" s="200"/>
      <c r="W62" s="200"/>
      <c r="X62" s="201"/>
    </row>
    <row r="63" spans="5:24" x14ac:dyDescent="0.25">
      <c r="L63" s="238"/>
      <c r="M63" s="239"/>
      <c r="N63" s="240"/>
      <c r="O63" s="234">
        <v>2020</v>
      </c>
      <c r="P63" s="203"/>
      <c r="Q63" s="204">
        <v>2021</v>
      </c>
      <c r="R63" s="205"/>
      <c r="S63" s="202" t="s">
        <v>72</v>
      </c>
      <c r="T63" s="203"/>
      <c r="U63" s="206" t="s">
        <v>73</v>
      </c>
      <c r="V63" s="207"/>
      <c r="W63" s="204">
        <v>2023</v>
      </c>
      <c r="X63" s="205"/>
    </row>
    <row r="64" spans="5:24" x14ac:dyDescent="0.25">
      <c r="L64" s="238"/>
      <c r="M64" s="239"/>
      <c r="N64" s="240"/>
      <c r="O64" s="172" t="s">
        <v>0</v>
      </c>
      <c r="P64" s="8" t="s">
        <v>7</v>
      </c>
      <c r="Q64" s="7" t="s">
        <v>0</v>
      </c>
      <c r="R64" s="8" t="s">
        <v>7</v>
      </c>
      <c r="S64" s="7" t="s">
        <v>0</v>
      </c>
      <c r="T64" s="8" t="s">
        <v>7</v>
      </c>
      <c r="U64" s="7" t="s">
        <v>0</v>
      </c>
      <c r="V64" s="8" t="s">
        <v>7</v>
      </c>
      <c r="W64" s="7" t="s">
        <v>0</v>
      </c>
      <c r="X64" s="8" t="s">
        <v>7</v>
      </c>
    </row>
    <row r="65" spans="5:24" s="168" customFormat="1" ht="17.25" customHeight="1" x14ac:dyDescent="0.25">
      <c r="E65" s="169"/>
      <c r="L65" s="245" t="s">
        <v>75</v>
      </c>
      <c r="M65" s="246"/>
      <c r="N65" s="247"/>
      <c r="O65" s="173">
        <f>SUMIFS(O$4:O$23,$F$4:$F$23,"&gt;=1/1/2019",$F$4:$F$23,"&lt;=12/31/2019")</f>
        <v>92250</v>
      </c>
      <c r="P65" s="174">
        <f t="shared" ref="P65:X65" si="21">SUMIFS(P$4:P$23,$F$4:$F$23,"&gt;=1/1/2019",$F$4:$F$23,"&lt;=12/31/2019")</f>
        <v>30750</v>
      </c>
      <c r="Q65" s="174">
        <f t="shared" si="21"/>
        <v>84590.021249999991</v>
      </c>
      <c r="R65" s="174">
        <f t="shared" si="21"/>
        <v>28196.673749999998</v>
      </c>
      <c r="S65" s="174">
        <f t="shared" si="21"/>
        <v>28901.590593749992</v>
      </c>
      <c r="T65" s="174">
        <f t="shared" si="21"/>
        <v>9633.8635312499973</v>
      </c>
      <c r="U65" s="174">
        <f t="shared" si="21"/>
        <v>0</v>
      </c>
      <c r="V65" s="174">
        <f t="shared" si="21"/>
        <v>28901.590593749996</v>
      </c>
      <c r="W65" s="174">
        <f t="shared" si="21"/>
        <v>0</v>
      </c>
      <c r="X65" s="175">
        <f t="shared" si="21"/>
        <v>0</v>
      </c>
    </row>
    <row r="66" spans="5:24" s="168" customFormat="1" ht="17.25" customHeight="1" x14ac:dyDescent="0.25">
      <c r="E66" s="169"/>
      <c r="L66" s="248" t="s">
        <v>74</v>
      </c>
      <c r="M66" s="249"/>
      <c r="N66" s="250"/>
      <c r="O66" s="176">
        <f>SUMIFS(O$4:O$23,$F$4:$F$23,"&gt;=1/1/2020",$F$4:$F$23,"&lt;=12/31/2020")</f>
        <v>288348.6241583334</v>
      </c>
      <c r="P66" s="177">
        <f t="shared" ref="P66:X66" si="22">SUMIFS(P$4:P$23,$F$4:$F$23,"&gt;=1/1/2020",$F$4:$F$23,"&lt;=12/31/2020")</f>
        <v>260794.09959166666</v>
      </c>
      <c r="Q66" s="177">
        <f t="shared" si="22"/>
        <v>387234.96252170624</v>
      </c>
      <c r="R66" s="177">
        <f t="shared" si="22"/>
        <v>440941.54067656869</v>
      </c>
      <c r="S66" s="177">
        <f t="shared" si="22"/>
        <v>206494.9570772195</v>
      </c>
      <c r="T66" s="177">
        <f t="shared" si="22"/>
        <v>67066.456932191039</v>
      </c>
      <c r="U66" s="177">
        <f t="shared" si="22"/>
        <v>0</v>
      </c>
      <c r="V66" s="177">
        <f t="shared" si="22"/>
        <v>187548.13941330794</v>
      </c>
      <c r="W66" s="177">
        <f t="shared" si="22"/>
        <v>0</v>
      </c>
      <c r="X66" s="178">
        <f t="shared" si="22"/>
        <v>768947.37159456243</v>
      </c>
    </row>
    <row r="67" spans="5:24" s="168" customFormat="1" ht="17.25" customHeight="1" x14ac:dyDescent="0.25">
      <c r="E67" s="169"/>
      <c r="L67" s="248" t="s">
        <v>76</v>
      </c>
      <c r="M67" s="249"/>
      <c r="N67" s="250"/>
      <c r="O67" s="176">
        <f>SUMIFS(O$4:O$23,$F$4:$F$23,"&gt;=1/1/2021",$F$4:$F$23,"&lt;=12/31/2021")</f>
        <v>0</v>
      </c>
      <c r="P67" s="177">
        <f t="shared" ref="P67:X67" si="23">SUMIFS(P$4:P$23,$F$4:$F$23,"&gt;=1/1/2021",$F$4:$F$23,"&lt;=12/31/2021")</f>
        <v>0</v>
      </c>
      <c r="Q67" s="177">
        <f t="shared" si="23"/>
        <v>246191.83707299994</v>
      </c>
      <c r="R67" s="177">
        <f t="shared" si="23"/>
        <v>402036.090792</v>
      </c>
      <c r="S67" s="177">
        <f t="shared" si="23"/>
        <v>282923.73260707496</v>
      </c>
      <c r="T67" s="177">
        <f t="shared" si="23"/>
        <v>31435.970289674988</v>
      </c>
      <c r="U67" s="177">
        <f t="shared" si="23"/>
        <v>0</v>
      </c>
      <c r="V67" s="177">
        <f t="shared" si="23"/>
        <v>235769.77717256243</v>
      </c>
      <c r="W67" s="177">
        <f t="shared" si="23"/>
        <v>0</v>
      </c>
      <c r="X67" s="178">
        <f t="shared" si="23"/>
        <v>966656.08640750591</v>
      </c>
    </row>
    <row r="68" spans="5:24" s="168" customFormat="1" ht="17.25" customHeight="1" x14ac:dyDescent="0.25">
      <c r="E68" s="169"/>
      <c r="L68" s="248" t="s">
        <v>77</v>
      </c>
      <c r="M68" s="249"/>
      <c r="N68" s="250"/>
      <c r="O68" s="176">
        <f>SUMIFS(O$4:O$23,$F$4:$F$23,"&gt;=1/1/2022",$F$4:$F$23,"&lt;=3/31/2022")</f>
        <v>0</v>
      </c>
      <c r="P68" s="177">
        <f t="shared" ref="P68:X68" si="24">SUMIFS(P$4:P$23,$F$4:$F$23,"&gt;=1/1/2022",$F$4:$F$23,"&lt;=3/31/2022")</f>
        <v>0</v>
      </c>
      <c r="Q68" s="177">
        <f t="shared" si="24"/>
        <v>0</v>
      </c>
      <c r="R68" s="177">
        <f t="shared" si="24"/>
        <v>0</v>
      </c>
      <c r="S68" s="177">
        <f t="shared" si="24"/>
        <v>0</v>
      </c>
      <c r="T68" s="177">
        <f t="shared" si="24"/>
        <v>12531.854999999998</v>
      </c>
      <c r="U68" s="177">
        <f t="shared" si="24"/>
        <v>0</v>
      </c>
      <c r="V68" s="177">
        <f t="shared" si="24"/>
        <v>18797.782499999998</v>
      </c>
      <c r="W68" s="177">
        <f t="shared" si="24"/>
        <v>0</v>
      </c>
      <c r="X68" s="178">
        <f t="shared" si="24"/>
        <v>77070.908249999979</v>
      </c>
    </row>
    <row r="69" spans="5:24" s="168" customFormat="1" ht="17.25" customHeight="1" x14ac:dyDescent="0.25">
      <c r="E69" s="169"/>
      <c r="L69" s="248" t="s">
        <v>78</v>
      </c>
      <c r="M69" s="249"/>
      <c r="N69" s="250"/>
      <c r="O69" s="176">
        <f>SUMIFS(O$4:O$23,$F$4:$F$23,"&gt;=4/1/2022",$F$4:$F$23,"&lt;=12/31/2022")</f>
        <v>0</v>
      </c>
      <c r="P69" s="177">
        <f t="shared" ref="P69:X69" si="25">SUMIFS(P$4:P$23,$F$4:$F$23,"&gt;=4/1/2022",$F$4:$F$23,"&lt;=12/31/2022")</f>
        <v>0</v>
      </c>
      <c r="Q69" s="177">
        <f t="shared" si="25"/>
        <v>0</v>
      </c>
      <c r="R69" s="177">
        <f t="shared" si="25"/>
        <v>0</v>
      </c>
      <c r="S69" s="177">
        <f t="shared" si="25"/>
        <v>0</v>
      </c>
      <c r="T69" s="177">
        <f t="shared" si="25"/>
        <v>0</v>
      </c>
      <c r="U69" s="177">
        <f t="shared" si="25"/>
        <v>0</v>
      </c>
      <c r="V69" s="177">
        <f t="shared" si="25"/>
        <v>0</v>
      </c>
      <c r="W69" s="177">
        <f t="shared" si="25"/>
        <v>0</v>
      </c>
      <c r="X69" s="178">
        <f t="shared" si="25"/>
        <v>0</v>
      </c>
    </row>
    <row r="70" spans="5:24" s="168" customFormat="1" ht="17.25" customHeight="1" thickBot="1" x14ac:dyDescent="0.3">
      <c r="E70" s="169"/>
      <c r="L70" s="251" t="s">
        <v>79</v>
      </c>
      <c r="M70" s="252"/>
      <c r="N70" s="253"/>
      <c r="O70" s="179">
        <f>SUMIFS(O$4:O$23,$F$4:$F$23,"&gt;=1/1/2023",$F$4:$F$23,"&lt;=12/31/2100")</f>
        <v>0</v>
      </c>
      <c r="P70" s="180">
        <f t="shared" ref="P70:X70" si="26">SUMIFS(P$4:P$23,$F$4:$F$23,"&gt;=1/1/2023",$F$4:$F$23,"&lt;=12/31/2100")</f>
        <v>0</v>
      </c>
      <c r="Q70" s="180">
        <f t="shared" si="26"/>
        <v>0</v>
      </c>
      <c r="R70" s="180">
        <f t="shared" si="26"/>
        <v>0</v>
      </c>
      <c r="S70" s="180">
        <f t="shared" si="26"/>
        <v>0</v>
      </c>
      <c r="T70" s="180">
        <f t="shared" si="26"/>
        <v>0</v>
      </c>
      <c r="U70" s="180">
        <f t="shared" si="26"/>
        <v>0</v>
      </c>
      <c r="V70" s="180">
        <f t="shared" si="26"/>
        <v>0</v>
      </c>
      <c r="W70" s="180">
        <f t="shared" si="26"/>
        <v>0</v>
      </c>
      <c r="X70" s="181">
        <f t="shared" si="26"/>
        <v>0</v>
      </c>
    </row>
    <row r="71" spans="5:24" s="168" customFormat="1" ht="17.25" customHeight="1" thickTop="1" thickBot="1" x14ac:dyDescent="0.3">
      <c r="E71" s="169"/>
      <c r="L71" s="266" t="s">
        <v>81</v>
      </c>
      <c r="M71" s="267"/>
      <c r="N71" s="268"/>
      <c r="O71" s="182">
        <f>SUM(O65:O70)</f>
        <v>380598.6241583334</v>
      </c>
      <c r="P71" s="182">
        <f t="shared" ref="P71:X71" si="27">SUM(P65:P70)</f>
        <v>291544.09959166666</v>
      </c>
      <c r="Q71" s="182">
        <f t="shared" si="27"/>
        <v>718016.82084470615</v>
      </c>
      <c r="R71" s="182">
        <f>SUM(R65:R70)</f>
        <v>871174.30521856877</v>
      </c>
      <c r="S71" s="182">
        <f t="shared" si="27"/>
        <v>518320.28027804446</v>
      </c>
      <c r="T71" s="182">
        <f t="shared" si="27"/>
        <v>120668.14575311601</v>
      </c>
      <c r="U71" s="182">
        <f t="shared" si="27"/>
        <v>0</v>
      </c>
      <c r="V71" s="182">
        <f t="shared" si="27"/>
        <v>471017.28967962036</v>
      </c>
      <c r="W71" s="182">
        <f t="shared" si="27"/>
        <v>0</v>
      </c>
      <c r="X71" s="183">
        <f t="shared" si="27"/>
        <v>1812674.3662520684</v>
      </c>
    </row>
    <row r="72" spans="5:24" s="168" customFormat="1" ht="17.25" customHeight="1" thickBot="1" x14ac:dyDescent="0.3">
      <c r="E72" s="169"/>
      <c r="G72" s="170"/>
      <c r="K72" s="171"/>
      <c r="L72" s="184"/>
      <c r="M72" s="185" t="str">
        <f>G25</f>
        <v xml:space="preserve">Loaded Labor Estimate: </v>
      </c>
      <c r="N72" s="186">
        <f>K25</f>
        <v>0.78050000000000008</v>
      </c>
      <c r="O72" s="182">
        <f>O25</f>
        <v>677655.85031391238</v>
      </c>
      <c r="P72" s="182">
        <f t="shared" ref="P72:X72" si="28">P25</f>
        <v>519094.2693229625</v>
      </c>
      <c r="Q72" s="182">
        <f t="shared" si="28"/>
        <v>1278428.9495139995</v>
      </c>
      <c r="R72" s="182">
        <f t="shared" si="28"/>
        <v>1551125.8504416612</v>
      </c>
      <c r="S72" s="182">
        <f t="shared" si="28"/>
        <v>922869.2590350582</v>
      </c>
      <c r="T72" s="182">
        <f t="shared" si="28"/>
        <v>214849.63351342309</v>
      </c>
      <c r="U72" s="182">
        <f t="shared" si="28"/>
        <v>0</v>
      </c>
      <c r="V72" s="182">
        <f t="shared" si="28"/>
        <v>838646.28427456401</v>
      </c>
      <c r="W72" s="182">
        <f t="shared" si="28"/>
        <v>0</v>
      </c>
      <c r="X72" s="183">
        <f t="shared" si="28"/>
        <v>3227466.7091118079</v>
      </c>
    </row>
    <row r="73" spans="5:24" x14ac:dyDescent="0.25">
      <c r="L73" s="12"/>
      <c r="M73" s="12"/>
      <c r="N73" s="12"/>
      <c r="O73" s="167"/>
      <c r="P73" s="167"/>
      <c r="Q73" s="167"/>
      <c r="R73" s="167"/>
      <c r="S73" s="167"/>
      <c r="T73" s="167"/>
      <c r="U73" s="167"/>
      <c r="V73" s="167"/>
      <c r="W73" s="167"/>
      <c r="X73" s="167" t="s">
        <v>86</v>
      </c>
    </row>
    <row r="74" spans="5:24" x14ac:dyDescent="0.25">
      <c r="L74" s="12"/>
      <c r="M74" s="12"/>
      <c r="N74" s="12"/>
      <c r="O74" s="167"/>
      <c r="P74" s="167"/>
      <c r="Q74" s="167"/>
      <c r="R74" s="167"/>
      <c r="S74" s="167"/>
      <c r="T74" s="167"/>
      <c r="U74" s="167"/>
      <c r="V74" s="167"/>
      <c r="W74" s="167"/>
      <c r="X74" s="167"/>
    </row>
    <row r="75" spans="5:24" x14ac:dyDescent="0.25">
      <c r="L75" s="12"/>
      <c r="M75" s="12"/>
      <c r="N75" s="12"/>
      <c r="O75" s="167"/>
      <c r="P75" s="167"/>
      <c r="Q75" s="167"/>
      <c r="R75" s="167"/>
      <c r="S75" s="167"/>
      <c r="T75" s="167"/>
      <c r="U75" s="167"/>
      <c r="V75" s="167"/>
      <c r="W75" s="167"/>
      <c r="X75" s="167"/>
    </row>
    <row r="76" spans="5:24" ht="15.75" thickBot="1" x14ac:dyDescent="0.3"/>
    <row r="77" spans="5:24" ht="16.5" thickBot="1" x14ac:dyDescent="0.3">
      <c r="L77" s="241" t="s">
        <v>80</v>
      </c>
      <c r="M77" s="241"/>
      <c r="N77" s="242"/>
      <c r="O77" s="254" t="s">
        <v>39</v>
      </c>
      <c r="P77" s="255"/>
      <c r="Q77" s="255"/>
      <c r="R77" s="255"/>
      <c r="S77" s="255"/>
      <c r="T77" s="256"/>
      <c r="U77" s="257" t="s">
        <v>38</v>
      </c>
      <c r="V77" s="258"/>
      <c r="W77" s="258"/>
      <c r="X77" s="259"/>
    </row>
    <row r="78" spans="5:24" x14ac:dyDescent="0.25">
      <c r="L78" s="241"/>
      <c r="M78" s="241"/>
      <c r="N78" s="242"/>
      <c r="O78" s="260">
        <v>2020</v>
      </c>
      <c r="P78" s="261"/>
      <c r="Q78" s="262">
        <v>2021</v>
      </c>
      <c r="R78" s="263"/>
      <c r="S78" s="260" t="s">
        <v>72</v>
      </c>
      <c r="T78" s="261"/>
      <c r="U78" s="264" t="s">
        <v>73</v>
      </c>
      <c r="V78" s="265"/>
      <c r="W78" s="262">
        <v>2023</v>
      </c>
      <c r="X78" s="263"/>
    </row>
    <row r="79" spans="5:24" x14ac:dyDescent="0.25">
      <c r="L79" s="241"/>
      <c r="M79" s="241"/>
      <c r="N79" s="242"/>
      <c r="O79" s="160" t="s">
        <v>0</v>
      </c>
      <c r="P79" s="161" t="s">
        <v>7</v>
      </c>
      <c r="Q79" s="160" t="s">
        <v>0</v>
      </c>
      <c r="R79" s="161" t="s">
        <v>7</v>
      </c>
      <c r="S79" s="160" t="s">
        <v>0</v>
      </c>
      <c r="T79" s="161" t="s">
        <v>7</v>
      </c>
      <c r="U79" s="160" t="s">
        <v>0</v>
      </c>
      <c r="V79" s="161" t="s">
        <v>7</v>
      </c>
      <c r="W79" s="160" t="s">
        <v>0</v>
      </c>
      <c r="X79" s="161" t="s">
        <v>7</v>
      </c>
    </row>
    <row r="80" spans="5:24" x14ac:dyDescent="0.25">
      <c r="L80" s="243" t="s">
        <v>75</v>
      </c>
      <c r="M80" s="243"/>
      <c r="N80" s="244"/>
      <c r="O80" s="162">
        <f>COUNTIFS($F$4:$F$23,"&gt;=1/1/2019",$F$4:$F$23,"&lt;=12/31/2019")</f>
        <v>1</v>
      </c>
      <c r="P80" s="162">
        <f t="shared" ref="P80:X80" si="29">COUNTIFS($F$4:$F$23,"&gt;=1/1/2019",$F$4:$F$23,"&lt;=12/31/2019")</f>
        <v>1</v>
      </c>
      <c r="Q80" s="162">
        <f t="shared" si="29"/>
        <v>1</v>
      </c>
      <c r="R80" s="162">
        <f t="shared" si="29"/>
        <v>1</v>
      </c>
      <c r="S80" s="162">
        <f t="shared" si="29"/>
        <v>1</v>
      </c>
      <c r="T80" s="162">
        <f t="shared" si="29"/>
        <v>1</v>
      </c>
      <c r="U80" s="162">
        <f t="shared" si="29"/>
        <v>1</v>
      </c>
      <c r="V80" s="162">
        <f t="shared" si="29"/>
        <v>1</v>
      </c>
      <c r="W80" s="162">
        <f t="shared" si="29"/>
        <v>1</v>
      </c>
      <c r="X80" s="162">
        <f t="shared" si="29"/>
        <v>1</v>
      </c>
    </row>
    <row r="81" spans="12:24" x14ac:dyDescent="0.25">
      <c r="L81" s="243" t="s">
        <v>74</v>
      </c>
      <c r="M81" s="243"/>
      <c r="N81" s="244"/>
      <c r="O81" s="163">
        <f>COUNTIFS($F$4:$F$23,"&gt;=1/1/2020",$F$4:$F$23,"&lt;=12/31/2020")</f>
        <v>9</v>
      </c>
      <c r="P81" s="163">
        <f t="shared" ref="P81:X81" si="30">COUNTIFS($F$4:$F$23,"&gt;=1/1/2020",$F$4:$F$23,"&lt;=12/31/2020")</f>
        <v>9</v>
      </c>
      <c r="Q81" s="163">
        <f t="shared" si="30"/>
        <v>9</v>
      </c>
      <c r="R81" s="163">
        <f t="shared" si="30"/>
        <v>9</v>
      </c>
      <c r="S81" s="163">
        <f t="shared" si="30"/>
        <v>9</v>
      </c>
      <c r="T81" s="163">
        <f t="shared" si="30"/>
        <v>9</v>
      </c>
      <c r="U81" s="163">
        <f t="shared" si="30"/>
        <v>9</v>
      </c>
      <c r="V81" s="163">
        <f t="shared" si="30"/>
        <v>9</v>
      </c>
      <c r="W81" s="163">
        <f t="shared" si="30"/>
        <v>9</v>
      </c>
      <c r="X81" s="163">
        <f t="shared" si="30"/>
        <v>9</v>
      </c>
    </row>
    <row r="82" spans="12:24" x14ac:dyDescent="0.25">
      <c r="L82" s="243" t="s">
        <v>76</v>
      </c>
      <c r="M82" s="243"/>
      <c r="N82" s="244"/>
      <c r="O82" s="163">
        <f>COUNTIFS($F$4:$F$23,"&gt;=1/1/2021",$F$4:$F$23,"&lt;=12/31/2021")</f>
        <v>9</v>
      </c>
      <c r="P82" s="163">
        <f t="shared" ref="P82:X82" si="31">COUNTIFS($F$4:$F$23,"&gt;=1/1/2021",$F$4:$F$23,"&lt;=12/31/2021")</f>
        <v>9</v>
      </c>
      <c r="Q82" s="163">
        <f t="shared" si="31"/>
        <v>9</v>
      </c>
      <c r="R82" s="163">
        <f t="shared" si="31"/>
        <v>9</v>
      </c>
      <c r="S82" s="163">
        <f t="shared" si="31"/>
        <v>9</v>
      </c>
      <c r="T82" s="163">
        <f t="shared" si="31"/>
        <v>9</v>
      </c>
      <c r="U82" s="163">
        <f t="shared" si="31"/>
        <v>9</v>
      </c>
      <c r="V82" s="163">
        <f t="shared" si="31"/>
        <v>9</v>
      </c>
      <c r="W82" s="163">
        <f t="shared" si="31"/>
        <v>9</v>
      </c>
      <c r="X82" s="163">
        <f t="shared" si="31"/>
        <v>9</v>
      </c>
    </row>
    <row r="83" spans="12:24" x14ac:dyDescent="0.25">
      <c r="L83" s="243" t="s">
        <v>77</v>
      </c>
      <c r="M83" s="243"/>
      <c r="N83" s="244"/>
      <c r="O83" s="163">
        <f>COUNTIFS($F$4:$F$23,"&gt;=1/1/2022",$F$4:$F$23,"&lt;=3/31/2022")</f>
        <v>1</v>
      </c>
      <c r="P83" s="163">
        <f t="shared" ref="P83:X83" si="32">COUNTIFS($F$4:$F$23,"&gt;=1/1/2022",$F$4:$F$23,"&lt;=3/31/2022")</f>
        <v>1</v>
      </c>
      <c r="Q83" s="163">
        <f t="shared" si="32"/>
        <v>1</v>
      </c>
      <c r="R83" s="163">
        <f t="shared" si="32"/>
        <v>1</v>
      </c>
      <c r="S83" s="163">
        <f t="shared" si="32"/>
        <v>1</v>
      </c>
      <c r="T83" s="163">
        <f t="shared" si="32"/>
        <v>1</v>
      </c>
      <c r="U83" s="163">
        <f t="shared" si="32"/>
        <v>1</v>
      </c>
      <c r="V83" s="163">
        <f t="shared" si="32"/>
        <v>1</v>
      </c>
      <c r="W83" s="163">
        <f t="shared" si="32"/>
        <v>1</v>
      </c>
      <c r="X83" s="163">
        <f t="shared" si="32"/>
        <v>1</v>
      </c>
    </row>
    <row r="84" spans="12:24" x14ac:dyDescent="0.25">
      <c r="L84" s="243" t="s">
        <v>78</v>
      </c>
      <c r="M84" s="243"/>
      <c r="N84" s="244"/>
      <c r="O84" s="163">
        <f>COUNTIFS($F$4:$F$23,"&gt;=4/1/2022",$F$4:$F$23,"&lt;=12/31/2022")</f>
        <v>0</v>
      </c>
      <c r="P84" s="163">
        <f t="shared" ref="P84:X84" si="33">COUNTIFS($F$4:$F$23,"&gt;=4/1/2022",$F$4:$F$23,"&lt;=12/31/2022")</f>
        <v>0</v>
      </c>
      <c r="Q84" s="163">
        <f t="shared" si="33"/>
        <v>0</v>
      </c>
      <c r="R84" s="163">
        <f t="shared" si="33"/>
        <v>0</v>
      </c>
      <c r="S84" s="163">
        <f t="shared" si="33"/>
        <v>0</v>
      </c>
      <c r="T84" s="163">
        <f t="shared" si="33"/>
        <v>0</v>
      </c>
      <c r="U84" s="163">
        <f t="shared" si="33"/>
        <v>0</v>
      </c>
      <c r="V84" s="163">
        <f t="shared" si="33"/>
        <v>0</v>
      </c>
      <c r="W84" s="163">
        <f t="shared" si="33"/>
        <v>0</v>
      </c>
      <c r="X84" s="163">
        <f t="shared" si="33"/>
        <v>0</v>
      </c>
    </row>
    <row r="85" spans="12:24" ht="15.75" thickBot="1" x14ac:dyDescent="0.3">
      <c r="L85" s="243" t="s">
        <v>79</v>
      </c>
      <c r="M85" s="243"/>
      <c r="N85" s="244"/>
      <c r="O85" s="164">
        <f>COUNTIFS($F$4:$F$23,"&gt;=4/1/2023",$F$4:$F$23,"&lt;=12/31/2100")</f>
        <v>0</v>
      </c>
      <c r="P85" s="164">
        <f t="shared" ref="P85:X85" si="34">COUNTIFS($F$4:$F$23,"&gt;=4/1/2023",$F$4:$F$23,"&lt;=12/31/2100")</f>
        <v>0</v>
      </c>
      <c r="Q85" s="164">
        <f t="shared" si="34"/>
        <v>0</v>
      </c>
      <c r="R85" s="164">
        <f t="shared" si="34"/>
        <v>0</v>
      </c>
      <c r="S85" s="164">
        <f t="shared" si="34"/>
        <v>0</v>
      </c>
      <c r="T85" s="164">
        <f t="shared" si="34"/>
        <v>0</v>
      </c>
      <c r="U85" s="164">
        <f t="shared" si="34"/>
        <v>0</v>
      </c>
      <c r="V85" s="164">
        <f t="shared" si="34"/>
        <v>0</v>
      </c>
      <c r="W85" s="164">
        <f t="shared" si="34"/>
        <v>0</v>
      </c>
      <c r="X85" s="164">
        <f t="shared" si="34"/>
        <v>0</v>
      </c>
    </row>
    <row r="86" spans="12:24" ht="15.75" thickTop="1" x14ac:dyDescent="0.25">
      <c r="L86" s="165"/>
      <c r="M86" s="165"/>
      <c r="N86" s="165"/>
      <c r="O86" s="166">
        <f>SUM(O80:O85)</f>
        <v>20</v>
      </c>
      <c r="P86" s="166">
        <f t="shared" ref="P86:X86" si="35">SUM(P80:P85)</f>
        <v>20</v>
      </c>
      <c r="Q86" s="166">
        <f t="shared" si="35"/>
        <v>20</v>
      </c>
      <c r="R86" s="166">
        <f t="shared" si="35"/>
        <v>20</v>
      </c>
      <c r="S86" s="166">
        <f t="shared" si="35"/>
        <v>20</v>
      </c>
      <c r="T86" s="166">
        <f t="shared" si="35"/>
        <v>20</v>
      </c>
      <c r="U86" s="166">
        <f t="shared" si="35"/>
        <v>20</v>
      </c>
      <c r="V86" s="166">
        <f t="shared" si="35"/>
        <v>20</v>
      </c>
      <c r="W86" s="166">
        <f t="shared" si="35"/>
        <v>20</v>
      </c>
      <c r="X86" s="166">
        <f t="shared" si="35"/>
        <v>20</v>
      </c>
    </row>
  </sheetData>
  <mergeCells count="66">
    <mergeCell ref="L82:N82"/>
    <mergeCell ref="L83:N83"/>
    <mergeCell ref="L84:N84"/>
    <mergeCell ref="L85:N85"/>
    <mergeCell ref="L71:N71"/>
    <mergeCell ref="O77:T77"/>
    <mergeCell ref="U77:X77"/>
    <mergeCell ref="O78:P78"/>
    <mergeCell ref="Q78:R78"/>
    <mergeCell ref="S78:T78"/>
    <mergeCell ref="U78:V78"/>
    <mergeCell ref="W78:X78"/>
    <mergeCell ref="L62:N64"/>
    <mergeCell ref="L77:N79"/>
    <mergeCell ref="L80:N80"/>
    <mergeCell ref="L81:N81"/>
    <mergeCell ref="L65:N65"/>
    <mergeCell ref="L66:N66"/>
    <mergeCell ref="L67:N67"/>
    <mergeCell ref="L68:N68"/>
    <mergeCell ref="L69:N69"/>
    <mergeCell ref="L70:N70"/>
    <mergeCell ref="O62:T62"/>
    <mergeCell ref="U62:X62"/>
    <mergeCell ref="O63:P63"/>
    <mergeCell ref="Q63:R63"/>
    <mergeCell ref="S63:T63"/>
    <mergeCell ref="U63:V63"/>
    <mergeCell ref="W63:X63"/>
    <mergeCell ref="A24:F24"/>
    <mergeCell ref="O31:T31"/>
    <mergeCell ref="U31:X31"/>
    <mergeCell ref="O32:P32"/>
    <mergeCell ref="Q32:R32"/>
    <mergeCell ref="S32:T32"/>
    <mergeCell ref="U32:V32"/>
    <mergeCell ref="W32:X32"/>
    <mergeCell ref="A7:A16"/>
    <mergeCell ref="B7:B15"/>
    <mergeCell ref="A17:A21"/>
    <mergeCell ref="B17:B21"/>
    <mergeCell ref="A22:A23"/>
    <mergeCell ref="B22:B23"/>
    <mergeCell ref="A4:A6"/>
    <mergeCell ref="B4:B6"/>
    <mergeCell ref="I2:I3"/>
    <mergeCell ref="J2:J3"/>
    <mergeCell ref="K2:K3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1:T1"/>
    <mergeCell ref="U1:X1"/>
    <mergeCell ref="O2:P2"/>
    <mergeCell ref="Q2:R2"/>
    <mergeCell ref="S2:T2"/>
    <mergeCell ref="U2:V2"/>
    <mergeCell ref="W2:X2"/>
  </mergeCells>
  <pageMargins left="0.7" right="0.7" top="0.75" bottom="0.75" header="0.3" footer="0.3"/>
  <pageSetup scale="57" orientation="landscape" r:id="rId1"/>
  <rowBreaks count="1" manualBreakCount="1">
    <brk id="55" max="16383" man="1"/>
  </rowBreaks>
  <colBreaks count="1" manualBreakCount="1">
    <brk id="14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topLeftCell="F1" zoomScale="85" zoomScaleNormal="85" workbookViewId="0">
      <pane ySplit="3" topLeftCell="A4" activePane="bottomLeft" state="frozen"/>
      <selection pane="bottomLeft" activeCell="AA28" sqref="AA28"/>
    </sheetView>
  </sheetViews>
  <sheetFormatPr defaultRowHeight="15" x14ac:dyDescent="0.25"/>
  <cols>
    <col min="1" max="1" width="13.42578125" customWidth="1"/>
    <col min="2" max="2" width="22.140625" customWidth="1"/>
    <col min="3" max="3" width="7.85546875" customWidth="1"/>
    <col min="4" max="4" width="27.5703125" customWidth="1"/>
    <col min="5" max="5" width="12.5703125" style="24" customWidth="1"/>
    <col min="6" max="6" width="17" customWidth="1"/>
    <col min="7" max="7" width="12.5703125" customWidth="1"/>
    <col min="8" max="9" width="13" customWidth="1"/>
    <col min="10" max="10" width="12.140625" customWidth="1"/>
    <col min="11" max="11" width="11.5703125" bestFit="1" customWidth="1"/>
    <col min="12" max="12" width="11.85546875" customWidth="1"/>
    <col min="13" max="13" width="12" customWidth="1"/>
    <col min="14" max="14" width="11.42578125" customWidth="1"/>
    <col min="15" max="15" width="12" customWidth="1"/>
    <col min="16" max="16" width="11.5703125" bestFit="1" customWidth="1"/>
    <col min="17" max="18" width="11.5703125" customWidth="1"/>
    <col min="19" max="20" width="11.5703125" bestFit="1" customWidth="1"/>
    <col min="21" max="21" width="12.85546875" customWidth="1"/>
    <col min="22" max="22" width="11.5703125" bestFit="1" customWidth="1"/>
    <col min="24" max="24" width="11.5703125" bestFit="1" customWidth="1"/>
  </cols>
  <sheetData>
    <row r="1" spans="1:25" ht="25.5" customHeight="1" thickBot="1" x14ac:dyDescent="0.3">
      <c r="A1" s="50" t="s">
        <v>49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27"/>
      <c r="O1" s="196" t="s">
        <v>39</v>
      </c>
      <c r="P1" s="197"/>
      <c r="Q1" s="197"/>
      <c r="R1" s="197"/>
      <c r="S1" s="197"/>
      <c r="T1" s="198"/>
      <c r="U1" s="199" t="s">
        <v>38</v>
      </c>
      <c r="V1" s="200"/>
      <c r="W1" s="200"/>
      <c r="X1" s="201"/>
    </row>
    <row r="2" spans="1:25" ht="17.25" customHeight="1" x14ac:dyDescent="0.25">
      <c r="A2" s="213" t="s">
        <v>5</v>
      </c>
      <c r="B2" s="215" t="s">
        <v>1</v>
      </c>
      <c r="C2" s="192" t="s">
        <v>71</v>
      </c>
      <c r="D2" s="215" t="s">
        <v>70</v>
      </c>
      <c r="E2" s="192" t="s">
        <v>24</v>
      </c>
      <c r="F2" s="215" t="s">
        <v>2</v>
      </c>
      <c r="G2" s="217" t="s">
        <v>30</v>
      </c>
      <c r="H2" s="192" t="s">
        <v>26</v>
      </c>
      <c r="I2" s="192" t="s">
        <v>27</v>
      </c>
      <c r="J2" s="194" t="s">
        <v>28</v>
      </c>
      <c r="K2" s="192" t="s">
        <v>45</v>
      </c>
      <c r="L2" s="192" t="s">
        <v>50</v>
      </c>
      <c r="M2" s="192" t="s">
        <v>51</v>
      </c>
      <c r="N2" s="194" t="s">
        <v>52</v>
      </c>
      <c r="O2" s="202">
        <v>2020</v>
      </c>
      <c r="P2" s="203"/>
      <c r="Q2" s="204">
        <v>2021</v>
      </c>
      <c r="R2" s="205"/>
      <c r="S2" s="202" t="s">
        <v>72</v>
      </c>
      <c r="T2" s="203"/>
      <c r="U2" s="206" t="s">
        <v>73</v>
      </c>
      <c r="V2" s="207"/>
      <c r="W2" s="204">
        <v>2023</v>
      </c>
      <c r="X2" s="205"/>
    </row>
    <row r="3" spans="1:25" s="1" customFormat="1" ht="17.25" customHeight="1" thickBot="1" x14ac:dyDescent="0.3">
      <c r="A3" s="214"/>
      <c r="B3" s="216"/>
      <c r="C3" s="193"/>
      <c r="D3" s="216"/>
      <c r="E3" s="212"/>
      <c r="F3" s="216"/>
      <c r="G3" s="218"/>
      <c r="H3" s="193"/>
      <c r="I3" s="193"/>
      <c r="J3" s="195"/>
      <c r="K3" s="212"/>
      <c r="L3" s="193"/>
      <c r="M3" s="193"/>
      <c r="N3" s="195"/>
      <c r="O3" s="7" t="s">
        <v>0</v>
      </c>
      <c r="P3" s="8" t="s">
        <v>7</v>
      </c>
      <c r="Q3" s="7" t="s">
        <v>0</v>
      </c>
      <c r="R3" s="8" t="s">
        <v>7</v>
      </c>
      <c r="S3" s="7" t="s">
        <v>0</v>
      </c>
      <c r="T3" s="8" t="s">
        <v>7</v>
      </c>
      <c r="U3" s="7" t="s">
        <v>0</v>
      </c>
      <c r="V3" s="8" t="s">
        <v>7</v>
      </c>
      <c r="W3" s="7" t="s">
        <v>0</v>
      </c>
      <c r="X3" s="8" t="s">
        <v>7</v>
      </c>
      <c r="Y3" s="59"/>
    </row>
    <row r="4" spans="1:25" s="11" customFormat="1" ht="17.25" customHeight="1" x14ac:dyDescent="0.25">
      <c r="A4" s="208" t="s">
        <v>6</v>
      </c>
      <c r="B4" s="210" t="s">
        <v>4</v>
      </c>
      <c r="C4" s="149">
        <v>1</v>
      </c>
      <c r="D4" s="9" t="s">
        <v>40</v>
      </c>
      <c r="E4" s="22">
        <v>11</v>
      </c>
      <c r="F4" s="10">
        <v>43466</v>
      </c>
      <c r="G4" s="19">
        <v>123000</v>
      </c>
      <c r="H4" s="14">
        <f>+G4*(1+Assumption!$D$31)</f>
        <v>126074.99999999999</v>
      </c>
      <c r="I4" s="14">
        <f>+H4*(1+Assumption!$D$31)</f>
        <v>129226.87499999997</v>
      </c>
      <c r="J4" s="14">
        <f>+I4*(1+Assumption!$D$31)</f>
        <v>132457.54687499997</v>
      </c>
      <c r="K4" s="102">
        <f>+G4-(G4*Assumption!$C$39)</f>
        <v>110035.8</v>
      </c>
      <c r="L4" s="14">
        <f>+K4*(1+Assumption!$D$31)</f>
        <v>112786.69499999999</v>
      </c>
      <c r="M4" s="14">
        <f>+L4*(1+Assumption!$D$31)</f>
        <v>115606.36237499998</v>
      </c>
      <c r="N4" s="14">
        <f>+M4*(1+Assumption!$D$31)</f>
        <v>118496.52143437497</v>
      </c>
      <c r="O4" s="35">
        <f t="shared" ref="O4:O23" si="0">$G4*(O34/12)*P34</f>
        <v>92250</v>
      </c>
      <c r="P4" s="35">
        <f t="shared" ref="P4:P23" si="1">$G4*(O34/12)*(1-P34)</f>
        <v>30750</v>
      </c>
      <c r="Q4" s="35">
        <f t="shared" ref="Q4:Q23" si="2">$L4*(Q34/12)*R34</f>
        <v>84590.021249999991</v>
      </c>
      <c r="R4" s="36">
        <f t="shared" ref="R4:R23" si="3">$L4*(Q34/12)*(1-R34)</f>
        <v>28196.673749999998</v>
      </c>
      <c r="S4" s="35">
        <f t="shared" ref="S4:S23" si="4">$M4*(S34/12)*T34</f>
        <v>28901.590593749992</v>
      </c>
      <c r="T4" s="36">
        <f t="shared" ref="T4:T23" si="5">$M4*(S34/12)*(1-T34)</f>
        <v>9633.8635312499973</v>
      </c>
      <c r="U4" s="35">
        <f t="shared" ref="U4:U23" si="6">$M4*(U34/12)*V34</f>
        <v>0</v>
      </c>
      <c r="V4" s="36">
        <f t="shared" ref="V4:V23" si="7">$M4*(U34/12)*(1-V34)</f>
        <v>77070.908249999979</v>
      </c>
      <c r="W4" s="35">
        <f t="shared" ref="W4:W23" si="8">$N4*(W34/12)*X34</f>
        <v>0</v>
      </c>
      <c r="X4" s="37">
        <f t="shared" ref="X4:X23" si="9">$N4*(W34/12)*(1-X34)</f>
        <v>0</v>
      </c>
      <c r="Y4" s="95"/>
    </row>
    <row r="5" spans="1:25" s="11" customFormat="1" ht="17.25" customHeight="1" x14ac:dyDescent="0.25">
      <c r="A5" s="208"/>
      <c r="B5" s="210"/>
      <c r="C5" s="149">
        <v>2</v>
      </c>
      <c r="D5" s="69" t="s">
        <v>22</v>
      </c>
      <c r="E5" s="70">
        <v>9</v>
      </c>
      <c r="F5" s="71">
        <v>44075</v>
      </c>
      <c r="G5" s="72">
        <v>75000</v>
      </c>
      <c r="H5" s="13">
        <f>+G5*(1+Assumption!$D$31)</f>
        <v>76875</v>
      </c>
      <c r="I5" s="13">
        <f>+H5*(1+Assumption!$D$31)</f>
        <v>78796.875</v>
      </c>
      <c r="J5" s="13">
        <f>+I5*(1+Assumption!$D$31)</f>
        <v>80766.796875</v>
      </c>
      <c r="K5" s="103">
        <f>+G5-(G5*Assumption!$C$39)</f>
        <v>67095</v>
      </c>
      <c r="L5" s="13">
        <f>+K5*(1+Assumption!$D$31)</f>
        <v>68772.375</v>
      </c>
      <c r="M5" s="13">
        <f>+L5*(1+Assumption!$D$31)</f>
        <v>70491.684374999997</v>
      </c>
      <c r="N5" s="13">
        <f>+M5*(1+Assumption!$D$31)</f>
        <v>72253.976484374987</v>
      </c>
      <c r="O5" s="73">
        <f t="shared" si="0"/>
        <v>0</v>
      </c>
      <c r="P5" s="73">
        <f t="shared" si="1"/>
        <v>25000</v>
      </c>
      <c r="Q5" s="73">
        <f t="shared" si="2"/>
        <v>0</v>
      </c>
      <c r="R5" s="74">
        <f t="shared" si="3"/>
        <v>68772.375</v>
      </c>
      <c r="S5" s="73">
        <f t="shared" si="4"/>
        <v>11748.614062499999</v>
      </c>
      <c r="T5" s="74">
        <f t="shared" si="5"/>
        <v>11748.614062499999</v>
      </c>
      <c r="U5" s="73">
        <f t="shared" si="6"/>
        <v>0</v>
      </c>
      <c r="V5" s="74">
        <f t="shared" si="7"/>
        <v>0</v>
      </c>
      <c r="W5" s="73">
        <f t="shared" si="8"/>
        <v>0</v>
      </c>
      <c r="X5" s="75">
        <f t="shared" si="9"/>
        <v>0</v>
      </c>
      <c r="Y5" s="95"/>
    </row>
    <row r="6" spans="1:25" ht="15.75" thickBot="1" x14ac:dyDescent="0.3">
      <c r="A6" s="209"/>
      <c r="B6" s="211"/>
      <c r="C6" s="150">
        <v>4</v>
      </c>
      <c r="D6" s="15" t="s">
        <v>3</v>
      </c>
      <c r="E6" s="21">
        <v>12</v>
      </c>
      <c r="F6" s="16">
        <v>44378</v>
      </c>
      <c r="G6" s="17">
        <v>140000</v>
      </c>
      <c r="H6" s="17">
        <f>+G6*(1+Assumption!$D$31)</f>
        <v>143500</v>
      </c>
      <c r="I6" s="17">
        <f>+H6*(1+Assumption!$D$31)</f>
        <v>147087.5</v>
      </c>
      <c r="J6" s="17">
        <f>+I6*(1+Assumption!$D$31)</f>
        <v>150764.6875</v>
      </c>
      <c r="K6" s="104">
        <f>+G6-(G6*Assumption!$C$39)</f>
        <v>125244</v>
      </c>
      <c r="L6" s="17">
        <f>+K6*(1+Assumption!$D$31)</f>
        <v>128375.09999999999</v>
      </c>
      <c r="M6" s="17">
        <f>+L6*(1+Assumption!$D$31)</f>
        <v>131584.47749999998</v>
      </c>
      <c r="N6" s="17">
        <f>+M6*(1+Assumption!$D$31)</f>
        <v>134874.08943749996</v>
      </c>
      <c r="O6" s="41">
        <f t="shared" si="0"/>
        <v>0</v>
      </c>
      <c r="P6" s="41">
        <f t="shared" si="1"/>
        <v>0</v>
      </c>
      <c r="Q6" s="41">
        <f t="shared" si="2"/>
        <v>32093.774999999998</v>
      </c>
      <c r="R6" s="42">
        <f t="shared" si="3"/>
        <v>32093.774999999998</v>
      </c>
      <c r="S6" s="41">
        <f t="shared" si="4"/>
        <v>39475.343249999998</v>
      </c>
      <c r="T6" s="42">
        <f t="shared" si="5"/>
        <v>4386.1492499999986</v>
      </c>
      <c r="U6" s="41">
        <f t="shared" si="6"/>
        <v>0</v>
      </c>
      <c r="V6" s="42">
        <f t="shared" si="7"/>
        <v>87722.984999999986</v>
      </c>
      <c r="W6" s="41">
        <f t="shared" si="8"/>
        <v>0</v>
      </c>
      <c r="X6" s="43">
        <f t="shared" si="9"/>
        <v>134874.08943749996</v>
      </c>
      <c r="Y6" s="95"/>
    </row>
    <row r="7" spans="1:25" x14ac:dyDescent="0.25">
      <c r="A7" s="219" t="s">
        <v>11</v>
      </c>
      <c r="B7" s="220" t="s">
        <v>9</v>
      </c>
      <c r="C7" s="159">
        <v>7</v>
      </c>
      <c r="D7" s="134" t="s">
        <v>25</v>
      </c>
      <c r="E7" s="135">
        <v>10</v>
      </c>
      <c r="F7" s="136">
        <v>43862</v>
      </c>
      <c r="G7" s="110">
        <f>135526+(135526*(0.03*9/12))</f>
        <v>138575.33499999999</v>
      </c>
      <c r="H7" s="110">
        <f>+G7*(1+Assumption!$D$31)</f>
        <v>142039.71837499997</v>
      </c>
      <c r="I7" s="111">
        <f>+H7*(1+Assumption!$D$31)</f>
        <v>145590.71133437497</v>
      </c>
      <c r="J7" s="111">
        <f>+I7*(1+Assumption!$D$31)</f>
        <v>149230.47911773433</v>
      </c>
      <c r="K7" s="110">
        <f>+G7-(G7*Assumption!C39)</f>
        <v>123969.494691</v>
      </c>
      <c r="L7" s="111">
        <f>+K7*(1+Assumption!$D$31)</f>
        <v>127068.73205827498</v>
      </c>
      <c r="M7" s="111">
        <f>+L7*(1+Assumption!$D$31)</f>
        <v>130245.45035973184</v>
      </c>
      <c r="N7" s="111">
        <f>+M7*(1+Assumption!$D$31)</f>
        <v>133501.58661872512</v>
      </c>
      <c r="O7" s="35">
        <f t="shared" si="0"/>
        <v>68594.790824999989</v>
      </c>
      <c r="P7" s="35">
        <f t="shared" si="1"/>
        <v>58432.599591666651</v>
      </c>
      <c r="Q7" s="35">
        <f t="shared" si="2"/>
        <v>95301.54904370624</v>
      </c>
      <c r="R7" s="36">
        <f t="shared" si="3"/>
        <v>31767.183014568745</v>
      </c>
      <c r="S7" s="35">
        <f t="shared" si="4"/>
        <v>39073.635107919552</v>
      </c>
      <c r="T7" s="36">
        <f t="shared" si="5"/>
        <v>4341.5150119910604</v>
      </c>
      <c r="U7" s="35">
        <f t="shared" si="6"/>
        <v>0</v>
      </c>
      <c r="V7" s="36">
        <f t="shared" si="7"/>
        <v>86830.300239821227</v>
      </c>
      <c r="W7" s="35">
        <f t="shared" si="8"/>
        <v>0</v>
      </c>
      <c r="X7" s="37">
        <f t="shared" si="9"/>
        <v>133501.58661872512</v>
      </c>
      <c r="Y7" s="95"/>
    </row>
    <row r="8" spans="1:25" x14ac:dyDescent="0.25">
      <c r="A8" s="208"/>
      <c r="B8" s="221"/>
      <c r="C8" s="149">
        <v>6</v>
      </c>
      <c r="D8" s="137" t="s">
        <v>10</v>
      </c>
      <c r="E8" s="138">
        <v>11</v>
      </c>
      <c r="F8" s="139">
        <v>43983</v>
      </c>
      <c r="G8" s="106">
        <v>129000</v>
      </c>
      <c r="H8" s="106">
        <f>+G8*(1+Assumption!$D$31)</f>
        <v>132225</v>
      </c>
      <c r="I8" s="106">
        <f>+H8*(1+Assumption!$D$31)</f>
        <v>135530.625</v>
      </c>
      <c r="J8" s="106">
        <f>+I8*(1+Assumption!$D$31)</f>
        <v>138918.890625</v>
      </c>
      <c r="K8" s="106">
        <f>G8-(G8*Assumption!C39)</f>
        <v>115403.4</v>
      </c>
      <c r="L8" s="106">
        <f>+K8*(1+Assumption!$D$31)</f>
        <v>118288.48499999999</v>
      </c>
      <c r="M8" s="106">
        <f>+L8*(1+Assumption!$D$31)</f>
        <v>121245.69712499998</v>
      </c>
      <c r="N8" s="106">
        <f>+M8*(1+Assumption!$D$31)</f>
        <v>124276.83955312497</v>
      </c>
      <c r="O8" s="38">
        <f t="shared" si="0"/>
        <v>11287.5</v>
      </c>
      <c r="P8" s="38">
        <f t="shared" si="1"/>
        <v>63962.5</v>
      </c>
      <c r="Q8" s="38">
        <f t="shared" si="2"/>
        <v>17743.272749999996</v>
      </c>
      <c r="R8" s="39">
        <f t="shared" si="3"/>
        <v>100545.21224999998</v>
      </c>
      <c r="S8" s="38">
        <f t="shared" si="4"/>
        <v>6062.2848562499985</v>
      </c>
      <c r="T8" s="39">
        <f t="shared" si="5"/>
        <v>34352.947518749992</v>
      </c>
      <c r="U8" s="38">
        <f t="shared" si="6"/>
        <v>0</v>
      </c>
      <c r="V8" s="39">
        <f t="shared" si="7"/>
        <v>80830.464749999985</v>
      </c>
      <c r="W8" s="38">
        <f t="shared" si="8"/>
        <v>0</v>
      </c>
      <c r="X8" s="40">
        <f t="shared" si="9"/>
        <v>124276.83955312497</v>
      </c>
      <c r="Y8" s="95"/>
    </row>
    <row r="9" spans="1:25" x14ac:dyDescent="0.25">
      <c r="A9" s="208"/>
      <c r="B9" s="221"/>
      <c r="C9" s="149">
        <v>5</v>
      </c>
      <c r="D9" s="137" t="s">
        <v>19</v>
      </c>
      <c r="E9" s="138">
        <v>12</v>
      </c>
      <c r="F9" s="139">
        <v>44378</v>
      </c>
      <c r="G9" s="106">
        <v>120000</v>
      </c>
      <c r="H9" s="106">
        <f>+G9*(1+Assumption!$D$31)</f>
        <v>122999.99999999999</v>
      </c>
      <c r="I9" s="13">
        <f>+H9*(1+Assumption!$D$31)</f>
        <v>126074.99999999997</v>
      </c>
      <c r="J9" s="13">
        <f>+I9*(1+Assumption!$D$31)</f>
        <v>129226.87499999996</v>
      </c>
      <c r="K9" s="108">
        <f>+G9-(G9*Assumption!$C$39)</f>
        <v>107352</v>
      </c>
      <c r="L9" s="13">
        <f>+K9*(1+Assumption!$D$31)</f>
        <v>110035.79999999999</v>
      </c>
      <c r="M9" s="13">
        <f>+L9*(1+Assumption!$D$31)</f>
        <v>112786.69499999998</v>
      </c>
      <c r="N9" s="13">
        <f>+M9*(1+Assumption!$D$31)</f>
        <v>115606.36237499997</v>
      </c>
      <c r="O9" s="38">
        <f t="shared" si="0"/>
        <v>0</v>
      </c>
      <c r="P9" s="38">
        <f t="shared" si="1"/>
        <v>0</v>
      </c>
      <c r="Q9" s="38">
        <f t="shared" si="2"/>
        <v>27508.949999999997</v>
      </c>
      <c r="R9" s="39">
        <f t="shared" si="3"/>
        <v>27508.949999999997</v>
      </c>
      <c r="S9" s="38">
        <f t="shared" si="4"/>
        <v>33836.008499999989</v>
      </c>
      <c r="T9" s="39">
        <f t="shared" si="5"/>
        <v>3759.5564999999979</v>
      </c>
      <c r="U9" s="38">
        <f t="shared" si="6"/>
        <v>0</v>
      </c>
      <c r="V9" s="39">
        <f t="shared" si="7"/>
        <v>75191.129999999976</v>
      </c>
      <c r="W9" s="38">
        <f t="shared" si="8"/>
        <v>0</v>
      </c>
      <c r="X9" s="40">
        <f t="shared" si="9"/>
        <v>115606.36237499997</v>
      </c>
      <c r="Y9" s="95"/>
    </row>
    <row r="10" spans="1:25" x14ac:dyDescent="0.25">
      <c r="A10" s="208"/>
      <c r="B10" s="221"/>
      <c r="C10" s="149">
        <v>7</v>
      </c>
      <c r="D10" s="137" t="s">
        <v>12</v>
      </c>
      <c r="E10" s="138">
        <v>10</v>
      </c>
      <c r="F10" s="139">
        <v>44077</v>
      </c>
      <c r="G10" s="106">
        <v>113798</v>
      </c>
      <c r="H10" s="106">
        <f>Assumption!J46</f>
        <v>117269.47374999999</v>
      </c>
      <c r="I10" s="112">
        <f>Assumption!N46</f>
        <v>125169.33515677083</v>
      </c>
      <c r="J10" s="112">
        <f>+I10*(1+Assumption!$D$31)</f>
        <v>128298.56853569009</v>
      </c>
      <c r="K10" s="106">
        <f>+G10-(G10*Assumption!$C$39)</f>
        <v>101803.6908</v>
      </c>
      <c r="L10" s="112">
        <f>+K10*(1+Assumption!$D$31)</f>
        <v>104348.78306999999</v>
      </c>
      <c r="M10" s="112">
        <f>+L10*(1+Assumption!$D$31)</f>
        <v>106957.50264674998</v>
      </c>
      <c r="N10" s="112">
        <f>+M10*(1+Assumption!$D$31)</f>
        <v>109631.44021291872</v>
      </c>
      <c r="O10" s="38">
        <f t="shared" si="0"/>
        <v>9483.1666666666661</v>
      </c>
      <c r="P10" s="38">
        <f t="shared" si="1"/>
        <v>28449.5</v>
      </c>
      <c r="Q10" s="38">
        <f t="shared" si="2"/>
        <v>20869.756613999998</v>
      </c>
      <c r="R10" s="39">
        <f t="shared" si="3"/>
        <v>83479.026455999992</v>
      </c>
      <c r="S10" s="38">
        <f t="shared" si="4"/>
        <v>32087.250794024996</v>
      </c>
      <c r="T10" s="39">
        <f t="shared" si="5"/>
        <v>3565.2500882249988</v>
      </c>
      <c r="U10" s="38">
        <f t="shared" si="6"/>
        <v>0</v>
      </c>
      <c r="V10" s="39">
        <f t="shared" si="7"/>
        <v>71305.00176449999</v>
      </c>
      <c r="W10" s="38">
        <f t="shared" si="8"/>
        <v>0</v>
      </c>
      <c r="X10" s="40">
        <f t="shared" si="9"/>
        <v>109631.44021291872</v>
      </c>
      <c r="Y10" s="95"/>
    </row>
    <row r="11" spans="1:25" x14ac:dyDescent="0.25">
      <c r="A11" s="208"/>
      <c r="B11" s="221"/>
      <c r="C11" s="149">
        <v>7</v>
      </c>
      <c r="D11" s="137" t="s">
        <v>12</v>
      </c>
      <c r="E11" s="138">
        <v>10</v>
      </c>
      <c r="F11" s="139">
        <v>44078</v>
      </c>
      <c r="G11" s="106">
        <v>113798</v>
      </c>
      <c r="H11" s="106">
        <f>Assumption!J47</f>
        <v>117269.47374999999</v>
      </c>
      <c r="I11" s="112">
        <f>Assumption!N47</f>
        <v>125169.33515677083</v>
      </c>
      <c r="J11" s="112">
        <f>+I11*(1+Assumption!$D$31)</f>
        <v>128298.56853569009</v>
      </c>
      <c r="K11" s="106">
        <f>+G11-(G11*Assumption!$C$39)</f>
        <v>101803.6908</v>
      </c>
      <c r="L11" s="112">
        <f>+K11*(1+Assumption!$D$31)</f>
        <v>104348.78306999999</v>
      </c>
      <c r="M11" s="112">
        <f>+L11*(1+Assumption!$D$31)</f>
        <v>106957.50264674998</v>
      </c>
      <c r="N11" s="112">
        <f>+M11*(1+Assumption!$D$31)</f>
        <v>109631.44021291872</v>
      </c>
      <c r="O11" s="38">
        <f t="shared" si="0"/>
        <v>9483.1666666666661</v>
      </c>
      <c r="P11" s="38">
        <f t="shared" si="1"/>
        <v>28449.5</v>
      </c>
      <c r="Q11" s="38">
        <f t="shared" si="2"/>
        <v>20869.756613999998</v>
      </c>
      <c r="R11" s="39">
        <f t="shared" si="3"/>
        <v>83479.026455999992</v>
      </c>
      <c r="S11" s="38">
        <f t="shared" si="4"/>
        <v>32087.250794024996</v>
      </c>
      <c r="T11" s="39">
        <f t="shared" si="5"/>
        <v>3565.2500882249988</v>
      </c>
      <c r="U11" s="38">
        <f t="shared" si="6"/>
        <v>0</v>
      </c>
      <c r="V11" s="39">
        <f t="shared" si="7"/>
        <v>71305.00176449999</v>
      </c>
      <c r="W11" s="38">
        <f t="shared" si="8"/>
        <v>0</v>
      </c>
      <c r="X11" s="40">
        <f t="shared" si="9"/>
        <v>109631.44021291872</v>
      </c>
      <c r="Y11" s="95"/>
    </row>
    <row r="12" spans="1:25" x14ac:dyDescent="0.25">
      <c r="A12" s="208"/>
      <c r="B12" s="221"/>
      <c r="C12" s="149">
        <v>7</v>
      </c>
      <c r="D12" s="137" t="s">
        <v>12</v>
      </c>
      <c r="E12" s="138">
        <v>10</v>
      </c>
      <c r="F12" s="139">
        <v>44197</v>
      </c>
      <c r="G12" s="106">
        <v>113798</v>
      </c>
      <c r="H12" s="106">
        <f>Assumption!J48</f>
        <v>126518.57062499999</v>
      </c>
      <c r="I12" s="112">
        <f>Assumption!N48</f>
        <v>136727.74140624999</v>
      </c>
      <c r="J12" s="112">
        <f>+I12*(1+Assumption!$D$31)</f>
        <v>140145.93494140622</v>
      </c>
      <c r="K12" s="106">
        <f>+G12-(G12*Assumption!$C$39)</f>
        <v>101803.6908</v>
      </c>
      <c r="L12" s="112">
        <f>+K12*(1+Assumption!$D$31)</f>
        <v>104348.78306999999</v>
      </c>
      <c r="M12" s="112">
        <f>+L12*(1+Assumption!$D$31)</f>
        <v>106957.50264674998</v>
      </c>
      <c r="N12" s="112">
        <f>+M12*(1+Assumption!$D$31)</f>
        <v>109631.44021291872</v>
      </c>
      <c r="O12" s="38">
        <f t="shared" si="0"/>
        <v>0</v>
      </c>
      <c r="P12" s="38">
        <f t="shared" si="1"/>
        <v>0</v>
      </c>
      <c r="Q12" s="38">
        <f t="shared" si="2"/>
        <v>20869.756613999998</v>
      </c>
      <c r="R12" s="39">
        <f t="shared" si="3"/>
        <v>83479.026455999992</v>
      </c>
      <c r="S12" s="38">
        <f t="shared" si="4"/>
        <v>32087.250794024996</v>
      </c>
      <c r="T12" s="39">
        <f t="shared" si="5"/>
        <v>3565.2500882249988</v>
      </c>
      <c r="U12" s="38">
        <f t="shared" si="6"/>
        <v>0</v>
      </c>
      <c r="V12" s="39">
        <f t="shared" si="7"/>
        <v>71305.00176449999</v>
      </c>
      <c r="W12" s="38">
        <f t="shared" si="8"/>
        <v>0</v>
      </c>
      <c r="X12" s="40">
        <f t="shared" si="9"/>
        <v>109631.44021291872</v>
      </c>
      <c r="Y12" s="95"/>
    </row>
    <row r="13" spans="1:25" x14ac:dyDescent="0.25">
      <c r="A13" s="208"/>
      <c r="B13" s="221"/>
      <c r="C13" s="149">
        <v>7</v>
      </c>
      <c r="D13" s="137" t="s">
        <v>12</v>
      </c>
      <c r="E13" s="138">
        <v>10</v>
      </c>
      <c r="F13" s="139">
        <v>44197</v>
      </c>
      <c r="G13" s="106">
        <v>113798</v>
      </c>
      <c r="H13" s="106">
        <f>Assumption!J49</f>
        <v>126518.57062499999</v>
      </c>
      <c r="I13" s="112">
        <f>Assumption!N49</f>
        <v>136727.74140624999</v>
      </c>
      <c r="J13" s="112">
        <f>+I13*(1+Assumption!$D$31)</f>
        <v>140145.93494140622</v>
      </c>
      <c r="K13" s="106">
        <f>+G13-(G13*Assumption!$C$39)</f>
        <v>101803.6908</v>
      </c>
      <c r="L13" s="112">
        <f>+K13*(1+Assumption!$D$31)</f>
        <v>104348.78306999999</v>
      </c>
      <c r="M13" s="112">
        <f>+L13*(1+Assumption!$D$31)</f>
        <v>106957.50264674998</v>
      </c>
      <c r="N13" s="112">
        <f>+M13*(1+Assumption!$D$31)</f>
        <v>109631.44021291872</v>
      </c>
      <c r="O13" s="38">
        <f t="shared" si="0"/>
        <v>0</v>
      </c>
      <c r="P13" s="38">
        <f t="shared" si="1"/>
        <v>0</v>
      </c>
      <c r="Q13" s="38">
        <f t="shared" si="2"/>
        <v>20869.756613999998</v>
      </c>
      <c r="R13" s="39">
        <f t="shared" si="3"/>
        <v>83479.026455999992</v>
      </c>
      <c r="S13" s="38">
        <f t="shared" si="4"/>
        <v>32087.250794024996</v>
      </c>
      <c r="T13" s="39">
        <f t="shared" si="5"/>
        <v>3565.2500882249988</v>
      </c>
      <c r="U13" s="38">
        <f t="shared" si="6"/>
        <v>0</v>
      </c>
      <c r="V13" s="39">
        <f t="shared" si="7"/>
        <v>71305.00176449999</v>
      </c>
      <c r="W13" s="38">
        <f t="shared" si="8"/>
        <v>0</v>
      </c>
      <c r="X13" s="40">
        <f t="shared" si="9"/>
        <v>109631.44021291872</v>
      </c>
      <c r="Y13" s="95"/>
    </row>
    <row r="14" spans="1:25" x14ac:dyDescent="0.25">
      <c r="A14" s="208"/>
      <c r="B14" s="221"/>
      <c r="C14" s="149">
        <v>7</v>
      </c>
      <c r="D14" s="137" t="s">
        <v>13</v>
      </c>
      <c r="E14" s="138">
        <v>10</v>
      </c>
      <c r="F14" s="139">
        <v>44256</v>
      </c>
      <c r="G14" s="106">
        <v>113798</v>
      </c>
      <c r="H14" s="106">
        <f>Assumption!J50</f>
        <v>100844.0625</v>
      </c>
      <c r="I14" s="112">
        <f>Assumption!N50</f>
        <v>143072.91883750001</v>
      </c>
      <c r="J14" s="112">
        <f>+I14*(1+Assumption!$D$31)</f>
        <v>146649.74180843751</v>
      </c>
      <c r="K14" s="106">
        <f>+G14-(G14*Assumption!$C$39)</f>
        <v>101803.6908</v>
      </c>
      <c r="L14" s="112">
        <f>+K14*(1+Assumption!$D$31)</f>
        <v>104348.78306999999</v>
      </c>
      <c r="M14" s="112">
        <f>+L14*(1+Assumption!$D$31)</f>
        <v>106957.50264674998</v>
      </c>
      <c r="N14" s="112">
        <f>+M14*(1+Assumption!$D$31)</f>
        <v>109631.44021291872</v>
      </c>
      <c r="O14" s="38">
        <f t="shared" si="0"/>
        <v>0</v>
      </c>
      <c r="P14" s="38">
        <f t="shared" si="1"/>
        <v>0</v>
      </c>
      <c r="Q14" s="38">
        <f t="shared" si="2"/>
        <v>17391.463845000002</v>
      </c>
      <c r="R14" s="39">
        <f t="shared" si="3"/>
        <v>69565.855380000008</v>
      </c>
      <c r="S14" s="38">
        <f t="shared" si="4"/>
        <v>32087.250794024996</v>
      </c>
      <c r="T14" s="39">
        <f t="shared" si="5"/>
        <v>3565.2500882249988</v>
      </c>
      <c r="U14" s="38">
        <f t="shared" si="6"/>
        <v>0</v>
      </c>
      <c r="V14" s="39">
        <f t="shared" si="7"/>
        <v>71305.00176449999</v>
      </c>
      <c r="W14" s="38">
        <f t="shared" si="8"/>
        <v>0</v>
      </c>
      <c r="X14" s="40">
        <f t="shared" si="9"/>
        <v>109631.44021291872</v>
      </c>
      <c r="Y14" s="95"/>
    </row>
    <row r="15" spans="1:25" s="12" customFormat="1" x14ac:dyDescent="0.25">
      <c r="A15" s="208"/>
      <c r="B15" s="221"/>
      <c r="C15" s="149">
        <v>8</v>
      </c>
      <c r="D15" s="137" t="s">
        <v>21</v>
      </c>
      <c r="E15" s="138">
        <v>9</v>
      </c>
      <c r="F15" s="139">
        <v>44621</v>
      </c>
      <c r="G15" s="106">
        <v>80000</v>
      </c>
      <c r="H15" s="117">
        <f>+G15*(1+Assumption!$D$31)</f>
        <v>82000</v>
      </c>
      <c r="I15" s="117">
        <f>+H15*(1+Assumption!$D$31)</f>
        <v>84049.999999999985</v>
      </c>
      <c r="J15" s="117">
        <f>+I15*(1+Assumption!$D$31)</f>
        <v>86151.249999999971</v>
      </c>
      <c r="K15" s="117">
        <f>+G15-(G15*Assumption!$C$39)</f>
        <v>71568</v>
      </c>
      <c r="L15" s="117">
        <f>+K15*(1+Assumption!$D$31)</f>
        <v>73357.2</v>
      </c>
      <c r="M15" s="117">
        <f>+L15*(1+Assumption!$D$31)</f>
        <v>75191.12999999999</v>
      </c>
      <c r="N15" s="117">
        <f>+M15*(1+Assumption!$D$31)</f>
        <v>77070.908249999979</v>
      </c>
      <c r="O15" s="118">
        <f t="shared" si="0"/>
        <v>0</v>
      </c>
      <c r="P15" s="118">
        <f t="shared" si="1"/>
        <v>0</v>
      </c>
      <c r="Q15" s="118">
        <f t="shared" si="2"/>
        <v>0</v>
      </c>
      <c r="R15" s="119">
        <f t="shared" si="3"/>
        <v>0</v>
      </c>
      <c r="S15" s="118">
        <f t="shared" si="4"/>
        <v>0</v>
      </c>
      <c r="T15" s="119">
        <f t="shared" si="5"/>
        <v>12531.854999999998</v>
      </c>
      <c r="U15" s="118">
        <f t="shared" si="6"/>
        <v>0</v>
      </c>
      <c r="V15" s="119">
        <f t="shared" si="7"/>
        <v>50127.419999999991</v>
      </c>
      <c r="W15" s="118">
        <f t="shared" si="8"/>
        <v>0</v>
      </c>
      <c r="X15" s="120">
        <f t="shared" si="9"/>
        <v>77070.908249999979</v>
      </c>
      <c r="Y15" s="121"/>
    </row>
    <row r="16" spans="1:25" ht="15.75" thickBot="1" x14ac:dyDescent="0.3">
      <c r="A16" s="209"/>
      <c r="B16" s="114" t="s">
        <v>56</v>
      </c>
      <c r="C16" s="146">
        <v>3</v>
      </c>
      <c r="D16" s="140" t="s">
        <v>57</v>
      </c>
      <c r="E16" s="141">
        <v>10</v>
      </c>
      <c r="F16" s="142">
        <v>43831</v>
      </c>
      <c r="G16" s="116">
        <v>100000</v>
      </c>
      <c r="H16" s="117">
        <f>+G16*(1+Assumption!$D$31)*0.3</f>
        <v>30749.999999999993</v>
      </c>
      <c r="I16" s="117">
        <f>+H16*(1+Assumption!$D$31)</f>
        <v>31518.749999999989</v>
      </c>
      <c r="J16" s="117">
        <f>+I16*(1+Assumption!$D$31)</f>
        <v>32306.718749999985</v>
      </c>
      <c r="K16" s="117">
        <f>+G16-(G16*Assumption!$C$39)</f>
        <v>89460</v>
      </c>
      <c r="L16" s="117">
        <f>+K16*(1+Assumption!$D$31)*0.3</f>
        <v>27508.949999999993</v>
      </c>
      <c r="M16" s="117">
        <f>+L16*(1+Assumption!$D$31)</f>
        <v>28196.673749999991</v>
      </c>
      <c r="N16" s="117">
        <f>+M16*(1+Assumption!$D$31)</f>
        <v>28901.590593749988</v>
      </c>
      <c r="O16" s="118">
        <f t="shared" si="0"/>
        <v>85000</v>
      </c>
      <c r="P16" s="118">
        <f t="shared" si="1"/>
        <v>15000.000000000002</v>
      </c>
      <c r="Q16" s="118">
        <f t="shared" si="2"/>
        <v>27508.949999999993</v>
      </c>
      <c r="R16" s="119">
        <f t="shared" si="3"/>
        <v>0</v>
      </c>
      <c r="S16" s="118">
        <f t="shared" si="4"/>
        <v>0</v>
      </c>
      <c r="T16" s="119">
        <f t="shared" si="5"/>
        <v>0</v>
      </c>
      <c r="U16" s="118">
        <f t="shared" si="6"/>
        <v>0</v>
      </c>
      <c r="V16" s="119">
        <f t="shared" si="7"/>
        <v>0</v>
      </c>
      <c r="W16" s="118">
        <f t="shared" si="8"/>
        <v>0</v>
      </c>
      <c r="X16" s="120">
        <f t="shared" si="9"/>
        <v>0</v>
      </c>
      <c r="Y16" s="95"/>
    </row>
    <row r="17" spans="1:26" x14ac:dyDescent="0.25">
      <c r="A17" s="222" t="s">
        <v>18</v>
      </c>
      <c r="B17" s="220" t="s">
        <v>23</v>
      </c>
      <c r="C17" s="148">
        <v>9</v>
      </c>
      <c r="D17" s="134" t="s">
        <v>14</v>
      </c>
      <c r="E17" s="135">
        <v>11</v>
      </c>
      <c r="F17" s="136">
        <v>44075</v>
      </c>
      <c r="G17" s="110">
        <v>123000</v>
      </c>
      <c r="H17" s="110">
        <f>+G17*(1+Assumption!$D$31)</f>
        <v>126074.99999999999</v>
      </c>
      <c r="I17" s="14">
        <f>+H17*(1+Assumption!$D$31)</f>
        <v>129226.87499999997</v>
      </c>
      <c r="J17" s="14">
        <f>+I17*(1+Assumption!$D$31)</f>
        <v>132457.54687499997</v>
      </c>
      <c r="K17" s="102">
        <f>+G17-(G17*Assumption!$C$39)</f>
        <v>110035.8</v>
      </c>
      <c r="L17" s="14">
        <f>+K17*(1+Assumption!$D$31)</f>
        <v>112786.69499999999</v>
      </c>
      <c r="M17" s="14">
        <f>+L17*(1+Assumption!$D$31)</f>
        <v>115606.36237499998</v>
      </c>
      <c r="N17" s="14">
        <f>+M17*(1+Assumption!$D$31)</f>
        <v>118496.52143437497</v>
      </c>
      <c r="O17" s="35">
        <f t="shared" si="0"/>
        <v>20500</v>
      </c>
      <c r="P17" s="35">
        <f t="shared" si="1"/>
        <v>20500</v>
      </c>
      <c r="Q17" s="35">
        <f t="shared" si="2"/>
        <v>56393.347499999996</v>
      </c>
      <c r="R17" s="36">
        <f t="shared" si="3"/>
        <v>56393.347499999996</v>
      </c>
      <c r="S17" s="35">
        <f t="shared" si="4"/>
        <v>34681.908712499993</v>
      </c>
      <c r="T17" s="36">
        <f t="shared" si="5"/>
        <v>3853.5454124999983</v>
      </c>
      <c r="U17" s="35">
        <f t="shared" si="6"/>
        <v>0</v>
      </c>
      <c r="V17" s="36">
        <f t="shared" si="7"/>
        <v>77070.908249999979</v>
      </c>
      <c r="W17" s="35">
        <f t="shared" si="8"/>
        <v>0</v>
      </c>
      <c r="X17" s="37">
        <f t="shared" si="9"/>
        <v>118496.52143437497</v>
      </c>
      <c r="Y17" s="95"/>
    </row>
    <row r="18" spans="1:26" x14ac:dyDescent="0.25">
      <c r="A18" s="223"/>
      <c r="B18" s="221"/>
      <c r="C18" s="149">
        <v>11</v>
      </c>
      <c r="D18" s="137" t="s">
        <v>15</v>
      </c>
      <c r="E18" s="138">
        <v>10</v>
      </c>
      <c r="F18" s="139">
        <v>44287</v>
      </c>
      <c r="G18" s="106">
        <v>107000</v>
      </c>
      <c r="H18" s="106">
        <f>+G18*(1+Assumption!$D$31)</f>
        <v>109674.99999999999</v>
      </c>
      <c r="I18" s="13">
        <f>+H18*(1+Assumption!$D$31)</f>
        <v>112416.87499999997</v>
      </c>
      <c r="J18" s="13">
        <f>+I18*(1+Assumption!$D$31)</f>
        <v>115227.29687499996</v>
      </c>
      <c r="K18" s="103">
        <f>+G18-(G18*Assumption!$C$39)</f>
        <v>95722.2</v>
      </c>
      <c r="L18" s="13">
        <f>+K18*(1+Assumption!$D$31)</f>
        <v>98115.25499999999</v>
      </c>
      <c r="M18" s="13">
        <f>+L18*(1+Assumption!$D$31)</f>
        <v>100568.13637499999</v>
      </c>
      <c r="N18" s="13">
        <f>+M18*(1+Assumption!$D$31)</f>
        <v>103082.33978437498</v>
      </c>
      <c r="O18" s="38">
        <f t="shared" si="0"/>
        <v>0</v>
      </c>
      <c r="P18" s="38">
        <f t="shared" si="1"/>
        <v>0</v>
      </c>
      <c r="Q18" s="38">
        <f t="shared" si="2"/>
        <v>36793.220624999994</v>
      </c>
      <c r="R18" s="39">
        <f t="shared" si="3"/>
        <v>36793.220624999994</v>
      </c>
      <c r="S18" s="38">
        <f t="shared" si="4"/>
        <v>30170.440912499991</v>
      </c>
      <c r="T18" s="39">
        <f t="shared" si="5"/>
        <v>3352.2712124999985</v>
      </c>
      <c r="U18" s="38">
        <f t="shared" si="6"/>
        <v>0</v>
      </c>
      <c r="V18" s="39">
        <f t="shared" si="7"/>
        <v>67045.424249999982</v>
      </c>
      <c r="W18" s="38">
        <f t="shared" si="8"/>
        <v>0</v>
      </c>
      <c r="X18" s="40">
        <f t="shared" si="9"/>
        <v>103082.33978437498</v>
      </c>
      <c r="Y18" s="95"/>
    </row>
    <row r="19" spans="1:26" x14ac:dyDescent="0.25">
      <c r="A19" s="223"/>
      <c r="B19" s="221"/>
      <c r="C19" s="149">
        <v>10</v>
      </c>
      <c r="D19" s="137" t="s">
        <v>16</v>
      </c>
      <c r="E19" s="138">
        <v>10</v>
      </c>
      <c r="F19" s="139">
        <v>44287</v>
      </c>
      <c r="G19" s="106">
        <v>107000</v>
      </c>
      <c r="H19" s="106">
        <f>+G19*(1+Assumption!$D$31)</f>
        <v>109674.99999999999</v>
      </c>
      <c r="I19" s="13">
        <f>+H19*(1+Assumption!$D$31)</f>
        <v>112416.87499999997</v>
      </c>
      <c r="J19" s="13">
        <f>+I19*(1+Assumption!$D$31)</f>
        <v>115227.29687499996</v>
      </c>
      <c r="K19" s="103">
        <f>+G19-(G19*Assumption!$C$39)</f>
        <v>95722.2</v>
      </c>
      <c r="L19" s="13">
        <f>+K19*(1+Assumption!$D$31)</f>
        <v>98115.25499999999</v>
      </c>
      <c r="M19" s="13">
        <f>+L19*(1+Assumption!$D$31)</f>
        <v>100568.13637499999</v>
      </c>
      <c r="N19" s="13">
        <f>+M19*(1+Assumption!$D$31)</f>
        <v>103082.33978437498</v>
      </c>
      <c r="O19" s="38">
        <f t="shared" si="0"/>
        <v>0</v>
      </c>
      <c r="P19" s="38">
        <f t="shared" si="1"/>
        <v>0</v>
      </c>
      <c r="Q19" s="38">
        <f t="shared" si="2"/>
        <v>36793.220624999994</v>
      </c>
      <c r="R19" s="39">
        <f t="shared" si="3"/>
        <v>36793.220624999994</v>
      </c>
      <c r="S19" s="38">
        <f t="shared" si="4"/>
        <v>30170.440912499991</v>
      </c>
      <c r="T19" s="39">
        <f t="shared" si="5"/>
        <v>3352.2712124999985</v>
      </c>
      <c r="U19" s="38">
        <f t="shared" si="6"/>
        <v>0</v>
      </c>
      <c r="V19" s="39">
        <f t="shared" si="7"/>
        <v>67045.424249999982</v>
      </c>
      <c r="W19" s="38">
        <f t="shared" si="8"/>
        <v>0</v>
      </c>
      <c r="X19" s="40">
        <f t="shared" si="9"/>
        <v>103082.33978437498</v>
      </c>
      <c r="Y19" s="95"/>
    </row>
    <row r="20" spans="1:26" x14ac:dyDescent="0.25">
      <c r="A20" s="223"/>
      <c r="B20" s="221"/>
      <c r="C20" s="149">
        <v>10</v>
      </c>
      <c r="D20" s="137" t="s">
        <v>16</v>
      </c>
      <c r="E20" s="138">
        <v>9</v>
      </c>
      <c r="F20" s="139">
        <v>44378</v>
      </c>
      <c r="G20" s="106">
        <v>94000</v>
      </c>
      <c r="H20" s="106">
        <f>+G20*(1+Assumption!$D$31)</f>
        <v>96349.999999999985</v>
      </c>
      <c r="I20" s="13">
        <f>+H20*(1+Assumption!$D$31)</f>
        <v>98758.749999999971</v>
      </c>
      <c r="J20" s="13">
        <f>+I20*(1+Assumption!$D$31)</f>
        <v>101227.71874999996</v>
      </c>
      <c r="K20" s="103">
        <f>+G20-(G20*Assumption!$C$39)</f>
        <v>84092.4</v>
      </c>
      <c r="L20" s="13">
        <f>+K20*(1+Assumption!$D$31)</f>
        <v>86194.709999999992</v>
      </c>
      <c r="M20" s="13">
        <f>+L20*(1+Assumption!$D$31)</f>
        <v>88349.577749999982</v>
      </c>
      <c r="N20" s="13">
        <f>+M20*(1+Assumption!$D$31)</f>
        <v>90558.317193749972</v>
      </c>
      <c r="O20" s="38">
        <f t="shared" si="0"/>
        <v>0</v>
      </c>
      <c r="P20" s="38">
        <f t="shared" si="1"/>
        <v>0</v>
      </c>
      <c r="Q20" s="38">
        <f t="shared" si="2"/>
        <v>21548.677499999998</v>
      </c>
      <c r="R20" s="39">
        <f t="shared" si="3"/>
        <v>21548.677499999998</v>
      </c>
      <c r="S20" s="38">
        <f t="shared" si="4"/>
        <v>26504.873324999997</v>
      </c>
      <c r="T20" s="39">
        <f t="shared" si="5"/>
        <v>2944.9859249999986</v>
      </c>
      <c r="U20" s="38">
        <f t="shared" si="6"/>
        <v>0</v>
      </c>
      <c r="V20" s="39">
        <f t="shared" si="7"/>
        <v>58899.718499999988</v>
      </c>
      <c r="W20" s="38">
        <f t="shared" si="8"/>
        <v>0</v>
      </c>
      <c r="X20" s="40">
        <f t="shared" si="9"/>
        <v>90558.317193749972</v>
      </c>
      <c r="Y20" s="95"/>
    </row>
    <row r="21" spans="1:26" ht="15.75" thickBot="1" x14ac:dyDescent="0.3">
      <c r="A21" s="224"/>
      <c r="B21" s="225"/>
      <c r="C21" s="150">
        <v>10</v>
      </c>
      <c r="D21" s="143" t="s">
        <v>16</v>
      </c>
      <c r="E21" s="144">
        <v>9</v>
      </c>
      <c r="F21" s="145">
        <v>44378</v>
      </c>
      <c r="G21" s="107">
        <v>94000</v>
      </c>
      <c r="H21" s="107">
        <f>+G21*(1+Assumption!$D$31)</f>
        <v>96349.999999999985</v>
      </c>
      <c r="I21" s="17">
        <f>+H21*(1+Assumption!$D$31)</f>
        <v>98758.749999999971</v>
      </c>
      <c r="J21" s="17">
        <f>+I21*(1+Assumption!$D$31)</f>
        <v>101227.71874999996</v>
      </c>
      <c r="K21" s="104">
        <f>+G21-(G21*Assumption!$C$39)</f>
        <v>84092.4</v>
      </c>
      <c r="L21" s="17">
        <f>+K21*(1+Assumption!$D$31)</f>
        <v>86194.709999999992</v>
      </c>
      <c r="M21" s="17">
        <f>+L21*(1+Assumption!$D$31)</f>
        <v>88349.577749999982</v>
      </c>
      <c r="N21" s="17">
        <f>+M21*(1+Assumption!$D$31)</f>
        <v>90558.317193749972</v>
      </c>
      <c r="O21" s="41">
        <f t="shared" si="0"/>
        <v>0</v>
      </c>
      <c r="P21" s="41">
        <f t="shared" si="1"/>
        <v>0</v>
      </c>
      <c r="Q21" s="41">
        <f t="shared" si="2"/>
        <v>32323.016249999997</v>
      </c>
      <c r="R21" s="42">
        <f t="shared" si="3"/>
        <v>10774.338749999999</v>
      </c>
      <c r="S21" s="41">
        <f t="shared" si="4"/>
        <v>26504.873324999997</v>
      </c>
      <c r="T21" s="42">
        <f t="shared" si="5"/>
        <v>2944.9859249999986</v>
      </c>
      <c r="U21" s="41">
        <f t="shared" si="6"/>
        <v>0</v>
      </c>
      <c r="V21" s="42">
        <f t="shared" si="7"/>
        <v>58899.718499999988</v>
      </c>
      <c r="W21" s="41">
        <f t="shared" si="8"/>
        <v>0</v>
      </c>
      <c r="X21" s="43">
        <f t="shared" si="9"/>
        <v>90558.317193749972</v>
      </c>
      <c r="Y21" s="95"/>
    </row>
    <row r="22" spans="1:26" x14ac:dyDescent="0.25">
      <c r="A22" s="219" t="s">
        <v>17</v>
      </c>
      <c r="B22" s="226" t="s">
        <v>20</v>
      </c>
      <c r="C22" s="151">
        <v>12</v>
      </c>
      <c r="D22" s="134" t="s">
        <v>68</v>
      </c>
      <c r="E22" s="135">
        <v>10</v>
      </c>
      <c r="F22" s="136">
        <v>43983</v>
      </c>
      <c r="G22" s="110">
        <v>85000</v>
      </c>
      <c r="H22" s="110">
        <f>+G22*(1+Assumption!$D$31)</f>
        <v>87124.999999999985</v>
      </c>
      <c r="I22" s="14">
        <f>+H22*(1+Assumption!$D$31)</f>
        <v>89303.124999999971</v>
      </c>
      <c r="J22" s="14">
        <f>+I22*(1+Assumption!$D$31)</f>
        <v>91535.703124999956</v>
      </c>
      <c r="K22" s="102">
        <f>+G22-(G22*Assumption!$C$39)</f>
        <v>76041</v>
      </c>
      <c r="L22" s="14">
        <f>+K22*(1+Assumption!$D$31)</f>
        <v>77942.024999999994</v>
      </c>
      <c r="M22" s="14">
        <f>+L22*(1+Assumption!$D$31)</f>
        <v>79890.575624999983</v>
      </c>
      <c r="N22" s="14">
        <f>+M22*(1+Assumption!$D$31)</f>
        <v>81887.84001562497</v>
      </c>
      <c r="O22" s="35">
        <f t="shared" si="0"/>
        <v>39666.666666666672</v>
      </c>
      <c r="P22" s="35">
        <f t="shared" si="1"/>
        <v>9916.6666666666642</v>
      </c>
      <c r="Q22" s="35">
        <f t="shared" si="2"/>
        <v>70147.822499999995</v>
      </c>
      <c r="R22" s="36">
        <f t="shared" si="3"/>
        <v>7794.2024999999976</v>
      </c>
      <c r="S22" s="35">
        <f t="shared" si="4"/>
        <v>23967.172687499995</v>
      </c>
      <c r="T22" s="36">
        <f t="shared" si="5"/>
        <v>2663.0191874999987</v>
      </c>
      <c r="U22" s="35">
        <f t="shared" si="6"/>
        <v>0</v>
      </c>
      <c r="V22" s="36">
        <f t="shared" si="7"/>
        <v>53260.383749999986</v>
      </c>
      <c r="W22" s="35">
        <f t="shared" si="8"/>
        <v>0</v>
      </c>
      <c r="X22" s="37">
        <f t="shared" si="9"/>
        <v>81887.84001562497</v>
      </c>
      <c r="Y22" s="95"/>
      <c r="Z22" s="57"/>
    </row>
    <row r="23" spans="1:26" ht="15.75" thickBot="1" x14ac:dyDescent="0.3">
      <c r="A23" s="209"/>
      <c r="B23" s="211"/>
      <c r="C23" s="147">
        <v>13</v>
      </c>
      <c r="D23" s="143" t="s">
        <v>69</v>
      </c>
      <c r="E23" s="144">
        <v>11</v>
      </c>
      <c r="F23" s="145">
        <v>43983</v>
      </c>
      <c r="G23" s="107">
        <v>95000</v>
      </c>
      <c r="H23" s="106">
        <f>+G23*(1+Assumption!$D$31)</f>
        <v>97374.999999999985</v>
      </c>
      <c r="I23" s="13">
        <f>+H23*(1+Assumption!$D$31)</f>
        <v>99809.374999999971</v>
      </c>
      <c r="J23" s="13">
        <f>+I23*(1+Assumption!$D$31)</f>
        <v>102304.60937499996</v>
      </c>
      <c r="K23" s="103">
        <f>+G23-(G23*Assumption!$C$39)</f>
        <v>84987</v>
      </c>
      <c r="L23" s="13">
        <f>+K23*(1+Assumption!$D$31)</f>
        <v>87111.674999999988</v>
      </c>
      <c r="M23" s="13">
        <f>+L23*(1+Assumption!$D$31)</f>
        <v>89289.466874999984</v>
      </c>
      <c r="N23" s="13">
        <f>+M23*(1+Assumption!$D$31)</f>
        <v>91521.703546874982</v>
      </c>
      <c r="O23" s="41">
        <f t="shared" si="0"/>
        <v>44333.333333333343</v>
      </c>
      <c r="P23" s="41">
        <f t="shared" si="1"/>
        <v>11083.333333333332</v>
      </c>
      <c r="Q23" s="41">
        <f t="shared" si="2"/>
        <v>78400.507499999992</v>
      </c>
      <c r="R23" s="42">
        <f t="shared" si="3"/>
        <v>8711.1674999999977</v>
      </c>
      <c r="S23" s="41">
        <f t="shared" si="4"/>
        <v>26786.840062499992</v>
      </c>
      <c r="T23" s="42">
        <f t="shared" si="5"/>
        <v>2976.3155624999986</v>
      </c>
      <c r="U23" s="41">
        <f t="shared" si="6"/>
        <v>0</v>
      </c>
      <c r="V23" s="42">
        <f t="shared" si="7"/>
        <v>59526.311249999984</v>
      </c>
      <c r="W23" s="41">
        <f t="shared" si="8"/>
        <v>0</v>
      </c>
      <c r="X23" s="43">
        <f t="shared" si="9"/>
        <v>91521.703546874982</v>
      </c>
      <c r="Y23" s="95"/>
      <c r="Z23" s="57"/>
    </row>
    <row r="24" spans="1:26" ht="15.75" thickBot="1" x14ac:dyDescent="0.3">
      <c r="A24" s="227" t="s">
        <v>48</v>
      </c>
      <c r="B24" s="228"/>
      <c r="C24" s="228"/>
      <c r="D24" s="228"/>
      <c r="E24" s="228"/>
      <c r="F24" s="228"/>
      <c r="G24" s="105">
        <f t="shared" ref="G24:W24" si="10">SUM(G4:G23)</f>
        <v>2179565.335</v>
      </c>
      <c r="H24" s="105">
        <f t="shared" si="10"/>
        <v>2167509.8696249998</v>
      </c>
      <c r="I24" s="105">
        <f t="shared" si="10"/>
        <v>2285434.0332979169</v>
      </c>
      <c r="J24" s="105">
        <f t="shared" si="10"/>
        <v>2342569.8841303643</v>
      </c>
      <c r="K24" s="105">
        <f t="shared" si="10"/>
        <v>1949839.1486909997</v>
      </c>
      <c r="L24" s="105">
        <f t="shared" si="10"/>
        <v>1934397.5774082744</v>
      </c>
      <c r="M24" s="105">
        <f t="shared" si="10"/>
        <v>1982757.5168434815</v>
      </c>
      <c r="N24" s="105">
        <f t="shared" si="10"/>
        <v>2032326.4547645678</v>
      </c>
      <c r="O24" s="93">
        <f t="shared" si="10"/>
        <v>380598.62415833329</v>
      </c>
      <c r="P24" s="94">
        <f t="shared" si="10"/>
        <v>291544.09959166666</v>
      </c>
      <c r="Q24" s="93">
        <f t="shared" si="10"/>
        <v>718016.82084470626</v>
      </c>
      <c r="R24" s="94">
        <f t="shared" si="10"/>
        <v>871174.30521856854</v>
      </c>
      <c r="S24" s="93">
        <f t="shared" si="10"/>
        <v>518320.28027804446</v>
      </c>
      <c r="T24" s="94">
        <f t="shared" si="10"/>
        <v>120668.14575311603</v>
      </c>
      <c r="U24" s="93">
        <f t="shared" si="10"/>
        <v>0</v>
      </c>
      <c r="V24" s="94">
        <f t="shared" si="10"/>
        <v>1256046.1058123212</v>
      </c>
      <c r="W24" s="93">
        <f t="shared" si="10"/>
        <v>0</v>
      </c>
      <c r="X24" s="94">
        <f>SUM(X4:X23)</f>
        <v>1812674.3662520684</v>
      </c>
    </row>
    <row r="25" spans="1:26" s="46" customFormat="1" x14ac:dyDescent="0.25">
      <c r="A25" s="44"/>
      <c r="B25" s="44"/>
      <c r="C25" s="44"/>
      <c r="D25" s="44"/>
      <c r="E25" s="44"/>
      <c r="F25" s="44"/>
      <c r="G25" s="44" t="s">
        <v>43</v>
      </c>
      <c r="H25" s="44"/>
      <c r="I25" s="44"/>
      <c r="J25" s="44"/>
      <c r="K25" s="109">
        <f>Assumption!P27</f>
        <v>0.78050000000000008</v>
      </c>
      <c r="M25" s="44"/>
      <c r="O25" s="45">
        <f t="shared" ref="O25:W25" si="11">+O24*(1+$K$25)</f>
        <v>677655.85031391238</v>
      </c>
      <c r="P25" s="45">
        <f t="shared" si="11"/>
        <v>519094.2693229625</v>
      </c>
      <c r="Q25" s="45">
        <f t="shared" si="11"/>
        <v>1278428.9495139995</v>
      </c>
      <c r="R25" s="45">
        <f t="shared" si="11"/>
        <v>1551125.8504416612</v>
      </c>
      <c r="S25" s="45">
        <f t="shared" si="11"/>
        <v>922869.2590350582</v>
      </c>
      <c r="T25" s="45">
        <f t="shared" si="11"/>
        <v>214849.63351342309</v>
      </c>
      <c r="U25" s="45">
        <f t="shared" si="11"/>
        <v>0</v>
      </c>
      <c r="V25" s="45">
        <f t="shared" si="11"/>
        <v>2236390.091398838</v>
      </c>
      <c r="W25" s="45">
        <f t="shared" si="11"/>
        <v>0</v>
      </c>
      <c r="X25" s="45">
        <f>+X24*(1+$K$25)</f>
        <v>3227466.7091118079</v>
      </c>
    </row>
    <row r="26" spans="1:26" s="46" customFormat="1" x14ac:dyDescent="0.25">
      <c r="A26" s="44"/>
      <c r="B26" s="44"/>
      <c r="C26" s="44"/>
      <c r="D26" s="44"/>
      <c r="E26" s="44"/>
      <c r="F26" s="44"/>
      <c r="G26" s="44" t="s">
        <v>55</v>
      </c>
      <c r="H26" s="44"/>
      <c r="I26" s="44"/>
      <c r="J26" s="44"/>
      <c r="K26" s="109">
        <f>34.36%</f>
        <v>0.34360000000000002</v>
      </c>
      <c r="L26" s="44"/>
      <c r="M26" s="44"/>
      <c r="N26" s="100"/>
      <c r="O26" s="60"/>
      <c r="P26" s="61">
        <f>+P25*$K$26</f>
        <v>178360.79093936994</v>
      </c>
      <c r="Q26" s="60"/>
      <c r="R26" s="61">
        <f>+R25*$K$26</f>
        <v>532966.84221175476</v>
      </c>
      <c r="S26" s="60"/>
      <c r="T26" s="61">
        <f>+T25*$K$26</f>
        <v>73822.334075212173</v>
      </c>
      <c r="U26" s="60"/>
      <c r="V26" s="60"/>
      <c r="W26" s="45"/>
      <c r="X26" s="45"/>
    </row>
    <row r="27" spans="1:26" s="46" customFormat="1" x14ac:dyDescent="0.25">
      <c r="A27" s="44"/>
      <c r="B27" s="44"/>
      <c r="C27" s="44"/>
      <c r="D27" s="44"/>
      <c r="E27" s="44"/>
      <c r="F27" s="44"/>
      <c r="G27" s="44" t="s">
        <v>36</v>
      </c>
      <c r="H27" s="44"/>
      <c r="I27" s="44"/>
      <c r="J27" s="44"/>
      <c r="K27" s="44"/>
      <c r="L27" s="44"/>
      <c r="M27" s="44"/>
      <c r="N27" s="100"/>
      <c r="O27" s="60"/>
      <c r="P27" s="60">
        <f>+P25-P26</f>
        <v>340733.47838359256</v>
      </c>
      <c r="Q27" s="60"/>
      <c r="R27" s="60">
        <f>+R25-R26</f>
        <v>1018159.0082299064</v>
      </c>
      <c r="S27" s="60"/>
      <c r="T27" s="60">
        <f>+T25-T26</f>
        <v>141027.2994382109</v>
      </c>
      <c r="U27" s="60"/>
      <c r="V27" s="60"/>
      <c r="W27" s="45"/>
      <c r="X27" s="45"/>
    </row>
    <row r="28" spans="1:26" s="46" customFormat="1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101"/>
      <c r="O28" s="60"/>
      <c r="P28" s="60"/>
      <c r="Q28" s="60"/>
      <c r="R28" s="60"/>
      <c r="S28" s="60"/>
      <c r="T28" s="60"/>
      <c r="U28" s="45"/>
      <c r="V28" s="45"/>
    </row>
    <row r="29" spans="1:26" s="46" customFormat="1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60"/>
      <c r="O29" s="60"/>
      <c r="P29" s="60"/>
      <c r="Q29" s="60"/>
      <c r="R29" s="60"/>
      <c r="S29" s="60"/>
      <c r="T29" s="45"/>
      <c r="U29" s="45"/>
    </row>
    <row r="30" spans="1:26" s="46" customFormat="1" ht="15.75" thickBot="1" x14ac:dyDescent="0.3">
      <c r="A30" s="44"/>
      <c r="B30" s="44"/>
      <c r="C30" s="44"/>
      <c r="D30" s="115"/>
      <c r="E30" s="44"/>
      <c r="F30" s="44"/>
      <c r="G30" t="s">
        <v>53</v>
      </c>
      <c r="H30"/>
      <c r="I30"/>
      <c r="J30"/>
      <c r="K30" s="44"/>
      <c r="L30" s="44"/>
      <c r="M30" s="44"/>
      <c r="N30" s="44"/>
      <c r="O30" s="45"/>
      <c r="P30" s="45"/>
      <c r="Q30" s="45"/>
      <c r="R30" s="45"/>
      <c r="S30" s="45"/>
      <c r="T30" s="57"/>
      <c r="U30" s="45"/>
      <c r="V30" s="45"/>
      <c r="W30" s="45"/>
      <c r="X30" s="45"/>
    </row>
    <row r="31" spans="1:26" s="46" customFormat="1" ht="16.5" thickBot="1" x14ac:dyDescent="0.3">
      <c r="D31" s="47"/>
      <c r="E31" s="47"/>
      <c r="F31" s="48"/>
      <c r="G31" s="58" t="s">
        <v>35</v>
      </c>
      <c r="H31" s="58"/>
      <c r="I31" s="58"/>
      <c r="J31" s="58"/>
      <c r="L31" s="49"/>
      <c r="M31" s="49"/>
      <c r="N31" s="49"/>
      <c r="O31" s="196" t="s">
        <v>39</v>
      </c>
      <c r="P31" s="197"/>
      <c r="Q31" s="197"/>
      <c r="R31" s="197"/>
      <c r="S31" s="197"/>
      <c r="T31" s="198"/>
      <c r="U31" s="199" t="s">
        <v>38</v>
      </c>
      <c r="V31" s="200"/>
      <c r="W31" s="200"/>
      <c r="X31" s="201"/>
    </row>
    <row r="32" spans="1:26" ht="15.75" thickBot="1" x14ac:dyDescent="0.3">
      <c r="E32"/>
      <c r="O32" s="202">
        <v>2020</v>
      </c>
      <c r="P32" s="203"/>
      <c r="Q32" s="229">
        <v>2021</v>
      </c>
      <c r="R32" s="230"/>
      <c r="S32" s="231">
        <v>2022</v>
      </c>
      <c r="T32" s="232"/>
      <c r="U32" s="231">
        <v>2022</v>
      </c>
      <c r="V32" s="232"/>
      <c r="W32" s="229">
        <v>2023</v>
      </c>
      <c r="X32" s="233"/>
    </row>
    <row r="33" spans="5:26" ht="15.75" thickBot="1" x14ac:dyDescent="0.3">
      <c r="E33"/>
      <c r="F33" s="24"/>
      <c r="K33" s="4" t="s">
        <v>29</v>
      </c>
      <c r="L33" s="30" t="s">
        <v>32</v>
      </c>
      <c r="M33" s="31" t="s">
        <v>33</v>
      </c>
      <c r="N33" s="32" t="s">
        <v>34</v>
      </c>
      <c r="O33" s="54" t="s">
        <v>8</v>
      </c>
      <c r="P33" s="55" t="s">
        <v>31</v>
      </c>
      <c r="Q33" s="54" t="s">
        <v>8</v>
      </c>
      <c r="R33" s="56" t="s">
        <v>31</v>
      </c>
      <c r="S33" s="54" t="s">
        <v>8</v>
      </c>
      <c r="T33" s="55" t="s">
        <v>31</v>
      </c>
      <c r="U33" s="54" t="s">
        <v>8</v>
      </c>
      <c r="V33" s="55" t="s">
        <v>31</v>
      </c>
      <c r="W33" s="54" t="s">
        <v>8</v>
      </c>
      <c r="X33" s="55" t="s">
        <v>31</v>
      </c>
    </row>
    <row r="34" spans="5:26" x14ac:dyDescent="0.25">
      <c r="E34"/>
      <c r="F34" s="24"/>
      <c r="G34" s="84" t="str">
        <f t="shared" ref="G34:G53" si="12">D4</f>
        <v>EIM Program Manager</v>
      </c>
      <c r="H34" s="84"/>
      <c r="I34" s="84"/>
      <c r="J34" s="84"/>
      <c r="K34" s="77">
        <f t="shared" ref="K34:K53" si="13">IF(F4="","",F4)</f>
        <v>43466</v>
      </c>
      <c r="L34" s="78">
        <f t="shared" ref="L34:L53" si="14">YEAR(F4)</f>
        <v>2019</v>
      </c>
      <c r="M34" s="78">
        <f t="shared" ref="M34:M53" si="15">MONTH(F4)</f>
        <v>1</v>
      </c>
      <c r="N34" s="78">
        <f>12-M34+1</f>
        <v>12</v>
      </c>
      <c r="O34" s="66">
        <f>IF(L34=$O$32,N34,IF(L34&gt;$O$32,0,12))</f>
        <v>12</v>
      </c>
      <c r="P34" s="79">
        <v>0.75</v>
      </c>
      <c r="Q34" s="66">
        <f>IF(L34=$Q$32,N34,IF(L34&gt;$Q$32,0,12))</f>
        <v>12</v>
      </c>
      <c r="R34" s="80">
        <v>0.75</v>
      </c>
      <c r="S34" s="66">
        <f>IF(L34=$S$32,N34-8,IF(L34&gt;$S$32,0,4))</f>
        <v>4</v>
      </c>
      <c r="T34" s="81">
        <v>0.75</v>
      </c>
      <c r="U34" s="66">
        <f>IF(N34=$S$32,P34,IF(N34&gt;$S$32,0,8))</f>
        <v>8</v>
      </c>
      <c r="V34" s="82">
        <v>0</v>
      </c>
      <c r="W34" s="66"/>
      <c r="X34" s="81">
        <v>0</v>
      </c>
      <c r="Y34" t="s">
        <v>44</v>
      </c>
      <c r="Z34" s="83"/>
    </row>
    <row r="35" spans="5:26" x14ac:dyDescent="0.25">
      <c r="E35"/>
      <c r="F35" s="24"/>
      <c r="G35" s="188" t="str">
        <f t="shared" si="12"/>
        <v>OCM</v>
      </c>
      <c r="H35" s="62"/>
      <c r="I35" s="62"/>
      <c r="J35" s="62"/>
      <c r="K35" s="76">
        <f t="shared" si="13"/>
        <v>44075</v>
      </c>
      <c r="L35" s="63">
        <f t="shared" si="14"/>
        <v>2020</v>
      </c>
      <c r="M35" s="63">
        <f t="shared" si="15"/>
        <v>9</v>
      </c>
      <c r="N35" s="63">
        <f>12-M35+1</f>
        <v>4</v>
      </c>
      <c r="O35" s="85">
        <f>IF(L35=$O$32,N35,IF(L35&gt;$O$32,0,12))</f>
        <v>4</v>
      </c>
      <c r="P35" s="86">
        <v>0</v>
      </c>
      <c r="Q35" s="85">
        <f>IF(L35=$Q$32,N35,IF(L35&gt;$Q$32,0,12))</f>
        <v>12</v>
      </c>
      <c r="R35" s="87">
        <v>0</v>
      </c>
      <c r="S35" s="88">
        <f>IF(L35=$S$32,N35-8,IF(L35&gt;$S$32,0,4))</f>
        <v>4</v>
      </c>
      <c r="T35" s="89">
        <v>0.5</v>
      </c>
      <c r="U35" s="88"/>
      <c r="V35" s="90">
        <v>0</v>
      </c>
      <c r="W35" s="88"/>
      <c r="X35" s="89">
        <v>0</v>
      </c>
      <c r="Y35" s="57" t="s">
        <v>37</v>
      </c>
      <c r="Z35" s="83"/>
    </row>
    <row r="36" spans="5:26" x14ac:dyDescent="0.25">
      <c r="E36"/>
      <c r="F36" s="24"/>
      <c r="G36" s="12" t="str">
        <f t="shared" si="12"/>
        <v>Analyst</v>
      </c>
      <c r="H36" s="12"/>
      <c r="I36" s="12"/>
      <c r="J36" s="12"/>
      <c r="K36" s="28">
        <f t="shared" si="13"/>
        <v>44378</v>
      </c>
      <c r="L36" s="27">
        <f t="shared" si="14"/>
        <v>2021</v>
      </c>
      <c r="M36" s="27">
        <f t="shared" si="15"/>
        <v>7</v>
      </c>
      <c r="N36" s="27">
        <f>12-M36+1</f>
        <v>6</v>
      </c>
      <c r="O36" s="52">
        <f>IF(L36=$O$32,N36,IF(L36&gt;$O$32,0,12))</f>
        <v>0</v>
      </c>
      <c r="P36" s="25">
        <v>0</v>
      </c>
      <c r="Q36" s="53">
        <f t="shared" ref="Q36:Q53" si="16">IF(L36=$Q$32,N36,IF(L36&gt;$Q$32,0,12))</f>
        <v>6</v>
      </c>
      <c r="R36" s="33">
        <v>0.5</v>
      </c>
      <c r="S36" s="67">
        <f t="shared" ref="S36:S53" si="17">IF(L36=$S$32,N36-8,IF(L36&gt;$S$32,0,4))</f>
        <v>4</v>
      </c>
      <c r="T36" s="26">
        <v>0.9</v>
      </c>
      <c r="U36" s="67">
        <f t="shared" ref="U36:U53" si="18">IF(N36=$S$32,P36,IF(N36&gt;$S$32,0,8))</f>
        <v>8</v>
      </c>
      <c r="V36" s="64">
        <v>0</v>
      </c>
      <c r="W36" s="67">
        <f t="shared" ref="W36:W53" si="19">IF(R36=$Q$32,T36,IF(R36&gt;$Q$32,0,12))</f>
        <v>12</v>
      </c>
      <c r="X36" s="26">
        <v>0</v>
      </c>
    </row>
    <row r="37" spans="5:26" x14ac:dyDescent="0.25">
      <c r="E37"/>
      <c r="F37" s="24"/>
      <c r="G37" s="12" t="str">
        <f t="shared" si="12"/>
        <v>EIM BA Operator SME</v>
      </c>
      <c r="H37" s="12"/>
      <c r="I37" s="12"/>
      <c r="J37" s="12"/>
      <c r="K37" s="29">
        <f t="shared" si="13"/>
        <v>43862</v>
      </c>
      <c r="L37" s="27">
        <f t="shared" si="14"/>
        <v>2020</v>
      </c>
      <c r="M37" s="27">
        <f t="shared" si="15"/>
        <v>2</v>
      </c>
      <c r="N37" s="27">
        <f t="shared" ref="N37:N53" si="20">12-M37+1</f>
        <v>11</v>
      </c>
      <c r="O37" s="53">
        <f t="shared" ref="O37:O52" si="21">IF(L37=$O$32,N37,IF(L37&gt;$O$32,0,12))</f>
        <v>11</v>
      </c>
      <c r="P37" s="5">
        <v>0.54</v>
      </c>
      <c r="Q37" s="53">
        <f t="shared" si="16"/>
        <v>12</v>
      </c>
      <c r="R37" s="34">
        <v>0.75</v>
      </c>
      <c r="S37" s="67">
        <f t="shared" si="17"/>
        <v>4</v>
      </c>
      <c r="T37" s="6">
        <v>0.9</v>
      </c>
      <c r="U37" s="67">
        <f t="shared" si="18"/>
        <v>8</v>
      </c>
      <c r="V37" s="65">
        <v>0</v>
      </c>
      <c r="W37" s="67">
        <f t="shared" si="19"/>
        <v>12</v>
      </c>
      <c r="X37" s="6">
        <v>0</v>
      </c>
    </row>
    <row r="38" spans="5:26" x14ac:dyDescent="0.25">
      <c r="E38"/>
      <c r="F38" s="24"/>
      <c r="G38" s="187" t="str">
        <f t="shared" si="12"/>
        <v>EMS Modeling Engineer</v>
      </c>
      <c r="H38" s="187"/>
      <c r="I38" s="187"/>
      <c r="J38" s="187"/>
      <c r="K38" s="29">
        <f t="shared" si="13"/>
        <v>43983</v>
      </c>
      <c r="L38" s="27">
        <f t="shared" si="14"/>
        <v>2020</v>
      </c>
      <c r="M38" s="27">
        <f t="shared" si="15"/>
        <v>6</v>
      </c>
      <c r="N38" s="27">
        <f t="shared" si="20"/>
        <v>7</v>
      </c>
      <c r="O38" s="53">
        <f t="shared" si="21"/>
        <v>7</v>
      </c>
      <c r="P38" s="5">
        <v>0.15</v>
      </c>
      <c r="Q38" s="53">
        <f t="shared" si="16"/>
        <v>12</v>
      </c>
      <c r="R38" s="34">
        <v>0.15</v>
      </c>
      <c r="S38" s="67">
        <f t="shared" si="17"/>
        <v>4</v>
      </c>
      <c r="T38" s="6">
        <v>0.15</v>
      </c>
      <c r="U38" s="67">
        <f t="shared" si="18"/>
        <v>8</v>
      </c>
      <c r="V38" s="65">
        <v>0</v>
      </c>
      <c r="W38" s="67">
        <f t="shared" si="19"/>
        <v>12</v>
      </c>
      <c r="X38" s="6">
        <v>0</v>
      </c>
    </row>
    <row r="39" spans="5:26" x14ac:dyDescent="0.25">
      <c r="E39"/>
      <c r="F39" s="24"/>
      <c r="G39" s="187" t="str">
        <f t="shared" si="12"/>
        <v>EIM BA Analyst</v>
      </c>
      <c r="H39" s="187"/>
      <c r="I39" s="187"/>
      <c r="J39" s="187"/>
      <c r="K39" s="29">
        <f t="shared" si="13"/>
        <v>44378</v>
      </c>
      <c r="L39" s="27">
        <f t="shared" si="14"/>
        <v>2021</v>
      </c>
      <c r="M39" s="27">
        <f t="shared" si="15"/>
        <v>7</v>
      </c>
      <c r="N39" s="27">
        <f t="shared" si="20"/>
        <v>6</v>
      </c>
      <c r="O39" s="53">
        <f t="shared" si="21"/>
        <v>0</v>
      </c>
      <c r="P39" s="5">
        <v>0</v>
      </c>
      <c r="Q39" s="53">
        <f t="shared" si="16"/>
        <v>6</v>
      </c>
      <c r="R39" s="34">
        <v>0.5</v>
      </c>
      <c r="S39" s="67">
        <f t="shared" si="17"/>
        <v>4</v>
      </c>
      <c r="T39" s="6">
        <v>0.9</v>
      </c>
      <c r="U39" s="67">
        <f t="shared" si="18"/>
        <v>8</v>
      </c>
      <c r="V39" s="65">
        <v>0</v>
      </c>
      <c r="W39" s="67">
        <f t="shared" si="19"/>
        <v>12</v>
      </c>
      <c r="X39" s="6">
        <v>0</v>
      </c>
    </row>
    <row r="40" spans="5:26" x14ac:dyDescent="0.25">
      <c r="E40"/>
      <c r="F40" s="24"/>
      <c r="G40" s="12" t="str">
        <f t="shared" si="12"/>
        <v>EIM BA Operator</v>
      </c>
      <c r="H40" s="12"/>
      <c r="I40" s="12"/>
      <c r="J40" s="12"/>
      <c r="K40" s="29">
        <f t="shared" si="13"/>
        <v>44077</v>
      </c>
      <c r="L40" s="27">
        <f t="shared" si="14"/>
        <v>2020</v>
      </c>
      <c r="M40" s="27">
        <f t="shared" si="15"/>
        <v>9</v>
      </c>
      <c r="N40" s="27">
        <f t="shared" si="20"/>
        <v>4</v>
      </c>
      <c r="O40" s="53">
        <f t="shared" si="21"/>
        <v>4</v>
      </c>
      <c r="P40" s="5">
        <v>0.25</v>
      </c>
      <c r="Q40" s="53">
        <f t="shared" si="16"/>
        <v>12</v>
      </c>
      <c r="R40" s="34">
        <v>0.2</v>
      </c>
      <c r="S40" s="67">
        <f t="shared" si="17"/>
        <v>4</v>
      </c>
      <c r="T40" s="6">
        <v>0.9</v>
      </c>
      <c r="U40" s="67">
        <f t="shared" si="18"/>
        <v>8</v>
      </c>
      <c r="V40" s="65">
        <v>0</v>
      </c>
      <c r="W40" s="67">
        <f t="shared" si="19"/>
        <v>12</v>
      </c>
      <c r="X40" s="6">
        <v>0</v>
      </c>
    </row>
    <row r="41" spans="5:26" x14ac:dyDescent="0.25">
      <c r="E41"/>
      <c r="F41" s="24"/>
      <c r="G41" s="12" t="str">
        <f t="shared" si="12"/>
        <v>EIM BA Operator</v>
      </c>
      <c r="H41" s="12"/>
      <c r="I41" s="12"/>
      <c r="J41" s="12"/>
      <c r="K41" s="29">
        <f t="shared" si="13"/>
        <v>44078</v>
      </c>
      <c r="L41" s="27">
        <f t="shared" si="14"/>
        <v>2020</v>
      </c>
      <c r="M41" s="27">
        <f t="shared" si="15"/>
        <v>9</v>
      </c>
      <c r="N41" s="27">
        <f t="shared" si="20"/>
        <v>4</v>
      </c>
      <c r="O41" s="53">
        <f t="shared" si="21"/>
        <v>4</v>
      </c>
      <c r="P41" s="5">
        <v>0.25</v>
      </c>
      <c r="Q41" s="53">
        <f t="shared" si="16"/>
        <v>12</v>
      </c>
      <c r="R41" s="34">
        <v>0.2</v>
      </c>
      <c r="S41" s="67">
        <f t="shared" si="17"/>
        <v>4</v>
      </c>
      <c r="T41" s="6">
        <v>0.9</v>
      </c>
      <c r="U41" s="67">
        <f t="shared" si="18"/>
        <v>8</v>
      </c>
      <c r="V41" s="65">
        <v>0</v>
      </c>
      <c r="W41" s="67">
        <f t="shared" si="19"/>
        <v>12</v>
      </c>
      <c r="X41" s="6">
        <v>0</v>
      </c>
    </row>
    <row r="42" spans="5:26" x14ac:dyDescent="0.25">
      <c r="E42"/>
      <c r="F42" s="24"/>
      <c r="G42" s="12" t="str">
        <f t="shared" si="12"/>
        <v>EIM BA Operator</v>
      </c>
      <c r="H42" s="12"/>
      <c r="I42" s="12"/>
      <c r="J42" s="12"/>
      <c r="K42" s="29">
        <f t="shared" si="13"/>
        <v>44197</v>
      </c>
      <c r="L42" s="27">
        <f t="shared" si="14"/>
        <v>2021</v>
      </c>
      <c r="M42" s="27">
        <f t="shared" si="15"/>
        <v>1</v>
      </c>
      <c r="N42" s="27">
        <f t="shared" si="20"/>
        <v>12</v>
      </c>
      <c r="O42" s="53">
        <f t="shared" si="21"/>
        <v>0</v>
      </c>
      <c r="P42" s="5">
        <v>0</v>
      </c>
      <c r="Q42" s="53">
        <f t="shared" si="16"/>
        <v>12</v>
      </c>
      <c r="R42" s="34">
        <v>0.2</v>
      </c>
      <c r="S42" s="67">
        <f t="shared" si="17"/>
        <v>4</v>
      </c>
      <c r="T42" s="6">
        <v>0.9</v>
      </c>
      <c r="U42" s="67">
        <f t="shared" si="18"/>
        <v>8</v>
      </c>
      <c r="V42" s="65">
        <v>0</v>
      </c>
      <c r="W42" s="67">
        <f t="shared" si="19"/>
        <v>12</v>
      </c>
      <c r="X42" s="6">
        <v>0</v>
      </c>
    </row>
    <row r="43" spans="5:26" x14ac:dyDescent="0.25">
      <c r="E43"/>
      <c r="F43" s="24"/>
      <c r="G43" s="12" t="str">
        <f t="shared" si="12"/>
        <v>EIM BA Operator</v>
      </c>
      <c r="H43" s="12"/>
      <c r="I43" s="12"/>
      <c r="J43" s="12"/>
      <c r="K43" s="29">
        <f t="shared" si="13"/>
        <v>44197</v>
      </c>
      <c r="L43" s="27">
        <f t="shared" si="14"/>
        <v>2021</v>
      </c>
      <c r="M43" s="27">
        <f t="shared" si="15"/>
        <v>1</v>
      </c>
      <c r="N43" s="27">
        <f t="shared" si="20"/>
        <v>12</v>
      </c>
      <c r="O43" s="53">
        <f t="shared" si="21"/>
        <v>0</v>
      </c>
      <c r="P43" s="5">
        <v>0</v>
      </c>
      <c r="Q43" s="53">
        <f t="shared" si="16"/>
        <v>12</v>
      </c>
      <c r="R43" s="34">
        <v>0.2</v>
      </c>
      <c r="S43" s="67">
        <f t="shared" si="17"/>
        <v>4</v>
      </c>
      <c r="T43" s="6">
        <v>0.9</v>
      </c>
      <c r="U43" s="67">
        <f t="shared" si="18"/>
        <v>8</v>
      </c>
      <c r="V43" s="65">
        <v>0</v>
      </c>
      <c r="W43" s="67">
        <f t="shared" si="19"/>
        <v>12</v>
      </c>
      <c r="X43" s="6">
        <v>0</v>
      </c>
    </row>
    <row r="44" spans="5:26" x14ac:dyDescent="0.25">
      <c r="E44"/>
      <c r="F44" s="24"/>
      <c r="G44" s="12" t="str">
        <f t="shared" si="12"/>
        <v>EIM BA Operator (Relief)</v>
      </c>
      <c r="H44" s="12"/>
      <c r="I44" s="12"/>
      <c r="J44" s="12"/>
      <c r="K44" s="29">
        <f t="shared" si="13"/>
        <v>44256</v>
      </c>
      <c r="L44" s="27">
        <f t="shared" si="14"/>
        <v>2021</v>
      </c>
      <c r="M44" s="27">
        <f t="shared" si="15"/>
        <v>3</v>
      </c>
      <c r="N44" s="27">
        <f t="shared" si="20"/>
        <v>10</v>
      </c>
      <c r="O44" s="53">
        <f t="shared" si="21"/>
        <v>0</v>
      </c>
      <c r="P44" s="5">
        <v>0</v>
      </c>
      <c r="Q44" s="53">
        <f t="shared" si="16"/>
        <v>10</v>
      </c>
      <c r="R44" s="34">
        <v>0.2</v>
      </c>
      <c r="S44" s="67">
        <f t="shared" si="17"/>
        <v>4</v>
      </c>
      <c r="T44" s="6">
        <v>0.9</v>
      </c>
      <c r="U44" s="67">
        <f t="shared" si="18"/>
        <v>8</v>
      </c>
      <c r="V44" s="65">
        <v>0</v>
      </c>
      <c r="W44" s="67">
        <f t="shared" si="19"/>
        <v>12</v>
      </c>
      <c r="X44" s="6">
        <v>0</v>
      </c>
    </row>
    <row r="45" spans="5:26" x14ac:dyDescent="0.25">
      <c r="E45"/>
      <c r="F45" s="24"/>
      <c r="G45" s="187" t="str">
        <f t="shared" si="12"/>
        <v>Training Admin</v>
      </c>
      <c r="H45" s="187"/>
      <c r="I45" s="187"/>
      <c r="J45" s="187"/>
      <c r="K45" s="29">
        <f t="shared" si="13"/>
        <v>44621</v>
      </c>
      <c r="L45" s="27">
        <f t="shared" si="14"/>
        <v>2022</v>
      </c>
      <c r="M45" s="27">
        <f t="shared" si="15"/>
        <v>3</v>
      </c>
      <c r="N45" s="27">
        <f t="shared" si="20"/>
        <v>10</v>
      </c>
      <c r="O45" s="53">
        <f t="shared" si="21"/>
        <v>0</v>
      </c>
      <c r="P45" s="5">
        <v>0</v>
      </c>
      <c r="Q45" s="53">
        <f t="shared" si="16"/>
        <v>0</v>
      </c>
      <c r="R45" s="34">
        <v>0</v>
      </c>
      <c r="S45" s="67">
        <f t="shared" si="17"/>
        <v>2</v>
      </c>
      <c r="T45" s="6">
        <v>0</v>
      </c>
      <c r="U45" s="67">
        <f t="shared" si="18"/>
        <v>8</v>
      </c>
      <c r="V45" s="65">
        <v>0</v>
      </c>
      <c r="W45" s="67">
        <f t="shared" si="19"/>
        <v>12</v>
      </c>
      <c r="X45" s="6">
        <v>0</v>
      </c>
    </row>
    <row r="46" spans="5:26" x14ac:dyDescent="0.25">
      <c r="E46"/>
      <c r="F46" s="24"/>
      <c r="G46" s="12" t="str">
        <f t="shared" si="12"/>
        <v>Sr Engineer</v>
      </c>
      <c r="H46" s="12"/>
      <c r="I46" s="12"/>
      <c r="J46" s="12"/>
      <c r="K46" s="29">
        <f t="shared" si="13"/>
        <v>43831</v>
      </c>
      <c r="L46" s="27">
        <f t="shared" si="14"/>
        <v>2020</v>
      </c>
      <c r="M46" s="27">
        <f t="shared" si="15"/>
        <v>1</v>
      </c>
      <c r="N46" s="27">
        <f t="shared" ref="N46" si="22">12-M46+1</f>
        <v>12</v>
      </c>
      <c r="O46" s="53">
        <f t="shared" ref="O46" si="23">IF(L46=$O$32,N46,IF(L46&gt;$O$32,0,12))</f>
        <v>12</v>
      </c>
      <c r="P46" s="5">
        <v>0.85</v>
      </c>
      <c r="Q46" s="53">
        <f t="shared" ref="Q46" si="24">IF(L46=$Q$32,N46,IF(L46&gt;$Q$32,0,12))</f>
        <v>12</v>
      </c>
      <c r="R46" s="34">
        <v>1</v>
      </c>
      <c r="S46" s="67">
        <v>0</v>
      </c>
      <c r="T46" s="6">
        <v>0</v>
      </c>
      <c r="U46" s="67">
        <v>0</v>
      </c>
      <c r="V46" s="65">
        <v>0</v>
      </c>
      <c r="W46" s="67">
        <v>0</v>
      </c>
      <c r="X46" s="6">
        <v>0</v>
      </c>
    </row>
    <row r="47" spans="5:26" x14ac:dyDescent="0.25">
      <c r="E47"/>
      <c r="F47" s="24"/>
      <c r="G47" s="12" t="str">
        <f t="shared" si="12"/>
        <v>Settlements Manager</v>
      </c>
      <c r="H47" s="12"/>
      <c r="I47" s="12"/>
      <c r="J47" s="12"/>
      <c r="K47" s="29">
        <f t="shared" si="13"/>
        <v>44075</v>
      </c>
      <c r="L47" s="27">
        <f t="shared" si="14"/>
        <v>2020</v>
      </c>
      <c r="M47" s="27">
        <f t="shared" si="15"/>
        <v>9</v>
      </c>
      <c r="N47" s="27">
        <f t="shared" si="20"/>
        <v>4</v>
      </c>
      <c r="O47" s="53">
        <f t="shared" si="21"/>
        <v>4</v>
      </c>
      <c r="P47" s="5">
        <v>0.5</v>
      </c>
      <c r="Q47" s="53">
        <f t="shared" si="16"/>
        <v>12</v>
      </c>
      <c r="R47" s="34">
        <v>0.5</v>
      </c>
      <c r="S47" s="67">
        <f t="shared" si="17"/>
        <v>4</v>
      </c>
      <c r="T47" s="6">
        <v>0.9</v>
      </c>
      <c r="U47" s="67">
        <f t="shared" si="18"/>
        <v>8</v>
      </c>
      <c r="V47" s="65">
        <v>0</v>
      </c>
      <c r="W47" s="67">
        <f t="shared" si="19"/>
        <v>12</v>
      </c>
      <c r="X47" s="6">
        <v>0</v>
      </c>
    </row>
    <row r="48" spans="5:26" x14ac:dyDescent="0.25">
      <c r="E48"/>
      <c r="F48" s="24"/>
      <c r="G48" s="12" t="str">
        <f t="shared" si="12"/>
        <v xml:space="preserve">Settlements Meter Analyst </v>
      </c>
      <c r="H48" s="12"/>
      <c r="I48" s="12"/>
      <c r="J48" s="12"/>
      <c r="K48" s="29">
        <f t="shared" si="13"/>
        <v>44287</v>
      </c>
      <c r="L48" s="27">
        <f t="shared" si="14"/>
        <v>2021</v>
      </c>
      <c r="M48" s="27">
        <f t="shared" si="15"/>
        <v>4</v>
      </c>
      <c r="N48" s="27">
        <f t="shared" si="20"/>
        <v>9</v>
      </c>
      <c r="O48" s="53">
        <f t="shared" si="21"/>
        <v>0</v>
      </c>
      <c r="P48" s="5">
        <v>0.75</v>
      </c>
      <c r="Q48" s="53">
        <f t="shared" si="16"/>
        <v>9</v>
      </c>
      <c r="R48" s="34">
        <v>0.5</v>
      </c>
      <c r="S48" s="67">
        <f t="shared" si="17"/>
        <v>4</v>
      </c>
      <c r="T48" s="6">
        <v>0.9</v>
      </c>
      <c r="U48" s="67">
        <f t="shared" si="18"/>
        <v>8</v>
      </c>
      <c r="V48" s="65">
        <v>0</v>
      </c>
      <c r="W48" s="67">
        <f t="shared" si="19"/>
        <v>12</v>
      </c>
      <c r="X48" s="6">
        <v>0</v>
      </c>
    </row>
    <row r="49" spans="5:24" x14ac:dyDescent="0.25">
      <c r="E49"/>
      <c r="F49" s="24"/>
      <c r="G49" s="12" t="str">
        <f t="shared" si="12"/>
        <v>Settlement Analyst</v>
      </c>
      <c r="H49" s="12"/>
      <c r="I49" s="12"/>
      <c r="J49" s="12"/>
      <c r="K49" s="29">
        <f t="shared" si="13"/>
        <v>44287</v>
      </c>
      <c r="L49" s="27">
        <f t="shared" si="14"/>
        <v>2021</v>
      </c>
      <c r="M49" s="27">
        <f t="shared" si="15"/>
        <v>4</v>
      </c>
      <c r="N49" s="27">
        <f t="shared" si="20"/>
        <v>9</v>
      </c>
      <c r="O49" s="53">
        <f t="shared" si="21"/>
        <v>0</v>
      </c>
      <c r="P49" s="5">
        <v>0.75</v>
      </c>
      <c r="Q49" s="53">
        <f t="shared" si="16"/>
        <v>9</v>
      </c>
      <c r="R49" s="34">
        <v>0.5</v>
      </c>
      <c r="S49" s="67">
        <f t="shared" si="17"/>
        <v>4</v>
      </c>
      <c r="T49" s="6">
        <v>0.9</v>
      </c>
      <c r="U49" s="67">
        <f t="shared" si="18"/>
        <v>8</v>
      </c>
      <c r="V49" s="65">
        <v>0</v>
      </c>
      <c r="W49" s="67">
        <f t="shared" si="19"/>
        <v>12</v>
      </c>
      <c r="X49" s="6">
        <v>0</v>
      </c>
    </row>
    <row r="50" spans="5:24" x14ac:dyDescent="0.25">
      <c r="E50"/>
      <c r="F50" s="24"/>
      <c r="G50" s="12" t="str">
        <f t="shared" si="12"/>
        <v>Settlement Analyst</v>
      </c>
      <c r="H50" s="12"/>
      <c r="I50" s="12"/>
      <c r="J50" s="12"/>
      <c r="K50" s="29">
        <f t="shared" si="13"/>
        <v>44378</v>
      </c>
      <c r="L50" s="27">
        <f t="shared" si="14"/>
        <v>2021</v>
      </c>
      <c r="M50" s="27">
        <f t="shared" si="15"/>
        <v>7</v>
      </c>
      <c r="N50" s="27">
        <f t="shared" si="20"/>
        <v>6</v>
      </c>
      <c r="O50" s="53">
        <f t="shared" si="21"/>
        <v>0</v>
      </c>
      <c r="P50" s="5">
        <v>0.75</v>
      </c>
      <c r="Q50" s="53">
        <f t="shared" si="16"/>
        <v>6</v>
      </c>
      <c r="R50" s="34">
        <v>0.5</v>
      </c>
      <c r="S50" s="67">
        <f t="shared" si="17"/>
        <v>4</v>
      </c>
      <c r="T50" s="6">
        <v>0.9</v>
      </c>
      <c r="U50" s="67">
        <f t="shared" si="18"/>
        <v>8</v>
      </c>
      <c r="V50" s="65">
        <v>0</v>
      </c>
      <c r="W50" s="67">
        <f t="shared" si="19"/>
        <v>12</v>
      </c>
      <c r="X50" s="6">
        <v>0</v>
      </c>
    </row>
    <row r="51" spans="5:24" x14ac:dyDescent="0.25">
      <c r="E51"/>
      <c r="F51" s="24"/>
      <c r="G51" s="12" t="str">
        <f t="shared" si="12"/>
        <v>Settlement Analyst</v>
      </c>
      <c r="H51" s="12"/>
      <c r="I51" s="12"/>
      <c r="J51" s="12"/>
      <c r="K51" s="29">
        <f t="shared" si="13"/>
        <v>44378</v>
      </c>
      <c r="L51" s="27">
        <f t="shared" si="14"/>
        <v>2021</v>
      </c>
      <c r="M51" s="27">
        <f t="shared" si="15"/>
        <v>7</v>
      </c>
      <c r="N51" s="27">
        <f t="shared" si="20"/>
        <v>6</v>
      </c>
      <c r="O51" s="53">
        <f t="shared" si="21"/>
        <v>0</v>
      </c>
      <c r="P51" s="5">
        <v>0.75</v>
      </c>
      <c r="Q51" s="53">
        <f t="shared" si="16"/>
        <v>6</v>
      </c>
      <c r="R51" s="34">
        <v>0.75</v>
      </c>
      <c r="S51" s="67">
        <f t="shared" si="17"/>
        <v>4</v>
      </c>
      <c r="T51" s="6">
        <v>0.9</v>
      </c>
      <c r="U51" s="67">
        <f t="shared" si="18"/>
        <v>8</v>
      </c>
      <c r="V51" s="65">
        <v>0</v>
      </c>
      <c r="W51" s="67">
        <f t="shared" si="19"/>
        <v>12</v>
      </c>
      <c r="X51" s="6">
        <v>0</v>
      </c>
    </row>
    <row r="52" spans="5:24" x14ac:dyDescent="0.25">
      <c r="E52"/>
      <c r="F52" s="24"/>
      <c r="G52" s="12" t="str">
        <f t="shared" si="12"/>
        <v>Technical Systems Analyst</v>
      </c>
      <c r="H52" s="12"/>
      <c r="I52" s="12"/>
      <c r="J52" s="12"/>
      <c r="K52" s="29">
        <f t="shared" si="13"/>
        <v>43983</v>
      </c>
      <c r="L52" s="27">
        <f t="shared" si="14"/>
        <v>2020</v>
      </c>
      <c r="M52" s="27">
        <f t="shared" si="15"/>
        <v>6</v>
      </c>
      <c r="N52" s="27">
        <f t="shared" si="20"/>
        <v>7</v>
      </c>
      <c r="O52" s="53">
        <f t="shared" si="21"/>
        <v>7</v>
      </c>
      <c r="P52" s="5">
        <v>0.8</v>
      </c>
      <c r="Q52" s="53">
        <f t="shared" si="16"/>
        <v>12</v>
      </c>
      <c r="R52" s="34">
        <v>0.9</v>
      </c>
      <c r="S52" s="67">
        <f t="shared" si="17"/>
        <v>4</v>
      </c>
      <c r="T52" s="6">
        <v>0.9</v>
      </c>
      <c r="U52" s="67">
        <f t="shared" si="18"/>
        <v>8</v>
      </c>
      <c r="V52" s="65">
        <v>0</v>
      </c>
      <c r="W52" s="67">
        <f t="shared" si="19"/>
        <v>12</v>
      </c>
      <c r="X52" s="6">
        <v>0</v>
      </c>
    </row>
    <row r="53" spans="5:24" x14ac:dyDescent="0.25">
      <c r="E53"/>
      <c r="F53" s="24"/>
      <c r="G53" s="12" t="str">
        <f t="shared" si="12"/>
        <v>Ops Technical Lead</v>
      </c>
      <c r="H53" s="12"/>
      <c r="I53" s="12"/>
      <c r="J53" s="12"/>
      <c r="K53" s="29">
        <f t="shared" si="13"/>
        <v>43983</v>
      </c>
      <c r="L53" s="27">
        <f t="shared" si="14"/>
        <v>2020</v>
      </c>
      <c r="M53" s="27">
        <f t="shared" si="15"/>
        <v>6</v>
      </c>
      <c r="N53" s="27">
        <f t="shared" si="20"/>
        <v>7</v>
      </c>
      <c r="O53" s="53">
        <f>IF(L53=$O$32,N53,IF(L53&gt;$O$32,0,12))</f>
        <v>7</v>
      </c>
      <c r="P53" s="5">
        <v>0.8</v>
      </c>
      <c r="Q53" s="53">
        <f t="shared" si="16"/>
        <v>12</v>
      </c>
      <c r="R53" s="34">
        <v>0.9</v>
      </c>
      <c r="S53" s="67">
        <f t="shared" si="17"/>
        <v>4</v>
      </c>
      <c r="T53" s="6">
        <v>0.9</v>
      </c>
      <c r="U53" s="67">
        <f t="shared" si="18"/>
        <v>8</v>
      </c>
      <c r="V53" s="65">
        <v>0</v>
      </c>
      <c r="W53" s="67">
        <f t="shared" si="19"/>
        <v>12</v>
      </c>
      <c r="X53" s="6">
        <v>0</v>
      </c>
    </row>
    <row r="54" spans="5:24" x14ac:dyDescent="0.25">
      <c r="E54"/>
      <c r="F54" s="24"/>
    </row>
  </sheetData>
  <mergeCells count="37">
    <mergeCell ref="U1:X1"/>
    <mergeCell ref="O1:T1"/>
    <mergeCell ref="U31:X31"/>
    <mergeCell ref="U32:V32"/>
    <mergeCell ref="A4:A6"/>
    <mergeCell ref="B4:B6"/>
    <mergeCell ref="S32:T32"/>
    <mergeCell ref="W2:X2"/>
    <mergeCell ref="U2:V2"/>
    <mergeCell ref="O32:P32"/>
    <mergeCell ref="A17:A21"/>
    <mergeCell ref="B17:B21"/>
    <mergeCell ref="B7:B15"/>
    <mergeCell ref="B22:B23"/>
    <mergeCell ref="A22:A23"/>
    <mergeCell ref="I2:I3"/>
    <mergeCell ref="J2:J3"/>
    <mergeCell ref="E2:E3"/>
    <mergeCell ref="L2:L3"/>
    <mergeCell ref="M2:M3"/>
    <mergeCell ref="N2:N3"/>
    <mergeCell ref="S2:T2"/>
    <mergeCell ref="W32:X32"/>
    <mergeCell ref="Q32:R32"/>
    <mergeCell ref="A7:A16"/>
    <mergeCell ref="A2:A3"/>
    <mergeCell ref="B2:B3"/>
    <mergeCell ref="D2:D3"/>
    <mergeCell ref="F2:F3"/>
    <mergeCell ref="O31:T31"/>
    <mergeCell ref="K2:K3"/>
    <mergeCell ref="A24:F24"/>
    <mergeCell ref="G2:G3"/>
    <mergeCell ref="O2:P2"/>
    <mergeCell ref="Q2:R2"/>
    <mergeCell ref="H2:H3"/>
    <mergeCell ref="C2:C3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9:R61"/>
  <sheetViews>
    <sheetView zoomScale="90" zoomScaleNormal="90" workbookViewId="0">
      <selection activeCell="B48" sqref="B48"/>
    </sheetView>
  </sheetViews>
  <sheetFormatPr defaultRowHeight="15" x14ac:dyDescent="0.25"/>
  <cols>
    <col min="2" max="2" width="9.140625" customWidth="1"/>
    <col min="3" max="3" width="27" bestFit="1" customWidth="1"/>
    <col min="4" max="7" width="11" customWidth="1"/>
    <col min="8" max="9" width="10.5703125" bestFit="1" customWidth="1"/>
    <col min="11" max="12" width="8.42578125" bestFit="1" customWidth="1"/>
    <col min="13" max="13" width="11.140625" bestFit="1" customWidth="1"/>
    <col min="15" max="15" width="8.42578125" bestFit="1" customWidth="1"/>
    <col min="16" max="16" width="10.7109375" customWidth="1"/>
    <col min="17" max="17" width="9" bestFit="1" customWidth="1"/>
  </cols>
  <sheetData>
    <row r="19" spans="3:18" ht="13.5" customHeight="1" x14ac:dyDescent="0.25">
      <c r="P19" t="s">
        <v>41</v>
      </c>
      <c r="Q19" t="s">
        <v>42</v>
      </c>
    </row>
    <row r="20" spans="3:18" ht="13.5" customHeight="1" x14ac:dyDescent="0.25">
      <c r="J20" s="12"/>
      <c r="P20" s="91">
        <v>0.438</v>
      </c>
      <c r="Q20" s="91">
        <v>0.438</v>
      </c>
    </row>
    <row r="21" spans="3:18" ht="13.5" customHeight="1" x14ac:dyDescent="0.25">
      <c r="J21" s="12"/>
      <c r="P21" s="91">
        <v>1.4E-2</v>
      </c>
      <c r="Q21" s="91">
        <v>1.4E-2</v>
      </c>
    </row>
    <row r="22" spans="3:18" ht="13.5" customHeight="1" x14ac:dyDescent="0.25">
      <c r="J22" s="12"/>
      <c r="P22" s="91">
        <v>2.1000000000000001E-2</v>
      </c>
      <c r="Q22" s="91">
        <v>2.1000000000000001E-2</v>
      </c>
    </row>
    <row r="23" spans="3:18" ht="13.5" customHeight="1" x14ac:dyDescent="0.25">
      <c r="J23" s="12"/>
      <c r="P23" s="91">
        <v>0.09</v>
      </c>
      <c r="Q23" s="91">
        <v>0.09</v>
      </c>
    </row>
    <row r="24" spans="3:18" ht="13.5" customHeight="1" x14ac:dyDescent="0.25">
      <c r="J24" s="12"/>
      <c r="P24" s="91">
        <v>0.1575</v>
      </c>
      <c r="Q24" s="91">
        <v>0.1575</v>
      </c>
    </row>
    <row r="25" spans="3:18" x14ac:dyDescent="0.25">
      <c r="J25" s="12"/>
      <c r="P25" s="91">
        <v>5.0000000000000001E-3</v>
      </c>
      <c r="Q25" s="91">
        <v>1E-3</v>
      </c>
    </row>
    <row r="26" spans="3:18" x14ac:dyDescent="0.25">
      <c r="J26" s="12"/>
      <c r="P26" s="92">
        <v>5.5E-2</v>
      </c>
      <c r="Q26" s="92">
        <v>7.0000000000000001E-3</v>
      </c>
    </row>
    <row r="27" spans="3:18" x14ac:dyDescent="0.25">
      <c r="J27" s="12"/>
      <c r="P27">
        <f>SUM(P20:P26)</f>
        <v>0.78050000000000008</v>
      </c>
      <c r="Q27">
        <f>SUM(Q20:Q26)</f>
        <v>0.72850000000000004</v>
      </c>
      <c r="R27">
        <f>(P27+Q27)/2</f>
        <v>0.75450000000000006</v>
      </c>
    </row>
    <row r="28" spans="3:18" x14ac:dyDescent="0.25">
      <c r="J28" s="68"/>
    </row>
    <row r="29" spans="3:18" x14ac:dyDescent="0.25">
      <c r="J29" s="12"/>
      <c r="P29" s="99"/>
      <c r="Q29" s="99"/>
    </row>
    <row r="30" spans="3:18" x14ac:dyDescent="0.25">
      <c r="D30" s="24" t="s">
        <v>41</v>
      </c>
      <c r="E30" s="24" t="s">
        <v>42</v>
      </c>
      <c r="J30" s="12"/>
    </row>
    <row r="31" spans="3:18" x14ac:dyDescent="0.25">
      <c r="C31" t="s">
        <v>54</v>
      </c>
      <c r="D31" s="113">
        <v>2.5000000000000001E-2</v>
      </c>
      <c r="E31" s="113">
        <v>2.2499999999999999E-2</v>
      </c>
      <c r="J31" s="12"/>
    </row>
    <row r="36" spans="3:18" x14ac:dyDescent="0.25">
      <c r="C36" s="96" t="s">
        <v>46</v>
      </c>
    </row>
    <row r="37" spans="3:18" x14ac:dyDescent="0.25">
      <c r="C37" s="96"/>
    </row>
    <row r="38" spans="3:18" x14ac:dyDescent="0.25">
      <c r="C38" s="97" t="s">
        <v>47</v>
      </c>
    </row>
    <row r="39" spans="3:18" x14ac:dyDescent="0.25">
      <c r="C39" s="98">
        <v>0.10539999999999999</v>
      </c>
    </row>
    <row r="40" spans="3:18" x14ac:dyDescent="0.25">
      <c r="Q40" t="s">
        <v>58</v>
      </c>
      <c r="R40">
        <v>3</v>
      </c>
    </row>
    <row r="41" spans="3:18" x14ac:dyDescent="0.25">
      <c r="Q41" t="s">
        <v>59</v>
      </c>
      <c r="R41">
        <v>5</v>
      </c>
    </row>
    <row r="42" spans="3:18" x14ac:dyDescent="0.25">
      <c r="Q42" t="s">
        <v>60</v>
      </c>
      <c r="R42">
        <v>4</v>
      </c>
    </row>
    <row r="44" spans="3:18" x14ac:dyDescent="0.25">
      <c r="G44" s="269">
        <v>2021</v>
      </c>
      <c r="H44" s="269"/>
      <c r="I44" s="269"/>
      <c r="J44" s="269"/>
      <c r="K44" s="270">
        <v>2022</v>
      </c>
      <c r="L44" s="270"/>
      <c r="M44" s="270"/>
      <c r="N44" s="270"/>
      <c r="O44" s="271">
        <v>2023</v>
      </c>
      <c r="P44" s="271"/>
      <c r="Q44" s="271"/>
      <c r="R44" s="271"/>
    </row>
    <row r="45" spans="3:18" x14ac:dyDescent="0.25">
      <c r="F45">
        <v>2020</v>
      </c>
      <c r="G45" t="s">
        <v>58</v>
      </c>
      <c r="H45" t="s">
        <v>59</v>
      </c>
      <c r="I45" t="s">
        <v>60</v>
      </c>
      <c r="J45" t="s">
        <v>61</v>
      </c>
      <c r="K45" t="s">
        <v>58</v>
      </c>
      <c r="L45" t="s">
        <v>59</v>
      </c>
      <c r="M45" t="s">
        <v>60</v>
      </c>
      <c r="N45" t="s">
        <v>61</v>
      </c>
      <c r="O45" t="s">
        <v>58</v>
      </c>
      <c r="P45" t="s">
        <v>59</v>
      </c>
      <c r="Q45" t="s">
        <v>60</v>
      </c>
      <c r="R45" t="s">
        <v>61</v>
      </c>
    </row>
    <row r="46" spans="3:18" x14ac:dyDescent="0.25">
      <c r="C46" s="2" t="s">
        <v>12</v>
      </c>
      <c r="D46" s="23">
        <v>10</v>
      </c>
      <c r="E46" s="3">
        <v>44077</v>
      </c>
      <c r="F46" s="20">
        <v>113798</v>
      </c>
      <c r="G46" s="122">
        <f>+(F46/12)*R40</f>
        <v>28449.5</v>
      </c>
      <c r="H46" s="122">
        <f>+(E55/12)*R41</f>
        <v>48482.689583333333</v>
      </c>
      <c r="I46" s="127">
        <f>(E56/12)*R42</f>
        <v>40337.284166666665</v>
      </c>
      <c r="J46" s="124">
        <f>SUM(G46:I46)</f>
        <v>117269.47374999999</v>
      </c>
      <c r="K46" s="122">
        <f>(E56/12)*R40</f>
        <v>30252.963124999998</v>
      </c>
      <c r="L46" s="122">
        <f>+(F56/12)*R41</f>
        <v>51556.091325520829</v>
      </c>
      <c r="M46" s="129">
        <f>+(F57/12)*R42</f>
        <v>43360.28070625</v>
      </c>
      <c r="N46" s="124">
        <f>+SUM(K46:M46)</f>
        <v>125169.33515677083</v>
      </c>
      <c r="O46" s="122">
        <f>+(F57/12)*R40</f>
        <v>32520.210529687502</v>
      </c>
      <c r="P46" s="122">
        <f>+(G57/12)*R41</f>
        <v>55419.85877767577</v>
      </c>
      <c r="Q46" s="131">
        <f>+(G58/12)*R42</f>
        <v>46859.15449739583</v>
      </c>
      <c r="R46" s="124">
        <f>SUM(O46:Q46)</f>
        <v>134799.22380475909</v>
      </c>
    </row>
    <row r="47" spans="3:18" x14ac:dyDescent="0.25">
      <c r="C47" s="2" t="s">
        <v>12</v>
      </c>
      <c r="D47" s="23">
        <v>10</v>
      </c>
      <c r="E47" s="3">
        <v>44078</v>
      </c>
      <c r="F47" s="20">
        <v>113798</v>
      </c>
      <c r="G47" s="122">
        <f>+(F47/12)*R40</f>
        <v>28449.5</v>
      </c>
      <c r="H47" s="122">
        <f>+(E55/12)*R41</f>
        <v>48482.689583333333</v>
      </c>
      <c r="I47" s="128">
        <f>(E56/12)*R42</f>
        <v>40337.284166666665</v>
      </c>
      <c r="J47" s="124">
        <f t="shared" ref="J47:J50" si="0">SUM(G47:I47)</f>
        <v>117269.47374999999</v>
      </c>
      <c r="K47" s="122">
        <f>(E56/12)*R40</f>
        <v>30252.963124999998</v>
      </c>
      <c r="L47" s="122">
        <f>+(F56/12)*R41</f>
        <v>51556.091325520829</v>
      </c>
      <c r="M47" s="130">
        <f>+(F57/12)*R42</f>
        <v>43360.28070625</v>
      </c>
      <c r="N47" s="124">
        <f t="shared" ref="N47:N50" si="1">+SUM(K47:M47)</f>
        <v>125169.33515677083</v>
      </c>
      <c r="O47" s="122">
        <f>+(F57/12)*R40</f>
        <v>32520.210529687502</v>
      </c>
      <c r="P47" s="122">
        <f>+(G58/12)*R41</f>
        <v>58573.943121744785</v>
      </c>
      <c r="Q47" s="132">
        <f>+(G58/12)*R42</f>
        <v>46859.15449739583</v>
      </c>
      <c r="R47" s="124">
        <f t="shared" ref="R47:R50" si="2">SUM(O47:Q47)</f>
        <v>137953.3081488281</v>
      </c>
    </row>
    <row r="48" spans="3:18" x14ac:dyDescent="0.25">
      <c r="C48" s="2" t="s">
        <v>12</v>
      </c>
      <c r="D48" s="23">
        <v>10</v>
      </c>
      <c r="E48" s="3">
        <v>44197</v>
      </c>
      <c r="F48" s="20">
        <v>124419</v>
      </c>
      <c r="G48" s="122">
        <f>+(F48/12)*R40</f>
        <v>31104.75</v>
      </c>
      <c r="H48" s="122">
        <f>+(E57/12)*R41</f>
        <v>53007.678124999991</v>
      </c>
      <c r="I48" s="124">
        <f>+(E57/12)*R42</f>
        <v>42406.142499999994</v>
      </c>
      <c r="J48" s="124">
        <f t="shared" si="0"/>
        <v>126518.57062499999</v>
      </c>
      <c r="K48" s="127">
        <f>(E58/12)*R40</f>
        <v>33614.6875</v>
      </c>
      <c r="L48" s="122">
        <f>(F58/12)*R41</f>
        <v>57285.029947916664</v>
      </c>
      <c r="M48" s="122">
        <f>+(F58/12)*R42</f>
        <v>45828.023958333331</v>
      </c>
      <c r="N48" s="124">
        <f t="shared" si="1"/>
        <v>136727.74140624999</v>
      </c>
      <c r="O48" s="131">
        <f>+(F59/12)*R40</f>
        <v>36486.077112500003</v>
      </c>
      <c r="P48" s="122">
        <f>+(G59/12)*R41</f>
        <v>62178.356412552086</v>
      </c>
      <c r="Q48" s="122">
        <f>+(G59/12)*R42</f>
        <v>49742.685130041667</v>
      </c>
      <c r="R48" s="124">
        <f t="shared" si="2"/>
        <v>148407.11865509377</v>
      </c>
    </row>
    <row r="49" spans="3:18" x14ac:dyDescent="0.25">
      <c r="C49" s="2" t="s">
        <v>12</v>
      </c>
      <c r="D49" s="23">
        <v>10</v>
      </c>
      <c r="E49" s="3">
        <v>44197</v>
      </c>
      <c r="F49" s="20">
        <v>124419</v>
      </c>
      <c r="G49" s="122">
        <f>+(F49/12)*R40</f>
        <v>31104.75</v>
      </c>
      <c r="H49" s="122">
        <f>+(E57/12)*R41</f>
        <v>53007.678124999991</v>
      </c>
      <c r="I49" s="124">
        <f>+(E57/12)*R42</f>
        <v>42406.142499999994</v>
      </c>
      <c r="J49" s="124">
        <f t="shared" si="0"/>
        <v>126518.57062499999</v>
      </c>
      <c r="K49" s="128">
        <f>(E58/12)*R40</f>
        <v>33614.6875</v>
      </c>
      <c r="L49" s="122">
        <f>(F58/12)*R41</f>
        <v>57285.029947916664</v>
      </c>
      <c r="M49" s="122">
        <f>+(F58/12)*R42</f>
        <v>45828.023958333331</v>
      </c>
      <c r="N49" s="124">
        <f t="shared" si="1"/>
        <v>136727.74140624999</v>
      </c>
      <c r="O49" s="132">
        <f>+(F59/12)*R40</f>
        <v>36486.077112500003</v>
      </c>
      <c r="P49" s="122">
        <f>+(G59/12)*R41</f>
        <v>62178.356412552086</v>
      </c>
      <c r="Q49" s="122">
        <f>+(G59/12)*R42</f>
        <v>49742.685130041667</v>
      </c>
      <c r="R49" s="124">
        <f t="shared" si="2"/>
        <v>148407.11865509377</v>
      </c>
    </row>
    <row r="50" spans="3:18" x14ac:dyDescent="0.25">
      <c r="C50" s="2" t="s">
        <v>13</v>
      </c>
      <c r="D50" s="23">
        <v>10</v>
      </c>
      <c r="E50" s="3">
        <v>44256</v>
      </c>
      <c r="F50" s="20">
        <v>131500</v>
      </c>
      <c r="G50" s="122"/>
      <c r="H50" s="122">
        <f>+(E58/12)*R41</f>
        <v>56024.479166666672</v>
      </c>
      <c r="I50" s="124">
        <f>+(E58/12)*R42</f>
        <v>44819.583333333336</v>
      </c>
      <c r="J50" s="124">
        <f t="shared" si="0"/>
        <v>100844.0625</v>
      </c>
      <c r="K50" s="122">
        <f>+(E58/12)*R40</f>
        <v>33614.6875</v>
      </c>
      <c r="L50" s="133">
        <f>(F59/12)*R41</f>
        <v>60810.128520833343</v>
      </c>
      <c r="M50" s="122">
        <f>+(F59/12)*R42</f>
        <v>48648.102816666673</v>
      </c>
      <c r="N50" s="124">
        <f t="shared" si="1"/>
        <v>143072.91883750001</v>
      </c>
      <c r="O50" s="122">
        <f>+(F59/12)*R40</f>
        <v>36486.077112500003</v>
      </c>
      <c r="P50" s="122">
        <f>+(G59/12)*R41</f>
        <v>62178.356412552086</v>
      </c>
      <c r="Q50" s="122">
        <f>+(G59/12)*R42</f>
        <v>49742.685130041667</v>
      </c>
      <c r="R50" s="124">
        <f t="shared" si="2"/>
        <v>148407.11865509377</v>
      </c>
    </row>
    <row r="52" spans="3:18" x14ac:dyDescent="0.25">
      <c r="F52" s="125"/>
      <c r="G52" s="126"/>
      <c r="H52" s="122"/>
      <c r="I52" s="122"/>
      <c r="J52" s="124"/>
      <c r="K52" s="122"/>
      <c r="L52" s="122"/>
      <c r="M52" s="122"/>
    </row>
    <row r="53" spans="3:18" x14ac:dyDescent="0.25">
      <c r="L53" s="122"/>
    </row>
    <row r="54" spans="3:18" x14ac:dyDescent="0.25">
      <c r="D54">
        <v>2020</v>
      </c>
      <c r="E54">
        <v>2021</v>
      </c>
      <c r="F54">
        <v>2022</v>
      </c>
      <c r="G54" s="12">
        <v>2023</v>
      </c>
      <c r="H54" s="12"/>
      <c r="I54" s="12"/>
    </row>
    <row r="55" spans="3:18" x14ac:dyDescent="0.25">
      <c r="C55" t="s">
        <v>62</v>
      </c>
      <c r="D55" s="122">
        <v>113798</v>
      </c>
      <c r="E55" s="122">
        <f>+D55*1.0225</f>
        <v>116358.455</v>
      </c>
      <c r="F55" s="122">
        <f t="shared" ref="F55:G55" si="3">+E55*1.0225</f>
        <v>118976.52023749999</v>
      </c>
      <c r="G55" s="122">
        <f t="shared" si="3"/>
        <v>121653.49194284374</v>
      </c>
      <c r="H55" s="12"/>
      <c r="I55" s="12"/>
    </row>
    <row r="56" spans="3:18" x14ac:dyDescent="0.25">
      <c r="C56" t="s">
        <v>63</v>
      </c>
      <c r="D56" s="122">
        <v>118349</v>
      </c>
      <c r="E56" s="122">
        <f t="shared" ref="E56:G56" si="4">+D56*1.0225</f>
        <v>121011.85249999999</v>
      </c>
      <c r="F56" s="122">
        <f t="shared" si="4"/>
        <v>123734.61918124999</v>
      </c>
      <c r="G56" s="122">
        <f t="shared" si="4"/>
        <v>126518.64811282812</v>
      </c>
      <c r="H56" s="12"/>
      <c r="I56" s="123"/>
    </row>
    <row r="57" spans="3:18" x14ac:dyDescent="0.25">
      <c r="C57" t="s">
        <v>64</v>
      </c>
      <c r="D57" s="122">
        <v>124419</v>
      </c>
      <c r="E57" s="122">
        <f t="shared" ref="E57:G57" si="5">+D57*1.0225</f>
        <v>127218.42749999999</v>
      </c>
      <c r="F57" s="122">
        <f t="shared" si="5"/>
        <v>130080.84211874999</v>
      </c>
      <c r="G57" s="122">
        <f t="shared" si="5"/>
        <v>133007.66106642186</v>
      </c>
      <c r="H57" s="12"/>
      <c r="I57" s="123"/>
    </row>
    <row r="58" spans="3:18" x14ac:dyDescent="0.25">
      <c r="C58" t="s">
        <v>65</v>
      </c>
      <c r="D58" s="122">
        <v>131500</v>
      </c>
      <c r="E58" s="122">
        <f t="shared" ref="E58:G58" si="6">+D58*1.0225</f>
        <v>134458.75</v>
      </c>
      <c r="F58" s="122">
        <f t="shared" si="6"/>
        <v>137484.07187499999</v>
      </c>
      <c r="G58" s="122">
        <f t="shared" si="6"/>
        <v>140577.4634921875</v>
      </c>
      <c r="H58" s="12"/>
      <c r="I58" s="123"/>
    </row>
    <row r="59" spans="3:18" x14ac:dyDescent="0.25">
      <c r="C59" t="s">
        <v>66</v>
      </c>
      <c r="D59" s="122">
        <v>139592</v>
      </c>
      <c r="E59" s="122">
        <f t="shared" ref="E59:G59" si="7">+D59*1.0225</f>
        <v>142732.82</v>
      </c>
      <c r="F59" s="122">
        <f t="shared" si="7"/>
        <v>145944.30845000001</v>
      </c>
      <c r="G59" s="122">
        <f t="shared" si="7"/>
        <v>149228.055390125</v>
      </c>
      <c r="H59" s="12"/>
      <c r="I59" s="123"/>
    </row>
    <row r="60" spans="3:18" x14ac:dyDescent="0.25">
      <c r="H60" s="12"/>
      <c r="I60" s="123"/>
    </row>
    <row r="61" spans="3:18" x14ac:dyDescent="0.25">
      <c r="C61" t="s">
        <v>67</v>
      </c>
      <c r="D61" s="122">
        <v>145155</v>
      </c>
      <c r="E61" s="122">
        <f>+D61*1.0225</f>
        <v>148420.98749999999</v>
      </c>
      <c r="F61" s="122">
        <f>+E61*1.0225</f>
        <v>151760.45971874997</v>
      </c>
      <c r="G61" s="123">
        <f>+F61*1.0225</f>
        <v>155175.07006242184</v>
      </c>
    </row>
  </sheetData>
  <mergeCells count="3">
    <mergeCell ref="G44:J44"/>
    <mergeCell ref="K44:N44"/>
    <mergeCell ref="O44:R44"/>
  </mergeCell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:M5"/>
  <sheetViews>
    <sheetView zoomScale="115" zoomScaleNormal="115" workbookViewId="0">
      <selection activeCell="M1" sqref="M1:M1048576"/>
    </sheetView>
  </sheetViews>
  <sheetFormatPr defaultRowHeight="15" x14ac:dyDescent="0.25"/>
  <cols>
    <col min="5" max="5" width="14.140625" customWidth="1"/>
    <col min="7" max="7" width="9.28515625" bestFit="1" customWidth="1"/>
    <col min="9" max="9" width="9.28515625" bestFit="1" customWidth="1"/>
    <col min="12" max="13" width="9.28515625" bestFit="1" customWidth="1"/>
  </cols>
  <sheetData>
    <row r="1" spans="5:13" x14ac:dyDescent="0.25">
      <c r="E1">
        <v>2020</v>
      </c>
      <c r="G1">
        <v>2021</v>
      </c>
      <c r="I1" t="s">
        <v>87</v>
      </c>
      <c r="L1">
        <v>2022</v>
      </c>
      <c r="M1">
        <v>2023</v>
      </c>
    </row>
    <row r="2" spans="5:13" x14ac:dyDescent="0.25">
      <c r="E2" s="152">
        <f>'HR EIM Roles'!P25</f>
        <v>519094.2693229625</v>
      </c>
      <c r="G2" s="152">
        <f>'HR EIM Roles'!R25</f>
        <v>1551125.8504416612</v>
      </c>
      <c r="I2" s="152">
        <f>'HR EIM Roles'!T25</f>
        <v>214849.63351342309</v>
      </c>
      <c r="L2" s="152">
        <f>'HR EIM Roles'!V25</f>
        <v>2236390.091398838</v>
      </c>
      <c r="M2" s="152">
        <f>'HR EIM Roles'!X25</f>
        <v>3227466.7091118079</v>
      </c>
    </row>
    <row r="3" spans="5:13" x14ac:dyDescent="0.25">
      <c r="E3" s="152">
        <f>'HR EIM Roles'!P26</f>
        <v>178360.79093936994</v>
      </c>
      <c r="G3" s="152">
        <f>'HR EIM Roles'!R26</f>
        <v>532966.84221175476</v>
      </c>
      <c r="I3" s="152">
        <f>'HR EIM Roles'!T26</f>
        <v>73822.334075212173</v>
      </c>
    </row>
    <row r="5" spans="5:13" x14ac:dyDescent="0.25">
      <c r="E5" s="152">
        <f>'HR EIM Roles'!P27</f>
        <v>340733.47838359256</v>
      </c>
      <c r="G5" s="152">
        <f>'HR EIM Roles'!R27</f>
        <v>1018159.0082299064</v>
      </c>
      <c r="I5" s="152">
        <f>'HR EIM Roles'!T27</f>
        <v>141027.2994382109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54"/>
  <sheetViews>
    <sheetView topLeftCell="G31" zoomScale="90" zoomScaleNormal="90" workbookViewId="0">
      <selection activeCell="T53" sqref="T53"/>
    </sheetView>
  </sheetViews>
  <sheetFormatPr defaultRowHeight="15" x14ac:dyDescent="0.25"/>
  <cols>
    <col min="1" max="1" width="13.42578125" customWidth="1"/>
    <col min="2" max="2" width="22.140625" customWidth="1"/>
    <col min="3" max="3" width="7.85546875" customWidth="1"/>
    <col min="4" max="4" width="27.5703125" customWidth="1"/>
    <col min="5" max="5" width="12.5703125" style="24" customWidth="1"/>
    <col min="6" max="6" width="17" customWidth="1"/>
    <col min="7" max="7" width="12.5703125" customWidth="1"/>
    <col min="8" max="9" width="13" customWidth="1"/>
    <col min="10" max="10" width="12.140625" customWidth="1"/>
    <col min="11" max="12" width="11.85546875" customWidth="1"/>
    <col min="13" max="13" width="12" customWidth="1"/>
    <col min="14" max="14" width="11.42578125" customWidth="1"/>
    <col min="15" max="15" width="12" customWidth="1"/>
    <col min="16" max="16" width="11.5703125" bestFit="1" customWidth="1"/>
    <col min="17" max="18" width="11.5703125" customWidth="1"/>
    <col min="19" max="20" width="11.5703125" bestFit="1" customWidth="1"/>
    <col min="21" max="21" width="12.85546875" customWidth="1"/>
    <col min="22" max="22" width="11.5703125" bestFit="1" customWidth="1"/>
    <col min="24" max="24" width="11.5703125" bestFit="1" customWidth="1"/>
  </cols>
  <sheetData>
    <row r="1" spans="1:25" ht="25.5" customHeight="1" thickBot="1" x14ac:dyDescent="0.3">
      <c r="A1" s="50" t="s">
        <v>49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27"/>
      <c r="O1" s="196" t="s">
        <v>39</v>
      </c>
      <c r="P1" s="197"/>
      <c r="Q1" s="197"/>
      <c r="R1" s="197"/>
      <c r="S1" s="197"/>
      <c r="T1" s="198"/>
      <c r="U1" s="199" t="s">
        <v>38</v>
      </c>
      <c r="V1" s="200"/>
      <c r="W1" s="200"/>
      <c r="X1" s="201"/>
    </row>
    <row r="2" spans="1:25" ht="17.25" customHeight="1" x14ac:dyDescent="0.25">
      <c r="A2" s="213" t="s">
        <v>5</v>
      </c>
      <c r="B2" s="215" t="s">
        <v>1</v>
      </c>
      <c r="C2" s="192" t="s">
        <v>71</v>
      </c>
      <c r="D2" s="215" t="s">
        <v>70</v>
      </c>
      <c r="E2" s="192" t="s">
        <v>24</v>
      </c>
      <c r="F2" s="215" t="s">
        <v>2</v>
      </c>
      <c r="G2" s="217" t="s">
        <v>30</v>
      </c>
      <c r="H2" s="192" t="s">
        <v>26</v>
      </c>
      <c r="I2" s="192" t="s">
        <v>27</v>
      </c>
      <c r="J2" s="194" t="s">
        <v>28</v>
      </c>
      <c r="K2" s="192" t="s">
        <v>45</v>
      </c>
      <c r="L2" s="192" t="s">
        <v>50</v>
      </c>
      <c r="M2" s="192" t="s">
        <v>51</v>
      </c>
      <c r="N2" s="194" t="s">
        <v>52</v>
      </c>
      <c r="O2" s="202">
        <v>2020</v>
      </c>
      <c r="P2" s="203"/>
      <c r="Q2" s="204">
        <v>2021</v>
      </c>
      <c r="R2" s="205"/>
      <c r="S2" s="202" t="s">
        <v>72</v>
      </c>
      <c r="T2" s="203"/>
      <c r="U2" s="206" t="s">
        <v>73</v>
      </c>
      <c r="V2" s="207"/>
      <c r="W2" s="204">
        <v>2023</v>
      </c>
      <c r="X2" s="205"/>
    </row>
    <row r="3" spans="1:25" s="1" customFormat="1" ht="17.25" customHeight="1" thickBot="1" x14ac:dyDescent="0.3">
      <c r="A3" s="214"/>
      <c r="B3" s="216"/>
      <c r="C3" s="193"/>
      <c r="D3" s="216"/>
      <c r="E3" s="212"/>
      <c r="F3" s="216"/>
      <c r="G3" s="218"/>
      <c r="H3" s="193"/>
      <c r="I3" s="193"/>
      <c r="J3" s="195"/>
      <c r="K3" s="212"/>
      <c r="L3" s="193"/>
      <c r="M3" s="193"/>
      <c r="N3" s="195"/>
      <c r="O3" s="7" t="s">
        <v>0</v>
      </c>
      <c r="P3" s="8" t="s">
        <v>7</v>
      </c>
      <c r="Q3" s="7" t="s">
        <v>0</v>
      </c>
      <c r="R3" s="8" t="s">
        <v>7</v>
      </c>
      <c r="S3" s="7" t="s">
        <v>0</v>
      </c>
      <c r="T3" s="8" t="s">
        <v>7</v>
      </c>
      <c r="U3" s="7" t="s">
        <v>0</v>
      </c>
      <c r="V3" s="8" t="s">
        <v>7</v>
      </c>
      <c r="W3" s="7" t="s">
        <v>0</v>
      </c>
      <c r="X3" s="8" t="s">
        <v>7</v>
      </c>
      <c r="Y3" s="59"/>
    </row>
    <row r="4" spans="1:25" s="11" customFormat="1" ht="17.25" customHeight="1" x14ac:dyDescent="0.25">
      <c r="A4" s="208" t="s">
        <v>6</v>
      </c>
      <c r="B4" s="210" t="s">
        <v>4</v>
      </c>
      <c r="C4" s="149">
        <v>1</v>
      </c>
      <c r="D4" s="9" t="s">
        <v>40</v>
      </c>
      <c r="E4" s="22">
        <v>11</v>
      </c>
      <c r="F4" s="10">
        <v>43466</v>
      </c>
      <c r="G4" s="19">
        <v>123000</v>
      </c>
      <c r="H4" s="14">
        <f>+G4*(1+Assumption!$D$31)</f>
        <v>126074.99999999999</v>
      </c>
      <c r="I4" s="14">
        <f>+H4*(1+Assumption!$D$31)</f>
        <v>129226.87499999997</v>
      </c>
      <c r="J4" s="14">
        <f>+I4*(1+Assumption!$D$31)</f>
        <v>132457.54687499997</v>
      </c>
      <c r="K4" s="102">
        <f>+G4-(G4*Assumption!$C$39)</f>
        <v>110035.8</v>
      </c>
      <c r="L4" s="14">
        <f>+K4*(1+Assumption!$D$31)</f>
        <v>112786.69499999999</v>
      </c>
      <c r="M4" s="14">
        <f>+L4*(1+Assumption!$D$31)</f>
        <v>115606.36237499998</v>
      </c>
      <c r="N4" s="14">
        <f>+M4*(1+Assumption!$D$31)</f>
        <v>118496.52143437497</v>
      </c>
      <c r="O4" s="35">
        <f t="shared" ref="O4:O23" si="0">$G4*(O34/12)*P34</f>
        <v>92250</v>
      </c>
      <c r="P4" s="35">
        <f t="shared" ref="P4:P23" si="1">$G4*(O34/12)*(1-P34)</f>
        <v>30750</v>
      </c>
      <c r="Q4" s="35">
        <f t="shared" ref="Q4:Q23" si="2">$L4*(Q34/12)*R34</f>
        <v>84590.021249999991</v>
      </c>
      <c r="R4" s="36">
        <f t="shared" ref="R4:R23" si="3">$L4*(Q34/12)*(1-R34)</f>
        <v>28196.673749999998</v>
      </c>
      <c r="S4" s="35">
        <f t="shared" ref="S4:S23" si="4">$M4*(S34/12)*T34</f>
        <v>28901.590593749992</v>
      </c>
      <c r="T4" s="36">
        <f t="shared" ref="T4:T23" si="5">$M4*(S34/12)*(1-T34)</f>
        <v>9633.8635312499973</v>
      </c>
      <c r="U4" s="35">
        <f t="shared" ref="U4:U23" si="6">$M4*(U34/12)*V34</f>
        <v>0</v>
      </c>
      <c r="V4" s="36">
        <f t="shared" ref="V4:V23" si="7">$M4*(U34/12)*(1-V34)</f>
        <v>77070.908249999979</v>
      </c>
      <c r="W4" s="35">
        <f t="shared" ref="W4:W23" si="8">$N4*(W34/12)*X34</f>
        <v>0</v>
      </c>
      <c r="X4" s="37">
        <f t="shared" ref="X4:X23" si="9">$N4*(W34/12)*(1-X34)</f>
        <v>0</v>
      </c>
      <c r="Y4" s="95"/>
    </row>
    <row r="5" spans="1:25" s="11" customFormat="1" ht="17.25" customHeight="1" x14ac:dyDescent="0.25">
      <c r="A5" s="208"/>
      <c r="B5" s="210"/>
      <c r="C5" s="149">
        <v>2</v>
      </c>
      <c r="D5" s="69" t="s">
        <v>22</v>
      </c>
      <c r="E5" s="70">
        <v>9</v>
      </c>
      <c r="F5" s="71">
        <v>44075</v>
      </c>
      <c r="G5" s="72">
        <v>75000</v>
      </c>
      <c r="H5" s="13">
        <f>+G5*(1+Assumption!$D$31)</f>
        <v>76875</v>
      </c>
      <c r="I5" s="13">
        <f>+H5*(1+Assumption!$D$31)</f>
        <v>78796.875</v>
      </c>
      <c r="J5" s="13">
        <f>+I5*(1+Assumption!$D$31)</f>
        <v>80766.796875</v>
      </c>
      <c r="K5" s="103">
        <f>+G5-(G5*Assumption!$C$39)</f>
        <v>67095</v>
      </c>
      <c r="L5" s="13">
        <f>+K5*(1+Assumption!$D$31)</f>
        <v>68772.375</v>
      </c>
      <c r="M5" s="13">
        <f>+L5*(1+Assumption!$D$31)</f>
        <v>70491.684374999997</v>
      </c>
      <c r="N5" s="13">
        <f>+M5*(1+Assumption!$D$31)</f>
        <v>72253.976484374987</v>
      </c>
      <c r="O5" s="73">
        <f t="shared" si="0"/>
        <v>0</v>
      </c>
      <c r="P5" s="73">
        <f t="shared" si="1"/>
        <v>25000</v>
      </c>
      <c r="Q5" s="73">
        <f t="shared" si="2"/>
        <v>0</v>
      </c>
      <c r="R5" s="74">
        <f t="shared" si="3"/>
        <v>68772.375</v>
      </c>
      <c r="S5" s="73">
        <f t="shared" si="4"/>
        <v>11748.614062499999</v>
      </c>
      <c r="T5" s="74">
        <f t="shared" si="5"/>
        <v>11748.614062499999</v>
      </c>
      <c r="U5" s="73">
        <f t="shared" si="6"/>
        <v>0</v>
      </c>
      <c r="V5" s="74">
        <f t="shared" si="7"/>
        <v>0</v>
      </c>
      <c r="W5" s="73">
        <f t="shared" si="8"/>
        <v>0</v>
      </c>
      <c r="X5" s="75">
        <f t="shared" si="9"/>
        <v>0</v>
      </c>
      <c r="Y5" s="95"/>
    </row>
    <row r="6" spans="1:25" ht="15.75" thickBot="1" x14ac:dyDescent="0.3">
      <c r="A6" s="209"/>
      <c r="B6" s="211"/>
      <c r="C6" s="150">
        <v>4</v>
      </c>
      <c r="D6" s="15" t="s">
        <v>3</v>
      </c>
      <c r="E6" s="21">
        <v>12</v>
      </c>
      <c r="F6" s="16">
        <v>44378</v>
      </c>
      <c r="G6" s="17">
        <v>140000</v>
      </c>
      <c r="H6" s="17">
        <f>+G6*(1+Assumption!$D$31)</f>
        <v>143500</v>
      </c>
      <c r="I6" s="17">
        <f>+H6*(1+Assumption!$D$31)</f>
        <v>147087.5</v>
      </c>
      <c r="J6" s="17">
        <f>+I6*(1+Assumption!$D$31)</f>
        <v>150764.6875</v>
      </c>
      <c r="K6" s="104">
        <f>+G6-(G6*Assumption!$C$39)</f>
        <v>125244</v>
      </c>
      <c r="L6" s="17">
        <f>+K6*(1+Assumption!$D$31)</f>
        <v>128375.09999999999</v>
      </c>
      <c r="M6" s="17">
        <f>+L6*(1+Assumption!$D$31)</f>
        <v>131584.47749999998</v>
      </c>
      <c r="N6" s="17">
        <f>+M6*(1+Assumption!$D$31)</f>
        <v>134874.08943749996</v>
      </c>
      <c r="O6" s="41">
        <f t="shared" si="0"/>
        <v>0</v>
      </c>
      <c r="P6" s="41">
        <f t="shared" si="1"/>
        <v>0</v>
      </c>
      <c r="Q6" s="41">
        <f t="shared" si="2"/>
        <v>32093.774999999998</v>
      </c>
      <c r="R6" s="42">
        <f t="shared" si="3"/>
        <v>32093.774999999998</v>
      </c>
      <c r="S6" s="41">
        <f t="shared" si="4"/>
        <v>39475.343249999998</v>
      </c>
      <c r="T6" s="42">
        <f t="shared" si="5"/>
        <v>4386.1492499999986</v>
      </c>
      <c r="U6" s="41">
        <f t="shared" si="6"/>
        <v>0</v>
      </c>
      <c r="V6" s="42">
        <f t="shared" si="7"/>
        <v>87722.984999999986</v>
      </c>
      <c r="W6" s="41">
        <f t="shared" si="8"/>
        <v>0</v>
      </c>
      <c r="X6" s="43">
        <f t="shared" si="9"/>
        <v>134874.08943749996</v>
      </c>
      <c r="Y6" s="95"/>
    </row>
    <row r="7" spans="1:25" x14ac:dyDescent="0.25">
      <c r="A7" s="219" t="s">
        <v>11</v>
      </c>
      <c r="B7" s="220" t="s">
        <v>9</v>
      </c>
      <c r="C7" s="159">
        <v>7</v>
      </c>
      <c r="D7" s="134" t="s">
        <v>25</v>
      </c>
      <c r="E7" s="135">
        <v>10</v>
      </c>
      <c r="F7" s="136">
        <v>43862</v>
      </c>
      <c r="G7" s="110">
        <f>135526+(135526*(0.03*9/12))</f>
        <v>138575.33499999999</v>
      </c>
      <c r="H7" s="110">
        <f>+G7*(1+Assumption!$D$31)</f>
        <v>142039.71837499997</v>
      </c>
      <c r="I7" s="111">
        <f>+H7*(1+Assumption!$D$31)</f>
        <v>145590.71133437497</v>
      </c>
      <c r="J7" s="111">
        <f>+I7*(1+Assumption!$D$31)</f>
        <v>149230.47911773433</v>
      </c>
      <c r="K7" s="110">
        <f>+G7-(G7*Assumption!C39)</f>
        <v>123969.494691</v>
      </c>
      <c r="L7" s="111">
        <f>+K7*(1+Assumption!$D$31)</f>
        <v>127068.73205827498</v>
      </c>
      <c r="M7" s="111">
        <f>+L7*(1+Assumption!$D$31)</f>
        <v>130245.45035973184</v>
      </c>
      <c r="N7" s="111">
        <f>+M7*(1+Assumption!$D$31)</f>
        <v>133501.58661872512</v>
      </c>
      <c r="O7" s="35">
        <f t="shared" si="0"/>
        <v>68594.790824999989</v>
      </c>
      <c r="P7" s="35">
        <f t="shared" si="1"/>
        <v>58432.599591666651</v>
      </c>
      <c r="Q7" s="35">
        <f t="shared" si="2"/>
        <v>95301.54904370624</v>
      </c>
      <c r="R7" s="36">
        <f t="shared" si="3"/>
        <v>31767.183014568745</v>
      </c>
      <c r="S7" s="35">
        <f t="shared" si="4"/>
        <v>39073.635107919552</v>
      </c>
      <c r="T7" s="36">
        <f t="shared" si="5"/>
        <v>4341.5150119910604</v>
      </c>
      <c r="U7" s="35">
        <f t="shared" si="6"/>
        <v>0</v>
      </c>
      <c r="V7" s="36">
        <f t="shared" si="7"/>
        <v>86830.300239821227</v>
      </c>
      <c r="W7" s="35">
        <f t="shared" si="8"/>
        <v>0</v>
      </c>
      <c r="X7" s="37">
        <f t="shared" si="9"/>
        <v>133501.58661872512</v>
      </c>
      <c r="Y7" s="95"/>
    </row>
    <row r="8" spans="1:25" x14ac:dyDescent="0.25">
      <c r="A8" s="208"/>
      <c r="B8" s="221"/>
      <c r="C8" s="149">
        <v>6</v>
      </c>
      <c r="D8" s="137" t="s">
        <v>10</v>
      </c>
      <c r="E8" s="138">
        <v>11</v>
      </c>
      <c r="F8" s="139">
        <v>43983</v>
      </c>
      <c r="G8" s="106">
        <v>129000</v>
      </c>
      <c r="H8" s="106">
        <f>+G8*(1+Assumption!$D$31)</f>
        <v>132225</v>
      </c>
      <c r="I8" s="106">
        <f>+H8*(1+Assumption!$D$31)</f>
        <v>135530.625</v>
      </c>
      <c r="J8" s="106">
        <f>+I8*(1+Assumption!$D$31)</f>
        <v>138918.890625</v>
      </c>
      <c r="K8" s="106">
        <f>G8-(G8*Assumption!C39)</f>
        <v>115403.4</v>
      </c>
      <c r="L8" s="106">
        <f>+K8*(1+Assumption!$D$31)</f>
        <v>118288.48499999999</v>
      </c>
      <c r="M8" s="106">
        <f>+L8*(1+Assumption!$D$31)</f>
        <v>121245.69712499998</v>
      </c>
      <c r="N8" s="106">
        <f>+M8*(1+Assumption!$D$31)</f>
        <v>124276.83955312497</v>
      </c>
      <c r="O8" s="38">
        <f t="shared" si="0"/>
        <v>60200</v>
      </c>
      <c r="P8" s="38">
        <f t="shared" si="1"/>
        <v>15049.999999999996</v>
      </c>
      <c r="Q8" s="38">
        <f t="shared" si="2"/>
        <v>106459.63649999999</v>
      </c>
      <c r="R8" s="39">
        <f t="shared" si="3"/>
        <v>11828.848499999996</v>
      </c>
      <c r="S8" s="38">
        <f t="shared" si="4"/>
        <v>36373.709137499995</v>
      </c>
      <c r="T8" s="39">
        <f t="shared" si="5"/>
        <v>4041.5232374999982</v>
      </c>
      <c r="U8" s="38">
        <f t="shared" si="6"/>
        <v>0</v>
      </c>
      <c r="V8" s="39">
        <f t="shared" si="7"/>
        <v>80830.464749999985</v>
      </c>
      <c r="W8" s="38">
        <f t="shared" si="8"/>
        <v>0</v>
      </c>
      <c r="X8" s="40">
        <f t="shared" si="9"/>
        <v>124276.83955312497</v>
      </c>
      <c r="Y8" s="95"/>
    </row>
    <row r="9" spans="1:25" x14ac:dyDescent="0.25">
      <c r="A9" s="208"/>
      <c r="B9" s="221"/>
      <c r="C9" s="149">
        <v>5</v>
      </c>
      <c r="D9" s="137" t="s">
        <v>19</v>
      </c>
      <c r="E9" s="138">
        <v>12</v>
      </c>
      <c r="F9" s="139">
        <v>44378</v>
      </c>
      <c r="G9" s="106">
        <v>120000</v>
      </c>
      <c r="H9" s="106">
        <f>+G9*(1+Assumption!$D$31)</f>
        <v>122999.99999999999</v>
      </c>
      <c r="I9" s="13">
        <f>+H9*(1+Assumption!$D$31)</f>
        <v>126074.99999999997</v>
      </c>
      <c r="J9" s="13">
        <f>+I9*(1+Assumption!$D$31)</f>
        <v>129226.87499999996</v>
      </c>
      <c r="K9" s="108">
        <f>+G9-(G9*Assumption!$C$39)</f>
        <v>107352</v>
      </c>
      <c r="L9" s="13">
        <f>+K9*(1+Assumption!$D$31)</f>
        <v>110035.79999999999</v>
      </c>
      <c r="M9" s="13">
        <f>+L9*(1+Assumption!$D$31)</f>
        <v>112786.69499999998</v>
      </c>
      <c r="N9" s="13">
        <f>+M9*(1+Assumption!$D$31)</f>
        <v>115606.36237499997</v>
      </c>
      <c r="O9" s="38">
        <f t="shared" si="0"/>
        <v>0</v>
      </c>
      <c r="P9" s="38">
        <f t="shared" si="1"/>
        <v>0</v>
      </c>
      <c r="Q9" s="38">
        <f t="shared" si="2"/>
        <v>27508.949999999997</v>
      </c>
      <c r="R9" s="39">
        <f t="shared" si="3"/>
        <v>27508.949999999997</v>
      </c>
      <c r="S9" s="38">
        <f t="shared" si="4"/>
        <v>18797.782499999994</v>
      </c>
      <c r="T9" s="39">
        <f t="shared" si="5"/>
        <v>18797.782499999994</v>
      </c>
      <c r="U9" s="38">
        <f t="shared" si="6"/>
        <v>0</v>
      </c>
      <c r="V9" s="39">
        <f t="shared" si="7"/>
        <v>75191.129999999976</v>
      </c>
      <c r="W9" s="38">
        <f t="shared" si="8"/>
        <v>0</v>
      </c>
      <c r="X9" s="40">
        <f t="shared" si="9"/>
        <v>115606.36237499997</v>
      </c>
      <c r="Y9" s="95"/>
    </row>
    <row r="10" spans="1:25" x14ac:dyDescent="0.25">
      <c r="A10" s="208"/>
      <c r="B10" s="221"/>
      <c r="C10" s="149">
        <v>7</v>
      </c>
      <c r="D10" s="137" t="s">
        <v>12</v>
      </c>
      <c r="E10" s="138">
        <v>10</v>
      </c>
      <c r="F10" s="139">
        <v>44077</v>
      </c>
      <c r="G10" s="106">
        <v>113798</v>
      </c>
      <c r="H10" s="106">
        <f>Assumption!J46</f>
        <v>117269.47374999999</v>
      </c>
      <c r="I10" s="112">
        <f>Assumption!N46</f>
        <v>125169.33515677083</v>
      </c>
      <c r="J10" s="112">
        <f>+I10*(1+Assumption!$D$31)</f>
        <v>128298.56853569009</v>
      </c>
      <c r="K10" s="106">
        <f>+G10-(G10*Assumption!$C$39)</f>
        <v>101803.6908</v>
      </c>
      <c r="L10" s="112">
        <f>+K10*(1+Assumption!$D$31)</f>
        <v>104348.78306999999</v>
      </c>
      <c r="M10" s="112">
        <f>+L10*(1+Assumption!$D$31)</f>
        <v>106957.50264674998</v>
      </c>
      <c r="N10" s="112">
        <f>+M10*(1+Assumption!$D$31)</f>
        <v>109631.44021291872</v>
      </c>
      <c r="O10" s="38">
        <f t="shared" si="0"/>
        <v>9483.1666666666661</v>
      </c>
      <c r="P10" s="38">
        <f t="shared" si="1"/>
        <v>28449.5</v>
      </c>
      <c r="Q10" s="38">
        <f t="shared" si="2"/>
        <v>20869.756613999998</v>
      </c>
      <c r="R10" s="39">
        <f t="shared" si="3"/>
        <v>83479.026455999992</v>
      </c>
      <c r="S10" s="38">
        <f t="shared" si="4"/>
        <v>32087.250794024996</v>
      </c>
      <c r="T10" s="39">
        <f t="shared" si="5"/>
        <v>3565.2500882249988</v>
      </c>
      <c r="U10" s="38">
        <f t="shared" si="6"/>
        <v>0</v>
      </c>
      <c r="V10" s="39">
        <f t="shared" si="7"/>
        <v>71305.00176449999</v>
      </c>
      <c r="W10" s="38">
        <f t="shared" si="8"/>
        <v>0</v>
      </c>
      <c r="X10" s="40">
        <f t="shared" si="9"/>
        <v>109631.44021291872</v>
      </c>
      <c r="Y10" s="95"/>
    </row>
    <row r="11" spans="1:25" x14ac:dyDescent="0.25">
      <c r="A11" s="208"/>
      <c r="B11" s="221"/>
      <c r="C11" s="149">
        <v>7</v>
      </c>
      <c r="D11" s="137" t="s">
        <v>12</v>
      </c>
      <c r="E11" s="138">
        <v>10</v>
      </c>
      <c r="F11" s="139">
        <v>44078</v>
      </c>
      <c r="G11" s="106">
        <v>113798</v>
      </c>
      <c r="H11" s="106">
        <f>Assumption!J47</f>
        <v>117269.47374999999</v>
      </c>
      <c r="I11" s="112">
        <f>Assumption!N47</f>
        <v>125169.33515677083</v>
      </c>
      <c r="J11" s="112">
        <f>+I11*(1+Assumption!$D$31)</f>
        <v>128298.56853569009</v>
      </c>
      <c r="K11" s="106">
        <f>+G11-(G11*Assumption!$C$39)</f>
        <v>101803.6908</v>
      </c>
      <c r="L11" s="112">
        <f>+K11*(1+Assumption!$D$31)</f>
        <v>104348.78306999999</v>
      </c>
      <c r="M11" s="112">
        <f>+L11*(1+Assumption!$D$31)</f>
        <v>106957.50264674998</v>
      </c>
      <c r="N11" s="112">
        <f>+M11*(1+Assumption!$D$31)</f>
        <v>109631.44021291872</v>
      </c>
      <c r="O11" s="38">
        <f t="shared" si="0"/>
        <v>9483.1666666666661</v>
      </c>
      <c r="P11" s="38">
        <f t="shared" si="1"/>
        <v>28449.5</v>
      </c>
      <c r="Q11" s="38">
        <f t="shared" si="2"/>
        <v>20869.756613999998</v>
      </c>
      <c r="R11" s="39">
        <f t="shared" si="3"/>
        <v>83479.026455999992</v>
      </c>
      <c r="S11" s="38">
        <f t="shared" si="4"/>
        <v>32087.250794024996</v>
      </c>
      <c r="T11" s="39">
        <f t="shared" si="5"/>
        <v>3565.2500882249988</v>
      </c>
      <c r="U11" s="38">
        <f t="shared" si="6"/>
        <v>0</v>
      </c>
      <c r="V11" s="39">
        <f t="shared" si="7"/>
        <v>71305.00176449999</v>
      </c>
      <c r="W11" s="38">
        <f t="shared" si="8"/>
        <v>0</v>
      </c>
      <c r="X11" s="40">
        <f t="shared" si="9"/>
        <v>109631.44021291872</v>
      </c>
      <c r="Y11" s="95"/>
    </row>
    <row r="12" spans="1:25" x14ac:dyDescent="0.25">
      <c r="A12" s="208"/>
      <c r="B12" s="221"/>
      <c r="C12" s="149">
        <v>7</v>
      </c>
      <c r="D12" s="137" t="s">
        <v>12</v>
      </c>
      <c r="E12" s="138">
        <v>10</v>
      </c>
      <c r="F12" s="139">
        <v>44197</v>
      </c>
      <c r="G12" s="106">
        <v>113798</v>
      </c>
      <c r="H12" s="106">
        <f>Assumption!J48</f>
        <v>126518.57062499999</v>
      </c>
      <c r="I12" s="112">
        <f>Assumption!N48</f>
        <v>136727.74140624999</v>
      </c>
      <c r="J12" s="112">
        <f>+I12*(1+Assumption!$D$31)</f>
        <v>140145.93494140622</v>
      </c>
      <c r="K12" s="106">
        <f>+G12-(G12*Assumption!$C$39)</f>
        <v>101803.6908</v>
      </c>
      <c r="L12" s="112">
        <f>+K12*(1+Assumption!$D$31)</f>
        <v>104348.78306999999</v>
      </c>
      <c r="M12" s="112">
        <f>+L12*(1+Assumption!$D$31)</f>
        <v>106957.50264674998</v>
      </c>
      <c r="N12" s="112">
        <f>+M12*(1+Assumption!$D$31)</f>
        <v>109631.44021291872</v>
      </c>
      <c r="O12" s="38">
        <f t="shared" si="0"/>
        <v>0</v>
      </c>
      <c r="P12" s="38">
        <f t="shared" si="1"/>
        <v>0</v>
      </c>
      <c r="Q12" s="38">
        <f t="shared" si="2"/>
        <v>20869.756613999998</v>
      </c>
      <c r="R12" s="39">
        <f t="shared" si="3"/>
        <v>83479.026455999992</v>
      </c>
      <c r="S12" s="38">
        <f t="shared" si="4"/>
        <v>32087.250794024996</v>
      </c>
      <c r="T12" s="39">
        <f t="shared" si="5"/>
        <v>3565.2500882249988</v>
      </c>
      <c r="U12" s="38">
        <f t="shared" si="6"/>
        <v>0</v>
      </c>
      <c r="V12" s="39">
        <f t="shared" si="7"/>
        <v>71305.00176449999</v>
      </c>
      <c r="W12" s="38">
        <f t="shared" si="8"/>
        <v>0</v>
      </c>
      <c r="X12" s="40">
        <f t="shared" si="9"/>
        <v>109631.44021291872</v>
      </c>
      <c r="Y12" s="95"/>
    </row>
    <row r="13" spans="1:25" x14ac:dyDescent="0.25">
      <c r="A13" s="208"/>
      <c r="B13" s="221"/>
      <c r="C13" s="149">
        <v>7</v>
      </c>
      <c r="D13" s="137" t="s">
        <v>12</v>
      </c>
      <c r="E13" s="138">
        <v>10</v>
      </c>
      <c r="F13" s="139">
        <v>44197</v>
      </c>
      <c r="G13" s="106">
        <v>113798</v>
      </c>
      <c r="H13" s="106">
        <f>Assumption!J49</f>
        <v>126518.57062499999</v>
      </c>
      <c r="I13" s="112">
        <f>Assumption!N49</f>
        <v>136727.74140624999</v>
      </c>
      <c r="J13" s="112">
        <f>+I13*(1+Assumption!$D$31)</f>
        <v>140145.93494140622</v>
      </c>
      <c r="K13" s="106">
        <f>+G13-(G13*Assumption!$C$39)</f>
        <v>101803.6908</v>
      </c>
      <c r="L13" s="112">
        <f>+K13*(1+Assumption!$D$31)</f>
        <v>104348.78306999999</v>
      </c>
      <c r="M13" s="112">
        <f>+L13*(1+Assumption!$D$31)</f>
        <v>106957.50264674998</v>
      </c>
      <c r="N13" s="112">
        <f>+M13*(1+Assumption!$D$31)</f>
        <v>109631.44021291872</v>
      </c>
      <c r="O13" s="38">
        <f t="shared" si="0"/>
        <v>0</v>
      </c>
      <c r="P13" s="38">
        <f t="shared" si="1"/>
        <v>0</v>
      </c>
      <c r="Q13" s="38">
        <f t="shared" si="2"/>
        <v>20869.756613999998</v>
      </c>
      <c r="R13" s="39">
        <f t="shared" si="3"/>
        <v>83479.026455999992</v>
      </c>
      <c r="S13" s="38">
        <f t="shared" si="4"/>
        <v>32087.250794024996</v>
      </c>
      <c r="T13" s="39">
        <f t="shared" si="5"/>
        <v>3565.2500882249988</v>
      </c>
      <c r="U13" s="38">
        <f t="shared" si="6"/>
        <v>0</v>
      </c>
      <c r="V13" s="39">
        <f t="shared" si="7"/>
        <v>71305.00176449999</v>
      </c>
      <c r="W13" s="38">
        <f t="shared" si="8"/>
        <v>0</v>
      </c>
      <c r="X13" s="40">
        <f t="shared" si="9"/>
        <v>109631.44021291872</v>
      </c>
      <c r="Y13" s="95"/>
    </row>
    <row r="14" spans="1:25" x14ac:dyDescent="0.25">
      <c r="A14" s="208"/>
      <c r="B14" s="221"/>
      <c r="C14" s="149">
        <v>7</v>
      </c>
      <c r="D14" s="137" t="s">
        <v>13</v>
      </c>
      <c r="E14" s="138">
        <v>10</v>
      </c>
      <c r="F14" s="139">
        <v>44256</v>
      </c>
      <c r="G14" s="106">
        <v>113798</v>
      </c>
      <c r="H14" s="106">
        <f>Assumption!J50</f>
        <v>100844.0625</v>
      </c>
      <c r="I14" s="112">
        <f>Assumption!N50</f>
        <v>143072.91883750001</v>
      </c>
      <c r="J14" s="112">
        <f>+I14*(1+Assumption!$D$31)</f>
        <v>146649.74180843751</v>
      </c>
      <c r="K14" s="106">
        <f>+G14-(G14*Assumption!$C$39)</f>
        <v>101803.6908</v>
      </c>
      <c r="L14" s="112">
        <f>+K14*(1+Assumption!$D$31)</f>
        <v>104348.78306999999</v>
      </c>
      <c r="M14" s="112">
        <f>+L14*(1+Assumption!$D$31)</f>
        <v>106957.50264674998</v>
      </c>
      <c r="N14" s="112">
        <f>+M14*(1+Assumption!$D$31)</f>
        <v>109631.44021291872</v>
      </c>
      <c r="O14" s="38">
        <f t="shared" si="0"/>
        <v>0</v>
      </c>
      <c r="P14" s="38">
        <f t="shared" si="1"/>
        <v>0</v>
      </c>
      <c r="Q14" s="38">
        <f t="shared" si="2"/>
        <v>17391.463845000002</v>
      </c>
      <c r="R14" s="39">
        <f t="shared" si="3"/>
        <v>69565.855380000008</v>
      </c>
      <c r="S14" s="38">
        <f t="shared" si="4"/>
        <v>32087.250794024996</v>
      </c>
      <c r="T14" s="39">
        <f t="shared" si="5"/>
        <v>3565.2500882249988</v>
      </c>
      <c r="U14" s="38">
        <f t="shared" si="6"/>
        <v>0</v>
      </c>
      <c r="V14" s="39">
        <f t="shared" si="7"/>
        <v>71305.00176449999</v>
      </c>
      <c r="W14" s="38">
        <f t="shared" si="8"/>
        <v>0</v>
      </c>
      <c r="X14" s="40">
        <f t="shared" si="9"/>
        <v>109631.44021291872</v>
      </c>
      <c r="Y14" s="95"/>
    </row>
    <row r="15" spans="1:25" s="12" customFormat="1" x14ac:dyDescent="0.25">
      <c r="A15" s="208"/>
      <c r="B15" s="221"/>
      <c r="C15" s="149">
        <v>8</v>
      </c>
      <c r="D15" s="137" t="s">
        <v>21</v>
      </c>
      <c r="E15" s="138">
        <v>9</v>
      </c>
      <c r="F15" s="139">
        <v>44621</v>
      </c>
      <c r="G15" s="106">
        <v>80000</v>
      </c>
      <c r="H15" s="117">
        <f>+G15*(1+Assumption!$D$31)</f>
        <v>82000</v>
      </c>
      <c r="I15" s="117">
        <f>+H15*(1+Assumption!$D$31)</f>
        <v>84049.999999999985</v>
      </c>
      <c r="J15" s="117">
        <f>+I15*(1+Assumption!$D$31)</f>
        <v>86151.249999999971</v>
      </c>
      <c r="K15" s="117">
        <f>+G15-(G15*Assumption!$C$39)</f>
        <v>71568</v>
      </c>
      <c r="L15" s="117">
        <f>+K15*(1+Assumption!$D$31)</f>
        <v>73357.2</v>
      </c>
      <c r="M15" s="117">
        <f>+L15*(1+Assumption!$D$31)</f>
        <v>75191.12999999999</v>
      </c>
      <c r="N15" s="117">
        <f>+M15*(1+Assumption!$D$31)</f>
        <v>77070.908249999979</v>
      </c>
      <c r="O15" s="118">
        <f t="shared" si="0"/>
        <v>0</v>
      </c>
      <c r="P15" s="118">
        <f t="shared" si="1"/>
        <v>0</v>
      </c>
      <c r="Q15" s="118">
        <f t="shared" si="2"/>
        <v>0</v>
      </c>
      <c r="R15" s="119">
        <f t="shared" si="3"/>
        <v>0</v>
      </c>
      <c r="S15" s="118">
        <f t="shared" si="4"/>
        <v>11278.669499999998</v>
      </c>
      <c r="T15" s="119">
        <f t="shared" si="5"/>
        <v>1253.1854999999996</v>
      </c>
      <c r="U15" s="118">
        <f t="shared" si="6"/>
        <v>0</v>
      </c>
      <c r="V15" s="119">
        <f t="shared" si="7"/>
        <v>50127.419999999991</v>
      </c>
      <c r="W15" s="118">
        <f t="shared" si="8"/>
        <v>0</v>
      </c>
      <c r="X15" s="120">
        <f t="shared" si="9"/>
        <v>77070.908249999979</v>
      </c>
      <c r="Y15" s="121"/>
    </row>
    <row r="16" spans="1:25" ht="15.75" thickBot="1" x14ac:dyDescent="0.3">
      <c r="A16" s="209"/>
      <c r="B16" s="147" t="s">
        <v>56</v>
      </c>
      <c r="C16" s="146">
        <v>3</v>
      </c>
      <c r="D16" s="140" t="s">
        <v>57</v>
      </c>
      <c r="E16" s="141">
        <v>10</v>
      </c>
      <c r="F16" s="142">
        <v>43831</v>
      </c>
      <c r="G16" s="116">
        <v>100000</v>
      </c>
      <c r="H16" s="117">
        <f>+G16*(1+Assumption!$D$31)*0.3</f>
        <v>30749.999999999993</v>
      </c>
      <c r="I16" s="117">
        <f>+H16*(1+Assumption!$D$31)</f>
        <v>31518.749999999989</v>
      </c>
      <c r="J16" s="117">
        <f>+I16*(1+Assumption!$D$31)</f>
        <v>32306.718749999985</v>
      </c>
      <c r="K16" s="117">
        <f>+G16-(G16*Assumption!$C$39)</f>
        <v>89460</v>
      </c>
      <c r="L16" s="117">
        <f>+K16*(1+Assumption!$D$31)*0.3</f>
        <v>27508.949999999993</v>
      </c>
      <c r="M16" s="117">
        <f>+L16*(1+Assumption!$D$31)</f>
        <v>28196.673749999991</v>
      </c>
      <c r="N16" s="117">
        <f>+M16*(1+Assumption!$D$31)</f>
        <v>28901.590593749988</v>
      </c>
      <c r="O16" s="118">
        <f t="shared" si="0"/>
        <v>85000</v>
      </c>
      <c r="P16" s="118">
        <f t="shared" si="1"/>
        <v>15000.000000000002</v>
      </c>
      <c r="Q16" s="118">
        <f t="shared" si="2"/>
        <v>27508.949999999993</v>
      </c>
      <c r="R16" s="119">
        <f t="shared" si="3"/>
        <v>0</v>
      </c>
      <c r="S16" s="118">
        <f t="shared" si="4"/>
        <v>0</v>
      </c>
      <c r="T16" s="119">
        <f t="shared" si="5"/>
        <v>0</v>
      </c>
      <c r="U16" s="118">
        <f t="shared" si="6"/>
        <v>0</v>
      </c>
      <c r="V16" s="119">
        <f t="shared" si="7"/>
        <v>0</v>
      </c>
      <c r="W16" s="118">
        <f t="shared" si="8"/>
        <v>0</v>
      </c>
      <c r="X16" s="120">
        <f t="shared" si="9"/>
        <v>0</v>
      </c>
      <c r="Y16" s="95"/>
    </row>
    <row r="17" spans="1:26" x14ac:dyDescent="0.25">
      <c r="A17" s="222" t="s">
        <v>18</v>
      </c>
      <c r="B17" s="220" t="s">
        <v>23</v>
      </c>
      <c r="C17" s="148">
        <v>9</v>
      </c>
      <c r="D17" s="134" t="s">
        <v>14</v>
      </c>
      <c r="E17" s="135">
        <v>11</v>
      </c>
      <c r="F17" s="136">
        <v>44075</v>
      </c>
      <c r="G17" s="110">
        <v>123000</v>
      </c>
      <c r="H17" s="110">
        <f>+G17*(1+Assumption!$D$31)</f>
        <v>126074.99999999999</v>
      </c>
      <c r="I17" s="14">
        <f>+H17*(1+Assumption!$D$31)</f>
        <v>129226.87499999997</v>
      </c>
      <c r="J17" s="14">
        <f>+I17*(1+Assumption!$D$31)</f>
        <v>132457.54687499997</v>
      </c>
      <c r="K17" s="102">
        <f>+G17-(G17*Assumption!$C$39)</f>
        <v>110035.8</v>
      </c>
      <c r="L17" s="14">
        <f>+K17*(1+Assumption!$D$31)</f>
        <v>112786.69499999999</v>
      </c>
      <c r="M17" s="14">
        <f>+L17*(1+Assumption!$D$31)</f>
        <v>115606.36237499998</v>
      </c>
      <c r="N17" s="14">
        <f>+M17*(1+Assumption!$D$31)</f>
        <v>118496.52143437497</v>
      </c>
      <c r="O17" s="35">
        <f t="shared" si="0"/>
        <v>20500</v>
      </c>
      <c r="P17" s="35">
        <f t="shared" si="1"/>
        <v>20500</v>
      </c>
      <c r="Q17" s="35">
        <f t="shared" si="2"/>
        <v>56393.347499999996</v>
      </c>
      <c r="R17" s="36">
        <f t="shared" si="3"/>
        <v>56393.347499999996</v>
      </c>
      <c r="S17" s="35">
        <f t="shared" si="4"/>
        <v>34681.908712499993</v>
      </c>
      <c r="T17" s="36">
        <f t="shared" si="5"/>
        <v>3853.5454124999983</v>
      </c>
      <c r="U17" s="35">
        <f t="shared" si="6"/>
        <v>0</v>
      </c>
      <c r="V17" s="36">
        <f t="shared" si="7"/>
        <v>77070.908249999979</v>
      </c>
      <c r="W17" s="35">
        <f t="shared" si="8"/>
        <v>0</v>
      </c>
      <c r="X17" s="37">
        <f t="shared" si="9"/>
        <v>118496.52143437497</v>
      </c>
      <c r="Y17" s="95"/>
    </row>
    <row r="18" spans="1:26" x14ac:dyDescent="0.25">
      <c r="A18" s="223"/>
      <c r="B18" s="221"/>
      <c r="C18" s="149">
        <v>11</v>
      </c>
      <c r="D18" s="137" t="s">
        <v>15</v>
      </c>
      <c r="E18" s="138">
        <v>10</v>
      </c>
      <c r="F18" s="139">
        <v>44287</v>
      </c>
      <c r="G18" s="106">
        <v>107000</v>
      </c>
      <c r="H18" s="106">
        <f>+G18*(1+Assumption!$D$31)</f>
        <v>109674.99999999999</v>
      </c>
      <c r="I18" s="13">
        <f>+H18*(1+Assumption!$D$31)</f>
        <v>112416.87499999997</v>
      </c>
      <c r="J18" s="13">
        <f>+I18*(1+Assumption!$D$31)</f>
        <v>115227.29687499996</v>
      </c>
      <c r="K18" s="103">
        <f>+G18-(G18*Assumption!$C$39)</f>
        <v>95722.2</v>
      </c>
      <c r="L18" s="13">
        <f>+K18*(1+Assumption!$D$31)</f>
        <v>98115.25499999999</v>
      </c>
      <c r="M18" s="13">
        <f>+L18*(1+Assumption!$D$31)</f>
        <v>100568.13637499999</v>
      </c>
      <c r="N18" s="13">
        <f>+M18*(1+Assumption!$D$31)</f>
        <v>103082.33978437498</v>
      </c>
      <c r="O18" s="38">
        <f t="shared" si="0"/>
        <v>0</v>
      </c>
      <c r="P18" s="38">
        <f t="shared" si="1"/>
        <v>0</v>
      </c>
      <c r="Q18" s="38">
        <f t="shared" si="2"/>
        <v>36793.220624999994</v>
      </c>
      <c r="R18" s="39">
        <f t="shared" si="3"/>
        <v>36793.220624999994</v>
      </c>
      <c r="S18" s="38">
        <f t="shared" si="4"/>
        <v>30170.440912499991</v>
      </c>
      <c r="T18" s="39">
        <f t="shared" si="5"/>
        <v>3352.2712124999985</v>
      </c>
      <c r="U18" s="38">
        <f t="shared" si="6"/>
        <v>0</v>
      </c>
      <c r="V18" s="39">
        <f t="shared" si="7"/>
        <v>67045.424249999982</v>
      </c>
      <c r="W18" s="38">
        <f t="shared" si="8"/>
        <v>0</v>
      </c>
      <c r="X18" s="40">
        <f t="shared" si="9"/>
        <v>103082.33978437498</v>
      </c>
      <c r="Y18" s="95"/>
    </row>
    <row r="19" spans="1:26" x14ac:dyDescent="0.25">
      <c r="A19" s="223"/>
      <c r="B19" s="221"/>
      <c r="C19" s="149">
        <v>10</v>
      </c>
      <c r="D19" s="137" t="s">
        <v>16</v>
      </c>
      <c r="E19" s="138">
        <v>10</v>
      </c>
      <c r="F19" s="139">
        <v>44287</v>
      </c>
      <c r="G19" s="106">
        <v>107000</v>
      </c>
      <c r="H19" s="106">
        <f>+G19*(1+Assumption!$D$31)</f>
        <v>109674.99999999999</v>
      </c>
      <c r="I19" s="13">
        <f>+H19*(1+Assumption!$D$31)</f>
        <v>112416.87499999997</v>
      </c>
      <c r="J19" s="13">
        <f>+I19*(1+Assumption!$D$31)</f>
        <v>115227.29687499996</v>
      </c>
      <c r="K19" s="103">
        <f>+G19-(G19*Assumption!$C$39)</f>
        <v>95722.2</v>
      </c>
      <c r="L19" s="13">
        <f>+K19*(1+Assumption!$D$31)</f>
        <v>98115.25499999999</v>
      </c>
      <c r="M19" s="13">
        <f>+L19*(1+Assumption!$D$31)</f>
        <v>100568.13637499999</v>
      </c>
      <c r="N19" s="13">
        <f>+M19*(1+Assumption!$D$31)</f>
        <v>103082.33978437498</v>
      </c>
      <c r="O19" s="38">
        <f t="shared" si="0"/>
        <v>0</v>
      </c>
      <c r="P19" s="38">
        <f t="shared" si="1"/>
        <v>0</v>
      </c>
      <c r="Q19" s="38">
        <f t="shared" si="2"/>
        <v>36793.220624999994</v>
      </c>
      <c r="R19" s="39">
        <f t="shared" si="3"/>
        <v>36793.220624999994</v>
      </c>
      <c r="S19" s="38">
        <f t="shared" si="4"/>
        <v>30170.440912499991</v>
      </c>
      <c r="T19" s="39">
        <f t="shared" si="5"/>
        <v>3352.2712124999985</v>
      </c>
      <c r="U19" s="38">
        <f t="shared" si="6"/>
        <v>0</v>
      </c>
      <c r="V19" s="39">
        <f t="shared" si="7"/>
        <v>67045.424249999982</v>
      </c>
      <c r="W19" s="38">
        <f t="shared" si="8"/>
        <v>0</v>
      </c>
      <c r="X19" s="40">
        <f t="shared" si="9"/>
        <v>103082.33978437498</v>
      </c>
      <c r="Y19" s="95"/>
    </row>
    <row r="20" spans="1:26" x14ac:dyDescent="0.25">
      <c r="A20" s="223"/>
      <c r="B20" s="221"/>
      <c r="C20" s="149">
        <v>10</v>
      </c>
      <c r="D20" s="137" t="s">
        <v>16</v>
      </c>
      <c r="E20" s="138">
        <v>9</v>
      </c>
      <c r="F20" s="139">
        <v>44378</v>
      </c>
      <c r="G20" s="106">
        <v>94000</v>
      </c>
      <c r="H20" s="106">
        <f>+G20*(1+Assumption!$D$31)</f>
        <v>96349.999999999985</v>
      </c>
      <c r="I20" s="13">
        <f>+H20*(1+Assumption!$D$31)</f>
        <v>98758.749999999971</v>
      </c>
      <c r="J20" s="13">
        <f>+I20*(1+Assumption!$D$31)</f>
        <v>101227.71874999996</v>
      </c>
      <c r="K20" s="103">
        <f>+G20-(G20*Assumption!$C$39)</f>
        <v>84092.4</v>
      </c>
      <c r="L20" s="13">
        <f>+K20*(1+Assumption!$D$31)</f>
        <v>86194.709999999992</v>
      </c>
      <c r="M20" s="13">
        <f>+L20*(1+Assumption!$D$31)</f>
        <v>88349.577749999982</v>
      </c>
      <c r="N20" s="13">
        <f>+M20*(1+Assumption!$D$31)</f>
        <v>90558.317193749972</v>
      </c>
      <c r="O20" s="38">
        <f t="shared" si="0"/>
        <v>0</v>
      </c>
      <c r="P20" s="38">
        <f t="shared" si="1"/>
        <v>0</v>
      </c>
      <c r="Q20" s="38">
        <f t="shared" si="2"/>
        <v>21548.677499999998</v>
      </c>
      <c r="R20" s="39">
        <f t="shared" si="3"/>
        <v>21548.677499999998</v>
      </c>
      <c r="S20" s="38">
        <f t="shared" si="4"/>
        <v>26504.873324999997</v>
      </c>
      <c r="T20" s="39">
        <f t="shared" si="5"/>
        <v>2944.9859249999986</v>
      </c>
      <c r="U20" s="38">
        <f t="shared" si="6"/>
        <v>0</v>
      </c>
      <c r="V20" s="39">
        <f t="shared" si="7"/>
        <v>58899.718499999988</v>
      </c>
      <c r="W20" s="38">
        <f t="shared" si="8"/>
        <v>0</v>
      </c>
      <c r="X20" s="40">
        <f t="shared" si="9"/>
        <v>90558.317193749972</v>
      </c>
      <c r="Y20" s="95"/>
    </row>
    <row r="21" spans="1:26" ht="15.75" thickBot="1" x14ac:dyDescent="0.3">
      <c r="A21" s="224"/>
      <c r="B21" s="225"/>
      <c r="C21" s="150">
        <v>10</v>
      </c>
      <c r="D21" s="143" t="s">
        <v>16</v>
      </c>
      <c r="E21" s="144">
        <v>9</v>
      </c>
      <c r="F21" s="145">
        <v>44378</v>
      </c>
      <c r="G21" s="107">
        <v>94000</v>
      </c>
      <c r="H21" s="107">
        <f>+G21*(1+Assumption!$D$31)</f>
        <v>96349.999999999985</v>
      </c>
      <c r="I21" s="17">
        <f>+H21*(1+Assumption!$D$31)</f>
        <v>98758.749999999971</v>
      </c>
      <c r="J21" s="17">
        <f>+I21*(1+Assumption!$D$31)</f>
        <v>101227.71874999996</v>
      </c>
      <c r="K21" s="104">
        <f>+G21-(G21*Assumption!$C$39)</f>
        <v>84092.4</v>
      </c>
      <c r="L21" s="17">
        <f>+K21*(1+Assumption!$D$31)</f>
        <v>86194.709999999992</v>
      </c>
      <c r="M21" s="17">
        <f>+L21*(1+Assumption!$D$31)</f>
        <v>88349.577749999982</v>
      </c>
      <c r="N21" s="17">
        <f>+M21*(1+Assumption!$D$31)</f>
        <v>90558.317193749972</v>
      </c>
      <c r="O21" s="41">
        <f t="shared" si="0"/>
        <v>0</v>
      </c>
      <c r="P21" s="41">
        <f t="shared" si="1"/>
        <v>0</v>
      </c>
      <c r="Q21" s="41">
        <f t="shared" si="2"/>
        <v>32323.016249999997</v>
      </c>
      <c r="R21" s="42">
        <f t="shared" si="3"/>
        <v>10774.338749999999</v>
      </c>
      <c r="S21" s="41">
        <f t="shared" si="4"/>
        <v>26504.873324999997</v>
      </c>
      <c r="T21" s="42">
        <f t="shared" si="5"/>
        <v>2944.9859249999986</v>
      </c>
      <c r="U21" s="41">
        <f t="shared" si="6"/>
        <v>0</v>
      </c>
      <c r="V21" s="42">
        <f t="shared" si="7"/>
        <v>58899.718499999988</v>
      </c>
      <c r="W21" s="41">
        <f t="shared" si="8"/>
        <v>0</v>
      </c>
      <c r="X21" s="43">
        <f t="shared" si="9"/>
        <v>90558.317193749972</v>
      </c>
      <c r="Y21" s="95"/>
    </row>
    <row r="22" spans="1:26" x14ac:dyDescent="0.25">
      <c r="A22" s="219" t="s">
        <v>17</v>
      </c>
      <c r="B22" s="226" t="s">
        <v>20</v>
      </c>
      <c r="C22" s="151">
        <v>12</v>
      </c>
      <c r="D22" s="134" t="s">
        <v>68</v>
      </c>
      <c r="E22" s="135">
        <v>10</v>
      </c>
      <c r="F22" s="136">
        <v>43983</v>
      </c>
      <c r="G22" s="110">
        <v>85000</v>
      </c>
      <c r="H22" s="110">
        <f>+G22*(1+Assumption!$D$31)</f>
        <v>87124.999999999985</v>
      </c>
      <c r="I22" s="14">
        <f>+H22*(1+Assumption!$D$31)</f>
        <v>89303.124999999971</v>
      </c>
      <c r="J22" s="14">
        <f>+I22*(1+Assumption!$D$31)</f>
        <v>91535.703124999956</v>
      </c>
      <c r="K22" s="102">
        <f>+G22-(G22*Assumption!$C$39)</f>
        <v>76041</v>
      </c>
      <c r="L22" s="14">
        <f>+K22*(1+Assumption!$D$31)</f>
        <v>77942.024999999994</v>
      </c>
      <c r="M22" s="14">
        <f>+L22*(1+Assumption!$D$31)</f>
        <v>79890.575624999983</v>
      </c>
      <c r="N22" s="14">
        <f>+M22*(1+Assumption!$D$31)</f>
        <v>81887.84001562497</v>
      </c>
      <c r="O22" s="35">
        <f t="shared" si="0"/>
        <v>39666.666666666672</v>
      </c>
      <c r="P22" s="35">
        <f t="shared" si="1"/>
        <v>9916.6666666666642</v>
      </c>
      <c r="Q22" s="35">
        <f t="shared" si="2"/>
        <v>70147.822499999995</v>
      </c>
      <c r="R22" s="36">
        <f t="shared" si="3"/>
        <v>7794.2024999999976</v>
      </c>
      <c r="S22" s="35">
        <f t="shared" si="4"/>
        <v>23967.172687499995</v>
      </c>
      <c r="T22" s="36">
        <f t="shared" si="5"/>
        <v>2663.0191874999987</v>
      </c>
      <c r="U22" s="35">
        <f t="shared" si="6"/>
        <v>0</v>
      </c>
      <c r="V22" s="36">
        <f t="shared" si="7"/>
        <v>53260.383749999986</v>
      </c>
      <c r="W22" s="35">
        <f t="shared" si="8"/>
        <v>0</v>
      </c>
      <c r="X22" s="37">
        <f t="shared" si="9"/>
        <v>81887.84001562497</v>
      </c>
      <c r="Y22" s="95"/>
      <c r="Z22" s="57"/>
    </row>
    <row r="23" spans="1:26" ht="15.75" thickBot="1" x14ac:dyDescent="0.3">
      <c r="A23" s="209"/>
      <c r="B23" s="211"/>
      <c r="C23" s="147">
        <v>13</v>
      </c>
      <c r="D23" s="143" t="s">
        <v>69</v>
      </c>
      <c r="E23" s="144">
        <v>11</v>
      </c>
      <c r="F23" s="145">
        <v>43983</v>
      </c>
      <c r="G23" s="107">
        <v>95000</v>
      </c>
      <c r="H23" s="106">
        <f>+G23*(1+Assumption!$D$31)</f>
        <v>97374.999999999985</v>
      </c>
      <c r="I23" s="13">
        <f>+H23*(1+Assumption!$D$31)</f>
        <v>99809.374999999971</v>
      </c>
      <c r="J23" s="13">
        <f>+I23*(1+Assumption!$D$31)</f>
        <v>102304.60937499996</v>
      </c>
      <c r="K23" s="103">
        <f>+G23-(G23*Assumption!$C$39)</f>
        <v>84987</v>
      </c>
      <c r="L23" s="13">
        <f>+K23*(1+Assumption!$D$31)</f>
        <v>87111.674999999988</v>
      </c>
      <c r="M23" s="13">
        <f>+L23*(1+Assumption!$D$31)</f>
        <v>89289.466874999984</v>
      </c>
      <c r="N23" s="13">
        <f>+M23*(1+Assumption!$D$31)</f>
        <v>91521.703546874982</v>
      </c>
      <c r="O23" s="41">
        <f t="shared" si="0"/>
        <v>44333.333333333343</v>
      </c>
      <c r="P23" s="41">
        <f t="shared" si="1"/>
        <v>11083.333333333332</v>
      </c>
      <c r="Q23" s="41">
        <f t="shared" si="2"/>
        <v>78400.507499999992</v>
      </c>
      <c r="R23" s="42">
        <f t="shared" si="3"/>
        <v>8711.1674999999977</v>
      </c>
      <c r="S23" s="41">
        <f t="shared" si="4"/>
        <v>26786.840062499992</v>
      </c>
      <c r="T23" s="42">
        <f t="shared" si="5"/>
        <v>2976.3155624999986</v>
      </c>
      <c r="U23" s="41">
        <f t="shared" si="6"/>
        <v>0</v>
      </c>
      <c r="V23" s="42">
        <f t="shared" si="7"/>
        <v>59526.311249999984</v>
      </c>
      <c r="W23" s="41">
        <f t="shared" si="8"/>
        <v>0</v>
      </c>
      <c r="X23" s="43">
        <f t="shared" si="9"/>
        <v>91521.703546874982</v>
      </c>
      <c r="Y23" s="95"/>
      <c r="Z23" s="57"/>
    </row>
    <row r="24" spans="1:26" ht="15.75" thickBot="1" x14ac:dyDescent="0.3">
      <c r="A24" s="227" t="s">
        <v>48</v>
      </c>
      <c r="B24" s="228"/>
      <c r="C24" s="228"/>
      <c r="D24" s="228"/>
      <c r="E24" s="228"/>
      <c r="F24" s="228"/>
      <c r="G24" s="105">
        <f t="shared" ref="G24:W24" si="10">SUM(G4:G23)</f>
        <v>2179565.335</v>
      </c>
      <c r="H24" s="105">
        <f t="shared" si="10"/>
        <v>2167509.8696249998</v>
      </c>
      <c r="I24" s="105">
        <f t="shared" si="10"/>
        <v>2285434.0332979169</v>
      </c>
      <c r="J24" s="105">
        <f t="shared" si="10"/>
        <v>2342569.8841303643</v>
      </c>
      <c r="K24" s="105">
        <f t="shared" si="10"/>
        <v>1949839.1486909997</v>
      </c>
      <c r="L24" s="105">
        <f t="shared" si="10"/>
        <v>1934397.5774082744</v>
      </c>
      <c r="M24" s="105">
        <f t="shared" si="10"/>
        <v>1982757.5168434815</v>
      </c>
      <c r="N24" s="105">
        <f t="shared" si="10"/>
        <v>2032326.4547645678</v>
      </c>
      <c r="O24" s="93">
        <f t="shared" si="10"/>
        <v>429511.12415833329</v>
      </c>
      <c r="P24" s="94">
        <f t="shared" si="10"/>
        <v>242631.59959166666</v>
      </c>
      <c r="Q24" s="93">
        <f t="shared" si="10"/>
        <v>806733.18459470617</v>
      </c>
      <c r="R24" s="94">
        <f t="shared" si="10"/>
        <v>782457.94146856852</v>
      </c>
      <c r="S24" s="93">
        <f t="shared" si="10"/>
        <v>544872.14805929456</v>
      </c>
      <c r="T24" s="94">
        <f t="shared" si="10"/>
        <v>94116.277971866046</v>
      </c>
      <c r="U24" s="93">
        <f t="shared" si="10"/>
        <v>0</v>
      </c>
      <c r="V24" s="94">
        <f t="shared" si="10"/>
        <v>1256046.1058123212</v>
      </c>
      <c r="W24" s="93">
        <f t="shared" si="10"/>
        <v>0</v>
      </c>
      <c r="X24" s="94">
        <f>SUM(X4:X23)</f>
        <v>1812674.3662520684</v>
      </c>
    </row>
    <row r="25" spans="1:26" s="46" customFormat="1" x14ac:dyDescent="0.25">
      <c r="A25" s="44"/>
      <c r="B25" s="44"/>
      <c r="C25" s="44"/>
      <c r="D25" s="44"/>
      <c r="E25" s="44"/>
      <c r="F25" s="44"/>
      <c r="G25" s="44" t="s">
        <v>43</v>
      </c>
      <c r="H25" s="44"/>
      <c r="I25" s="44"/>
      <c r="J25" s="44"/>
      <c r="K25" s="109">
        <f>Assumption!P27</f>
        <v>0.78050000000000008</v>
      </c>
      <c r="M25" s="44"/>
      <c r="O25" s="60">
        <f t="shared" ref="O25:W25" si="11">+O24*(1+$K$25)</f>
        <v>764744.55656391243</v>
      </c>
      <c r="P25" s="60">
        <f t="shared" si="11"/>
        <v>432005.56307296245</v>
      </c>
      <c r="Q25" s="60">
        <f t="shared" si="11"/>
        <v>1436388.4351708742</v>
      </c>
      <c r="R25" s="60">
        <f t="shared" si="11"/>
        <v>1393166.3647847862</v>
      </c>
      <c r="S25" s="60">
        <f t="shared" si="11"/>
        <v>970144.85961957392</v>
      </c>
      <c r="T25" s="60">
        <f t="shared" si="11"/>
        <v>167574.03292890749</v>
      </c>
      <c r="U25" s="60">
        <f t="shared" si="11"/>
        <v>0</v>
      </c>
      <c r="V25" s="60">
        <f t="shared" si="11"/>
        <v>2236390.091398838</v>
      </c>
      <c r="W25" s="60">
        <f t="shared" si="11"/>
        <v>0</v>
      </c>
      <c r="X25" s="60">
        <f>+X24*(1+$K$25)</f>
        <v>3227466.7091118079</v>
      </c>
    </row>
    <row r="26" spans="1:26" s="46" customFormat="1" x14ac:dyDescent="0.25">
      <c r="A26" s="44"/>
      <c r="B26" s="44"/>
      <c r="C26" s="44"/>
      <c r="D26" s="44"/>
      <c r="E26" s="44"/>
      <c r="F26" s="44"/>
      <c r="G26" s="44" t="s">
        <v>55</v>
      </c>
      <c r="H26" s="44"/>
      <c r="I26" s="44"/>
      <c r="J26" s="44"/>
      <c r="K26" s="109">
        <f>34.36%</f>
        <v>0.34360000000000002</v>
      </c>
      <c r="L26" s="44"/>
      <c r="M26" s="44"/>
      <c r="N26" s="100"/>
      <c r="O26" s="60"/>
      <c r="P26" s="61">
        <f>+P25*$K$26</f>
        <v>148437.1114718699</v>
      </c>
      <c r="Q26" s="60"/>
      <c r="R26" s="61">
        <f>+R25*$K$26</f>
        <v>478691.96294005256</v>
      </c>
      <c r="S26" s="60"/>
      <c r="T26" s="61">
        <f>+T25*$K$26</f>
        <v>57578.437714372616</v>
      </c>
      <c r="U26" s="60"/>
      <c r="V26" s="60"/>
      <c r="W26" s="45"/>
      <c r="X26" s="45"/>
    </row>
    <row r="27" spans="1:26" s="46" customFormat="1" x14ac:dyDescent="0.25">
      <c r="A27" s="44"/>
      <c r="B27" s="44"/>
      <c r="C27" s="44"/>
      <c r="D27" s="44"/>
      <c r="E27" s="44"/>
      <c r="F27" s="44"/>
      <c r="G27" s="44" t="s">
        <v>36</v>
      </c>
      <c r="H27" s="44"/>
      <c r="I27" s="44"/>
      <c r="J27" s="44"/>
      <c r="K27" s="44"/>
      <c r="L27" s="44"/>
      <c r="M27" s="44"/>
      <c r="N27" s="100"/>
      <c r="O27" s="60"/>
      <c r="P27" s="60">
        <f>+P25-P26</f>
        <v>283568.45160109259</v>
      </c>
      <c r="Q27" s="60"/>
      <c r="R27" s="60">
        <f>+R25-R26</f>
        <v>914474.40184473363</v>
      </c>
      <c r="S27" s="60"/>
      <c r="T27" s="60">
        <f>+T25-T26</f>
        <v>109995.59521453487</v>
      </c>
      <c r="U27" s="60"/>
      <c r="V27" s="60"/>
      <c r="W27" s="45"/>
      <c r="X27" s="45"/>
    </row>
    <row r="28" spans="1:26" s="46" customFormat="1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101"/>
      <c r="O28" s="60"/>
      <c r="P28" s="60"/>
      <c r="Q28" s="60"/>
      <c r="R28" s="60"/>
      <c r="S28" s="60"/>
      <c r="T28" s="60"/>
      <c r="U28" s="45"/>
      <c r="V28" s="45"/>
    </row>
    <row r="29" spans="1:26" s="46" customFormat="1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60"/>
      <c r="O29" s="60"/>
      <c r="P29" s="60"/>
      <c r="Q29" s="60"/>
      <c r="R29" s="60"/>
      <c r="S29" s="60"/>
      <c r="T29" s="45"/>
      <c r="U29" s="45"/>
    </row>
    <row r="30" spans="1:26" s="46" customFormat="1" ht="15.75" thickBot="1" x14ac:dyDescent="0.3">
      <c r="A30" s="44"/>
      <c r="B30" s="44"/>
      <c r="C30" s="44"/>
      <c r="D30" s="115"/>
      <c r="E30" s="44"/>
      <c r="F30" s="44"/>
      <c r="G30" t="s">
        <v>53</v>
      </c>
      <c r="H30"/>
      <c r="I30"/>
      <c r="J30"/>
      <c r="K30" s="44"/>
      <c r="L30" s="44"/>
      <c r="M30" s="44"/>
      <c r="N30" s="44"/>
      <c r="O30" s="45"/>
      <c r="P30" s="45"/>
      <c r="Q30" s="45"/>
      <c r="R30" s="45"/>
      <c r="S30" s="45"/>
      <c r="T30" s="57"/>
      <c r="U30" s="45"/>
      <c r="V30" s="45"/>
      <c r="W30" s="45"/>
      <c r="X30" s="45"/>
    </row>
    <row r="31" spans="1:26" s="46" customFormat="1" ht="16.5" thickBot="1" x14ac:dyDescent="0.3">
      <c r="D31" s="47"/>
      <c r="E31" s="47"/>
      <c r="F31" s="48"/>
      <c r="G31" s="58" t="s">
        <v>35</v>
      </c>
      <c r="H31" s="58"/>
      <c r="I31" s="58"/>
      <c r="J31" s="58"/>
      <c r="L31" s="49"/>
      <c r="M31" s="49"/>
      <c r="N31" s="49"/>
      <c r="O31" s="196" t="s">
        <v>39</v>
      </c>
      <c r="P31" s="197"/>
      <c r="Q31" s="197"/>
      <c r="R31" s="197"/>
      <c r="S31" s="197"/>
      <c r="T31" s="198"/>
      <c r="U31" s="199" t="s">
        <v>38</v>
      </c>
      <c r="V31" s="200"/>
      <c r="W31" s="200"/>
      <c r="X31" s="201"/>
    </row>
    <row r="32" spans="1:26" ht="15.75" thickBot="1" x14ac:dyDescent="0.3">
      <c r="E32"/>
      <c r="O32" s="202">
        <v>2020</v>
      </c>
      <c r="P32" s="203"/>
      <c r="Q32" s="229">
        <v>2021</v>
      </c>
      <c r="R32" s="230"/>
      <c r="S32" s="231">
        <v>2022</v>
      </c>
      <c r="T32" s="232"/>
      <c r="U32" s="231">
        <v>2022</v>
      </c>
      <c r="V32" s="232"/>
      <c r="W32" s="229">
        <v>2023</v>
      </c>
      <c r="X32" s="233"/>
    </row>
    <row r="33" spans="5:26" ht="15.75" thickBot="1" x14ac:dyDescent="0.3">
      <c r="E33"/>
      <c r="F33" s="24"/>
      <c r="K33" s="4" t="s">
        <v>29</v>
      </c>
      <c r="L33" s="30" t="s">
        <v>32</v>
      </c>
      <c r="M33" s="31" t="s">
        <v>33</v>
      </c>
      <c r="N33" s="32" t="s">
        <v>34</v>
      </c>
      <c r="O33" s="54" t="s">
        <v>8</v>
      </c>
      <c r="P33" s="55" t="s">
        <v>31</v>
      </c>
      <c r="Q33" s="54" t="s">
        <v>8</v>
      </c>
      <c r="R33" s="56" t="s">
        <v>31</v>
      </c>
      <c r="S33" s="54" t="s">
        <v>8</v>
      </c>
      <c r="T33" s="55" t="s">
        <v>31</v>
      </c>
      <c r="U33" s="54" t="s">
        <v>8</v>
      </c>
      <c r="V33" s="55" t="s">
        <v>31</v>
      </c>
      <c r="W33" s="54" t="s">
        <v>8</v>
      </c>
      <c r="X33" s="55" t="s">
        <v>31</v>
      </c>
    </row>
    <row r="34" spans="5:26" x14ac:dyDescent="0.25">
      <c r="E34"/>
      <c r="F34" s="24"/>
      <c r="G34" s="84" t="str">
        <f t="shared" ref="G34:G53" si="12">D4</f>
        <v>EIM Program Manager</v>
      </c>
      <c r="H34" s="84"/>
      <c r="I34" s="84"/>
      <c r="J34" s="84"/>
      <c r="K34" s="77">
        <f t="shared" ref="K34:K53" si="13">IF(F4="","",F4)</f>
        <v>43466</v>
      </c>
      <c r="L34" s="78">
        <f t="shared" ref="L34:L53" si="14">YEAR(F4)</f>
        <v>2019</v>
      </c>
      <c r="M34" s="78">
        <f t="shared" ref="M34:M53" si="15">MONTH(F4)</f>
        <v>1</v>
      </c>
      <c r="N34" s="78">
        <f>12-M34+1</f>
        <v>12</v>
      </c>
      <c r="O34" s="66">
        <f>IF(L34=$O$32,N34,IF(L34&gt;$O$32,0,12))</f>
        <v>12</v>
      </c>
      <c r="P34" s="79">
        <v>0.75</v>
      </c>
      <c r="Q34" s="66">
        <f>IF(L34=$Q$32,N34,IF(L34&gt;$Q$32,0,12))</f>
        <v>12</v>
      </c>
      <c r="R34" s="80">
        <v>0.75</v>
      </c>
      <c r="S34" s="66">
        <f>IF(L34=$S$32,N34-8,IF(L34&gt;$S$32,0,4))</f>
        <v>4</v>
      </c>
      <c r="T34" s="81">
        <v>0.75</v>
      </c>
      <c r="U34" s="66">
        <f>IF(N34=$S$32,P34,IF(N34&gt;$S$32,0,8))</f>
        <v>8</v>
      </c>
      <c r="V34" s="82">
        <v>0</v>
      </c>
      <c r="W34" s="66"/>
      <c r="X34" s="81">
        <v>0</v>
      </c>
      <c r="Y34" t="s">
        <v>44</v>
      </c>
      <c r="Z34" s="83"/>
    </row>
    <row r="35" spans="5:26" x14ac:dyDescent="0.25">
      <c r="E35"/>
      <c r="F35" s="24"/>
      <c r="G35" s="62" t="str">
        <f t="shared" si="12"/>
        <v>OCM</v>
      </c>
      <c r="H35" s="62"/>
      <c r="I35" s="62"/>
      <c r="J35" s="62"/>
      <c r="K35" s="76">
        <f t="shared" si="13"/>
        <v>44075</v>
      </c>
      <c r="L35" s="63">
        <f t="shared" si="14"/>
        <v>2020</v>
      </c>
      <c r="M35" s="63">
        <f t="shared" si="15"/>
        <v>9</v>
      </c>
      <c r="N35" s="63">
        <f>12-M35+1</f>
        <v>4</v>
      </c>
      <c r="O35" s="85">
        <f>IF(L35=$O$32,N35,IF(L35&gt;$O$32,0,12))</f>
        <v>4</v>
      </c>
      <c r="P35" s="86">
        <v>0</v>
      </c>
      <c r="Q35" s="85">
        <f>IF(L35=$Q$32,N35,IF(L35&gt;$Q$32,0,12))</f>
        <v>12</v>
      </c>
      <c r="R35" s="87">
        <v>0</v>
      </c>
      <c r="S35" s="88">
        <f>IF(L35=$S$32,N35-8,IF(L35&gt;$S$32,0,4))</f>
        <v>4</v>
      </c>
      <c r="T35" s="89">
        <v>0.5</v>
      </c>
      <c r="U35" s="88"/>
      <c r="V35" s="90">
        <v>0</v>
      </c>
      <c r="W35" s="88"/>
      <c r="X35" s="89">
        <v>0</v>
      </c>
      <c r="Y35" s="57" t="s">
        <v>37</v>
      </c>
      <c r="Z35" s="83"/>
    </row>
    <row r="36" spans="5:26" x14ac:dyDescent="0.25">
      <c r="E36"/>
      <c r="F36" s="24"/>
      <c r="G36" s="12" t="str">
        <f t="shared" si="12"/>
        <v>Analyst</v>
      </c>
      <c r="H36" s="12"/>
      <c r="I36" s="12"/>
      <c r="J36" s="12"/>
      <c r="K36" s="28">
        <f t="shared" si="13"/>
        <v>44378</v>
      </c>
      <c r="L36" s="27">
        <f t="shared" si="14"/>
        <v>2021</v>
      </c>
      <c r="M36" s="27">
        <f t="shared" si="15"/>
        <v>7</v>
      </c>
      <c r="N36" s="27">
        <f>12-M36+1</f>
        <v>6</v>
      </c>
      <c r="O36" s="52">
        <f>IF(L36=$O$32,N36,IF(L36&gt;$O$32,0,12))</f>
        <v>0</v>
      </c>
      <c r="P36" s="25">
        <v>0</v>
      </c>
      <c r="Q36" s="53">
        <f t="shared" ref="Q36:Q53" si="16">IF(L36=$Q$32,N36,IF(L36&gt;$Q$32,0,12))</f>
        <v>6</v>
      </c>
      <c r="R36" s="33">
        <v>0.5</v>
      </c>
      <c r="S36" s="67">
        <f t="shared" ref="S36:S53" si="17">IF(L36=$S$32,N36-8,IF(L36&gt;$S$32,0,4))</f>
        <v>4</v>
      </c>
      <c r="T36" s="26">
        <v>0.9</v>
      </c>
      <c r="U36" s="67">
        <f t="shared" ref="U36:U53" si="18">IF(N36=$S$32,P36,IF(N36&gt;$S$32,0,8))</f>
        <v>8</v>
      </c>
      <c r="V36" s="64">
        <v>0</v>
      </c>
      <c r="W36" s="67">
        <f t="shared" ref="W36:W53" si="19">IF(R36=$Q$32,T36,IF(R36&gt;$Q$32,0,12))</f>
        <v>12</v>
      </c>
      <c r="X36" s="26">
        <v>0</v>
      </c>
    </row>
    <row r="37" spans="5:26" x14ac:dyDescent="0.25">
      <c r="E37"/>
      <c r="F37" s="24"/>
      <c r="G37" s="12" t="str">
        <f t="shared" si="12"/>
        <v>EIM BA Operator SME</v>
      </c>
      <c r="H37" s="12"/>
      <c r="I37" s="12"/>
      <c r="J37" s="12"/>
      <c r="K37" s="29">
        <f t="shared" si="13"/>
        <v>43862</v>
      </c>
      <c r="L37" s="27">
        <f t="shared" si="14"/>
        <v>2020</v>
      </c>
      <c r="M37" s="27">
        <f t="shared" si="15"/>
        <v>2</v>
      </c>
      <c r="N37" s="27">
        <f t="shared" ref="N37:N53" si="20">12-M37+1</f>
        <v>11</v>
      </c>
      <c r="O37" s="53">
        <f t="shared" ref="O37:O52" si="21">IF(L37=$O$32,N37,IF(L37&gt;$O$32,0,12))</f>
        <v>11</v>
      </c>
      <c r="P37" s="5">
        <v>0.54</v>
      </c>
      <c r="Q37" s="53">
        <f t="shared" si="16"/>
        <v>12</v>
      </c>
      <c r="R37" s="34">
        <v>0.75</v>
      </c>
      <c r="S37" s="67">
        <f t="shared" si="17"/>
        <v>4</v>
      </c>
      <c r="T37" s="6">
        <v>0.9</v>
      </c>
      <c r="U37" s="67">
        <f t="shared" si="18"/>
        <v>8</v>
      </c>
      <c r="V37" s="65">
        <v>0</v>
      </c>
      <c r="W37" s="67">
        <f t="shared" si="19"/>
        <v>12</v>
      </c>
      <c r="X37" s="6">
        <v>0</v>
      </c>
    </row>
    <row r="38" spans="5:26" x14ac:dyDescent="0.25">
      <c r="E38"/>
      <c r="F38" s="24"/>
      <c r="G38" s="18" t="str">
        <f t="shared" si="12"/>
        <v>EMS Modeling Engineer</v>
      </c>
      <c r="H38" s="18"/>
      <c r="I38" s="18"/>
      <c r="J38" s="18"/>
      <c r="K38" s="29">
        <f t="shared" si="13"/>
        <v>43983</v>
      </c>
      <c r="L38" s="27">
        <f t="shared" si="14"/>
        <v>2020</v>
      </c>
      <c r="M38" s="27">
        <f t="shared" si="15"/>
        <v>6</v>
      </c>
      <c r="N38" s="27">
        <f t="shared" si="20"/>
        <v>7</v>
      </c>
      <c r="O38" s="53">
        <f t="shared" si="21"/>
        <v>7</v>
      </c>
      <c r="P38" s="5">
        <v>0.8</v>
      </c>
      <c r="Q38" s="53">
        <f t="shared" si="16"/>
        <v>12</v>
      </c>
      <c r="R38" s="34">
        <v>0.9</v>
      </c>
      <c r="S38" s="67">
        <f t="shared" si="17"/>
        <v>4</v>
      </c>
      <c r="T38" s="6">
        <v>0.9</v>
      </c>
      <c r="U38" s="67">
        <f t="shared" si="18"/>
        <v>8</v>
      </c>
      <c r="V38" s="65">
        <v>0</v>
      </c>
      <c r="W38" s="67">
        <f t="shared" si="19"/>
        <v>12</v>
      </c>
      <c r="X38" s="6">
        <v>0</v>
      </c>
    </row>
    <row r="39" spans="5:26" x14ac:dyDescent="0.25">
      <c r="E39"/>
      <c r="F39" s="24"/>
      <c r="G39" s="18" t="str">
        <f t="shared" si="12"/>
        <v>EIM BA Analyst</v>
      </c>
      <c r="H39" s="18"/>
      <c r="I39" s="18"/>
      <c r="J39" s="18"/>
      <c r="K39" s="29">
        <f t="shared" si="13"/>
        <v>44378</v>
      </c>
      <c r="L39" s="27">
        <f t="shared" si="14"/>
        <v>2021</v>
      </c>
      <c r="M39" s="27">
        <f t="shared" si="15"/>
        <v>7</v>
      </c>
      <c r="N39" s="27">
        <f t="shared" si="20"/>
        <v>6</v>
      </c>
      <c r="O39" s="53">
        <f t="shared" si="21"/>
        <v>0</v>
      </c>
      <c r="P39" s="5">
        <v>0</v>
      </c>
      <c r="Q39" s="53">
        <f t="shared" si="16"/>
        <v>6</v>
      </c>
      <c r="R39" s="34">
        <v>0.5</v>
      </c>
      <c r="S39" s="67">
        <f t="shared" si="17"/>
        <v>4</v>
      </c>
      <c r="T39" s="6">
        <v>0.5</v>
      </c>
      <c r="U39" s="67">
        <f t="shared" si="18"/>
        <v>8</v>
      </c>
      <c r="V39" s="65">
        <v>0</v>
      </c>
      <c r="W39" s="67">
        <f t="shared" si="19"/>
        <v>12</v>
      </c>
      <c r="X39" s="6">
        <v>0</v>
      </c>
    </row>
    <row r="40" spans="5:26" x14ac:dyDescent="0.25">
      <c r="E40"/>
      <c r="F40" s="24"/>
      <c r="G40" s="12" t="str">
        <f t="shared" si="12"/>
        <v>EIM BA Operator</v>
      </c>
      <c r="H40" s="12"/>
      <c r="I40" s="12"/>
      <c r="J40" s="12"/>
      <c r="K40" s="29">
        <f t="shared" si="13"/>
        <v>44077</v>
      </c>
      <c r="L40" s="27">
        <f t="shared" si="14"/>
        <v>2020</v>
      </c>
      <c r="M40" s="27">
        <f t="shared" si="15"/>
        <v>9</v>
      </c>
      <c r="N40" s="27">
        <f t="shared" si="20"/>
        <v>4</v>
      </c>
      <c r="O40" s="53">
        <f t="shared" si="21"/>
        <v>4</v>
      </c>
      <c r="P40" s="5">
        <v>0.25</v>
      </c>
      <c r="Q40" s="53">
        <f t="shared" si="16"/>
        <v>12</v>
      </c>
      <c r="R40" s="34">
        <v>0.2</v>
      </c>
      <c r="S40" s="67">
        <f t="shared" si="17"/>
        <v>4</v>
      </c>
      <c r="T40" s="6">
        <v>0.9</v>
      </c>
      <c r="U40" s="67">
        <f t="shared" si="18"/>
        <v>8</v>
      </c>
      <c r="V40" s="65">
        <v>0</v>
      </c>
      <c r="W40" s="67">
        <f t="shared" si="19"/>
        <v>12</v>
      </c>
      <c r="X40" s="6">
        <v>0</v>
      </c>
    </row>
    <row r="41" spans="5:26" x14ac:dyDescent="0.25">
      <c r="E41"/>
      <c r="F41" s="24"/>
      <c r="G41" s="12" t="str">
        <f t="shared" si="12"/>
        <v>EIM BA Operator</v>
      </c>
      <c r="H41" s="12"/>
      <c r="I41" s="12"/>
      <c r="J41" s="12"/>
      <c r="K41" s="29">
        <f t="shared" si="13"/>
        <v>44078</v>
      </c>
      <c r="L41" s="27">
        <f t="shared" si="14"/>
        <v>2020</v>
      </c>
      <c r="M41" s="27">
        <f t="shared" si="15"/>
        <v>9</v>
      </c>
      <c r="N41" s="27">
        <f t="shared" si="20"/>
        <v>4</v>
      </c>
      <c r="O41" s="53">
        <f t="shared" si="21"/>
        <v>4</v>
      </c>
      <c r="P41" s="5">
        <v>0.25</v>
      </c>
      <c r="Q41" s="53">
        <f t="shared" si="16"/>
        <v>12</v>
      </c>
      <c r="R41" s="34">
        <v>0.2</v>
      </c>
      <c r="S41" s="67">
        <f t="shared" si="17"/>
        <v>4</v>
      </c>
      <c r="T41" s="6">
        <v>0.9</v>
      </c>
      <c r="U41" s="67">
        <f t="shared" si="18"/>
        <v>8</v>
      </c>
      <c r="V41" s="65">
        <v>0</v>
      </c>
      <c r="W41" s="67">
        <f t="shared" si="19"/>
        <v>12</v>
      </c>
      <c r="X41" s="6">
        <v>0</v>
      </c>
    </row>
    <row r="42" spans="5:26" x14ac:dyDescent="0.25">
      <c r="E42"/>
      <c r="F42" s="24"/>
      <c r="G42" s="12" t="str">
        <f t="shared" si="12"/>
        <v>EIM BA Operator</v>
      </c>
      <c r="H42" s="12"/>
      <c r="I42" s="12"/>
      <c r="J42" s="12"/>
      <c r="K42" s="29">
        <f t="shared" si="13"/>
        <v>44197</v>
      </c>
      <c r="L42" s="27">
        <f t="shared" si="14"/>
        <v>2021</v>
      </c>
      <c r="M42" s="27">
        <f t="shared" si="15"/>
        <v>1</v>
      </c>
      <c r="N42" s="27">
        <f t="shared" si="20"/>
        <v>12</v>
      </c>
      <c r="O42" s="53">
        <f t="shared" si="21"/>
        <v>0</v>
      </c>
      <c r="P42" s="5">
        <v>0</v>
      </c>
      <c r="Q42" s="53">
        <f t="shared" si="16"/>
        <v>12</v>
      </c>
      <c r="R42" s="34">
        <v>0.2</v>
      </c>
      <c r="S42" s="67">
        <f t="shared" si="17"/>
        <v>4</v>
      </c>
      <c r="T42" s="6">
        <v>0.9</v>
      </c>
      <c r="U42" s="67">
        <f t="shared" si="18"/>
        <v>8</v>
      </c>
      <c r="V42" s="65">
        <v>0</v>
      </c>
      <c r="W42" s="67">
        <f t="shared" si="19"/>
        <v>12</v>
      </c>
      <c r="X42" s="6">
        <v>0</v>
      </c>
    </row>
    <row r="43" spans="5:26" x14ac:dyDescent="0.25">
      <c r="E43"/>
      <c r="F43" s="24"/>
      <c r="G43" s="12" t="str">
        <f t="shared" si="12"/>
        <v>EIM BA Operator</v>
      </c>
      <c r="H43" s="12"/>
      <c r="I43" s="12"/>
      <c r="J43" s="12"/>
      <c r="K43" s="29">
        <f t="shared" si="13"/>
        <v>44197</v>
      </c>
      <c r="L43" s="27">
        <f t="shared" si="14"/>
        <v>2021</v>
      </c>
      <c r="M43" s="27">
        <f t="shared" si="15"/>
        <v>1</v>
      </c>
      <c r="N43" s="27">
        <f t="shared" si="20"/>
        <v>12</v>
      </c>
      <c r="O43" s="53">
        <f t="shared" si="21"/>
        <v>0</v>
      </c>
      <c r="P43" s="5">
        <v>0</v>
      </c>
      <c r="Q43" s="53">
        <f t="shared" si="16"/>
        <v>12</v>
      </c>
      <c r="R43" s="34">
        <v>0.2</v>
      </c>
      <c r="S43" s="67">
        <f t="shared" si="17"/>
        <v>4</v>
      </c>
      <c r="T43" s="6">
        <v>0.9</v>
      </c>
      <c r="U43" s="67">
        <f t="shared" si="18"/>
        <v>8</v>
      </c>
      <c r="V43" s="65">
        <v>0</v>
      </c>
      <c r="W43" s="67">
        <f t="shared" si="19"/>
        <v>12</v>
      </c>
      <c r="X43" s="6">
        <v>0</v>
      </c>
    </row>
    <row r="44" spans="5:26" x14ac:dyDescent="0.25">
      <c r="E44"/>
      <c r="F44" s="24"/>
      <c r="G44" s="12" t="str">
        <f t="shared" si="12"/>
        <v>EIM BA Operator (Relief)</v>
      </c>
      <c r="H44" s="12"/>
      <c r="I44" s="12"/>
      <c r="J44" s="12"/>
      <c r="K44" s="29">
        <f t="shared" si="13"/>
        <v>44256</v>
      </c>
      <c r="L44" s="27">
        <f t="shared" si="14"/>
        <v>2021</v>
      </c>
      <c r="M44" s="27">
        <f t="shared" si="15"/>
        <v>3</v>
      </c>
      <c r="N44" s="27">
        <f t="shared" si="20"/>
        <v>10</v>
      </c>
      <c r="O44" s="53">
        <f t="shared" si="21"/>
        <v>0</v>
      </c>
      <c r="P44" s="5">
        <v>0</v>
      </c>
      <c r="Q44" s="53">
        <f t="shared" si="16"/>
        <v>10</v>
      </c>
      <c r="R44" s="34">
        <v>0.2</v>
      </c>
      <c r="S44" s="67">
        <f t="shared" si="17"/>
        <v>4</v>
      </c>
      <c r="T44" s="6">
        <v>0.9</v>
      </c>
      <c r="U44" s="67">
        <f t="shared" si="18"/>
        <v>8</v>
      </c>
      <c r="V44" s="65">
        <v>0</v>
      </c>
      <c r="W44" s="67">
        <f t="shared" si="19"/>
        <v>12</v>
      </c>
      <c r="X44" s="6">
        <v>0</v>
      </c>
    </row>
    <row r="45" spans="5:26" x14ac:dyDescent="0.25">
      <c r="E45"/>
      <c r="F45" s="24"/>
      <c r="G45" s="18" t="str">
        <f t="shared" si="12"/>
        <v>Training Admin</v>
      </c>
      <c r="H45" s="18"/>
      <c r="I45" s="18"/>
      <c r="J45" s="18"/>
      <c r="K45" s="29">
        <f t="shared" si="13"/>
        <v>44621</v>
      </c>
      <c r="L45" s="27">
        <f t="shared" si="14"/>
        <v>2022</v>
      </c>
      <c r="M45" s="27">
        <f t="shared" si="15"/>
        <v>3</v>
      </c>
      <c r="N45" s="27">
        <f t="shared" si="20"/>
        <v>10</v>
      </c>
      <c r="O45" s="53">
        <f t="shared" si="21"/>
        <v>0</v>
      </c>
      <c r="P45" s="5">
        <v>0</v>
      </c>
      <c r="Q45" s="53">
        <f t="shared" si="16"/>
        <v>0</v>
      </c>
      <c r="R45" s="34">
        <v>0</v>
      </c>
      <c r="S45" s="67">
        <f t="shared" si="17"/>
        <v>2</v>
      </c>
      <c r="T45" s="6">
        <v>0.9</v>
      </c>
      <c r="U45" s="67">
        <f t="shared" si="18"/>
        <v>8</v>
      </c>
      <c r="V45" s="65">
        <v>0</v>
      </c>
      <c r="W45" s="67">
        <f t="shared" si="19"/>
        <v>12</v>
      </c>
      <c r="X45" s="6">
        <v>0</v>
      </c>
    </row>
    <row r="46" spans="5:26" x14ac:dyDescent="0.25">
      <c r="E46"/>
      <c r="F46" s="24"/>
      <c r="G46" s="12" t="str">
        <f t="shared" si="12"/>
        <v>Sr Engineer</v>
      </c>
      <c r="H46" s="12"/>
      <c r="I46" s="12"/>
      <c r="J46" s="12"/>
      <c r="K46" s="29">
        <f t="shared" si="13"/>
        <v>43831</v>
      </c>
      <c r="L46" s="27">
        <f t="shared" si="14"/>
        <v>2020</v>
      </c>
      <c r="M46" s="27">
        <f t="shared" si="15"/>
        <v>1</v>
      </c>
      <c r="N46" s="27">
        <f t="shared" si="20"/>
        <v>12</v>
      </c>
      <c r="O46" s="53">
        <f t="shared" si="21"/>
        <v>12</v>
      </c>
      <c r="P46" s="5">
        <v>0.85</v>
      </c>
      <c r="Q46" s="53">
        <f t="shared" si="16"/>
        <v>12</v>
      </c>
      <c r="R46" s="34">
        <v>1</v>
      </c>
      <c r="S46" s="67"/>
      <c r="T46" s="6">
        <v>0</v>
      </c>
      <c r="U46" s="67"/>
      <c r="V46" s="65">
        <v>0</v>
      </c>
      <c r="W46" s="67"/>
      <c r="X46" s="6">
        <v>0</v>
      </c>
    </row>
    <row r="47" spans="5:26" x14ac:dyDescent="0.25">
      <c r="E47"/>
      <c r="F47" s="24"/>
      <c r="G47" s="12" t="str">
        <f t="shared" si="12"/>
        <v>Settlements Manager</v>
      </c>
      <c r="H47" s="12"/>
      <c r="I47" s="12"/>
      <c r="J47" s="12"/>
      <c r="K47" s="29">
        <f t="shared" si="13"/>
        <v>44075</v>
      </c>
      <c r="L47" s="27">
        <f t="shared" si="14"/>
        <v>2020</v>
      </c>
      <c r="M47" s="27">
        <f t="shared" si="15"/>
        <v>9</v>
      </c>
      <c r="N47" s="27">
        <f t="shared" si="20"/>
        <v>4</v>
      </c>
      <c r="O47" s="53">
        <f t="shared" si="21"/>
        <v>4</v>
      </c>
      <c r="P47" s="5">
        <v>0.5</v>
      </c>
      <c r="Q47" s="53">
        <f t="shared" si="16"/>
        <v>12</v>
      </c>
      <c r="R47" s="34">
        <v>0.5</v>
      </c>
      <c r="S47" s="67">
        <f t="shared" si="17"/>
        <v>4</v>
      </c>
      <c r="T47" s="6">
        <v>0.9</v>
      </c>
      <c r="U47" s="67">
        <f t="shared" si="18"/>
        <v>8</v>
      </c>
      <c r="V47" s="65">
        <v>0</v>
      </c>
      <c r="W47" s="67">
        <f t="shared" si="19"/>
        <v>12</v>
      </c>
      <c r="X47" s="6">
        <v>0</v>
      </c>
    </row>
    <row r="48" spans="5:26" x14ac:dyDescent="0.25">
      <c r="E48"/>
      <c r="F48" s="24"/>
      <c r="G48" s="12" t="str">
        <f t="shared" si="12"/>
        <v xml:space="preserve">Settlements Meter Analyst </v>
      </c>
      <c r="H48" s="12"/>
      <c r="I48" s="12"/>
      <c r="J48" s="12"/>
      <c r="K48" s="29">
        <f t="shared" si="13"/>
        <v>44287</v>
      </c>
      <c r="L48" s="27">
        <f t="shared" si="14"/>
        <v>2021</v>
      </c>
      <c r="M48" s="27">
        <f t="shared" si="15"/>
        <v>4</v>
      </c>
      <c r="N48" s="27">
        <f t="shared" si="20"/>
        <v>9</v>
      </c>
      <c r="O48" s="53">
        <f t="shared" si="21"/>
        <v>0</v>
      </c>
      <c r="P48" s="5">
        <v>0.75</v>
      </c>
      <c r="Q48" s="53">
        <f t="shared" si="16"/>
        <v>9</v>
      </c>
      <c r="R48" s="34">
        <v>0.5</v>
      </c>
      <c r="S48" s="67">
        <f t="shared" si="17"/>
        <v>4</v>
      </c>
      <c r="T48" s="6">
        <v>0.9</v>
      </c>
      <c r="U48" s="67">
        <f t="shared" si="18"/>
        <v>8</v>
      </c>
      <c r="V48" s="65">
        <v>0</v>
      </c>
      <c r="W48" s="67">
        <f t="shared" si="19"/>
        <v>12</v>
      </c>
      <c r="X48" s="6">
        <v>0</v>
      </c>
    </row>
    <row r="49" spans="5:24" x14ac:dyDescent="0.25">
      <c r="E49"/>
      <c r="F49" s="24"/>
      <c r="G49" s="12" t="str">
        <f t="shared" si="12"/>
        <v>Settlement Analyst</v>
      </c>
      <c r="H49" s="12"/>
      <c r="I49" s="12"/>
      <c r="J49" s="12"/>
      <c r="K49" s="29">
        <f t="shared" si="13"/>
        <v>44287</v>
      </c>
      <c r="L49" s="27">
        <f t="shared" si="14"/>
        <v>2021</v>
      </c>
      <c r="M49" s="27">
        <f t="shared" si="15"/>
        <v>4</v>
      </c>
      <c r="N49" s="27">
        <f t="shared" si="20"/>
        <v>9</v>
      </c>
      <c r="O49" s="53">
        <f t="shared" si="21"/>
        <v>0</v>
      </c>
      <c r="P49" s="5">
        <v>0.75</v>
      </c>
      <c r="Q49" s="53">
        <f t="shared" si="16"/>
        <v>9</v>
      </c>
      <c r="R49" s="34">
        <v>0.5</v>
      </c>
      <c r="S49" s="67">
        <f t="shared" si="17"/>
        <v>4</v>
      </c>
      <c r="T49" s="6">
        <v>0.9</v>
      </c>
      <c r="U49" s="67">
        <f t="shared" si="18"/>
        <v>8</v>
      </c>
      <c r="V49" s="65">
        <v>0</v>
      </c>
      <c r="W49" s="67">
        <f t="shared" si="19"/>
        <v>12</v>
      </c>
      <c r="X49" s="6">
        <v>0</v>
      </c>
    </row>
    <row r="50" spans="5:24" x14ac:dyDescent="0.25">
      <c r="E50"/>
      <c r="F50" s="24"/>
      <c r="G50" s="12" t="str">
        <f t="shared" si="12"/>
        <v>Settlement Analyst</v>
      </c>
      <c r="H50" s="12"/>
      <c r="I50" s="12"/>
      <c r="J50" s="12"/>
      <c r="K50" s="29">
        <f t="shared" si="13"/>
        <v>44378</v>
      </c>
      <c r="L50" s="27">
        <f t="shared" si="14"/>
        <v>2021</v>
      </c>
      <c r="M50" s="27">
        <f t="shared" si="15"/>
        <v>7</v>
      </c>
      <c r="N50" s="27">
        <f t="shared" si="20"/>
        <v>6</v>
      </c>
      <c r="O50" s="53">
        <f t="shared" si="21"/>
        <v>0</v>
      </c>
      <c r="P50" s="5">
        <v>0.75</v>
      </c>
      <c r="Q50" s="53">
        <f t="shared" si="16"/>
        <v>6</v>
      </c>
      <c r="R50" s="34">
        <v>0.5</v>
      </c>
      <c r="S50" s="67">
        <f t="shared" si="17"/>
        <v>4</v>
      </c>
      <c r="T50" s="6">
        <v>0.9</v>
      </c>
      <c r="U50" s="67">
        <f t="shared" si="18"/>
        <v>8</v>
      </c>
      <c r="V50" s="65">
        <v>0</v>
      </c>
      <c r="W50" s="67">
        <f t="shared" si="19"/>
        <v>12</v>
      </c>
      <c r="X50" s="6">
        <v>0</v>
      </c>
    </row>
    <row r="51" spans="5:24" x14ac:dyDescent="0.25">
      <c r="E51"/>
      <c r="F51" s="24"/>
      <c r="G51" s="12" t="str">
        <f t="shared" si="12"/>
        <v>Settlement Analyst</v>
      </c>
      <c r="H51" s="12"/>
      <c r="I51" s="12"/>
      <c r="J51" s="12"/>
      <c r="K51" s="29">
        <f t="shared" si="13"/>
        <v>44378</v>
      </c>
      <c r="L51" s="27">
        <f t="shared" si="14"/>
        <v>2021</v>
      </c>
      <c r="M51" s="27">
        <f t="shared" si="15"/>
        <v>7</v>
      </c>
      <c r="N51" s="27">
        <f t="shared" si="20"/>
        <v>6</v>
      </c>
      <c r="O51" s="53">
        <f t="shared" si="21"/>
        <v>0</v>
      </c>
      <c r="P51" s="5">
        <v>0.75</v>
      </c>
      <c r="Q51" s="53">
        <f t="shared" si="16"/>
        <v>6</v>
      </c>
      <c r="R51" s="34">
        <v>0.75</v>
      </c>
      <c r="S51" s="67">
        <f t="shared" si="17"/>
        <v>4</v>
      </c>
      <c r="T51" s="6">
        <v>0.9</v>
      </c>
      <c r="U51" s="67">
        <f t="shared" si="18"/>
        <v>8</v>
      </c>
      <c r="V51" s="65">
        <v>0</v>
      </c>
      <c r="W51" s="67">
        <f t="shared" si="19"/>
        <v>12</v>
      </c>
      <c r="X51" s="6">
        <v>0</v>
      </c>
    </row>
    <row r="52" spans="5:24" x14ac:dyDescent="0.25">
      <c r="E52"/>
      <c r="F52" s="24"/>
      <c r="G52" s="12" t="str">
        <f t="shared" si="12"/>
        <v>Technical Systems Analyst</v>
      </c>
      <c r="H52" s="12"/>
      <c r="I52" s="12"/>
      <c r="J52" s="12"/>
      <c r="K52" s="29">
        <f t="shared" si="13"/>
        <v>43983</v>
      </c>
      <c r="L52" s="27">
        <f t="shared" si="14"/>
        <v>2020</v>
      </c>
      <c r="M52" s="27">
        <f t="shared" si="15"/>
        <v>6</v>
      </c>
      <c r="N52" s="27">
        <f t="shared" si="20"/>
        <v>7</v>
      </c>
      <c r="O52" s="53">
        <f t="shared" si="21"/>
        <v>7</v>
      </c>
      <c r="P52" s="5">
        <v>0.8</v>
      </c>
      <c r="Q52" s="53">
        <f t="shared" si="16"/>
        <v>12</v>
      </c>
      <c r="R52" s="34">
        <v>0.9</v>
      </c>
      <c r="S52" s="67">
        <f t="shared" si="17"/>
        <v>4</v>
      </c>
      <c r="T52" s="6">
        <v>0.9</v>
      </c>
      <c r="U52" s="67">
        <f t="shared" si="18"/>
        <v>8</v>
      </c>
      <c r="V52" s="65">
        <v>0</v>
      </c>
      <c r="W52" s="67">
        <f t="shared" si="19"/>
        <v>12</v>
      </c>
      <c r="X52" s="6">
        <v>0</v>
      </c>
    </row>
    <row r="53" spans="5:24" x14ac:dyDescent="0.25">
      <c r="E53"/>
      <c r="F53" s="24"/>
      <c r="G53" s="12" t="str">
        <f t="shared" si="12"/>
        <v>Ops Technical Lead</v>
      </c>
      <c r="H53" s="12"/>
      <c r="I53" s="12"/>
      <c r="J53" s="12"/>
      <c r="K53" s="29">
        <f t="shared" si="13"/>
        <v>43983</v>
      </c>
      <c r="L53" s="27">
        <f t="shared" si="14"/>
        <v>2020</v>
      </c>
      <c r="M53" s="27">
        <f t="shared" si="15"/>
        <v>6</v>
      </c>
      <c r="N53" s="27">
        <f t="shared" si="20"/>
        <v>7</v>
      </c>
      <c r="O53" s="53">
        <f>IF(L53=$O$32,N53,IF(L53&gt;$O$32,0,12))</f>
        <v>7</v>
      </c>
      <c r="P53" s="5">
        <v>0.8</v>
      </c>
      <c r="Q53" s="53">
        <f t="shared" si="16"/>
        <v>12</v>
      </c>
      <c r="R53" s="34">
        <v>0.9</v>
      </c>
      <c r="S53" s="67">
        <f t="shared" si="17"/>
        <v>4</v>
      </c>
      <c r="T53" s="6">
        <v>0.9</v>
      </c>
      <c r="U53" s="67">
        <f t="shared" si="18"/>
        <v>8</v>
      </c>
      <c r="V53" s="65">
        <v>0</v>
      </c>
      <c r="W53" s="67">
        <f t="shared" si="19"/>
        <v>12</v>
      </c>
      <c r="X53" s="6">
        <v>0</v>
      </c>
    </row>
    <row r="54" spans="5:24" x14ac:dyDescent="0.25">
      <c r="E54"/>
      <c r="F54" s="24"/>
    </row>
  </sheetData>
  <mergeCells count="37">
    <mergeCell ref="L2:L3"/>
    <mergeCell ref="M2:M3"/>
    <mergeCell ref="N2:N3"/>
    <mergeCell ref="O1:T1"/>
    <mergeCell ref="U1:X1"/>
    <mergeCell ref="O2:P2"/>
    <mergeCell ref="Q2:R2"/>
    <mergeCell ref="S2:T2"/>
    <mergeCell ref="U2:V2"/>
    <mergeCell ref="W2:X2"/>
    <mergeCell ref="A4:A6"/>
    <mergeCell ref="B4:B6"/>
    <mergeCell ref="I2:I3"/>
    <mergeCell ref="J2:J3"/>
    <mergeCell ref="K2:K3"/>
    <mergeCell ref="A2:A3"/>
    <mergeCell ref="B2:B3"/>
    <mergeCell ref="C2:C3"/>
    <mergeCell ref="D2:D3"/>
    <mergeCell ref="E2:E3"/>
    <mergeCell ref="F2:F3"/>
    <mergeCell ref="G2:G3"/>
    <mergeCell ref="H2:H3"/>
    <mergeCell ref="A7:A16"/>
    <mergeCell ref="B7:B15"/>
    <mergeCell ref="A17:A21"/>
    <mergeCell ref="B17:B21"/>
    <mergeCell ref="A22:A23"/>
    <mergeCell ref="B22:B23"/>
    <mergeCell ref="A24:F24"/>
    <mergeCell ref="O31:T31"/>
    <mergeCell ref="U31:X31"/>
    <mergeCell ref="O32:P32"/>
    <mergeCell ref="Q32:R32"/>
    <mergeCell ref="S32:T32"/>
    <mergeCell ref="U32:V32"/>
    <mergeCell ref="W32:X32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31E853A-EAD1-4C47-8946-6FD71F883545}"/>
</file>

<file path=customXml/itemProps2.xml><?xml version="1.0" encoding="utf-8"?>
<ds:datastoreItem xmlns:ds="http://schemas.openxmlformats.org/officeDocument/2006/customXml" ds:itemID="{2761828C-477F-4C7C-A3ED-5BC5DEA247F5}"/>
</file>

<file path=customXml/itemProps3.xml><?xml version="1.0" encoding="utf-8"?>
<ds:datastoreItem xmlns:ds="http://schemas.openxmlformats.org/officeDocument/2006/customXml" ds:itemID="{1B650FE9-A39E-4F2F-A867-E725CE6012F7}"/>
</file>

<file path=customXml/itemProps4.xml><?xml version="1.0" encoding="utf-8"?>
<ds:datastoreItem xmlns:ds="http://schemas.openxmlformats.org/officeDocument/2006/customXml" ds:itemID="{CD16B774-86AB-4102-9F6A-8664573931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Grouped</vt:lpstr>
      <vt:lpstr>HR EIM Roles</vt:lpstr>
      <vt:lpstr>Assumption</vt:lpstr>
      <vt:lpstr>Deferral Chart</vt:lpstr>
      <vt:lpstr>Sheet1</vt:lpstr>
      <vt:lpstr>Grouped!Print_Area</vt:lpstr>
      <vt:lpstr>'HR EIM Roles'!Print_Area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Miller</dc:creator>
  <cp:lastModifiedBy>Andrews, Liz</cp:lastModifiedBy>
  <cp:lastPrinted>2020-10-24T01:03:39Z</cp:lastPrinted>
  <dcterms:created xsi:type="dcterms:W3CDTF">2020-01-27T19:07:37Z</dcterms:created>
  <dcterms:modified xsi:type="dcterms:W3CDTF">2020-10-24T01:03:58Z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0x0101006E56B4D1795A2E4DB2F0B01679ED314A00EA77B5ED84937743973E7F67CD421E1E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