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ThisWorkbook"/>
  <bookViews>
    <workbookView xWindow="18456" yWindow="132" windowWidth="17016" windowHeight="11460" tabRatio="782"/>
  </bookViews>
  <sheets>
    <sheet name="1.01 ROR ROE" sheetId="20" r:id="rId1"/>
    <sheet name="1.02 COC" sheetId="21" r:id="rId2"/>
    <sheet name="Restating Print Macros" sheetId="2" state="veryHidden" r:id="rId3"/>
    <sheet name="Module13" sheetId="3" state="veryHidden" r:id="rId4"/>
    <sheet name="Module14" sheetId="4" state="veryHidden" r:id="rId5"/>
    <sheet name="Module15" sheetId="5" state="veryHidden" r:id="rId6"/>
    <sheet name="Module1" sheetId="6" state="veryHidden" r:id="rId7"/>
    <sheet name="GRB" sheetId="32" r:id="rId8"/>
    <sheet name="model" sheetId="1" r:id="rId9"/>
  </sheets>
  <externalReferences>
    <externalReference r:id="rId10"/>
    <externalReference r:id="rId11"/>
  </externalReferences>
  <definedNames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3.01">model!$A$2:$F$50</definedName>
    <definedName name="_3.02">model!$G$2:$K$45</definedName>
    <definedName name="_3.03">model!$L$2:$P$32</definedName>
    <definedName name="_3.04">model!$Q$2:$T$26</definedName>
    <definedName name="_3.05">model!$U$2:$X$42</definedName>
    <definedName name="_3.06">model!$Y$2:$AC$24</definedName>
    <definedName name="_3.07">model!$AD$2:$AJ$30</definedName>
    <definedName name="_3.08">model!$AK$2:$AN$27</definedName>
    <definedName name="_3.09">model!$AO$2:$AR$26</definedName>
    <definedName name="_3.10">model!$AS$2:$AW$21</definedName>
    <definedName name="_3.11">model!$AX$2:$BB$24</definedName>
    <definedName name="_3.12">model!$BC$2:$BG$20</definedName>
    <definedName name="_3.13">model!$BH$2:$BL$22</definedName>
    <definedName name="_3.A">model!$BS$2:$CB$57</definedName>
    <definedName name="_3.B">model!$CC$2:$CL$57</definedName>
    <definedName name="_4.01">model!$BM$2:$BQ$30</definedName>
    <definedName name="_FEDERAL_INCOME_TAX">model!$DT$21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">model!$G$7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DERAL_INCOME_TAX">model!$BP$23</definedName>
    <definedName name="FIT">model!$BP$19</definedName>
    <definedName name="INCSTMNT">model!$CM$4:$IQ$47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8">model!$BM$2:$BQ$30</definedName>
    <definedName name="PSPL">model!$G$4</definedName>
    <definedName name="RESULTS_OF_OPERATIONS">model!$CM$2:$CQ$57</definedName>
    <definedName name="six" hidden="1">{#N/A,#N/A,FALSE,"Drill Sites";"WP 212",#N/A,FALSE,"MWAG EOR";"WP 213",#N/A,FALSE,"MWAG EOR";#N/A,#N/A,FALSE,"Misc. Facility";#N/A,#N/A,FALSE,"WWTP"}</definedName>
    <definedName name="STATE_UTILITY_TAX">model!$BP$20</definedName>
    <definedName name="SUMMARY">model!$CM$1:$CQ$57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YEAR">model!$G$6</definedName>
    <definedName name="Transfer" hidden="1">#REF!</definedName>
    <definedName name="Transfers" hidden="1">#REF!</definedName>
    <definedName name="u" hidden="1">{#N/A,#N/A,FALSE,"Summ";#N/A,#N/A,FALSE,"General"}</definedName>
    <definedName name="UTG">model!$CP$14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TD_Format">[2]YTD!$B$13:$D$13,[2]YTD!$B$32:$D$32</definedName>
    <definedName name="Z_114781A2_0298_429A_B53B_CCDE7FC07C8A_.wvu.PrintArea" localSheetId="8" hidden="1">model!#REF!</definedName>
    <definedName name="Z_1B900283_A429_4403_A9D8_C71CBE042C5B_.wvu.PrintArea" localSheetId="8" hidden="1">model!#REF!</definedName>
    <definedName name="Z_1C1C43A1_DC1D_4B83_8878_3010F6B52F39_.wvu.PrintArea" localSheetId="8" hidden="1">model!#REF!</definedName>
    <definedName name="Z_1E45DDAB_A557_4269_B1F7_CCA75743796E_.wvu.PrintArea" localSheetId="8" hidden="1">model!$Q$1:$T$24</definedName>
    <definedName name="Z_2C3700F5_7337_49E6_9C17_9B49CE910373_.wvu.PrintArea" localSheetId="8" hidden="1">model!#REF!</definedName>
    <definedName name="Z_31DFCE0A_9DA6_4A87_B609_465F85B537E0_.wvu.PrintArea" localSheetId="8" hidden="1">model!$G$1:$K$59</definedName>
    <definedName name="Z_363BCC7B_365C_4862_8308_FD01127C4AC4_.wvu.PrintArea" localSheetId="8" hidden="1">model!$AK$1:$AN$27</definedName>
    <definedName name="Z_368BDFFC_8B6F_4E1E_88F3_F226428845CF_.wvu.PrintArea" localSheetId="8" hidden="1">model!#REF!</definedName>
    <definedName name="Z_3CBED636_2D45_404E_AAC8_3EE8AD1E87DC_.wvu.PrintArea" localSheetId="8" hidden="1">model!$BM$1:$BQ$30</definedName>
    <definedName name="Z_416960AD_1B0E_43B1_BBE2_4C2BAE619099_.wvu.PrintArea" localSheetId="8" hidden="1">model!#REF!</definedName>
    <definedName name="Z_4D415296_881A_4775_98CD_22EFE3033486_.wvu.PrintArea" localSheetId="8" hidden="1">model!#REF!</definedName>
    <definedName name="Z_5528C217_5C85_409E_BEF2_118EFA30D59F_.wvu.PrintArea" localSheetId="8" hidden="1">model!$BM$34:$BQ$54</definedName>
    <definedName name="Z_57344CAB_EDB4_4D23_8F83_6632FA133D6F_.wvu.PrintArea" localSheetId="8" hidden="1">model!#REF!</definedName>
    <definedName name="Z_6734E4FA_60B7_471C_AEFF_A65F9BB053D8_.wvu.Cols" localSheetId="8" hidden="1">model!#REF!,model!#REF!</definedName>
    <definedName name="Z_6734E4FA_60B7_471C_AEFF_A65F9BB053D8_.wvu.PrintArea" localSheetId="8" hidden="1">model!$BS$1:$CQ$58</definedName>
    <definedName name="Z_70410578_0BAB_407F_B45A_A1FD00E78914_.wvu.PrintArea" localSheetId="8" hidden="1">model!$U$1:$X$51</definedName>
    <definedName name="Z_833E8250_6973_4555_A9B1_5ACEC89F3481_.wvu.PrintArea" localSheetId="8" hidden="1">model!$AD$1:$AJ$27</definedName>
    <definedName name="Z_9180F71E_9CF3_48FD_9127_9BC9888EC40C_.wvu.Cols" localSheetId="8" hidden="1">model!#REF!,model!#REF!</definedName>
    <definedName name="Z_9180F71E_9CF3_48FD_9127_9BC9888EC40C_.wvu.PrintArea" localSheetId="8" hidden="1">model!$BM$55:$BQ$82</definedName>
    <definedName name="Z_9BA720D1_BA25_4C52_A40B_874BAF7D1762_.wvu.PrintArea" localSheetId="8" hidden="1">model!#REF!</definedName>
    <definedName name="Z_BEBB2007_766E_4870_AB0B_58E56CB3F651_.wvu.PrintArea" localSheetId="8" hidden="1">model!#REF!</definedName>
    <definedName name="Z_DF51FD8A_8BA9_46B7_B455_DFD0D532E42D_.wvu.PrintArea" localSheetId="8" hidden="1">model!$L$1:$P$41</definedName>
    <definedName name="Z_E75FE358_FE2D_4487_BA5A_B5AB72EE82DF_.wvu.PrintArea" localSheetId="8" hidden="1">model!#REF!</definedName>
    <definedName name="Z_F0C9B202_A28C_4D84_9483_9F8FC93D796D_.wvu.PrintArea" localSheetId="8" hidden="1">model!$BM$56:$BQ$79</definedName>
  </definedNames>
  <calcPr calcId="145621"/>
  <customWorkbookViews>
    <customWorkbookView name="ckrueg - Personal view" guid="{9180F71E-9CF3-48FD-9127-9BC9888EC40C}" maximized="1" windowWidth="1020" windowHeight="579" activeSheetId="1"/>
    <customWorkbookView name="Spreadsheet and summary" guid="{6734E4FA-60B7-471C-AEFF-A65F9BB053D8}" maximized="1" windowWidth="1020" windowHeight="579" activeSheetId="1"/>
    <customWorkbookView name="PAGE 2.16" guid="{E75FE358-FE2D-4487-BA5A-B5AB72EE82DF}" maximized="1" windowWidth="1020" windowHeight="579" activeSheetId="1"/>
    <customWorkbookView name="PAGE 2.14" guid="{416960AD-1B0E-43B1-BBE2-4C2BAE619099}" maximized="1" windowWidth="1020" windowHeight="579" activeSheetId="1"/>
    <customWorkbookView name="PAGE 2.13" guid="{9BA720D1-BA25-4C52-A40B-874BAF7D1762}" maximized="1" windowWidth="1020" windowHeight="579" activeSheetId="1"/>
    <customWorkbookView name="PAGE 2.12" guid="{1C1C43A1-DC1D-4B83-8878-3010F6B52F39}" maximized="1" windowWidth="1020" windowHeight="579" activeSheetId="1"/>
    <customWorkbookView name="PAGE 2.11" guid="{1B900283-A429-4403-A9D8-C71CBE042C5B}" maximized="1" windowWidth="1020" windowHeight="579" activeSheetId="1"/>
    <customWorkbookView name="PAGE 2.10" guid="{4D415296-881A-4775-98CD-22EFE3033486}" maximized="1" windowWidth="1020" windowHeight="579" activeSheetId="1"/>
    <customWorkbookView name="PAGE 2.09" guid="{363BCC7B-365C-4862-8308-FD01127C4AC4}" maximized="1" windowWidth="1020" windowHeight="579" activeSheetId="1"/>
    <customWorkbookView name="PAGE 2.01" guid="{31DFCE0A-9DA6-4A87-B609-465F85B537E0}" maximized="1" windowWidth="1020" windowHeight="579" activeSheetId="1"/>
    <customWorkbookView name="PAGE 4.03" guid="{3CBED636-2D45-404E-AAC8-3EE8AD1E87DC}" maximized="1" windowWidth="1020" windowHeight="579" activeSheetId="1"/>
    <customWorkbookView name="PAGE 4.02" guid="{5528C217-5C85-409E-BEF2-118EFA30D59F}" maximized="1" windowWidth="1020" windowHeight="579" activeSheetId="1"/>
    <customWorkbookView name="PAGE 4.00" guid="{F0C9B202-A28C-4D84-9483-9F8FC93D796D}" maximized="1" windowWidth="1020" windowHeight="579" activeSheetId="1"/>
    <customWorkbookView name="PAGE 2.17" guid="{BEBB2007-766E-4870-AB0B-58E56CB3F651}" maximized="1" windowWidth="1020" windowHeight="579" activeSheetId="1"/>
    <customWorkbookView name="PAGE 2.15" guid="{368BDFFC-8B6F-4E1E-88F3-F226428845CF}" maximized="1" windowWidth="1276" windowHeight="746" activeSheetId="6"/>
    <customWorkbookView name="PAGE 2.08" guid="{57344CAB-EDB4-4D23-8F83-6632FA133D6F}" maximized="1" windowWidth="1276" windowHeight="746" activeSheetId="6"/>
    <customWorkbookView name="PAGE 2.07" guid="{2C3700F5-7337-49E6-9C17-9B49CE910373}" maximized="1" windowWidth="1276" windowHeight="746" activeSheetId="6"/>
    <customWorkbookView name="PAGE 2.06" guid="{833E8250-6973-4555-A9B1-5ACEC89F3481}" maximized="1" windowWidth="1276" windowHeight="746" activeSheetId="6"/>
    <customWorkbookView name="PAGE 2.05" guid="{70410578-0BAB-407F-B45A-A1FD00E78914}" maximized="1" windowWidth="1276" windowHeight="746" activeSheetId="6"/>
    <customWorkbookView name="PAGE 2.04" guid="{114781A2-0298-429A-B53B-CCDE7FC07C8A}" maximized="1" windowWidth="1276" windowHeight="746" activeSheetId="6"/>
    <customWorkbookView name="PAGE 2.03" guid="{1E45DDAB-A557-4269-B1F7-CCA75743796E}" maximized="1" windowWidth="1276" windowHeight="746" activeSheetId="6"/>
    <customWorkbookView name="PAGE 2.02" guid="{DF51FD8A-8BA9-46B7-B455-DFD0D532E42D}" maximized="1" windowWidth="1276" windowHeight="746" activeSheetId="6"/>
  </customWorkbookViews>
</workbook>
</file>

<file path=xl/calcChain.xml><?xml version="1.0" encoding="utf-8"?>
<calcChain xmlns="http://schemas.openxmlformats.org/spreadsheetml/2006/main">
  <c r="A20" i="21" l="1"/>
  <c r="BJ13" i="1" l="1"/>
  <c r="AI13" i="1" l="1"/>
  <c r="AI14" i="1"/>
  <c r="K25" i="1" l="1"/>
  <c r="BW16" i="1" s="1"/>
  <c r="BW14" i="1" l="1"/>
  <c r="P30" i="1" l="1"/>
  <c r="BX41" i="1" s="1"/>
  <c r="P27" i="1"/>
  <c r="P15" i="1"/>
  <c r="P17" i="1" s="1"/>
  <c r="P29" i="1" l="1"/>
  <c r="BX40" i="1" s="1"/>
  <c r="BV65" i="1" l="1"/>
  <c r="BV68" i="1" s="1"/>
  <c r="BW65" i="1"/>
  <c r="BX65" i="1"/>
  <c r="BX68" i="1" s="1"/>
  <c r="BY65" i="1"/>
  <c r="BY68" i="1" s="1"/>
  <c r="BZ65" i="1"/>
  <c r="BZ68" i="1" s="1"/>
  <c r="CA65" i="1"/>
  <c r="CB65" i="1"/>
  <c r="CB68" i="1" s="1"/>
  <c r="CE65" i="1"/>
  <c r="CF65" i="1"/>
  <c r="CF68" i="1" s="1"/>
  <c r="CG65" i="1"/>
  <c r="CH65" i="1"/>
  <c r="CH68" i="1" s="1"/>
  <c r="CI65" i="1"/>
  <c r="CI68" i="1" s="1"/>
  <c r="CJ65" i="1"/>
  <c r="CJ68" i="1" s="1"/>
  <c r="BW68" i="1"/>
  <c r="CA68" i="1"/>
  <c r="CE68" i="1"/>
  <c r="CG68" i="1"/>
  <c r="AB16" i="1" l="1"/>
  <c r="AR15" i="1"/>
  <c r="C27" i="1"/>
  <c r="D27" i="1"/>
  <c r="E16" i="1"/>
  <c r="E17" i="1"/>
  <c r="E18" i="1"/>
  <c r="E19" i="1"/>
  <c r="E20" i="1"/>
  <c r="W27" i="1"/>
  <c r="AI12" i="1"/>
  <c r="AJ12" i="1" s="1"/>
  <c r="CO39" i="1"/>
  <c r="CO36" i="1"/>
  <c r="CO35" i="1"/>
  <c r="CO34" i="1"/>
  <c r="CO32" i="1"/>
  <c r="CO31" i="1"/>
  <c r="CO30" i="1"/>
  <c r="CO29" i="1"/>
  <c r="BE14" i="1"/>
  <c r="E23" i="1"/>
  <c r="E22" i="1"/>
  <c r="E24" i="1"/>
  <c r="E26" i="1"/>
  <c r="E25" i="1"/>
  <c r="E21" i="1"/>
  <c r="BZ32" i="1"/>
  <c r="BZ16" i="1"/>
  <c r="BB12" i="1"/>
  <c r="BB14" i="1" s="1"/>
  <c r="AU15" i="1"/>
  <c r="F39" i="1"/>
  <c r="BV24" i="1" s="1"/>
  <c r="BH13" i="1"/>
  <c r="BH14" i="1" s="1"/>
  <c r="BH15" i="1" s="1"/>
  <c r="BH16" i="1" s="1"/>
  <c r="BH17" i="1" s="1"/>
  <c r="BH18" i="1" s="1"/>
  <c r="BH19" i="1" s="1"/>
  <c r="BH20" i="1" s="1"/>
  <c r="BH21" i="1" s="1"/>
  <c r="F2" i="1"/>
  <c r="K2" i="1"/>
  <c r="BC13" i="1"/>
  <c r="BC14" i="1" s="1"/>
  <c r="BC15" i="1" s="1"/>
  <c r="BC16" i="1" s="1"/>
  <c r="BC17" i="1" s="1"/>
  <c r="BC18" i="1" s="1"/>
  <c r="BC19" i="1" s="1"/>
  <c r="BC7" i="1"/>
  <c r="BC4" i="1"/>
  <c r="Y13" i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7" i="1"/>
  <c r="Y4" i="1"/>
  <c r="BS6" i="1"/>
  <c r="CC6" i="1"/>
  <c r="BH7" i="1"/>
  <c r="BH4" i="1"/>
  <c r="CJ55" i="1"/>
  <c r="CJ57" i="1" s="1"/>
  <c r="CJ26" i="1"/>
  <c r="D49" i="1"/>
  <c r="I38" i="1"/>
  <c r="AI29" i="1"/>
  <c r="AM24" i="1"/>
  <c r="AV18" i="1"/>
  <c r="BA18" i="1"/>
  <c r="CJ17" i="1"/>
  <c r="G6" i="1"/>
  <c r="AX6" i="1" s="1"/>
  <c r="CM6" i="1"/>
  <c r="AD13" i="1"/>
  <c r="AD14" i="1" s="1"/>
  <c r="AD15" i="1" s="1"/>
  <c r="AD16" i="1" s="1"/>
  <c r="AD17" i="1" s="1"/>
  <c r="AD18" i="1" s="1"/>
  <c r="AD19" i="1" s="1"/>
  <c r="G13" i="1"/>
  <c r="G14" i="1" s="1"/>
  <c r="G15" i="1" s="1"/>
  <c r="G16" i="1" s="1"/>
  <c r="G17" i="1" s="1"/>
  <c r="G18" i="1" s="1"/>
  <c r="G19" i="1" s="1"/>
  <c r="G20" i="1" s="1"/>
  <c r="G21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L13" i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BX17" i="1"/>
  <c r="BY17" i="1"/>
  <c r="CB17" i="1"/>
  <c r="CC14" i="1"/>
  <c r="CC15" i="1" s="1"/>
  <c r="CC16" i="1" s="1"/>
  <c r="CC17" i="1" s="1"/>
  <c r="CC18" i="1" s="1"/>
  <c r="CC19" i="1" s="1"/>
  <c r="CC20" i="1" s="1"/>
  <c r="CC21" i="1" s="1"/>
  <c r="CC22" i="1" s="1"/>
  <c r="CC23" i="1" s="1"/>
  <c r="CC24" i="1" s="1"/>
  <c r="CC25" i="1" s="1"/>
  <c r="CC26" i="1" s="1"/>
  <c r="CC27" i="1" s="1"/>
  <c r="CC28" i="1" s="1"/>
  <c r="CC29" i="1" s="1"/>
  <c r="CE17" i="1"/>
  <c r="CF17" i="1"/>
  <c r="CG17" i="1"/>
  <c r="CH17" i="1"/>
  <c r="BZ51" i="1"/>
  <c r="BZ55" i="1" s="1"/>
  <c r="BZ57" i="1" s="1"/>
  <c r="BX26" i="1"/>
  <c r="BY26" i="1"/>
  <c r="CB26" i="1"/>
  <c r="CE26" i="1"/>
  <c r="CF26" i="1"/>
  <c r="CG26" i="1"/>
  <c r="CH26" i="1"/>
  <c r="U13" i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AX13" i="1"/>
  <c r="AX14" i="1" s="1"/>
  <c r="AX15" i="1" s="1"/>
  <c r="AX16" i="1" s="1"/>
  <c r="AX17" i="1" s="1"/>
  <c r="AX18" i="1" s="1"/>
  <c r="AX19" i="1" s="1"/>
  <c r="AX20" i="1" s="1"/>
  <c r="Q13" i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BM13" i="1"/>
  <c r="BM14" i="1" s="1"/>
  <c r="BM15" i="1" s="1"/>
  <c r="BM16" i="1" s="1"/>
  <c r="CH55" i="1"/>
  <c r="CH57" i="1" s="1"/>
  <c r="AS13" i="1"/>
  <c r="AS14" i="1" s="1"/>
  <c r="AS15" i="1" s="1"/>
  <c r="AS16" i="1" s="1"/>
  <c r="AS17" i="1" s="1"/>
  <c r="AS18" i="1" s="1"/>
  <c r="AS19" i="1" s="1"/>
  <c r="AS20" i="1" s="1"/>
  <c r="AS7" i="1"/>
  <c r="AS4" i="1"/>
  <c r="CG55" i="1"/>
  <c r="CG57" i="1" s="1"/>
  <c r="AO13" i="1"/>
  <c r="AO14" i="1" s="1"/>
  <c r="AO15" i="1" s="1"/>
  <c r="AO7" i="1"/>
  <c r="AO4" i="1"/>
  <c r="AZ14" i="1"/>
  <c r="AX7" i="1"/>
  <c r="AX4" i="1"/>
  <c r="CE55" i="1"/>
  <c r="CE57" i="1" s="1"/>
  <c r="CM14" i="1"/>
  <c r="CM15" i="1" s="1"/>
  <c r="CM16" i="1" s="1"/>
  <c r="CM17" i="1" s="1"/>
  <c r="CM18" i="1" s="1"/>
  <c r="CM19" i="1" s="1"/>
  <c r="CM20" i="1" s="1"/>
  <c r="CM21" i="1" s="1"/>
  <c r="CM22" i="1" s="1"/>
  <c r="CM23" i="1" s="1"/>
  <c r="CM24" i="1" s="1"/>
  <c r="CM25" i="1" s="1"/>
  <c r="CM26" i="1" s="1"/>
  <c r="CM27" i="1" s="1"/>
  <c r="CM28" i="1" s="1"/>
  <c r="CM29" i="1" s="1"/>
  <c r="CM30" i="1" s="1"/>
  <c r="CM31" i="1" s="1"/>
  <c r="CM32" i="1" s="1"/>
  <c r="CM33" i="1" s="1"/>
  <c r="CM34" i="1" s="1"/>
  <c r="CM35" i="1" s="1"/>
  <c r="CM36" i="1" s="1"/>
  <c r="CM37" i="1" s="1"/>
  <c r="CM38" i="1" s="1"/>
  <c r="CM39" i="1" s="1"/>
  <c r="CM40" i="1" s="1"/>
  <c r="CM41" i="1" s="1"/>
  <c r="CM42" i="1" s="1"/>
  <c r="CM43" i="1" s="1"/>
  <c r="CM44" i="1" s="1"/>
  <c r="CM45" i="1" s="1"/>
  <c r="CM46" i="1" s="1"/>
  <c r="CM47" i="1" s="1"/>
  <c r="CM48" i="1" s="1"/>
  <c r="CM49" i="1" s="1"/>
  <c r="CM50" i="1" s="1"/>
  <c r="CM51" i="1" s="1"/>
  <c r="CM52" i="1" s="1"/>
  <c r="CM53" i="1" s="1"/>
  <c r="CM54" i="1" s="1"/>
  <c r="CM55" i="1" s="1"/>
  <c r="CM56" i="1" s="1"/>
  <c r="CM57" i="1" s="1"/>
  <c r="BS14" i="1"/>
  <c r="BS15" i="1" s="1"/>
  <c r="BS16" i="1" s="1"/>
  <c r="BS17" i="1" s="1"/>
  <c r="BS18" i="1" s="1"/>
  <c r="BS19" i="1" s="1"/>
  <c r="BS20" i="1" s="1"/>
  <c r="BS21" i="1" s="1"/>
  <c r="BS22" i="1" s="1"/>
  <c r="BS23" i="1" s="1"/>
  <c r="BS24" i="1" s="1"/>
  <c r="BS25" i="1" s="1"/>
  <c r="BS26" i="1" s="1"/>
  <c r="BS27" i="1" s="1"/>
  <c r="BS28" i="1" s="1"/>
  <c r="BS29" i="1" s="1"/>
  <c r="BS30" i="1" s="1"/>
  <c r="BS31" i="1" s="1"/>
  <c r="BS32" i="1" s="1"/>
  <c r="BS33" i="1" s="1"/>
  <c r="BS34" i="1" s="1"/>
  <c r="BS35" i="1" s="1"/>
  <c r="BS36" i="1" s="1"/>
  <c r="BS37" i="1" s="1"/>
  <c r="BS38" i="1" s="1"/>
  <c r="BS39" i="1" s="1"/>
  <c r="BS40" i="1" s="1"/>
  <c r="BS41" i="1" s="1"/>
  <c r="BS42" i="1" s="1"/>
  <c r="BS43" i="1" s="1"/>
  <c r="BS44" i="1" s="1"/>
  <c r="BS45" i="1" s="1"/>
  <c r="BS46" i="1" s="1"/>
  <c r="BS47" i="1" s="1"/>
  <c r="BS48" i="1" s="1"/>
  <c r="BS49" i="1" s="1"/>
  <c r="BS50" i="1" s="1"/>
  <c r="BS51" i="1" s="1"/>
  <c r="BS52" i="1" s="1"/>
  <c r="BS53" i="1" s="1"/>
  <c r="BS54" i="1" s="1"/>
  <c r="BS55" i="1" s="1"/>
  <c r="BS56" i="1" s="1"/>
  <c r="BS57" i="1" s="1"/>
  <c r="CF55" i="1"/>
  <c r="CF57" i="1" s="1"/>
  <c r="AK60" i="1"/>
  <c r="AK7" i="1"/>
  <c r="AK4" i="1"/>
  <c r="CB55" i="1"/>
  <c r="CB57" i="1" s="1"/>
  <c r="BY55" i="1"/>
  <c r="BY57" i="1" s="1"/>
  <c r="BX55" i="1"/>
  <c r="BX57" i="1" s="1"/>
  <c r="BW55" i="1"/>
  <c r="BW57" i="1" s="1"/>
  <c r="Q7" i="1"/>
  <c r="Q4" i="1"/>
  <c r="U7" i="1"/>
  <c r="U4" i="1"/>
  <c r="AD7" i="1"/>
  <c r="CN15" i="1"/>
  <c r="CM3" i="1"/>
  <c r="L7" i="1"/>
  <c r="L4" i="1"/>
  <c r="BM4" i="1"/>
  <c r="AD4" i="1"/>
  <c r="BM7" i="1"/>
  <c r="CN44" i="1"/>
  <c r="BW26" i="1"/>
  <c r="BF14" i="1"/>
  <c r="Y6" i="1"/>
  <c r="CO38" i="1"/>
  <c r="CO40" i="1"/>
  <c r="CO37" i="1"/>
  <c r="CF31" i="1"/>
  <c r="CF42" i="1" s="1"/>
  <c r="BA14" i="1"/>
  <c r="AJ13" i="1"/>
  <c r="BG12" i="1"/>
  <c r="AJ14" i="1"/>
  <c r="F35" i="1"/>
  <c r="BV14" i="1" s="1"/>
  <c r="L6" i="1"/>
  <c r="P2" i="1"/>
  <c r="T2" i="1"/>
  <c r="X2" i="1"/>
  <c r="AC2" i="1"/>
  <c r="AJ2" i="1"/>
  <c r="AN2" i="1"/>
  <c r="AR2" i="1"/>
  <c r="AW2" i="1"/>
  <c r="BB2" i="1"/>
  <c r="BG2" i="1"/>
  <c r="BL2" i="1"/>
  <c r="BZ33" i="1"/>
  <c r="K16" i="1"/>
  <c r="K27" i="1" s="1"/>
  <c r="BJ16" i="1"/>
  <c r="BZ28" i="1"/>
  <c r="AW12" i="1"/>
  <c r="AW15" i="1" s="1"/>
  <c r="CM5" i="1"/>
  <c r="CO16" i="1"/>
  <c r="AV15" i="1"/>
  <c r="BZ24" i="1"/>
  <c r="BZ26" i="1" s="1"/>
  <c r="BG13" i="1"/>
  <c r="E15" i="1"/>
  <c r="BU26" i="1"/>
  <c r="CO24" i="1"/>
  <c r="CO26" i="1" s="1"/>
  <c r="BU42" i="1"/>
  <c r="CO28" i="1"/>
  <c r="CO41" i="1"/>
  <c r="CO33" i="1"/>
  <c r="X38" i="1"/>
  <c r="BW17" i="1"/>
  <c r="BM6" i="1" l="1"/>
  <c r="AD6" i="1"/>
  <c r="AO6" i="1"/>
  <c r="CC5" i="1"/>
  <c r="BC6" i="1"/>
  <c r="CF44" i="1"/>
  <c r="CF64" i="1" s="1"/>
  <c r="CF67" i="1" s="1"/>
  <c r="BH6" i="1"/>
  <c r="AK6" i="1"/>
  <c r="U6" i="1"/>
  <c r="Q6" i="1"/>
  <c r="BS5" i="1"/>
  <c r="AS6" i="1"/>
  <c r="AD20" i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E27" i="1"/>
  <c r="G22" i="1"/>
  <c r="G23" i="1" s="1"/>
  <c r="BV26" i="1"/>
  <c r="CK26" i="1" s="1"/>
  <c r="CL26" i="1" s="1"/>
  <c r="CK24" i="1"/>
  <c r="CP24" i="1" s="1"/>
  <c r="CP26" i="1" s="1"/>
  <c r="CK16" i="1"/>
  <c r="CP16" i="1" s="1"/>
  <c r="CQ16" i="1" s="1"/>
  <c r="CK29" i="1"/>
  <c r="CC30" i="1"/>
  <c r="BM17" i="1"/>
  <c r="BM18" i="1" s="1"/>
  <c r="BN19" i="1"/>
  <c r="CK28" i="1"/>
  <c r="CP28" i="1" s="1"/>
  <c r="CQ28" i="1" s="1"/>
  <c r="CO42" i="1"/>
  <c r="BV17" i="1"/>
  <c r="C23" i="21"/>
  <c r="D21" i="21" s="1"/>
  <c r="I30" i="1"/>
  <c r="J30" i="1" s="1"/>
  <c r="BW34" i="1" s="1"/>
  <c r="D41" i="1"/>
  <c r="E41" i="1" s="1"/>
  <c r="BV34" i="1" s="1"/>
  <c r="AW17" i="1"/>
  <c r="CG34" i="1"/>
  <c r="BG14" i="1"/>
  <c r="BG16" i="1" s="1"/>
  <c r="CI34" i="1" s="1"/>
  <c r="CH34" i="1"/>
  <c r="BB16" i="1"/>
  <c r="AR1" i="1"/>
  <c r="AJ16" i="1"/>
  <c r="AI22" i="1" s="1"/>
  <c r="G24" i="1" l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CL24" i="1"/>
  <c r="CL16" i="1"/>
  <c r="D17" i="21"/>
  <c r="F17" i="21" s="1"/>
  <c r="CL28" i="1"/>
  <c r="CQ24" i="1"/>
  <c r="CK30" i="1"/>
  <c r="CC31" i="1"/>
  <c r="CC32" i="1" s="1"/>
  <c r="BM19" i="1"/>
  <c r="BM20" i="1" s="1"/>
  <c r="BN20" i="1"/>
  <c r="CP29" i="1"/>
  <c r="CQ29" i="1" s="1"/>
  <c r="CL29" i="1"/>
  <c r="D19" i="21"/>
  <c r="F19" i="21" s="1"/>
  <c r="C20" i="20"/>
  <c r="F21" i="21"/>
  <c r="AW18" i="1"/>
  <c r="CG40" i="1" s="1"/>
  <c r="CG42" i="1" s="1"/>
  <c r="CG44" i="1" s="1"/>
  <c r="BG17" i="1"/>
  <c r="BB18" i="1"/>
  <c r="CH40" i="1" s="1"/>
  <c r="CH42" i="1" s="1"/>
  <c r="CH44" i="1" s="1"/>
  <c r="CH64" i="1" s="1"/>
  <c r="CH67" i="1" s="1"/>
  <c r="BQ12" i="1"/>
  <c r="F27" i="21" l="1"/>
  <c r="CQ26" i="1"/>
  <c r="CK32" i="1"/>
  <c r="CC33" i="1"/>
  <c r="CP30" i="1"/>
  <c r="CQ30" i="1" s="1"/>
  <c r="CL30" i="1"/>
  <c r="F23" i="21"/>
  <c r="CG64" i="1"/>
  <c r="CG67" i="1" s="1"/>
  <c r="BQ14" i="1"/>
  <c r="W26" i="1"/>
  <c r="AW20" i="1"/>
  <c r="AW1" i="1" s="1"/>
  <c r="D40" i="1"/>
  <c r="E40" i="1" s="1"/>
  <c r="BV31" i="1" s="1"/>
  <c r="CI40" i="1"/>
  <c r="CI42" i="1" s="1"/>
  <c r="CI44" i="1" s="1"/>
  <c r="CI64" i="1" s="1"/>
  <c r="CI67" i="1" s="1"/>
  <c r="BG19" i="1"/>
  <c r="BB20" i="1"/>
  <c r="BB1" i="1" s="1"/>
  <c r="I29" i="1"/>
  <c r="J29" i="1" s="1"/>
  <c r="BW31" i="1" s="1"/>
  <c r="W28" i="1" l="1"/>
  <c r="S16" i="1"/>
  <c r="F42" i="1"/>
  <c r="CC34" i="1"/>
  <c r="CC35" i="1" s="1"/>
  <c r="CK33" i="1"/>
  <c r="CP32" i="1"/>
  <c r="CQ32" i="1" s="1"/>
  <c r="CL32" i="1"/>
  <c r="I33" i="1"/>
  <c r="J33" i="1" s="1"/>
  <c r="BQ16" i="1"/>
  <c r="BQ18" i="1" s="1"/>
  <c r="BQ19" i="1" s="1"/>
  <c r="BQ20" i="1" s="1"/>
  <c r="D44" i="1"/>
  <c r="E44" i="1" s="1"/>
  <c r="F45" i="1" s="1"/>
  <c r="BG1" i="1"/>
  <c r="K31" i="1"/>
  <c r="F47" i="1" l="1"/>
  <c r="F49" i="1" s="1"/>
  <c r="BV40" i="1" s="1"/>
  <c r="K35" i="1"/>
  <c r="K37" i="1" s="1"/>
  <c r="K38" i="1" s="1"/>
  <c r="BW39" i="1"/>
  <c r="BV39" i="1"/>
  <c r="CK35" i="1"/>
  <c r="CC36" i="1"/>
  <c r="CP33" i="1"/>
  <c r="CQ33" i="1" s="1"/>
  <c r="CL33" i="1"/>
  <c r="BW40" i="1" l="1"/>
  <c r="BW42" i="1" s="1"/>
  <c r="BW44" i="1" s="1"/>
  <c r="BW64" i="1" s="1"/>
  <c r="BW67" i="1" s="1"/>
  <c r="CK36" i="1"/>
  <c r="CC37" i="1"/>
  <c r="BV42" i="1"/>
  <c r="BV44" i="1" s="1"/>
  <c r="BV64" i="1" s="1"/>
  <c r="BV67" i="1" s="1"/>
  <c r="CL35" i="1"/>
  <c r="CP35" i="1"/>
  <c r="CQ35" i="1" s="1"/>
  <c r="K39" i="1"/>
  <c r="F50" i="1"/>
  <c r="K1" i="1" l="1"/>
  <c r="CL36" i="1"/>
  <c r="CP36" i="1"/>
  <c r="CQ36" i="1" s="1"/>
  <c r="F1" i="1"/>
  <c r="CC38" i="1"/>
  <c r="CK37" i="1"/>
  <c r="CP37" i="1" l="1"/>
  <c r="CQ37" i="1" s="1"/>
  <c r="CL37" i="1"/>
  <c r="CK38" i="1"/>
  <c r="CC39" i="1"/>
  <c r="CC40" i="1" s="1"/>
  <c r="CC41" i="1" s="1"/>
  <c r="CP38" i="1" l="1"/>
  <c r="CQ38" i="1" s="1"/>
  <c r="CL38" i="1"/>
  <c r="CK41" i="1"/>
  <c r="CC42" i="1"/>
  <c r="CC43" i="1" s="1"/>
  <c r="CC44" i="1" s="1"/>
  <c r="CC45" i="1" s="1"/>
  <c r="CC46" i="1" s="1"/>
  <c r="CL41" i="1" l="1"/>
  <c r="CP41" i="1"/>
  <c r="CQ41" i="1" s="1"/>
  <c r="CC47" i="1"/>
  <c r="CC48" i="1" s="1"/>
  <c r="CC49" i="1" s="1"/>
  <c r="CC50" i="1" s="1"/>
  <c r="CC51" i="1" s="1"/>
  <c r="CK46" i="1"/>
  <c r="CK65" i="1" l="1"/>
  <c r="CK68" i="1" s="1"/>
  <c r="CP46" i="1"/>
  <c r="CP65" i="1" s="1"/>
  <c r="CP68" i="1" s="1"/>
  <c r="CK51" i="1"/>
  <c r="CC52" i="1"/>
  <c r="CP51" i="1" l="1"/>
  <c r="CK52" i="1"/>
  <c r="CP52" i="1" s="1"/>
  <c r="CC53" i="1"/>
  <c r="CK53" i="1" l="1"/>
  <c r="CP53" i="1" s="1"/>
  <c r="CC54" i="1"/>
  <c r="CK54" i="1" l="1"/>
  <c r="CC55" i="1"/>
  <c r="CC56" i="1" s="1"/>
  <c r="CP54" i="1" l="1"/>
  <c r="CP55" i="1" s="1"/>
  <c r="CK55" i="1"/>
  <c r="CK56" i="1"/>
  <c r="CP56" i="1" s="1"/>
  <c r="CC57" i="1"/>
  <c r="CP57" i="1" l="1"/>
  <c r="CP59" i="1" s="1"/>
  <c r="CK57" i="1"/>
  <c r="P31" i="1" l="1"/>
  <c r="BX42" i="1" l="1"/>
  <c r="BX44" i="1" s="1"/>
  <c r="P1" i="1" l="1"/>
  <c r="BX64" i="1"/>
  <c r="BX67" i="1" s="1"/>
  <c r="AN14" i="1" l="1"/>
  <c r="CE39" i="1" l="1"/>
  <c r="AB18" i="1" l="1"/>
  <c r="AC18" i="1" s="1"/>
  <c r="AC21" i="1" s="1"/>
  <c r="CA34" i="1" l="1"/>
  <c r="AC23" i="1"/>
  <c r="CA40" i="1" s="1"/>
  <c r="AC24" i="1" l="1"/>
  <c r="CA42" i="1"/>
  <c r="CA44" i="1" s="1"/>
  <c r="AC1" i="1" l="1"/>
  <c r="CA64" i="1"/>
  <c r="CA67" i="1" s="1"/>
  <c r="AN18" i="1" l="1"/>
  <c r="CE34" i="1" l="1"/>
  <c r="AN20" i="1"/>
  <c r="AN22" i="1"/>
  <c r="AN24" i="1" l="1"/>
  <c r="CE40" i="1" s="1"/>
  <c r="CE42" i="1" s="1"/>
  <c r="CE44" i="1" s="1"/>
  <c r="CE64" i="1" l="1"/>
  <c r="CE67" i="1" s="1"/>
  <c r="AN26" i="1"/>
  <c r="AN1" i="1" s="1"/>
  <c r="AI18" i="1" l="1"/>
  <c r="AI20" i="1" s="1"/>
  <c r="AI23" i="1" s="1"/>
  <c r="AJ26" i="1" s="1"/>
  <c r="AJ28" i="1" l="1"/>
  <c r="CB31" i="1"/>
  <c r="AJ29" i="1"/>
  <c r="CB40" i="1" s="1"/>
  <c r="CB42" i="1" l="1"/>
  <c r="CB44" i="1" s="1"/>
  <c r="AJ30" i="1"/>
  <c r="CB64" i="1" l="1"/>
  <c r="CB67" i="1" s="1"/>
  <c r="AJ1" i="1"/>
  <c r="BU15" i="1" l="1"/>
  <c r="BZ15" i="1"/>
  <c r="CK15" i="1" s="1"/>
  <c r="CL15" i="1" l="1"/>
  <c r="CP15" i="1"/>
  <c r="CO15" i="1"/>
  <c r="CQ15" i="1" l="1"/>
  <c r="CO14" i="1"/>
  <c r="CO17" i="1" s="1"/>
  <c r="BU17" i="1"/>
  <c r="BU44" i="1" s="1"/>
  <c r="CO44" i="1" l="1"/>
  <c r="CO27" i="1"/>
  <c r="BU64" i="1"/>
  <c r="BU67" i="1" s="1"/>
  <c r="CO64" i="1" l="1"/>
  <c r="CO67" i="1" s="1"/>
  <c r="X23" i="1" l="1"/>
  <c r="BZ14" i="1"/>
  <c r="CK14" i="1" l="1"/>
  <c r="BZ17" i="1"/>
  <c r="CK17" i="1" s="1"/>
  <c r="CL17" i="1" s="1"/>
  <c r="X27" i="1"/>
  <c r="BZ34" i="1" s="1"/>
  <c r="X26" i="1"/>
  <c r="X28" i="1"/>
  <c r="BZ39" i="1" s="1"/>
  <c r="BZ31" i="1" l="1"/>
  <c r="X29" i="1"/>
  <c r="X40" i="1" s="1"/>
  <c r="CP14" i="1"/>
  <c r="CL14" i="1"/>
  <c r="CK31" i="1" l="1"/>
  <c r="X41" i="1"/>
  <c r="BZ40" i="1" s="1"/>
  <c r="CQ14" i="1"/>
  <c r="CP17" i="1"/>
  <c r="CP27" i="1" s="1"/>
  <c r="X42" i="1" l="1"/>
  <c r="BZ42" i="1"/>
  <c r="BZ44" i="1" s="1"/>
  <c r="CQ17" i="1"/>
  <c r="CP31" i="1"/>
  <c r="CL31" i="1"/>
  <c r="CQ27" i="1" l="1"/>
  <c r="X1" i="1"/>
  <c r="CQ31" i="1"/>
  <c r="BZ64" i="1"/>
  <c r="BZ67" i="1" s="1"/>
  <c r="BU53" i="1" l="1"/>
  <c r="D19" i="32"/>
  <c r="BU51" i="1" s="1"/>
  <c r="BU54" i="1"/>
  <c r="CO53" i="1" l="1"/>
  <c r="CQ53" i="1" s="1"/>
  <c r="CL53" i="1"/>
  <c r="BU52" i="1"/>
  <c r="BU55" i="1" s="1"/>
  <c r="D28" i="32"/>
  <c r="D30" i="32" s="1"/>
  <c r="CL54" i="1"/>
  <c r="CO54" i="1"/>
  <c r="CQ54" i="1" s="1"/>
  <c r="CL51" i="1"/>
  <c r="CO51" i="1"/>
  <c r="CO52" i="1" l="1"/>
  <c r="CQ52" i="1" s="1"/>
  <c r="CL52" i="1"/>
  <c r="CL55" i="1" s="1"/>
  <c r="CQ51" i="1"/>
  <c r="CQ55" i="1" l="1"/>
  <c r="CO55" i="1"/>
  <c r="BU56" i="1" l="1"/>
  <c r="D32" i="32"/>
  <c r="CL56" i="1" l="1"/>
  <c r="CL57" i="1" s="1"/>
  <c r="CO56" i="1"/>
  <c r="BU57" i="1"/>
  <c r="BU46" i="1" s="1"/>
  <c r="CQ56" i="1" l="1"/>
  <c r="CO57" i="1"/>
  <c r="BU65" i="1"/>
  <c r="BU68" i="1" s="1"/>
  <c r="CO46" i="1"/>
  <c r="CL46" i="1"/>
  <c r="CL65" i="1" s="1"/>
  <c r="CL68" i="1" s="1"/>
  <c r="BU48" i="1"/>
  <c r="CO48" i="1" s="1"/>
  <c r="CO59" i="1" l="1"/>
  <c r="CO65" i="1"/>
  <c r="CO68" i="1" s="1"/>
  <c r="CQ46" i="1"/>
  <c r="CQ57" i="1"/>
  <c r="CQ59" i="1" l="1"/>
  <c r="S12" i="1"/>
  <c r="S14" i="1" s="1"/>
  <c r="T17" i="1" s="1"/>
  <c r="CQ65" i="1"/>
  <c r="CQ68" i="1" s="1"/>
  <c r="C8" i="20"/>
  <c r="T21" i="1" l="1"/>
  <c r="T23" i="1" s="1"/>
  <c r="P19" i="1"/>
  <c r="P20" i="1" s="1"/>
  <c r="C16" i="20"/>
  <c r="C19" i="20"/>
  <c r="C21" i="20" l="1"/>
  <c r="BY40" i="1"/>
  <c r="T24" i="1"/>
  <c r="BY42" i="1" l="1"/>
  <c r="BY44" i="1" s="1"/>
  <c r="T1" i="1" s="1"/>
  <c r="BY64" i="1" l="1"/>
  <c r="BY67" i="1" s="1"/>
  <c r="CB59" i="1"/>
  <c r="BL12" i="1" l="1"/>
  <c r="BK13" i="1"/>
  <c r="BL13" i="1" l="1"/>
  <c r="CJ34" i="1" l="1"/>
  <c r="CK34" i="1" l="1"/>
  <c r="CP34" i="1" l="1"/>
  <c r="CL34" i="1"/>
  <c r="CQ34" i="1" l="1"/>
  <c r="BL15" i="1" l="1"/>
  <c r="BK16" i="1"/>
  <c r="CJ39" i="1" l="1"/>
  <c r="BL16" i="1"/>
  <c r="BL18" i="1" s="1"/>
  <c r="CK39" i="1" l="1"/>
  <c r="BL20" i="1"/>
  <c r="CJ40" i="1" s="1"/>
  <c r="CL39" i="1" l="1"/>
  <c r="CP39" i="1"/>
  <c r="BL21" i="1"/>
  <c r="CK40" i="1"/>
  <c r="CJ42" i="1"/>
  <c r="CJ44" i="1" s="1"/>
  <c r="CL40" i="1" l="1"/>
  <c r="CL42" i="1" s="1"/>
  <c r="CL44" i="1" s="1"/>
  <c r="CP40" i="1"/>
  <c r="CQ40" i="1" s="1"/>
  <c r="BL1" i="1"/>
  <c r="A1" i="1" s="1"/>
  <c r="CJ64" i="1"/>
  <c r="CJ67" i="1" s="1"/>
  <c r="CL59" i="1"/>
  <c r="CK42" i="1"/>
  <c r="CK44" i="1" s="1"/>
  <c r="CK64" i="1" s="1"/>
  <c r="CK67" i="1" s="1"/>
  <c r="CQ39" i="1"/>
  <c r="CP42" i="1"/>
  <c r="CP44" i="1" s="1"/>
  <c r="CP64" i="1" s="1"/>
  <c r="CP67" i="1" s="1"/>
  <c r="CL48" i="1" l="1"/>
  <c r="CL64" i="1"/>
  <c r="CL67" i="1" s="1"/>
  <c r="CQ42" i="1"/>
  <c r="CQ44" i="1" l="1"/>
  <c r="C7" i="20" l="1"/>
  <c r="CQ64" i="1"/>
  <c r="CQ67" i="1" s="1"/>
  <c r="CQ48" i="1"/>
  <c r="C15" i="20" l="1"/>
  <c r="C10" i="20"/>
  <c r="C17" i="20" l="1"/>
  <c r="C23" i="20" l="1"/>
</calcChain>
</file>

<file path=xl/sharedStrings.xml><?xml version="1.0" encoding="utf-8"?>
<sst xmlns="http://schemas.openxmlformats.org/spreadsheetml/2006/main" count="586" uniqueCount="334">
  <si>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</si>
  <si>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</si>
  <si>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</si>
  <si>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</si>
  <si>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</si>
  <si>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</si>
  <si>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</si>
  <si>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</si>
  <si>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</si>
  <si>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</si>
  <si>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</si>
  <si>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</si>
  <si>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</si>
  <si>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</si>
  <si>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</si>
  <si>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</si>
  <si>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</si>
  <si>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</si>
  <si>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</si>
  <si>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</si>
  <si>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</si>
  <si>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PUGET SOUND ENERGY-GAS</t>
  </si>
  <si>
    <t>CONVERSION FACTOR</t>
  </si>
  <si>
    <t>RESULTS OF OPERATIONS</t>
  </si>
  <si>
    <t>&gt;</t>
  </si>
  <si>
    <t>LINE</t>
  </si>
  <si>
    <t xml:space="preserve">LINE 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</si>
  <si>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</si>
  <si>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</si>
  <si>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</si>
  <si>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</si>
  <si>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</si>
  <si>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</si>
  <si>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</si>
  <si>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</si>
  <si>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</si>
  <si>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AMOUNT</t>
  </si>
  <si>
    <t>ADJUSTMENT</t>
  </si>
  <si>
    <t>OPERATIONS</t>
  </si>
  <si>
    <t>AMORTIZATION</t>
  </si>
  <si>
    <t>INCOME TAX</t>
  </si>
  <si>
    <t>RESTATED INTEREST</t>
  </si>
  <si>
    <t>DEBTS</t>
  </si>
  <si>
    <t>ADJUSTMENTS</t>
  </si>
  <si>
    <t>RESULTS OF</t>
  </si>
  <si>
    <t>BASE</t>
  </si>
  <si>
    <t>RATE</t>
  </si>
  <si>
    <t>1</t>
  </si>
  <si>
    <t>TAXABLE INCOME</t>
  </si>
  <si>
    <t>-</t>
  </si>
  <si>
    <t>OPERATING REVENUES</t>
  </si>
  <si>
    <t>INCREASE (DECREASE) EXPENSE</t>
  </si>
  <si>
    <t>INCREASE(DECREASE) EXPENSE</t>
  </si>
  <si>
    <t>MUNICIPAL ADDITIONS</t>
  </si>
  <si>
    <t>INCREASE (DECREASE) IN EXPENSE</t>
  </si>
  <si>
    <t>INCREASE(DECREASE) NOI</t>
  </si>
  <si>
    <t>INCREASE (DECREASE) NOI</t>
  </si>
  <si>
    <t>INCREASE(DECREASE) FIT</t>
  </si>
  <si>
    <t>FEDERAL INCOME TAX</t>
  </si>
  <si>
    <t>OTHER POWER SUPPLY EXPENSES</t>
  </si>
  <si>
    <t>CUSTOMER ACCOUNT EXPENSES</t>
  </si>
  <si>
    <t xml:space="preserve">   </t>
  </si>
  <si>
    <t>AMORTIZATION OF PROPERTY LOSS</t>
  </si>
  <si>
    <t>RATE BASE</t>
  </si>
  <si>
    <t>QUALIFIED RETIREMENT FUND</t>
  </si>
  <si>
    <t>STATEMENT OF OPERATING INCOME AND ADJUSTMENTS</t>
  </si>
  <si>
    <t>OTHER ENERGY SUPPLY EXPENSES</t>
  </si>
  <si>
    <t>WEIGHTED COST OF DEBT</t>
  </si>
  <si>
    <t xml:space="preserve">INCREASE (DECREASE) FIT @ 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</si>
  <si>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</si>
  <si>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</si>
  <si>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</si>
  <si>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</si>
  <si>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</si>
  <si>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</si>
  <si>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</si>
  <si>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</si>
  <si>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</si>
  <si>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RESTATED EXCISE TAXES</t>
  </si>
  <si>
    <t>CHARGED TO EXPENSE FOR TEST YEAR</t>
  </si>
  <si>
    <t>INCREASE(DECREASE) EXCISE TAX</t>
  </si>
  <si>
    <t>INCREASE(DECREASE) WUTC FILING FEE</t>
  </si>
  <si>
    <t>RESTATED WUTC FILING FEE</t>
  </si>
  <si>
    <t>INCREASE (DECREASE) FIT</t>
  </si>
  <si>
    <t>BAD DEBTS</t>
  </si>
  <si>
    <t>EXCISE TAX &amp; FILING FEE</t>
  </si>
  <si>
    <t>EXCISE TAX &amp;</t>
  </si>
  <si>
    <t>FILING FEE</t>
  </si>
  <si>
    <t>GAS COSTS:</t>
  </si>
  <si>
    <t xml:space="preserve"> PURCHASED GAS</t>
  </si>
  <si>
    <t>DEPRECIATION</t>
  </si>
  <si>
    <t>COMMISSION BASIS REPORT</t>
  </si>
  <si>
    <t>TEST YEAR</t>
  </si>
  <si>
    <t>TAX BENEFIT OF RESTATED INTEREST</t>
  </si>
  <si>
    <t>INCREASE(DECREASE) OPERATING INCOME</t>
  </si>
  <si>
    <t>UNCOLLECTIBLES CHARGED TO EXPENSE IN TEST YEAR</t>
  </si>
  <si>
    <t>INCREASE (DECREASE) OPERATING INCOME</t>
  </si>
  <si>
    <t>INCREASE (DECREASE) FIT @</t>
  </si>
  <si>
    <t>D&amp;O INSURANCE</t>
  </si>
  <si>
    <t>D &amp; O INS. CHG  EXPENSE</t>
  </si>
  <si>
    <t>D&amp;O</t>
  </si>
  <si>
    <t>INSURANCE</t>
  </si>
  <si>
    <t>PERCENT</t>
  </si>
  <si>
    <t>NET</t>
  </si>
  <si>
    <t>GROSS</t>
  </si>
  <si>
    <t>WRITEOFFS</t>
  </si>
  <si>
    <t>REVENUES</t>
  </si>
  <si>
    <t>TO REVENUE</t>
  </si>
  <si>
    <t>YEAR</t>
  </si>
  <si>
    <t>TOTAL INCREASE (DECREASE) EXPENSE</t>
  </si>
  <si>
    <t>INTEREST ON CUSTOMER DEPOSITS</t>
  </si>
  <si>
    <t>INTEREST EXPENSE FOR TEST YEAR</t>
  </si>
  <si>
    <t xml:space="preserve">INTEREST ON </t>
  </si>
  <si>
    <t>CUST DEPOSITS</t>
  </si>
  <si>
    <t>PENSION PLAN</t>
  </si>
  <si>
    <t>INCREASE (DECREASE ) IN EXPENSE</t>
  </si>
  <si>
    <t>INCREASE (DECREASE) INCOME</t>
  </si>
  <si>
    <t xml:space="preserve">PENSION </t>
  </si>
  <si>
    <t>PLAN</t>
  </si>
  <si>
    <t>Gas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</si>
  <si>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</si>
  <si>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</si>
  <si>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</si>
  <si>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</si>
  <si>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</si>
  <si>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</si>
  <si>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</si>
  <si>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</si>
  <si>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</si>
  <si>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</si>
  <si>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</si>
  <si>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</si>
  <si>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</si>
  <si>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</si>
  <si>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</si>
  <si>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</si>
  <si>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</si>
  <si>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</si>
  <si>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</si>
  <si>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</si>
  <si>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</si>
  <si>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</si>
  <si>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UNCOLLECTIBLES @</t>
  </si>
  <si>
    <t>ANNUAL FILING FEE @</t>
  </si>
  <si>
    <t>STATE UTILITY TAX @</t>
  </si>
  <si>
    <t>INCREASE (DECREASE) TAXES OTHER</t>
  </si>
  <si>
    <t>TEMPERATURE</t>
  </si>
  <si>
    <t>NORMALIZATION</t>
  </si>
  <si>
    <t>SALES TO CUSTOMERS:</t>
  </si>
  <si>
    <t>TOTAL INCREASE (DECREASE) SALES TO CUSTOMERS</t>
  </si>
  <si>
    <t>TOTAL INCREASE (DECREASE) REVENUES</t>
  </si>
  <si>
    <t>OPERATING EXPENSES:</t>
  </si>
  <si>
    <t>PURCHASED GAS COSTS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</si>
  <si>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</si>
  <si>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</si>
  <si>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</si>
  <si>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</si>
  <si>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TOTAL (INCREASE) DECREASE REVENUES</t>
  </si>
  <si>
    <t>DECREASE REVENUE SENSITIVE ITEMS FOR DECREASE IN REVENUES: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</si>
  <si>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</si>
  <si>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</si>
  <si>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</si>
  <si>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</si>
  <si>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</si>
  <si>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</si>
  <si>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</si>
  <si>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INCREASE (DECREASE) OPERATING INCOME BEFORE FIT</t>
  </si>
  <si>
    <t>PASS-THROUGH</t>
  </si>
  <si>
    <t>SUM OF TAXES OTHER</t>
  </si>
  <si>
    <t>STATE UTILITY TAX ( 3.852% - ( LINE 1 * 3.852% )  )</t>
  </si>
  <si>
    <t>INCREASE(DECREASE ) IN INCOME</t>
  </si>
  <si>
    <t>TEMPERATURE NORMALIZATION</t>
  </si>
  <si>
    <t>PASS-THROUGH REVENUE &amp; EXPENSE</t>
  </si>
  <si>
    <t>REVENUE &amp; EXPENSE</t>
  </si>
  <si>
    <t>REVENUE &amp; EXPENSE RESTATING</t>
  </si>
  <si>
    <t>&amp; EXPENSE</t>
  </si>
  <si>
    <t>REVENUE</t>
  </si>
  <si>
    <t>NET RATE BASE</t>
  </si>
  <si>
    <t>Page 1.01</t>
  </si>
  <si>
    <t>OTHER</t>
  </si>
  <si>
    <t>OPERATING</t>
  </si>
  <si>
    <t>Restated Interest Expense</t>
  </si>
  <si>
    <t>Restated NOI less Restated Interest Exp</t>
  </si>
  <si>
    <t>INCENTIVE</t>
  </si>
  <si>
    <t>PAY</t>
  </si>
  <si>
    <t>INCENTIVE PAY</t>
  </si>
  <si>
    <t>INCENTIVE/MERIT PAY</t>
  </si>
  <si>
    <t>TOTAL INCENTIVE PAY</t>
  </si>
  <si>
    <t>PAYROLL TAXES ASSOC WITH MERIT PAY</t>
  </si>
  <si>
    <t>INCREASE (DECREASE) OPERATING EXPENSE</t>
  </si>
  <si>
    <t>INCREASE(DECREASE) FIT @</t>
  </si>
  <si>
    <t>Page 1.02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</si>
  <si>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</si>
  <si>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</si>
  <si>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</si>
  <si>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</si>
  <si>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</si>
  <si>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</si>
  <si>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</si>
  <si>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</si>
  <si>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</si>
  <si>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</si>
  <si>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</si>
  <si>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</si>
  <si>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</si>
  <si>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</si>
  <si>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</si>
  <si>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Short Term Debt</t>
  </si>
  <si>
    <t>Long Term Debt</t>
  </si>
  <si>
    <t>Common Stock</t>
  </si>
  <si>
    <t>Total</t>
  </si>
  <si>
    <t>Total (A)</t>
  </si>
  <si>
    <r>
      <t>(i)</t>
    </r>
    <r>
      <rPr>
        <sz val="10"/>
        <rFont val="Arial"/>
        <family val="2"/>
      </rPr>
      <t xml:space="preserve"> - Average of Month-End Balances</t>
    </r>
  </si>
  <si>
    <t>Page 2-A</t>
  </si>
  <si>
    <t>Page 2-B</t>
  </si>
  <si>
    <t>Page 2 Summary</t>
  </si>
  <si>
    <t>RESTATED BAD DEBT RATE</t>
  </si>
  <si>
    <t>RESTATED BAD DEBTS</t>
  </si>
  <si>
    <t xml:space="preserve">RESTATED </t>
  </si>
  <si>
    <t>RATE CASE</t>
  </si>
  <si>
    <t>EXPENSES</t>
  </si>
  <si>
    <t>RATE CASE EXPENSES</t>
  </si>
  <si>
    <t>EXPENSES TO BE NORMALIZED:</t>
  </si>
  <si>
    <t>ANNUAL NORMALIZATION (LINE 3 / 2)</t>
  </si>
  <si>
    <t>LESS TEST YEAR EXPENSE:  GRC DIRECT CHARGES TO O&amp;M</t>
  </si>
  <si>
    <t>INJURIES</t>
  </si>
  <si>
    <t>AND 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</si>
  <si>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</si>
  <si>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</si>
  <si>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</si>
  <si>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</si>
  <si>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</si>
  <si>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REMOVE MUNICIPAL TAXES ASSOC WITH SALES TO CUSTOMERS</t>
  </si>
  <si>
    <t>REMOVE MUNICIPAL TAXES ASSOC WITH OTHER OPRTG REV</t>
  </si>
  <si>
    <t>Electric</t>
  </si>
  <si>
    <t>REMOVE CARBON OFFSET - SCHEDULE 137</t>
  </si>
  <si>
    <t>REMOVE OTHER ASSOC WITH CARBON OFFSET - SCHEDULE 137</t>
  </si>
  <si>
    <t>REMOVE CARBON OFFSET AMORTIZATION EXP - SCHEDULE 137</t>
  </si>
  <si>
    <t>OTHER OPERATING REVENUES:</t>
  </si>
  <si>
    <t>TOTAL INCREASE (DECREASE) OPERATING REVENUES</t>
  </si>
  <si>
    <t>CONVERSION FACTOR BEFORE FIT</t>
  </si>
  <si>
    <t>REMOVE PROPERTY TAX AMORTIZATION EXP - SCHEDULE 140</t>
  </si>
  <si>
    <t>REMOVE PROPERTY TAX TRACKER - SCHEDULE 140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</si>
  <si>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</si>
  <si>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</si>
  <si>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</si>
  <si>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</si>
  <si>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</si>
  <si>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</si>
  <si>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</si>
  <si>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</si>
  <si>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</si>
  <si>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</si>
  <si>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</si>
  <si>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</si>
  <si>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</si>
  <si>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Adj 4.01</t>
  </si>
  <si>
    <t>REMOVE DECOUPLING SCH 142 REVENUE</t>
  </si>
  <si>
    <t>REMOVE DECOUPLING SCH 142 SURCHARGE AMORT EXPENSE</t>
  </si>
  <si>
    <t>INCREASE (DECREASE) FIT  (LINE 26 * 35%)</t>
  </si>
  <si>
    <t>85T</t>
  </si>
  <si>
    <t>87T</t>
  </si>
  <si>
    <t>SC</t>
  </si>
  <si>
    <t>85</t>
  </si>
  <si>
    <t>87</t>
  </si>
  <si>
    <t>TRANS. INTERRUPT WITH FIRM OPTION - COM</t>
  </si>
  <si>
    <t>TRANS. NON-EXCLUS INTER W/ FIRM OPTION - COM</t>
  </si>
  <si>
    <t>INTERRUPTIBLE WITH FIRM OPTION - COM</t>
  </si>
  <si>
    <t>NON-EXCL INTERRUPT W/ FIRM OPTION - COM</t>
  </si>
  <si>
    <t>SPECIAL CONTRACTS</t>
  </si>
  <si>
    <t>3-YR AVERAGE OF NET WRITE OFF RATE</t>
  </si>
  <si>
    <t>REPORTING PERIOD REVENUES</t>
  </si>
  <si>
    <t>Puget Sound Energy</t>
  </si>
  <si>
    <t>Gas Rate Base</t>
  </si>
  <si>
    <t>4-Factor Allocation</t>
  </si>
  <si>
    <t>NEW NOL</t>
  </si>
  <si>
    <t xml:space="preserve">    Line</t>
  </si>
  <si>
    <t>AMA</t>
  </si>
  <si>
    <t xml:space="preserve">     No.</t>
  </si>
  <si>
    <t xml:space="preserve">           </t>
  </si>
  <si>
    <t>Gas Utility Plant in Service</t>
  </si>
  <si>
    <t xml:space="preserve">Common Plant-Allocation to Gas </t>
  </si>
  <si>
    <t>Gas Stored Underground - Non current</t>
  </si>
  <si>
    <t/>
  </si>
  <si>
    <t xml:space="preserve">   Total Plant in Service and Other Assets</t>
  </si>
  <si>
    <t>Accumulated Provision for Depreciation</t>
  </si>
  <si>
    <t>Common Accumulated Depreciation-Allocation to Gas</t>
  </si>
  <si>
    <t>Customer Advances for Construction</t>
  </si>
  <si>
    <t>Contributions in Aid of Construction - Accum. Def. FIT.</t>
  </si>
  <si>
    <t>Liberalized Depreciation Total Accum. Def. FIT - Liberalized</t>
  </si>
  <si>
    <t>NOL Carryforward</t>
  </si>
  <si>
    <t>Customer Deposits</t>
  </si>
  <si>
    <t xml:space="preserve">   Accumulated Depreciation and Other Liabilities</t>
  </si>
  <si>
    <t>Net Operating Investment</t>
  </si>
  <si>
    <t>Allowance for Working Capital</t>
  </si>
  <si>
    <t>Total Gas Rate Base</t>
  </si>
  <si>
    <t>Gas Commission Basis Report Cover Letter</t>
  </si>
  <si>
    <t>Adjusted Results</t>
  </si>
  <si>
    <t>of Operations</t>
  </si>
  <si>
    <t>2011 AND 2009 GRC EXPENSES TO BE NORMALIZED</t>
  </si>
  <si>
    <t>TOTAL RESTATED FIT</t>
  </si>
  <si>
    <t>CURRENT FIT</t>
  </si>
  <si>
    <t>ADD BACK</t>
  </si>
  <si>
    <t xml:space="preserve">DEFERRED FIT  </t>
  </si>
  <si>
    <t xml:space="preserve">SUB TOTAL </t>
  </si>
  <si>
    <t>LESS INTEREST</t>
  </si>
  <si>
    <t>BEFORE CHANGES - Value Copy from Below!!!</t>
  </si>
  <si>
    <t>NOI - After</t>
  </si>
  <si>
    <t>RATEBASE - After</t>
  </si>
  <si>
    <t>AFTER CHANGES - LINKED!!!</t>
  </si>
  <si>
    <t>DIFFERENCE</t>
  </si>
  <si>
    <t>NOI</t>
  </si>
  <si>
    <t>RATEBASE</t>
  </si>
  <si>
    <t>DEFERRED FIT-DEBIT</t>
  </si>
  <si>
    <t>DEFERRED FIT CREDIT</t>
  </si>
  <si>
    <t>DEFERRED FIT-INV TAX CREDIT</t>
  </si>
  <si>
    <t>FIT PER BOOKS:</t>
  </si>
  <si>
    <t>TOTAL CHARGED TO EXPENSE</t>
  </si>
  <si>
    <t>INCREASE (DECREASE) DEFERRED FIT</t>
  </si>
  <si>
    <t>REMOVE EARNINGS SHARING ACCRUALS</t>
  </si>
  <si>
    <t>December</t>
  </si>
  <si>
    <t>August</t>
  </si>
  <si>
    <t>REMOVE MERGER RATE CREDIT SCH 132</t>
  </si>
  <si>
    <t>REMOVE RENTALS ASSOC WITH SCH 132</t>
  </si>
  <si>
    <t>FOR THE TWELVE MONTHS ENDED JUNE 30, 2016</t>
  </si>
  <si>
    <t>12 ME June 30, 2016</t>
  </si>
  <si>
    <t>June 30, 2016</t>
  </si>
  <si>
    <t>As of June 30, 2016</t>
  </si>
  <si>
    <t xml:space="preserve"> For The 12 Months Ending June 30, 2016</t>
  </si>
  <si>
    <t>Add:  Temperature Normalization Adjustment</t>
  </si>
  <si>
    <t>MARGIN</t>
  </si>
  <si>
    <t>12 ME 06/30/2013 and 2/28/2013</t>
  </si>
  <si>
    <t>12 ME 06/30/2014 and 2/28/2014</t>
  </si>
  <si>
    <t>12 ME 06/30/2016 and 2/28/2016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</si>
</sst>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yyyy"/>
    <numFmt numFmtId="174" formatCode="0."/>
    <numFmt numFmtId="175" formatCode=".0000000"/>
    <numFmt numFmtId="176" formatCode="&quot;$&quot;#,##0_);\(#,##0\)"/>
    <numFmt numFmtId="177" formatCode="_(* #,##0_);_(* \(#,##0\);_(* &quot;-&quot;??_);_(@_)"/>
    <numFmt numFmtId="178" formatCode="_(&quot;$&quot;* #,##0_);_(&quot;$&quot;* \(#,##0\);_(&quot;$&quot;* &quot;-&quot;??_);_(@_)"/>
    <numFmt numFmtId="179" formatCode="_(&quot;$&quot;* #,##0_);[Red]_(&quot;$&quot;* \(#,##0\);_(&quot;$&quot;* &quot;-&quot;_);_(@_)"/>
    <numFmt numFmtId="180" formatCode="_(&quot;$&quot;* #,##0.0000_);_(&quot;$&quot;* \(#,##0.0000\);_(&quot;$&quot;* &quot;-&quot;??_);_(@_)"/>
    <numFmt numFmtId="181" formatCode="_(&quot;$&quot;* #,##0.000000_);_(&quot;$&quot;* \(#,##0.000000\);_(&quot;$&quot;* &quot;-&quot;??????_);_(@_)"/>
    <numFmt numFmtId="182" formatCode="0.00000"/>
    <numFmt numFmtId="183" formatCode="0.0000"/>
    <numFmt numFmtId="184" formatCode="_(&quot;$&quot;* #,##0.0_);_(&quot;$&quot;* \(#,##0.0\);_(&quot;$&quot;* &quot;-&quot;??_);_(@_)"/>
    <numFmt numFmtId="185" formatCode="0.000000%"/>
    <numFmt numFmtId="186" formatCode="0.00000000"/>
    <numFmt numFmtId="187" formatCode="0.00000000%"/>
    <numFmt numFmtId="188" formatCode="&quot;PAGE&quot;\ 0.00"/>
    <numFmt numFmtId="189" formatCode="_(* #,##0.00000_);_(* \(#,##0.00000\);_(* &quot;-&quot;??_);_(@_)"/>
    <numFmt numFmtId="190" formatCode="0000"/>
    <numFmt numFmtId="191" formatCode="000000"/>
    <numFmt numFmtId="192" formatCode="d\.mmm\.yy"/>
    <numFmt numFmtId="193" formatCode="#."/>
    <numFmt numFmtId="194" formatCode="_(* ###0_);_(* \(###0\);_(* &quot;-&quot;_);_(@_)"/>
    <numFmt numFmtId="195" formatCode="mmmm\ d\,\ yyyy"/>
    <numFmt numFmtId="196" formatCode="_(&quot;$&quot;* #,##0.0000_);_(&quot;$&quot;* \(#,##0.0000\);_(&quot;$&quot;* &quot;-&quot;????_);_(@_)"/>
    <numFmt numFmtId="197" formatCode="_(* #,##0.0_);_(* \(#,##0.0\);_(* &quot;-&quot;_);_(@_)"/>
    <numFmt numFmtId="198" formatCode="&quot;$&quot;#,##0.00"/>
    <numFmt numFmtId="199" formatCode="_([$€-2]* #,##0.00_);_([$€-2]* \(#,##0.00\);_([$€-2]* &quot;-&quot;??_)"/>
    <numFmt numFmtId="200" formatCode="0.00_)"/>
    <numFmt numFmtId="201" formatCode="&quot;$&quot;#,##0;\-&quot;$&quot;#,##0"/>
    <numFmt numFmtId="202" formatCode="#,##0.00000000000;[Red]\-#,##0.00000000000"/>
    <numFmt numFmtId="203" formatCode="mm/dd/yy"/>
    <numFmt numFmtId="204" formatCode="#,###_);[Red]\(#,###\)"/>
    <numFmt numFmtId="205" formatCode="[$-409]mmmm\ d\,\ yyyy;@"/>
    <numFmt numFmtId="206" formatCode="_-* #,##0.00\ _D_M_-;\-* #,##0.00\ _D_M_-;_-* &quot;-&quot;??\ _D_M_-;_-@_-"/>
    <numFmt numFmtId="207" formatCode="_-* #,##0.00\ &quot;DM&quot;_-;\-* #,##0.00\ &quot;DM&quot;_-;_-* &quot;-&quot;??\ &quot;DM&quot;_-;_-@_-"/>
    <numFmt numFmtId="208" formatCode="###,000"/>
  </numFmts>
  <fonts count="98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Helv"/>
    </font>
    <font>
      <b/>
      <i/>
      <sz val="10"/>
      <name val="Helv"/>
    </font>
    <font>
      <sz val="11"/>
      <name val="univers (E1)"/>
    </font>
    <font>
      <b/>
      <sz val="8"/>
      <name val="Helv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56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b/>
      <sz val="10"/>
      <color indexed="8"/>
      <name val="Times New Roman"/>
      <family val="1"/>
    </font>
    <font>
      <sz val="8"/>
      <name val="Helv"/>
    </font>
    <font>
      <b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Geneva"/>
    </font>
    <font>
      <b/>
      <u val="double"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1"/>
      <name val="Times New Roman"/>
      <family val="1"/>
    </font>
    <font>
      <sz val="10"/>
      <color indexed="24"/>
      <name val="Arial"/>
      <family val="2"/>
    </font>
    <font>
      <sz val="10"/>
      <name val="Arial"/>
      <family val="2"/>
    </font>
    <font>
      <b/>
      <i/>
      <sz val="16"/>
      <name val="Helv"/>
    </font>
    <font>
      <sz val="12"/>
      <name val="Helv"/>
    </font>
    <font>
      <b/>
      <sz val="10"/>
      <name val="Helv"/>
    </font>
    <font>
      <sz val="11"/>
      <name val="Helv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Helv"/>
    </font>
    <font>
      <b/>
      <sz val="12"/>
      <color rgb="FFFF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4"/>
      <name val="Arial"/>
      <family val="2"/>
    </font>
    <font>
      <sz val="10"/>
      <color rgb="FFFF0000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indexed="54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</borders>
  <cellStyleXfs count="600">
    <xf numFmtId="170" fontId="0" fillId="0" borderId="0">
      <alignment horizontal="left" wrapText="1"/>
    </xf>
    <xf numFmtId="0" fontId="13" fillId="0" borderId="0"/>
    <xf numFmtId="189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70" fontId="13" fillId="0" borderId="0">
      <alignment horizontal="left" wrapText="1"/>
    </xf>
    <xf numFmtId="16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0" fontId="42" fillId="0" borderId="0"/>
    <xf numFmtId="0" fontId="42" fillId="0" borderId="0"/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0" fontId="42" fillId="0" borderId="0"/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6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0" fontId="42" fillId="0" borderId="0"/>
    <xf numFmtId="0" fontId="42" fillId="0" borderId="0"/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189" fontId="13" fillId="0" borderId="0">
      <alignment horizontal="left" wrapText="1"/>
    </xf>
    <xf numFmtId="0" fontId="42" fillId="0" borderId="0"/>
    <xf numFmtId="190" fontId="43" fillId="0" borderId="0">
      <alignment horizontal="left"/>
    </xf>
    <xf numFmtId="191" fontId="44" fillId="0" borderId="0">
      <alignment horizontal="left"/>
    </xf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78" fillId="46" borderId="0" applyNumberFormat="0" applyBorder="0" applyAlignment="0" applyProtection="0"/>
    <xf numFmtId="0" fontId="78" fillId="46" borderId="0" applyNumberFormat="0" applyBorder="0" applyAlignment="0" applyProtection="0"/>
    <xf numFmtId="0" fontId="78" fillId="47" borderId="0" applyNumberFormat="0" applyBorder="0" applyAlignment="0" applyProtection="0"/>
    <xf numFmtId="0" fontId="78" fillId="47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78" fillId="49" borderId="0" applyNumberFormat="0" applyBorder="0" applyAlignment="0" applyProtection="0"/>
    <xf numFmtId="0" fontId="78" fillId="49" borderId="0" applyNumberFormat="0" applyBorder="0" applyAlignment="0" applyProtection="0"/>
    <xf numFmtId="0" fontId="78" fillId="50" borderId="0" applyNumberFormat="0" applyBorder="0" applyAlignment="0" applyProtection="0"/>
    <xf numFmtId="0" fontId="78" fillId="50" borderId="0" applyNumberFormat="0" applyBorder="0" applyAlignment="0" applyProtection="0"/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3" borderId="0" applyNumberFormat="0" applyBorder="0" applyAlignment="0" applyProtection="0"/>
    <xf numFmtId="0" fontId="78" fillId="53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5" borderId="0" applyNumberFormat="0" applyBorder="0" applyAlignment="0" applyProtection="0"/>
    <xf numFmtId="0" fontId="78" fillId="55" borderId="0" applyNumberFormat="0" applyBorder="0" applyAlignment="0" applyProtection="0"/>
    <xf numFmtId="0" fontId="78" fillId="56" borderId="0" applyNumberFormat="0" applyBorder="0" applyAlignment="0" applyProtection="0"/>
    <xf numFmtId="0" fontId="78" fillId="56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5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5" fillId="11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5" fillId="11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4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5" fillId="13" borderId="0" applyNumberFormat="0" applyBorder="0" applyAlignment="0" applyProtection="0"/>
    <xf numFmtId="0" fontId="44" fillId="0" borderId="0" applyFont="0" applyFill="0" applyBorder="0" applyAlignment="0" applyProtection="0">
      <alignment horizontal="right"/>
    </xf>
    <xf numFmtId="192" fontId="45" fillId="0" borderId="0" applyFill="0" applyBorder="0" applyAlignment="0"/>
    <xf numFmtId="192" fontId="45" fillId="0" borderId="0" applyFill="0" applyBorder="0" applyAlignment="0"/>
    <xf numFmtId="192" fontId="45" fillId="0" borderId="0" applyFill="0" applyBorder="0" applyAlignment="0"/>
    <xf numFmtId="41" fontId="13" fillId="15" borderId="0"/>
    <xf numFmtId="41" fontId="13" fillId="15" borderId="0"/>
    <xf numFmtId="41" fontId="13" fillId="15" borderId="0"/>
    <xf numFmtId="4" fontId="6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47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39" fillId="0" borderId="0" applyFill="0" applyBorder="0" applyAlignment="0" applyProtection="0"/>
    <xf numFmtId="193" fontId="49" fillId="0" borderId="0">
      <protection locked="0"/>
    </xf>
    <xf numFmtId="0" fontId="48" fillId="0" borderId="0"/>
    <xf numFmtId="0" fontId="48" fillId="0" borderId="0"/>
    <xf numFmtId="0" fontId="48" fillId="0" borderId="0"/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1" fillId="0" borderId="0" applyNumberFormat="0" applyAlignment="0"/>
    <xf numFmtId="0" fontId="51" fillId="0" borderId="0" applyNumberFormat="0" applyAlignment="0"/>
    <xf numFmtId="0" fontId="51" fillId="0" borderId="0" applyNumberFormat="0" applyAlignment="0"/>
    <xf numFmtId="0" fontId="47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8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5" fontId="39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71" fillId="0" borderId="0" applyFont="0" applyFill="0" applyBorder="0" applyAlignment="0" applyProtection="0"/>
    <xf numFmtId="195" fontId="39" fillId="0" borderId="0" applyFill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170" fontId="13" fillId="0" borderId="0"/>
    <xf numFmtId="199" fontId="13" fillId="0" borderId="0" applyFont="0" applyFill="0" applyBorder="0" applyAlignment="0" applyProtection="0">
      <alignment horizontal="left" wrapText="1"/>
    </xf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39" fillId="0" borderId="0" applyFill="0" applyBorder="0" applyAlignment="0" applyProtection="0"/>
    <xf numFmtId="0" fontId="47" fillId="0" borderId="0"/>
    <xf numFmtId="38" fontId="16" fillId="15" borderId="0" applyNumberFormat="0" applyBorder="0" applyAlignment="0" applyProtection="0"/>
    <xf numFmtId="38" fontId="16" fillId="15" borderId="0" applyNumberFormat="0" applyBorder="0" applyAlignment="0" applyProtection="0"/>
    <xf numFmtId="38" fontId="16" fillId="15" borderId="0" applyNumberFormat="0" applyBorder="0" applyAlignment="0" applyProtection="0"/>
    <xf numFmtId="38" fontId="16" fillId="15" borderId="0" applyNumberFormat="0" applyBorder="0" applyAlignment="0" applyProtection="0"/>
    <xf numFmtId="184" fontId="52" fillId="0" borderId="0" applyNumberFormat="0" applyFill="0" applyBorder="0" applyProtection="0">
      <alignment horizontal="right"/>
    </xf>
    <xf numFmtId="0" fontId="41" fillId="0" borderId="1" applyNumberFormat="0" applyAlignment="0" applyProtection="0">
      <alignment horizontal="left"/>
    </xf>
    <xf numFmtId="0" fontId="41" fillId="0" borderId="1" applyNumberFormat="0" applyAlignment="0" applyProtection="0">
      <alignment horizontal="left"/>
    </xf>
    <xf numFmtId="0" fontId="41" fillId="0" borderId="1" applyNumberFormat="0" applyAlignment="0" applyProtection="0">
      <alignment horizontal="left"/>
    </xf>
    <xf numFmtId="0" fontId="41" fillId="0" borderId="2">
      <alignment horizontal="left"/>
    </xf>
    <xf numFmtId="0" fontId="41" fillId="0" borderId="2">
      <alignment horizontal="left"/>
    </xf>
    <xf numFmtId="0" fontId="41" fillId="0" borderId="2">
      <alignment horizontal="left"/>
    </xf>
    <xf numFmtId="14" fontId="24" fillId="19" borderId="3">
      <alignment horizontal="center" vertical="center" wrapText="1"/>
    </xf>
    <xf numFmtId="38" fontId="15" fillId="0" borderId="0"/>
    <xf numFmtId="38" fontId="15" fillId="0" borderId="0"/>
    <xf numFmtId="38" fontId="15" fillId="0" borderId="0"/>
    <xf numFmtId="40" fontId="15" fillId="0" borderId="0"/>
    <xf numFmtId="40" fontId="15" fillId="0" borderId="0"/>
    <xf numFmtId="40" fontId="15" fillId="0" borderId="0"/>
    <xf numFmtId="10" fontId="16" fillId="20" borderId="4" applyNumberFormat="0" applyBorder="0" applyAlignment="0" applyProtection="0"/>
    <xf numFmtId="10" fontId="16" fillId="20" borderId="4" applyNumberFormat="0" applyBorder="0" applyAlignment="0" applyProtection="0"/>
    <xf numFmtId="10" fontId="16" fillId="20" borderId="4" applyNumberFormat="0" applyBorder="0" applyAlignment="0" applyProtection="0"/>
    <xf numFmtId="10" fontId="16" fillId="20" borderId="4" applyNumberFormat="0" applyBorder="0" applyAlignment="0" applyProtection="0"/>
    <xf numFmtId="41" fontId="38" fillId="21" borderId="5">
      <alignment horizontal="left"/>
      <protection locked="0"/>
    </xf>
    <xf numFmtId="10" fontId="38" fillId="21" borderId="5">
      <alignment horizontal="right"/>
      <protection locked="0"/>
    </xf>
    <xf numFmtId="41" fontId="38" fillId="21" borderId="5">
      <alignment horizontal="left"/>
      <protection locked="0"/>
    </xf>
    <xf numFmtId="0" fontId="16" fillId="15" borderId="0"/>
    <xf numFmtId="0" fontId="16" fillId="15" borderId="0"/>
    <xf numFmtId="0" fontId="16" fillId="15" borderId="0"/>
    <xf numFmtId="3" fontId="53" fillId="0" borderId="0" applyFill="0" applyBorder="0" applyAlignment="0" applyProtection="0"/>
    <xf numFmtId="44" fontId="24" fillId="0" borderId="6" applyNumberFormat="0" applyFont="0" applyAlignment="0">
      <alignment horizontal="center"/>
    </xf>
    <xf numFmtId="44" fontId="24" fillId="0" borderId="6" applyNumberFormat="0" applyFont="0" applyAlignment="0">
      <alignment horizontal="center"/>
    </xf>
    <xf numFmtId="44" fontId="24" fillId="0" borderId="6" applyNumberFormat="0" applyFont="0" applyAlignment="0">
      <alignment horizontal="center"/>
    </xf>
    <xf numFmtId="44" fontId="24" fillId="0" borderId="6" applyNumberFormat="0" applyFont="0" applyAlignment="0">
      <alignment horizontal="center"/>
    </xf>
    <xf numFmtId="44" fontId="24" fillId="0" borderId="7" applyNumberFormat="0" applyFont="0" applyAlignment="0">
      <alignment horizontal="center"/>
    </xf>
    <xf numFmtId="44" fontId="24" fillId="0" borderId="7" applyNumberFormat="0" applyFont="0" applyAlignment="0">
      <alignment horizontal="center"/>
    </xf>
    <xf numFmtId="44" fontId="24" fillId="0" borderId="7" applyNumberFormat="0" applyFont="0" applyAlignment="0">
      <alignment horizontal="center"/>
    </xf>
    <xf numFmtId="44" fontId="24" fillId="0" borderId="7" applyNumberFormat="0" applyFont="0" applyAlignment="0">
      <alignment horizontal="center"/>
    </xf>
    <xf numFmtId="37" fontId="54" fillId="0" borderId="0"/>
    <xf numFmtId="37" fontId="54" fillId="0" borderId="0"/>
    <xf numFmtId="37" fontId="54" fillId="0" borderId="0"/>
    <xf numFmtId="181" fontId="23" fillId="0" borderId="0"/>
    <xf numFmtId="200" fontId="73" fillId="0" borderId="0"/>
    <xf numFmtId="200" fontId="73" fillId="0" borderId="0"/>
    <xf numFmtId="201" fontId="13" fillId="0" borderId="0"/>
    <xf numFmtId="164" fontId="13" fillId="0" borderId="0"/>
    <xf numFmtId="202" fontId="13" fillId="0" borderId="0"/>
    <xf numFmtId="0" fontId="34" fillId="0" borderId="0"/>
    <xf numFmtId="0" fontId="13" fillId="0" borderId="0"/>
    <xf numFmtId="0" fontId="34" fillId="0" borderId="0"/>
    <xf numFmtId="0" fontId="79" fillId="0" borderId="0"/>
    <xf numFmtId="0" fontId="34" fillId="0" borderId="0"/>
    <xf numFmtId="170" fontId="23" fillId="0" borderId="0">
      <alignment horizontal="left" wrapText="1"/>
    </xf>
    <xf numFmtId="0" fontId="72" fillId="0" borderId="0"/>
    <xf numFmtId="0" fontId="13" fillId="0" borderId="0"/>
    <xf numFmtId="0" fontId="78" fillId="0" borderId="0"/>
    <xf numFmtId="0" fontId="78" fillId="0" borderId="0"/>
    <xf numFmtId="0" fontId="13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8" fillId="0" borderId="0"/>
    <xf numFmtId="0" fontId="13" fillId="0" borderId="0"/>
    <xf numFmtId="0" fontId="34" fillId="0" borderId="0"/>
    <xf numFmtId="0" fontId="13" fillId="0" borderId="0"/>
    <xf numFmtId="0" fontId="78" fillId="0" borderId="0"/>
    <xf numFmtId="0" fontId="34" fillId="0" borderId="0"/>
    <xf numFmtId="0" fontId="34" fillId="0" borderId="0"/>
    <xf numFmtId="0" fontId="33" fillId="0" borderId="0"/>
    <xf numFmtId="0" fontId="13" fillId="0" borderId="0"/>
    <xf numFmtId="195" fontId="13" fillId="0" borderId="0">
      <alignment horizontal="left" wrapText="1"/>
    </xf>
    <xf numFmtId="0" fontId="13" fillId="0" borderId="0"/>
    <xf numFmtId="0" fontId="34" fillId="0" borderId="0"/>
    <xf numFmtId="0" fontId="34" fillId="0" borderId="0"/>
    <xf numFmtId="170" fontId="13" fillId="0" borderId="0">
      <alignment horizontal="left" wrapText="1"/>
    </xf>
    <xf numFmtId="0" fontId="8" fillId="0" borderId="0"/>
    <xf numFmtId="0" fontId="28" fillId="0" borderId="0"/>
    <xf numFmtId="10" fontId="31" fillId="0" borderId="0"/>
    <xf numFmtId="0" fontId="8" fillId="0" borderId="0"/>
    <xf numFmtId="0" fontId="13" fillId="0" borderId="0"/>
    <xf numFmtId="0" fontId="34" fillId="2" borderId="8" applyNumberFormat="0" applyFont="0" applyAlignment="0" applyProtection="0"/>
    <xf numFmtId="0" fontId="34" fillId="2" borderId="8" applyNumberFormat="0" applyFont="0" applyAlignment="0" applyProtection="0"/>
    <xf numFmtId="0" fontId="34" fillId="2" borderId="8" applyNumberFormat="0" applyFont="0" applyAlignment="0" applyProtection="0"/>
    <xf numFmtId="0" fontId="34" fillId="2" borderId="8" applyNumberFormat="0" applyFont="0" applyAlignment="0" applyProtection="0"/>
    <xf numFmtId="0" fontId="34" fillId="2" borderId="8" applyNumberFormat="0" applyFont="0" applyAlignment="0" applyProtection="0"/>
    <xf numFmtId="0" fontId="34" fillId="2" borderId="8" applyNumberFormat="0" applyFont="0" applyAlignment="0" applyProtection="0"/>
    <xf numFmtId="0" fontId="34" fillId="57" borderId="25" applyNumberFormat="0" applyFont="0" applyAlignment="0" applyProtection="0"/>
    <xf numFmtId="0" fontId="34" fillId="57" borderId="25" applyNumberFormat="0" applyFont="0" applyAlignment="0" applyProtection="0"/>
    <xf numFmtId="0" fontId="34" fillId="57" borderId="25" applyNumberFormat="0" applyFont="0" applyAlignment="0" applyProtection="0"/>
    <xf numFmtId="0" fontId="34" fillId="57" borderId="25" applyNumberFormat="0" applyFont="0" applyAlignment="0" applyProtection="0"/>
    <xf numFmtId="0" fontId="34" fillId="57" borderId="25" applyNumberFormat="0" applyFont="0" applyAlignment="0" applyProtection="0"/>
    <xf numFmtId="0" fontId="47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13" fillId="22" borderId="5"/>
    <xf numFmtId="41" fontId="13" fillId="22" borderId="5"/>
    <xf numFmtId="41" fontId="13" fillId="22" borderId="5"/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56" fillId="0" borderId="3">
      <alignment horizontal="center"/>
    </xf>
    <xf numFmtId="0" fontId="56" fillId="0" borderId="3">
      <alignment horizontal="center"/>
    </xf>
    <xf numFmtId="0" fontId="56" fillId="0" borderId="3">
      <alignment horizontal="center"/>
    </xf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23" borderId="0" applyNumberFormat="0" applyFont="0" applyBorder="0" applyAlignment="0" applyProtection="0"/>
    <xf numFmtId="0" fontId="8" fillId="23" borderId="0" applyNumberFormat="0" applyFont="0" applyBorder="0" applyAlignment="0" applyProtection="0"/>
    <xf numFmtId="0" fontId="8" fillId="23" borderId="0" applyNumberFormat="0" applyFont="0" applyBorder="0" applyAlignment="0" applyProtection="0"/>
    <xf numFmtId="0" fontId="48" fillId="0" borderId="0"/>
    <xf numFmtId="0" fontId="48" fillId="0" borderId="0"/>
    <xf numFmtId="0" fontId="48" fillId="0" borderId="0"/>
    <xf numFmtId="3" fontId="57" fillId="0" borderId="0" applyFill="0" applyBorder="0" applyAlignment="0" applyProtection="0"/>
    <xf numFmtId="0" fontId="58" fillId="0" borderId="0"/>
    <xf numFmtId="0" fontId="58" fillId="0" borderId="0"/>
    <xf numFmtId="0" fontId="58" fillId="0" borderId="0"/>
    <xf numFmtId="3" fontId="57" fillId="0" borderId="0" applyFill="0" applyBorder="0" applyAlignment="0" applyProtection="0"/>
    <xf numFmtId="42" fontId="13" fillId="20" borderId="0"/>
    <xf numFmtId="0" fontId="74" fillId="24" borderId="0"/>
    <xf numFmtId="0" fontId="75" fillId="24" borderId="10"/>
    <xf numFmtId="0" fontId="5" fillId="25" borderId="11"/>
    <xf numFmtId="0" fontId="4" fillId="24" borderId="12"/>
    <xf numFmtId="42" fontId="13" fillId="20" borderId="0"/>
    <xf numFmtId="42" fontId="13" fillId="20" borderId="13">
      <alignment vertical="center"/>
    </xf>
    <xf numFmtId="42" fontId="13" fillId="20" borderId="13">
      <alignment vertical="center"/>
    </xf>
    <xf numFmtId="42" fontId="13" fillId="20" borderId="13">
      <alignment vertical="center"/>
    </xf>
    <xf numFmtId="0" fontId="24" fillId="20" borderId="14" applyNumberFormat="0">
      <alignment horizontal="center" vertical="center" wrapText="1"/>
    </xf>
    <xf numFmtId="0" fontId="24" fillId="20" borderId="14" applyNumberFormat="0">
      <alignment horizontal="center" vertical="center" wrapText="1"/>
    </xf>
    <xf numFmtId="0" fontId="24" fillId="20" borderId="14" applyNumberFormat="0">
      <alignment horizontal="center" vertical="center" wrapText="1"/>
    </xf>
    <xf numFmtId="10" fontId="13" fillId="20" borderId="0"/>
    <xf numFmtId="10" fontId="13" fillId="20" borderId="0"/>
    <xf numFmtId="10" fontId="13" fillId="20" borderId="0"/>
    <xf numFmtId="196" fontId="13" fillId="20" borderId="0"/>
    <xf numFmtId="196" fontId="13" fillId="20" borderId="0"/>
    <xf numFmtId="196" fontId="13" fillId="20" borderId="0"/>
    <xf numFmtId="42" fontId="13" fillId="20" borderId="0"/>
    <xf numFmtId="177" fontId="15" fillId="0" borderId="0" applyBorder="0" applyAlignment="0"/>
    <xf numFmtId="42" fontId="13" fillId="20" borderId="15">
      <alignment horizontal="left"/>
    </xf>
    <xf numFmtId="42" fontId="13" fillId="20" borderId="15">
      <alignment horizontal="left"/>
    </xf>
    <xf numFmtId="42" fontId="13" fillId="20" borderId="15">
      <alignment horizontal="left"/>
    </xf>
    <xf numFmtId="196" fontId="59" fillId="20" borderId="15">
      <alignment horizontal="left"/>
    </xf>
    <xf numFmtId="177" fontId="15" fillId="0" borderId="0" applyBorder="0" applyAlignment="0"/>
    <xf numFmtId="14" fontId="23" fillId="0" borderId="0" applyNumberFormat="0" applyFill="0" applyBorder="0" applyAlignment="0" applyProtection="0">
      <alignment horizontal="left"/>
    </xf>
    <xf numFmtId="197" fontId="13" fillId="0" borderId="0" applyFont="0" applyFill="0" applyAlignment="0">
      <alignment horizontal="right"/>
    </xf>
    <xf numFmtId="197" fontId="13" fillId="0" borderId="0" applyFont="0" applyFill="0" applyAlignment="0">
      <alignment horizontal="right"/>
    </xf>
    <xf numFmtId="197" fontId="13" fillId="0" borderId="0" applyFont="0" applyFill="0" applyAlignment="0">
      <alignment horizontal="right"/>
    </xf>
    <xf numFmtId="4" fontId="55" fillId="21" borderId="9" applyNumberFormat="0" applyProtection="0">
      <alignment vertical="center"/>
    </xf>
    <xf numFmtId="4" fontId="60" fillId="21" borderId="9" applyNumberFormat="0" applyProtection="0">
      <alignment vertical="center"/>
    </xf>
    <xf numFmtId="4" fontId="55" fillId="21" borderId="9" applyNumberFormat="0" applyProtection="0">
      <alignment horizontal="left" vertical="center" indent="1"/>
    </xf>
    <xf numFmtId="4" fontId="55" fillId="21" borderId="9" applyNumberFormat="0" applyProtection="0">
      <alignment horizontal="left" vertical="center" indent="1"/>
    </xf>
    <xf numFmtId="0" fontId="13" fillId="26" borderId="9" applyNumberFormat="0" applyProtection="0">
      <alignment horizontal="left" vertical="center" indent="1"/>
    </xf>
    <xf numFmtId="0" fontId="13" fillId="27" borderId="0" applyNumberFormat="0" applyProtection="0">
      <alignment horizontal="left" vertical="center" indent="1"/>
    </xf>
    <xf numFmtId="4" fontId="55" fillId="28" borderId="9" applyNumberFormat="0" applyProtection="0">
      <alignment horizontal="right" vertical="center"/>
    </xf>
    <xf numFmtId="4" fontId="55" fillId="29" borderId="9" applyNumberFormat="0" applyProtection="0">
      <alignment horizontal="right" vertical="center"/>
    </xf>
    <xf numFmtId="4" fontId="55" fillId="30" borderId="9" applyNumberFormat="0" applyProtection="0">
      <alignment horizontal="right" vertical="center"/>
    </xf>
    <xf numFmtId="4" fontId="55" fillId="31" borderId="9" applyNumberFormat="0" applyProtection="0">
      <alignment horizontal="right" vertical="center"/>
    </xf>
    <xf numFmtId="4" fontId="55" fillId="32" borderId="9" applyNumberFormat="0" applyProtection="0">
      <alignment horizontal="right" vertical="center"/>
    </xf>
    <xf numFmtId="4" fontId="55" fillId="33" borderId="9" applyNumberFormat="0" applyProtection="0">
      <alignment horizontal="right" vertical="center"/>
    </xf>
    <xf numFmtId="4" fontId="55" fillId="34" borderId="9" applyNumberFormat="0" applyProtection="0">
      <alignment horizontal="right" vertical="center"/>
    </xf>
    <xf numFmtId="4" fontId="55" fillId="35" borderId="9" applyNumberFormat="0" applyProtection="0">
      <alignment horizontal="right" vertical="center"/>
    </xf>
    <xf numFmtId="4" fontId="55" fillId="36" borderId="9" applyNumberFormat="0" applyProtection="0">
      <alignment horizontal="right" vertical="center"/>
    </xf>
    <xf numFmtId="4" fontId="61" fillId="37" borderId="9" applyNumberFormat="0" applyProtection="0">
      <alignment horizontal="left" vertical="center" indent="1"/>
    </xf>
    <xf numFmtId="4" fontId="55" fillId="38" borderId="16" applyNumberFormat="0" applyProtection="0">
      <alignment horizontal="left" vertical="center" indent="1"/>
    </xf>
    <xf numFmtId="4" fontId="62" fillId="39" borderId="0" applyNumberFormat="0" applyProtection="0">
      <alignment horizontal="left" vertical="center" indent="1"/>
    </xf>
    <xf numFmtId="0" fontId="13" fillId="26" borderId="9" applyNumberFormat="0" applyProtection="0">
      <alignment horizontal="left" vertical="center" indent="1"/>
    </xf>
    <xf numFmtId="4" fontId="55" fillId="38" borderId="9" applyNumberFormat="0" applyProtection="0">
      <alignment horizontal="left" vertical="center" indent="1"/>
    </xf>
    <xf numFmtId="4" fontId="55" fillId="40" borderId="9" applyNumberFormat="0" applyProtection="0">
      <alignment horizontal="left" vertical="center" indent="1"/>
    </xf>
    <xf numFmtId="0" fontId="13" fillId="40" borderId="9" applyNumberFormat="0" applyProtection="0">
      <alignment horizontal="left" vertical="center" indent="1"/>
    </xf>
    <xf numFmtId="0" fontId="13" fillId="40" borderId="9" applyNumberFormat="0" applyProtection="0">
      <alignment horizontal="left" vertical="center" indent="1"/>
    </xf>
    <xf numFmtId="0" fontId="13" fillId="41" borderId="9" applyNumberFormat="0" applyProtection="0">
      <alignment horizontal="left" vertical="center" indent="1"/>
    </xf>
    <xf numFmtId="0" fontId="13" fillId="41" borderId="9" applyNumberFormat="0" applyProtection="0">
      <alignment horizontal="left" vertical="center" indent="1"/>
    </xf>
    <xf numFmtId="0" fontId="13" fillId="15" borderId="9" applyNumberFormat="0" applyProtection="0">
      <alignment horizontal="left" vertical="center" indent="1"/>
    </xf>
    <xf numFmtId="0" fontId="13" fillId="15" borderId="9" applyNumberFormat="0" applyProtection="0">
      <alignment horizontal="left" vertical="center" indent="1"/>
    </xf>
    <xf numFmtId="0" fontId="13" fillId="26" borderId="9" applyNumberFormat="0" applyProtection="0">
      <alignment horizontal="left" vertical="center" indent="1"/>
    </xf>
    <xf numFmtId="0" fontId="13" fillId="26" borderId="9" applyNumberFormat="0" applyProtection="0">
      <alignment horizontal="left" vertical="center" indent="1"/>
    </xf>
    <xf numFmtId="0" fontId="13" fillId="14" borderId="4" applyNumberFormat="0">
      <protection locked="0"/>
    </xf>
    <xf numFmtId="4" fontId="55" fillId="42" borderId="9" applyNumberFormat="0" applyProtection="0">
      <alignment vertical="center"/>
    </xf>
    <xf numFmtId="4" fontId="60" fillId="42" borderId="9" applyNumberFormat="0" applyProtection="0">
      <alignment vertical="center"/>
    </xf>
    <xf numFmtId="4" fontId="55" fillId="42" borderId="9" applyNumberFormat="0" applyProtection="0">
      <alignment horizontal="left" vertical="center" indent="1"/>
    </xf>
    <xf numFmtId="4" fontId="55" fillId="42" borderId="9" applyNumberFormat="0" applyProtection="0">
      <alignment horizontal="left" vertical="center" indent="1"/>
    </xf>
    <xf numFmtId="4" fontId="55" fillId="38" borderId="9" applyNumberFormat="0" applyProtection="0">
      <alignment horizontal="right" vertical="center"/>
    </xf>
    <xf numFmtId="4" fontId="60" fillId="38" borderId="9" applyNumberFormat="0" applyProtection="0">
      <alignment horizontal="right" vertical="center"/>
    </xf>
    <xf numFmtId="0" fontId="13" fillId="26" borderId="9" applyNumberFormat="0" applyProtection="0">
      <alignment horizontal="left" vertical="center" indent="1"/>
    </xf>
    <xf numFmtId="0" fontId="13" fillId="26" borderId="9" applyNumberFormat="0" applyProtection="0">
      <alignment horizontal="left" vertical="center" indent="1"/>
    </xf>
    <xf numFmtId="0" fontId="63" fillId="0" borderId="0"/>
    <xf numFmtId="4" fontId="64" fillId="38" borderId="9" applyNumberFormat="0" applyProtection="0">
      <alignment horizontal="right" vertical="center"/>
    </xf>
    <xf numFmtId="39" fontId="13" fillId="43" borderId="0"/>
    <xf numFmtId="39" fontId="13" fillId="43" borderId="0"/>
    <xf numFmtId="39" fontId="13" fillId="43" borderId="0"/>
    <xf numFmtId="0" fontId="36" fillId="0" borderId="0" applyNumberFormat="0" applyFill="0" applyBorder="0" applyAlignment="0" applyProtection="0"/>
    <xf numFmtId="38" fontId="16" fillId="0" borderId="17"/>
    <xf numFmtId="38" fontId="16" fillId="0" borderId="17"/>
    <xf numFmtId="38" fontId="16" fillId="0" borderId="17"/>
    <xf numFmtId="38" fontId="16" fillId="0" borderId="17"/>
    <xf numFmtId="38" fontId="15" fillId="0" borderId="15"/>
    <xf numFmtId="38" fontId="15" fillId="0" borderId="15"/>
    <xf numFmtId="38" fontId="15" fillId="0" borderId="15"/>
    <xf numFmtId="39" fontId="23" fillId="44" borderId="0"/>
    <xf numFmtId="165" fontId="27" fillId="0" borderId="0">
      <alignment horizontal="left" wrapText="1"/>
    </xf>
    <xf numFmtId="0" fontId="13" fillId="0" borderId="0">
      <alignment horizontal="left" wrapText="1"/>
    </xf>
    <xf numFmtId="183" fontId="13" fillId="0" borderId="0">
      <alignment horizontal="left" wrapText="1"/>
    </xf>
    <xf numFmtId="170" fontId="13" fillId="0" borderId="0">
      <alignment horizontal="left" wrapText="1"/>
    </xf>
    <xf numFmtId="165" fontId="13" fillId="0" borderId="0">
      <alignment horizontal="left" wrapText="1"/>
    </xf>
    <xf numFmtId="170" fontId="13" fillId="0" borderId="0">
      <alignment horizontal="left" wrapText="1"/>
    </xf>
    <xf numFmtId="40" fontId="65" fillId="0" borderId="0" applyBorder="0">
      <alignment horizontal="right"/>
    </xf>
    <xf numFmtId="41" fontId="40" fillId="20" borderId="0">
      <alignment horizontal="left"/>
    </xf>
    <xf numFmtId="0" fontId="66" fillId="0" borderId="0"/>
    <xf numFmtId="0" fontId="13" fillId="0" borderId="0" applyNumberFormat="0" applyBorder="0" applyAlignment="0"/>
    <xf numFmtId="0" fontId="67" fillId="0" borderId="0" applyFill="0" applyBorder="0" applyProtection="0">
      <alignment horizontal="left" vertical="top"/>
    </xf>
    <xf numFmtId="0" fontId="74" fillId="0" borderId="0"/>
    <xf numFmtId="0" fontId="75" fillId="24" borderId="0"/>
    <xf numFmtId="198" fontId="68" fillId="20" borderId="0">
      <alignment horizontal="left" vertical="center"/>
    </xf>
    <xf numFmtId="0" fontId="24" fillId="20" borderId="0">
      <alignment horizontal="left" wrapText="1"/>
    </xf>
    <xf numFmtId="0" fontId="24" fillId="20" borderId="0">
      <alignment horizontal="left" wrapText="1"/>
    </xf>
    <xf numFmtId="0" fontId="24" fillId="20" borderId="0">
      <alignment horizontal="left" wrapText="1"/>
    </xf>
    <xf numFmtId="0" fontId="69" fillId="0" borderId="0">
      <alignment horizontal="left" vertical="center"/>
    </xf>
    <xf numFmtId="0" fontId="48" fillId="0" borderId="18"/>
    <xf numFmtId="0" fontId="48" fillId="0" borderId="18"/>
    <xf numFmtId="0" fontId="48" fillId="0" borderId="18"/>
    <xf numFmtId="0" fontId="33" fillId="0" borderId="0"/>
    <xf numFmtId="0" fontId="85" fillId="0" borderId="0"/>
    <xf numFmtId="206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5" fillId="60" borderId="29" applyBorder="0"/>
    <xf numFmtId="0" fontId="16" fillId="61" borderId="4"/>
    <xf numFmtId="0" fontId="86" fillId="0" borderId="30" applyNumberFormat="0" applyFont="0" applyFill="0" applyAlignment="0" applyProtection="0"/>
    <xf numFmtId="208" fontId="87" fillId="0" borderId="31" applyNumberFormat="0" applyProtection="0">
      <alignment horizontal="right" vertical="center"/>
    </xf>
    <xf numFmtId="208" fontId="88" fillId="0" borderId="32" applyNumberFormat="0" applyProtection="0">
      <alignment horizontal="right" vertical="center"/>
    </xf>
    <xf numFmtId="0" fontId="88" fillId="62" borderId="30" applyNumberFormat="0" applyAlignment="0" applyProtection="0">
      <alignment horizontal="left" vertical="center" indent="1"/>
    </xf>
    <xf numFmtId="0" fontId="89" fillId="63" borderId="32" applyNumberFormat="0" applyAlignment="0" applyProtection="0">
      <alignment horizontal="left" vertical="center" indent="1"/>
    </xf>
    <xf numFmtId="0" fontId="89" fillId="63" borderId="32" applyNumberFormat="0" applyAlignment="0" applyProtection="0">
      <alignment horizontal="left" vertical="center" indent="1"/>
    </xf>
    <xf numFmtId="0" fontId="90" fillId="0" borderId="33" applyNumberFormat="0" applyFill="0" applyBorder="0" applyAlignment="0" applyProtection="0"/>
    <xf numFmtId="0" fontId="91" fillId="0" borderId="33" applyBorder="0" applyAlignment="0" applyProtection="0"/>
    <xf numFmtId="208" fontId="92" fillId="64" borderId="34" applyNumberFormat="0" applyBorder="0" applyAlignment="0" applyProtection="0">
      <alignment horizontal="right" vertical="center" indent="1"/>
    </xf>
    <xf numFmtId="208" fontId="93" fillId="65" borderId="34" applyNumberFormat="0" applyBorder="0" applyAlignment="0" applyProtection="0">
      <alignment horizontal="right" vertical="center" indent="1"/>
    </xf>
    <xf numFmtId="208" fontId="93" fillId="66" borderId="34" applyNumberFormat="0" applyBorder="0" applyAlignment="0" applyProtection="0">
      <alignment horizontal="right" vertical="center" indent="1"/>
    </xf>
    <xf numFmtId="208" fontId="94" fillId="67" borderId="34" applyNumberFormat="0" applyBorder="0" applyAlignment="0" applyProtection="0">
      <alignment horizontal="right" vertical="center" indent="1"/>
    </xf>
    <xf numFmtId="208" fontId="94" fillId="68" borderId="34" applyNumberFormat="0" applyBorder="0" applyAlignment="0" applyProtection="0">
      <alignment horizontal="right" vertical="center" indent="1"/>
    </xf>
    <xf numFmtId="208" fontId="94" fillId="69" borderId="34" applyNumberFormat="0" applyBorder="0" applyAlignment="0" applyProtection="0">
      <alignment horizontal="right" vertical="center" indent="1"/>
    </xf>
    <xf numFmtId="208" fontId="95" fillId="70" borderId="34" applyNumberFormat="0" applyBorder="0" applyAlignment="0" applyProtection="0">
      <alignment horizontal="right" vertical="center" indent="1"/>
    </xf>
    <xf numFmtId="208" fontId="95" fillId="71" borderId="34" applyNumberFormat="0" applyBorder="0" applyAlignment="0" applyProtection="0">
      <alignment horizontal="right" vertical="center" indent="1"/>
    </xf>
    <xf numFmtId="208" fontId="95" fillId="72" borderId="34" applyNumberFormat="0" applyBorder="0" applyAlignment="0" applyProtection="0">
      <alignment horizontal="right" vertical="center" indent="1"/>
    </xf>
    <xf numFmtId="0" fontId="89" fillId="73" borderId="30" applyNumberFormat="0" applyAlignment="0" applyProtection="0">
      <alignment horizontal="left" vertical="center" indent="1"/>
    </xf>
    <xf numFmtId="0" fontId="89" fillId="74" borderId="30" applyNumberFormat="0" applyAlignment="0" applyProtection="0">
      <alignment horizontal="left" vertical="center" indent="1"/>
    </xf>
    <xf numFmtId="0" fontId="89" fillId="75" borderId="30" applyNumberFormat="0" applyAlignment="0" applyProtection="0">
      <alignment horizontal="left" vertical="center" indent="1"/>
    </xf>
    <xf numFmtId="0" fontId="89" fillId="76" borderId="30" applyNumberFormat="0" applyAlignment="0" applyProtection="0">
      <alignment horizontal="left" vertical="center" indent="1"/>
    </xf>
    <xf numFmtId="0" fontId="89" fillId="77" borderId="32" applyNumberFormat="0" applyAlignment="0" applyProtection="0">
      <alignment horizontal="left" vertical="center" indent="1"/>
    </xf>
    <xf numFmtId="208" fontId="87" fillId="76" borderId="31" applyNumberFormat="0" applyBorder="0" applyProtection="0">
      <alignment horizontal="right" vertical="center"/>
    </xf>
    <xf numFmtId="208" fontId="88" fillId="76" borderId="32" applyNumberFormat="0" applyBorder="0" applyProtection="0">
      <alignment horizontal="right" vertical="center"/>
    </xf>
    <xf numFmtId="208" fontId="87" fillId="78" borderId="30" applyNumberFormat="0" applyAlignment="0" applyProtection="0">
      <alignment horizontal="left" vertical="center" indent="1"/>
    </xf>
    <xf numFmtId="0" fontId="88" fillId="62" borderId="32" applyNumberFormat="0" applyAlignment="0" applyProtection="0">
      <alignment horizontal="left" vertical="center" indent="1"/>
    </xf>
    <xf numFmtId="0" fontId="89" fillId="77" borderId="32" applyNumberFormat="0" applyAlignment="0" applyProtection="0">
      <alignment horizontal="left" vertical="center" indent="1"/>
    </xf>
    <xf numFmtId="208" fontId="88" fillId="77" borderId="32" applyNumberFormat="0" applyProtection="0">
      <alignment horizontal="right" vertical="center"/>
    </xf>
    <xf numFmtId="0" fontId="3" fillId="0" borderId="0"/>
    <xf numFmtId="0" fontId="2" fillId="0" borderId="0"/>
    <xf numFmtId="0" fontId="1" fillId="0" borderId="0"/>
    <xf numFmtId="9" fontId="6" fillId="0" borderId="0" applyFont="0" applyFill="0" applyBorder="0" applyAlignment="0" applyProtection="0"/>
  </cellStyleXfs>
  <cellXfs count="567">
    <xf numFmtId="0" fontId="0" fillId="0" borderId="0" xfId="0" applyNumberFormat="1" applyAlignment="1"/>
    <xf numFmtId="0" fontId="9" fillId="0" borderId="0" xfId="0" applyNumberFormat="1" applyFont="1" applyFill="1" applyBorder="1" applyAlignment="1"/>
    <xf numFmtId="0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fill"/>
    </xf>
    <xf numFmtId="0" fontId="10" fillId="0" borderId="0" xfId="0" applyNumberFormat="1" applyFont="1" applyFill="1" applyAlignment="1">
      <alignment horizontal="centerContinuous"/>
    </xf>
    <xf numFmtId="42" fontId="14" fillId="0" borderId="0" xfId="269" applyNumberFormat="1" applyFont="1" applyFill="1" applyProtection="1">
      <protection locked="0"/>
    </xf>
    <xf numFmtId="42" fontId="14" fillId="0" borderId="0" xfId="269" applyNumberFormat="1" applyFont="1" applyFill="1" applyProtection="1"/>
    <xf numFmtId="41" fontId="14" fillId="0" borderId="0" xfId="0" applyNumberFormat="1" applyFont="1" applyFill="1" applyAlignment="1" applyProtection="1">
      <protection locked="0"/>
    </xf>
    <xf numFmtId="41" fontId="14" fillId="0" borderId="0" xfId="0" applyNumberFormat="1" applyFont="1" applyFill="1" applyAlignment="1" applyProtection="1">
      <alignment horizontal="left"/>
      <protection locked="0"/>
    </xf>
    <xf numFmtId="41" fontId="14" fillId="0" borderId="0" xfId="0" applyNumberFormat="1" applyFont="1" applyFill="1" applyAlignment="1" applyProtection="1">
      <alignment horizontal="left"/>
    </xf>
    <xf numFmtId="41" fontId="14" fillId="0" borderId="14" xfId="0" applyNumberFormat="1" applyFont="1" applyFill="1" applyBorder="1" applyAlignment="1" applyProtection="1">
      <protection locked="0"/>
    </xf>
    <xf numFmtId="42" fontId="14" fillId="0" borderId="19" xfId="269" applyNumberFormat="1" applyFont="1" applyFill="1" applyBorder="1" applyProtection="1"/>
    <xf numFmtId="10" fontId="9" fillId="0" borderId="0" xfId="410" applyNumberFormat="1" applyFont="1" applyFill="1"/>
    <xf numFmtId="42" fontId="9" fillId="0" borderId="0" xfId="269" applyNumberFormat="1" applyFont="1" applyFill="1" applyProtection="1">
      <protection locked="0"/>
    </xf>
    <xf numFmtId="41" fontId="9" fillId="0" borderId="0" xfId="221" applyNumberFormat="1" applyFont="1" applyFill="1"/>
    <xf numFmtId="0" fontId="9" fillId="0" borderId="0" xfId="0" applyNumberFormat="1" applyFont="1" applyFill="1" applyAlignment="1">
      <alignment horizontal="centerContinuous"/>
    </xf>
    <xf numFmtId="0" fontId="10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left"/>
    </xf>
    <xf numFmtId="9" fontId="9" fillId="0" borderId="0" xfId="0" applyNumberFormat="1" applyFont="1" applyFill="1" applyAlignment="1">
      <alignment horizontal="center"/>
    </xf>
    <xf numFmtId="172" fontId="9" fillId="0" borderId="0" xfId="0" applyNumberFormat="1" applyFont="1" applyFill="1" applyBorder="1" applyAlignment="1" applyProtection="1">
      <protection locked="0"/>
    </xf>
    <xf numFmtId="172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/>
    </xf>
    <xf numFmtId="0" fontId="10" fillId="0" borderId="14" xfId="0" applyNumberFormat="1" applyFont="1" applyFill="1" applyBorder="1" applyAlignment="1">
      <alignment horizontal="center"/>
    </xf>
    <xf numFmtId="172" fontId="9" fillId="0" borderId="0" xfId="0" applyNumberFormat="1" applyFont="1" applyFill="1" applyAlignment="1"/>
    <xf numFmtId="0" fontId="9" fillId="0" borderId="0" xfId="0" applyNumberFormat="1" applyFont="1" applyFill="1" applyAlignment="1">
      <alignment vertical="center"/>
    </xf>
    <xf numFmtId="42" fontId="9" fillId="0" borderId="0" xfId="269" applyNumberFormat="1" applyFont="1" applyFill="1"/>
    <xf numFmtId="42" fontId="9" fillId="0" borderId="0" xfId="0" applyNumberFormat="1" applyFont="1" applyFill="1" applyAlignment="1"/>
    <xf numFmtId="42" fontId="9" fillId="0" borderId="0" xfId="0" applyNumberFormat="1" applyFont="1" applyFill="1" applyAlignment="1">
      <alignment horizontal="left"/>
    </xf>
    <xf numFmtId="38" fontId="9" fillId="0" borderId="0" xfId="0" applyNumberFormat="1" applyFont="1" applyFill="1" applyBorder="1" applyAlignment="1"/>
    <xf numFmtId="0" fontId="9" fillId="0" borderId="0" xfId="0" quotePrefix="1" applyNumberFormat="1" applyFont="1" applyFill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Alignment="1" applyProtection="1">
      <alignment horizontal="centerContinuous"/>
      <protection locked="0"/>
    </xf>
    <xf numFmtId="0" fontId="10" fillId="0" borderId="0" xfId="0" applyNumberFormat="1" applyFont="1" applyFill="1" applyAlignment="1"/>
    <xf numFmtId="18" fontId="10" fillId="0" borderId="0" xfId="0" applyNumberFormat="1" applyFont="1" applyFill="1" applyAlignment="1">
      <alignment horizontal="centerContinuous"/>
    </xf>
    <xf numFmtId="0" fontId="10" fillId="0" borderId="0" xfId="0" applyNumberFormat="1" applyFont="1" applyFill="1" applyAlignment="1" applyProtection="1">
      <protection locked="0"/>
    </xf>
    <xf numFmtId="0" fontId="10" fillId="0" borderId="14" xfId="0" applyNumberFormat="1" applyFont="1" applyFill="1" applyBorder="1" applyAlignment="1"/>
    <xf numFmtId="0" fontId="10" fillId="0" borderId="14" xfId="0" applyNumberFormat="1" applyFont="1" applyFill="1" applyBorder="1" applyAlignment="1" applyProtection="1">
      <protection locked="0"/>
    </xf>
    <xf numFmtId="0" fontId="9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/>
    <xf numFmtId="172" fontId="9" fillId="0" borderId="0" xfId="0" applyNumberFormat="1" applyFont="1" applyFill="1" applyAlignment="1">
      <alignment vertical="top"/>
    </xf>
    <xf numFmtId="0" fontId="9" fillId="0" borderId="0" xfId="0" applyNumberFormat="1" applyFont="1" applyFill="1" applyBorder="1" applyAlignment="1">
      <alignment vertical="top"/>
    </xf>
    <xf numFmtId="0" fontId="10" fillId="0" borderId="0" xfId="0" applyNumberFormat="1" applyFont="1" applyFill="1" applyAlignment="1" applyProtection="1">
      <alignment horizontal="center"/>
      <protection locked="0"/>
    </xf>
    <xf numFmtId="42" fontId="9" fillId="0" borderId="15" xfId="269" applyNumberFormat="1" applyFont="1" applyFill="1" applyBorder="1" applyProtection="1">
      <protection locked="0"/>
    </xf>
    <xf numFmtId="42" fontId="9" fillId="0" borderId="15" xfId="269" applyNumberFormat="1" applyFont="1" applyFill="1" applyBorder="1"/>
    <xf numFmtId="41" fontId="9" fillId="0" borderId="0" xfId="0" applyNumberFormat="1" applyFont="1" applyFill="1" applyAlignment="1"/>
    <xf numFmtId="41" fontId="9" fillId="0" borderId="14" xfId="0" applyNumberFormat="1" applyFont="1" applyFill="1" applyBorder="1" applyAlignment="1"/>
    <xf numFmtId="42" fontId="9" fillId="0" borderId="0" xfId="0" applyNumberFormat="1" applyFont="1" applyFill="1" applyBorder="1" applyAlignment="1"/>
    <xf numFmtId="41" fontId="9" fillId="0" borderId="0" xfId="0" applyNumberFormat="1" applyFont="1" applyFill="1" applyAlignment="1" applyProtection="1">
      <protection locked="0"/>
    </xf>
    <xf numFmtId="0" fontId="10" fillId="0" borderId="0" xfId="0" quotePrefix="1" applyNumberFormat="1" applyFont="1" applyFill="1" applyBorder="1" applyAlignment="1">
      <alignment horizontal="right"/>
    </xf>
    <xf numFmtId="0" fontId="9" fillId="0" borderId="0" xfId="0" applyNumberFormat="1" applyFont="1" applyFill="1" applyAlignment="1" applyProtection="1">
      <protection locked="0"/>
    </xf>
    <xf numFmtId="41" fontId="9" fillId="0" borderId="14" xfId="0" applyNumberFormat="1" applyFont="1" applyFill="1" applyBorder="1" applyAlignment="1" applyProtection="1">
      <protection locked="0"/>
    </xf>
    <xf numFmtId="41" fontId="9" fillId="0" borderId="0" xfId="269" applyNumberFormat="1" applyFont="1" applyFill="1"/>
    <xf numFmtId="10" fontId="9" fillId="0" borderId="0" xfId="0" applyNumberFormat="1" applyFont="1" applyFill="1" applyAlignment="1"/>
    <xf numFmtId="41" fontId="9" fillId="0" borderId="0" xfId="0" applyNumberFormat="1" applyFont="1" applyFill="1" applyBorder="1" applyAlignment="1"/>
    <xf numFmtId="0" fontId="10" fillId="0" borderId="14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3" fontId="9" fillId="0" borderId="0" xfId="221" applyNumberFormat="1" applyFont="1" applyFill="1"/>
    <xf numFmtId="172" fontId="9" fillId="0" borderId="0" xfId="0" applyNumberFormat="1" applyFont="1" applyFill="1" applyAlignment="1" applyProtection="1">
      <protection locked="0"/>
    </xf>
    <xf numFmtId="0" fontId="9" fillId="0" borderId="0" xfId="0" applyNumberFormat="1" applyFont="1" applyFill="1" applyAlignment="1">
      <alignment horizontal="center" vertical="top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vertical="top"/>
    </xf>
    <xf numFmtId="15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center" vertical="center"/>
    </xf>
    <xf numFmtId="42" fontId="9" fillId="0" borderId="0" xfId="0" applyNumberFormat="1" applyFont="1" applyFill="1" applyAlignment="1">
      <alignment vertical="top"/>
    </xf>
    <xf numFmtId="0" fontId="10" fillId="0" borderId="0" xfId="0" quotePrefix="1" applyNumberFormat="1" applyFont="1" applyFill="1" applyAlignment="1">
      <alignment horizontal="fill"/>
    </xf>
    <xf numFmtId="42" fontId="9" fillId="0" borderId="0" xfId="269" applyNumberFormat="1" applyFont="1" applyFill="1" applyAlignment="1">
      <alignment horizontal="right"/>
    </xf>
    <xf numFmtId="41" fontId="9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41" fontId="9" fillId="0" borderId="0" xfId="269" applyNumberFormat="1" applyFont="1" applyFill="1" applyAlignment="1">
      <alignment horizontal="right"/>
    </xf>
    <xf numFmtId="180" fontId="9" fillId="0" borderId="0" xfId="0" applyNumberFormat="1" applyFont="1" applyFill="1" applyAlignment="1"/>
    <xf numFmtId="6" fontId="9" fillId="0" borderId="0" xfId="269" applyNumberFormat="1" applyFont="1" applyFill="1" applyAlignment="1">
      <alignment horizontal="right"/>
    </xf>
    <xf numFmtId="0" fontId="10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/>
    <xf numFmtId="18" fontId="9" fillId="0" borderId="0" xfId="0" applyNumberFormat="1" applyFont="1" applyFill="1" applyAlignment="1"/>
    <xf numFmtId="171" fontId="9" fillId="0" borderId="0" xfId="0" applyNumberFormat="1" applyFont="1" applyFill="1" applyBorder="1" applyAlignment="1" applyProtection="1">
      <protection locked="0"/>
    </xf>
    <xf numFmtId="6" fontId="9" fillId="0" borderId="0" xfId="269" applyNumberFormat="1" applyFont="1" applyFill="1" applyAlignment="1">
      <alignment vertical="top"/>
    </xf>
    <xf numFmtId="6" fontId="9" fillId="0" borderId="0" xfId="0" applyNumberFormat="1" applyFont="1" applyFill="1" applyAlignment="1">
      <alignment vertical="top"/>
    </xf>
    <xf numFmtId="1" fontId="9" fillId="0" borderId="0" xfId="0" applyNumberFormat="1" applyFont="1" applyFill="1" applyAlignment="1">
      <alignment vertical="top"/>
    </xf>
    <xf numFmtId="41" fontId="9" fillId="0" borderId="0" xfId="0" applyNumberFormat="1" applyFont="1" applyFill="1" applyAlignment="1">
      <alignment vertical="top"/>
    </xf>
    <xf numFmtId="17" fontId="9" fillId="0" borderId="0" xfId="0" applyNumberFormat="1" applyFont="1" applyFill="1" applyBorder="1" applyAlignment="1">
      <alignment horizontal="left"/>
    </xf>
    <xf numFmtId="172" fontId="9" fillId="0" borderId="0" xfId="0" applyNumberFormat="1" applyFont="1" applyFill="1" applyAlignment="1" applyProtection="1">
      <alignment horizontal="right"/>
      <protection locked="0"/>
    </xf>
    <xf numFmtId="0" fontId="9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Alignment="1"/>
    <xf numFmtId="41" fontId="9" fillId="0" borderId="14" xfId="221" applyNumberFormat="1" applyFont="1" applyFill="1" applyBorder="1"/>
    <xf numFmtId="0" fontId="10" fillId="0" borderId="0" xfId="0" applyNumberFormat="1" applyFont="1" applyFill="1" applyBorder="1" applyAlignment="1"/>
    <xf numFmtId="3" fontId="9" fillId="0" borderId="0" xfId="221" applyNumberFormat="1" applyFont="1" applyFill="1" applyAlignment="1">
      <alignment horizontal="centerContinuous"/>
    </xf>
    <xf numFmtId="3" fontId="10" fillId="0" borderId="0" xfId="221" applyNumberFormat="1" applyFont="1" applyFill="1" applyAlignment="1">
      <alignment horizontal="centerContinuous"/>
    </xf>
    <xf numFmtId="0" fontId="7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Alignment="1"/>
    <xf numFmtId="3" fontId="10" fillId="0" borderId="0" xfId="221" applyNumberFormat="1" applyFont="1" applyFill="1"/>
    <xf numFmtId="0" fontId="10" fillId="0" borderId="0" xfId="0" applyNumberFormat="1" applyFont="1" applyFill="1" applyAlignment="1">
      <alignment horizontal="fill"/>
    </xf>
    <xf numFmtId="3" fontId="10" fillId="0" borderId="14" xfId="221" applyNumberFormat="1" applyFont="1" applyFill="1" applyBorder="1" applyAlignment="1">
      <alignment horizontal="center"/>
    </xf>
    <xf numFmtId="0" fontId="9" fillId="0" borderId="14" xfId="0" applyNumberFormat="1" applyFont="1" applyFill="1" applyBorder="1" applyAlignment="1"/>
    <xf numFmtId="164" fontId="9" fillId="0" borderId="0" xfId="0" applyNumberFormat="1" applyFont="1" applyFill="1" applyAlignment="1">
      <alignment horizontal="left"/>
    </xf>
    <xf numFmtId="37" fontId="9" fillId="0" borderId="0" xfId="221" applyNumberFormat="1" applyFont="1" applyFill="1"/>
    <xf numFmtId="37" fontId="9" fillId="0" borderId="14" xfId="221" applyNumberFormat="1" applyFont="1" applyFill="1" applyBorder="1"/>
    <xf numFmtId="37" fontId="9" fillId="0" borderId="0" xfId="221" applyNumberFormat="1" applyFont="1" applyFill="1" applyBorder="1"/>
    <xf numFmtId="0" fontId="9" fillId="0" borderId="0" xfId="0" applyNumberFormat="1" applyFont="1" applyFill="1" applyAlignment="1">
      <alignment horizontal="left" vertical="top"/>
    </xf>
    <xf numFmtId="169" fontId="9" fillId="0" borderId="0" xfId="0" applyNumberFormat="1" applyFont="1" applyFill="1" applyBorder="1" applyAlignment="1"/>
    <xf numFmtId="172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5" fontId="9" fillId="0" borderId="0" xfId="0" applyNumberFormat="1" applyFont="1" applyFill="1" applyAlignment="1"/>
    <xf numFmtId="179" fontId="14" fillId="0" borderId="0" xfId="0" applyNumberFormat="1" applyFont="1" applyFill="1" applyAlignment="1" applyProtection="1">
      <alignment horizontal="left"/>
    </xf>
    <xf numFmtId="166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right"/>
    </xf>
    <xf numFmtId="172" fontId="9" fillId="0" borderId="0" xfId="0" applyNumberFormat="1" applyFont="1" applyFill="1" applyBorder="1" applyAlignment="1">
      <alignment horizontal="center"/>
    </xf>
    <xf numFmtId="0" fontId="9" fillId="0" borderId="0" xfId="389" applyFont="1" applyFill="1" applyAlignment="1">
      <alignment horizontal="centerContinuous"/>
    </xf>
    <xf numFmtId="0" fontId="10" fillId="0" borderId="0" xfId="389" applyFont="1" applyFill="1" applyAlignment="1">
      <alignment horizontal="centerContinuous"/>
    </xf>
    <xf numFmtId="0" fontId="9" fillId="0" borderId="0" xfId="389" applyFont="1" applyFill="1" applyAlignment="1">
      <alignment horizontal="center"/>
    </xf>
    <xf numFmtId="0" fontId="12" fillId="0" borderId="0" xfId="389" applyFont="1" applyFill="1" applyAlignment="1">
      <alignment horizontal="centerContinuous"/>
    </xf>
    <xf numFmtId="0" fontId="9" fillId="0" borderId="0" xfId="389" applyFont="1" applyFill="1" applyBorder="1" applyAlignment="1">
      <alignment horizontal="center"/>
    </xf>
    <xf numFmtId="0" fontId="12" fillId="0" borderId="0" xfId="389" applyFont="1" applyFill="1" applyBorder="1" applyAlignment="1">
      <alignment horizontal="centerContinuous"/>
    </xf>
    <xf numFmtId="0" fontId="9" fillId="0" borderId="0" xfId="389" applyFont="1" applyFill="1" applyBorder="1"/>
    <xf numFmtId="174" fontId="9" fillId="0" borderId="0" xfId="389" applyNumberFormat="1" applyFont="1" applyFill="1" applyBorder="1" applyAlignment="1">
      <alignment horizontal="center"/>
    </xf>
    <xf numFmtId="0" fontId="10" fillId="0" borderId="0" xfId="389" applyFont="1" applyFill="1" applyBorder="1" applyAlignment="1">
      <alignment horizontal="centerContinuous"/>
    </xf>
    <xf numFmtId="0" fontId="9" fillId="0" borderId="0" xfId="389" applyFont="1" applyFill="1" applyBorder="1" applyAlignment="1">
      <alignment horizontal="centerContinuous"/>
    </xf>
    <xf numFmtId="170" fontId="9" fillId="0" borderId="0" xfId="389" applyNumberFormat="1" applyFont="1" applyFill="1" applyBorder="1" applyAlignment="1">
      <alignment horizontal="left"/>
    </xf>
    <xf numFmtId="0" fontId="10" fillId="0" borderId="0" xfId="392" applyFont="1" applyFill="1" applyBorder="1" applyAlignment="1">
      <alignment horizontal="centerContinuous"/>
    </xf>
    <xf numFmtId="0" fontId="9" fillId="0" borderId="0" xfId="392" applyFont="1" applyFill="1" applyBorder="1" applyAlignment="1">
      <alignment horizontal="centerContinuous"/>
    </xf>
    <xf numFmtId="0" fontId="10" fillId="0" borderId="0" xfId="0" applyNumberFormat="1" applyFont="1" applyFill="1" applyBorder="1" applyAlignment="1">
      <alignment horizontal="centerContinuous"/>
    </xf>
    <xf numFmtId="0" fontId="9" fillId="0" borderId="0" xfId="392" applyFont="1" applyFill="1" applyBorder="1" applyAlignment="1">
      <alignment horizontal="center"/>
    </xf>
    <xf numFmtId="0" fontId="9" fillId="0" borderId="0" xfId="392" applyFont="1" applyFill="1" applyBorder="1"/>
    <xf numFmtId="174" fontId="9" fillId="0" borderId="0" xfId="392" applyNumberFormat="1" applyFont="1" applyFill="1" applyBorder="1" applyAlignment="1">
      <alignment horizontal="center"/>
    </xf>
    <xf numFmtId="5" fontId="9" fillId="0" borderId="0" xfId="392" applyNumberFormat="1" applyFont="1" applyFill="1" applyBorder="1"/>
    <xf numFmtId="37" fontId="9" fillId="0" borderId="0" xfId="392" applyNumberFormat="1" applyFont="1" applyFill="1" applyBorder="1"/>
    <xf numFmtId="175" fontId="9" fillId="0" borderId="0" xfId="392" applyNumberFormat="1" applyFont="1" applyFill="1" applyBorder="1"/>
    <xf numFmtId="176" fontId="9" fillId="0" borderId="0" xfId="392" applyNumberFormat="1" applyFont="1" applyFill="1" applyBorder="1"/>
    <xf numFmtId="14" fontId="18" fillId="0" borderId="0" xfId="0" applyNumberFormat="1" applyFont="1" applyFill="1" applyAlignment="1"/>
    <xf numFmtId="0" fontId="20" fillId="0" borderId="0" xfId="0" applyNumberFormat="1" applyFont="1" applyFill="1" applyAlignment="1"/>
    <xf numFmtId="14" fontId="20" fillId="0" borderId="0" xfId="0" applyNumberFormat="1" applyFont="1" applyFill="1" applyAlignment="1"/>
    <xf numFmtId="41" fontId="20" fillId="0" borderId="0" xfId="0" applyNumberFormat="1" applyFont="1" applyFill="1" applyAlignment="1">
      <alignment vertical="top"/>
    </xf>
    <xf numFmtId="18" fontId="10" fillId="0" borderId="0" xfId="0" applyNumberFormat="1" applyFont="1" applyFill="1" applyAlignment="1"/>
    <xf numFmtId="42" fontId="9" fillId="0" borderId="0" xfId="221" applyNumberFormat="1" applyFont="1" applyFill="1" applyBorder="1"/>
    <xf numFmtId="9" fontId="9" fillId="0" borderId="0" xfId="410" applyFont="1" applyFill="1"/>
    <xf numFmtId="37" fontId="20" fillId="0" borderId="0" xfId="221" applyNumberFormat="1" applyFont="1" applyFill="1" applyAlignment="1">
      <alignment vertical="top"/>
    </xf>
    <xf numFmtId="178" fontId="9" fillId="0" borderId="0" xfId="269" applyNumberFormat="1" applyFont="1" applyFill="1" applyBorder="1"/>
    <xf numFmtId="172" fontId="20" fillId="0" borderId="0" xfId="0" applyNumberFormat="1" applyFont="1" applyFill="1" applyBorder="1" applyAlignment="1"/>
    <xf numFmtId="41" fontId="20" fillId="0" borderId="0" xfId="221" applyNumberFormat="1" applyFont="1" applyFill="1" applyBorder="1"/>
    <xf numFmtId="37" fontId="21" fillId="0" borderId="0" xfId="221" applyNumberFormat="1" applyFont="1" applyFill="1" applyAlignment="1">
      <alignment vertical="top"/>
    </xf>
    <xf numFmtId="42" fontId="9" fillId="0" borderId="0" xfId="269" applyNumberFormat="1" applyFont="1" applyFill="1" applyBorder="1" applyAlignment="1"/>
    <xf numFmtId="41" fontId="14" fillId="0" borderId="0" xfId="269" applyNumberFormat="1" applyFont="1" applyFill="1" applyProtection="1">
      <protection locked="0"/>
    </xf>
    <xf numFmtId="41" fontId="14" fillId="0" borderId="14" xfId="269" applyNumberFormat="1" applyFont="1" applyFill="1" applyBorder="1" applyProtection="1">
      <protection locked="0"/>
    </xf>
    <xf numFmtId="41" fontId="9" fillId="0" borderId="0" xfId="0" applyNumberFormat="1" applyFont="1" applyFill="1" applyAlignment="1" applyProtection="1">
      <alignment horizontal="left"/>
      <protection locked="0"/>
    </xf>
    <xf numFmtId="0" fontId="9" fillId="0" borderId="0" xfId="0" applyNumberFormat="1" applyFont="1" applyAlignment="1"/>
    <xf numFmtId="0" fontId="17" fillId="0" borderId="0" xfId="0" applyNumberFormat="1" applyFont="1" applyFill="1" applyAlignment="1">
      <alignment horizontal="right"/>
    </xf>
    <xf numFmtId="9" fontId="9" fillId="0" borderId="0" xfId="0" applyNumberFormat="1" applyFont="1" applyFill="1" applyAlignment="1">
      <alignment horizontal="right"/>
    </xf>
    <xf numFmtId="42" fontId="9" fillId="0" borderId="0" xfId="269" applyNumberFormat="1" applyFont="1" applyFill="1" applyBorder="1" applyAlignment="1" applyProtection="1">
      <alignment horizontal="right"/>
      <protection locked="0"/>
    </xf>
    <xf numFmtId="177" fontId="9" fillId="0" borderId="0" xfId="221" applyNumberFormat="1" applyFont="1" applyFill="1" applyBorder="1"/>
    <xf numFmtId="3" fontId="9" fillId="0" borderId="0" xfId="221" applyNumberFormat="1" applyFont="1" applyFill="1" applyAlignment="1"/>
    <xf numFmtId="42" fontId="9" fillId="0" borderId="0" xfId="0" applyNumberFormat="1" applyFont="1" applyFill="1" applyBorder="1" applyAlignment="1">
      <alignment horizontal="right"/>
    </xf>
    <xf numFmtId="37" fontId="9" fillId="0" borderId="0" xfId="221" applyNumberFormat="1" applyFont="1" applyFill="1" applyBorder="1" applyAlignment="1"/>
    <xf numFmtId="42" fontId="0" fillId="0" borderId="0" xfId="0" applyNumberFormat="1" applyFill="1" applyAlignment="1"/>
    <xf numFmtId="37" fontId="0" fillId="0" borderId="0" xfId="221" applyNumberFormat="1" applyFont="1" applyFill="1" applyAlignment="1"/>
    <xf numFmtId="3" fontId="0" fillId="0" borderId="0" xfId="221" applyNumberFormat="1" applyFont="1" applyFill="1" applyAlignment="1"/>
    <xf numFmtId="3" fontId="18" fillId="0" borderId="0" xfId="221" applyNumberFormat="1" applyFont="1" applyFill="1" applyAlignment="1"/>
    <xf numFmtId="42" fontId="25" fillId="0" borderId="0" xfId="0" applyNumberFormat="1" applyFont="1" applyFill="1" applyAlignment="1"/>
    <xf numFmtId="170" fontId="9" fillId="0" borderId="0" xfId="0" applyFont="1" applyFill="1">
      <alignment horizontal="left" wrapText="1"/>
    </xf>
    <xf numFmtId="170" fontId="10" fillId="0" borderId="0" xfId="0" applyFont="1" applyFill="1" applyAlignment="1">
      <alignment horizontal="center"/>
    </xf>
    <xf numFmtId="170" fontId="10" fillId="0" borderId="14" xfId="0" applyFont="1" applyFill="1" applyBorder="1" applyAlignment="1">
      <alignment horizontal="center"/>
    </xf>
    <xf numFmtId="170" fontId="10" fillId="0" borderId="0" xfId="0" applyFont="1" applyFill="1" applyAlignment="1" applyProtection="1">
      <alignment horizontal="center"/>
      <protection locked="0"/>
    </xf>
    <xf numFmtId="170" fontId="10" fillId="0" borderId="14" xfId="0" applyFont="1" applyFill="1" applyBorder="1" applyAlignment="1" applyProtection="1">
      <alignment horizontal="center"/>
      <protection locked="0"/>
    </xf>
    <xf numFmtId="170" fontId="9" fillId="0" borderId="0" xfId="0" applyFont="1" applyFill="1" applyAlignment="1"/>
    <xf numFmtId="170" fontId="18" fillId="0" borderId="0" xfId="0" applyFont="1" applyFill="1" applyAlignment="1"/>
    <xf numFmtId="170" fontId="9" fillId="0" borderId="0" xfId="0" applyFont="1" applyFill="1" applyBorder="1" applyAlignment="1"/>
    <xf numFmtId="170" fontId="9" fillId="0" borderId="0" xfId="0" applyFont="1" applyFill="1" applyAlignment="1">
      <alignment horizontal="center"/>
    </xf>
    <xf numFmtId="170" fontId="9" fillId="0" borderId="0" xfId="0" applyFont="1" applyFill="1" applyAlignment="1">
      <alignment horizontal="left"/>
    </xf>
    <xf numFmtId="170" fontId="9" fillId="0" borderId="0" xfId="0" quotePrefix="1" applyFont="1" applyFill="1" applyAlignment="1">
      <alignment horizontal="left"/>
    </xf>
    <xf numFmtId="37" fontId="9" fillId="0" borderId="0" xfId="0" applyNumberFormat="1" applyFont="1" applyFill="1">
      <alignment horizontal="left" wrapText="1"/>
    </xf>
    <xf numFmtId="172" fontId="9" fillId="0" borderId="0" xfId="0" applyNumberFormat="1" applyFont="1" applyFill="1" applyBorder="1" applyProtection="1">
      <alignment horizontal="left" wrapText="1"/>
      <protection locked="0"/>
    </xf>
    <xf numFmtId="172" fontId="9" fillId="0" borderId="0" xfId="0" applyNumberFormat="1" applyFont="1" applyFill="1" applyBorder="1">
      <alignment horizontal="left" wrapText="1"/>
    </xf>
    <xf numFmtId="1" fontId="9" fillId="0" borderId="0" xfId="0" applyNumberFormat="1" applyFont="1" applyFill="1" applyBorder="1" applyAlignment="1">
      <alignment horizontal="center"/>
    </xf>
    <xf numFmtId="170" fontId="10" fillId="0" borderId="0" xfId="0" applyFont="1" applyFill="1" applyBorder="1" applyAlignment="1">
      <alignment horizontal="center"/>
    </xf>
    <xf numFmtId="0" fontId="24" fillId="0" borderId="0" xfId="393" applyFont="1"/>
    <xf numFmtId="0" fontId="13" fillId="0" borderId="0" xfId="393"/>
    <xf numFmtId="0" fontId="24" fillId="0" borderId="14" xfId="393" applyFont="1" applyBorder="1" applyAlignment="1">
      <alignment horizontal="center"/>
    </xf>
    <xf numFmtId="0" fontId="13" fillId="0" borderId="0" xfId="393" applyAlignment="1">
      <alignment horizontal="center"/>
    </xf>
    <xf numFmtId="178" fontId="13" fillId="0" borderId="0" xfId="286" applyNumberFormat="1" applyFill="1"/>
    <xf numFmtId="178" fontId="13" fillId="0" borderId="0" xfId="286" applyNumberFormat="1"/>
    <xf numFmtId="10" fontId="24" fillId="0" borderId="0" xfId="410" applyNumberFormat="1" applyFont="1" applyFill="1"/>
    <xf numFmtId="10" fontId="13" fillId="0" borderId="0" xfId="410" applyNumberFormat="1" applyFont="1"/>
    <xf numFmtId="9" fontId="13" fillId="0" borderId="0" xfId="410" applyFont="1" applyFill="1"/>
    <xf numFmtId="9" fontId="13" fillId="0" borderId="0" xfId="410" applyFont="1"/>
    <xf numFmtId="0" fontId="13" fillId="0" borderId="0" xfId="393" applyFill="1"/>
    <xf numFmtId="178" fontId="13" fillId="0" borderId="0" xfId="393" applyNumberFormat="1" applyFill="1"/>
    <xf numFmtId="170" fontId="18" fillId="0" borderId="0" xfId="0" applyFont="1" applyFill="1">
      <alignment horizontal="left" wrapText="1"/>
    </xf>
    <xf numFmtId="14" fontId="18" fillId="0" borderId="0" xfId="0" applyNumberFormat="1" applyFont="1" applyFill="1">
      <alignment horizontal="left" wrapText="1"/>
    </xf>
    <xf numFmtId="170" fontId="10" fillId="0" borderId="0" xfId="0" applyFont="1" applyFill="1">
      <alignment horizontal="left" wrapText="1"/>
    </xf>
    <xf numFmtId="15" fontId="10" fillId="0" borderId="0" xfId="0" applyNumberFormat="1" applyFont="1" applyFill="1">
      <alignment horizontal="left" wrapText="1"/>
    </xf>
    <xf numFmtId="170" fontId="10" fillId="0" borderId="0" xfId="0" applyFont="1" applyFill="1" applyAlignment="1" applyProtection="1">
      <alignment horizontal="left"/>
      <protection locked="0"/>
    </xf>
    <xf numFmtId="170" fontId="10" fillId="0" borderId="0" xfId="0" applyFont="1" applyFill="1" applyAlignment="1" applyProtection="1">
      <alignment horizontal="centerContinuous" vertical="center"/>
      <protection locked="0"/>
    </xf>
    <xf numFmtId="170" fontId="10" fillId="0" borderId="0" xfId="0" applyFont="1" applyFill="1" applyAlignment="1">
      <alignment horizontal="centerContinuous" vertical="center"/>
    </xf>
    <xf numFmtId="170" fontId="9" fillId="0" borderId="0" xfId="0" applyFont="1" applyFill="1" applyBorder="1">
      <alignment horizontal="left" wrapText="1"/>
    </xf>
    <xf numFmtId="37" fontId="9" fillId="0" borderId="0" xfId="0" applyNumberFormat="1" applyFont="1" applyFill="1" applyBorder="1" applyAlignment="1"/>
    <xf numFmtId="41" fontId="9" fillId="0" borderId="0" xfId="269" applyNumberFormat="1" applyFont="1" applyFill="1" applyBorder="1" applyAlignment="1"/>
    <xf numFmtId="170" fontId="10" fillId="0" borderId="14" xfId="0" applyFont="1" applyFill="1" applyBorder="1" applyAlignment="1"/>
    <xf numFmtId="170" fontId="26" fillId="0" borderId="14" xfId="0" applyFont="1" applyFill="1" applyBorder="1" applyAlignment="1">
      <alignment horizontal="centerContinuous"/>
    </xf>
    <xf numFmtId="170" fontId="10" fillId="0" borderId="0" xfId="0" applyFont="1" applyFill="1" applyBorder="1" applyAlignment="1"/>
    <xf numFmtId="170" fontId="26" fillId="0" borderId="0" xfId="0" applyFont="1" applyFill="1" applyBorder="1" applyAlignment="1">
      <alignment horizontal="center"/>
    </xf>
    <xf numFmtId="170" fontId="9" fillId="0" borderId="0" xfId="0" applyFont="1" applyFill="1" applyAlignment="1">
      <alignment horizontal="left" indent="1"/>
    </xf>
    <xf numFmtId="3" fontId="9" fillId="0" borderId="0" xfId="221" applyNumberFormat="1" applyFont="1" applyFill="1" applyBorder="1" applyAlignment="1"/>
    <xf numFmtId="182" fontId="9" fillId="0" borderId="0" xfId="0" applyNumberFormat="1" applyFont="1" applyFill="1" applyAlignment="1"/>
    <xf numFmtId="170" fontId="13" fillId="0" borderId="0" xfId="0" applyFont="1" applyFill="1">
      <alignment horizontal="left" wrapText="1"/>
    </xf>
    <xf numFmtId="170" fontId="13" fillId="0" borderId="0" xfId="0" applyFont="1" applyFill="1" applyAlignment="1">
      <alignment horizontal="centerContinuous" vertical="center"/>
    </xf>
    <xf numFmtId="170" fontId="10" fillId="0" borderId="0" xfId="0" applyFont="1" applyFill="1" applyBorder="1">
      <alignment horizontal="left" wrapText="1"/>
    </xf>
    <xf numFmtId="168" fontId="9" fillId="0" borderId="0" xfId="0" applyNumberFormat="1" applyFont="1" applyFill="1" applyAlignment="1">
      <alignment horizontal="right"/>
    </xf>
    <xf numFmtId="168" fontId="9" fillId="0" borderId="0" xfId="269" applyNumberFormat="1" applyFont="1" applyFill="1" applyAlignment="1">
      <alignment horizontal="right"/>
    </xf>
    <xf numFmtId="10" fontId="13" fillId="0" borderId="0" xfId="410" applyNumberFormat="1" applyFont="1" applyFill="1"/>
    <xf numFmtId="0" fontId="10" fillId="0" borderId="20" xfId="0" quotePrefix="1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 applyProtection="1">
      <alignment horizontal="center"/>
      <protection locked="0"/>
    </xf>
    <xf numFmtId="0" fontId="13" fillId="0" borderId="21" xfId="393" applyBorder="1"/>
    <xf numFmtId="0" fontId="24" fillId="0" borderId="22" xfId="393" applyFont="1" applyBorder="1" applyAlignment="1">
      <alignment horizontal="right"/>
    </xf>
    <xf numFmtId="0" fontId="28" fillId="0" borderId="0" xfId="390" applyAlignment="1"/>
    <xf numFmtId="0" fontId="24" fillId="0" borderId="23" xfId="390" applyFont="1" applyBorder="1" applyAlignment="1">
      <alignment horizontal="center"/>
    </xf>
    <xf numFmtId="0" fontId="24" fillId="0" borderId="0" xfId="390" applyFont="1" applyAlignment="1">
      <alignment horizontal="centerContinuous"/>
    </xf>
    <xf numFmtId="0" fontId="28" fillId="0" borderId="0" xfId="390" applyAlignment="1">
      <alignment horizontal="centerContinuous"/>
    </xf>
    <xf numFmtId="0" fontId="24" fillId="0" borderId="0" xfId="390" applyFont="1" applyAlignment="1"/>
    <xf numFmtId="0" fontId="13" fillId="0" borderId="0" xfId="390" applyFont="1" applyAlignment="1"/>
    <xf numFmtId="0" fontId="24" fillId="0" borderId="0" xfId="390" applyFont="1" applyAlignment="1">
      <alignment horizontal="center"/>
    </xf>
    <xf numFmtId="0" fontId="29" fillId="0" borderId="0" xfId="390" applyFont="1" applyAlignment="1">
      <alignment horizontal="center"/>
    </xf>
    <xf numFmtId="10" fontId="13" fillId="0" borderId="0" xfId="390" applyNumberFormat="1" applyFont="1" applyAlignment="1">
      <alignment horizontal="right"/>
    </xf>
    <xf numFmtId="10" fontId="30" fillId="0" borderId="0" xfId="390" applyNumberFormat="1" applyFont="1" applyAlignment="1">
      <alignment horizontal="right"/>
    </xf>
    <xf numFmtId="6" fontId="29" fillId="0" borderId="0" xfId="390" applyNumberFormat="1" applyFont="1" applyAlignment="1">
      <alignment horizontal="right"/>
    </xf>
    <xf numFmtId="10" fontId="29" fillId="0" borderId="0" xfId="390" applyNumberFormat="1" applyFont="1" applyAlignment="1">
      <alignment horizontal="right"/>
    </xf>
    <xf numFmtId="0" fontId="29" fillId="0" borderId="0" xfId="390" applyFont="1" applyAlignment="1"/>
    <xf numFmtId="0" fontId="10" fillId="0" borderId="0" xfId="0" applyNumberFormat="1" applyFont="1" applyFill="1" applyAlignment="1">
      <alignment horizontal="right"/>
    </xf>
    <xf numFmtId="170" fontId="1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/>
    <xf numFmtId="170" fontId="10" fillId="0" borderId="0" xfId="0" applyFont="1" applyFill="1" applyAlignment="1"/>
    <xf numFmtId="172" fontId="10" fillId="0" borderId="0" xfId="0" applyNumberFormat="1" applyFont="1" applyFill="1" applyBorder="1" applyAlignment="1"/>
    <xf numFmtId="0" fontId="10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centerContinuous"/>
    </xf>
    <xf numFmtId="170" fontId="10" fillId="0" borderId="0" xfId="0" applyFont="1" applyFill="1" applyAlignment="1">
      <alignment horizontal="centerContinuous"/>
    </xf>
    <xf numFmtId="172" fontId="10" fillId="0" borderId="0" xfId="0" applyNumberFormat="1" applyFont="1" applyFill="1" applyBorder="1" applyAlignment="1">
      <alignment horizontal="centerContinuous"/>
    </xf>
    <xf numFmtId="170" fontId="10" fillId="0" borderId="0" xfId="0" applyFont="1" applyFill="1" applyAlignment="1" applyProtection="1">
      <alignment horizontal="centerContinuous"/>
      <protection locked="0"/>
    </xf>
    <xf numFmtId="15" fontId="12" fillId="0" borderId="0" xfId="0" applyNumberFormat="1" applyFont="1" applyFill="1" applyAlignment="1">
      <alignment horizontal="centerContinuous"/>
    </xf>
    <xf numFmtId="2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 applyProtection="1">
      <alignment horizontal="left"/>
      <protection locked="0"/>
    </xf>
    <xf numFmtId="41" fontId="10" fillId="0" borderId="0" xfId="0" applyNumberFormat="1" applyFont="1" applyFill="1" applyAlignment="1"/>
    <xf numFmtId="170" fontId="10" fillId="0" borderId="0" xfId="0" applyFont="1" applyFill="1" applyAlignment="1" applyProtection="1">
      <protection locked="0"/>
    </xf>
    <xf numFmtId="172" fontId="10" fillId="0" borderId="0" xfId="0" applyNumberFormat="1" applyFont="1" applyFill="1" applyAlignment="1"/>
    <xf numFmtId="170" fontId="10" fillId="0" borderId="14" xfId="0" applyFont="1" applyFill="1" applyBorder="1" applyAlignment="1">
      <alignment horizontal="left"/>
    </xf>
    <xf numFmtId="0" fontId="10" fillId="0" borderId="14" xfId="0" applyNumberFormat="1" applyFont="1" applyFill="1" applyBorder="1" applyAlignment="1">
      <alignment horizontal="left"/>
    </xf>
    <xf numFmtId="41" fontId="10" fillId="0" borderId="14" xfId="0" applyNumberFormat="1" applyFont="1" applyFill="1" applyBorder="1" applyAlignment="1">
      <alignment horizontal="center"/>
    </xf>
    <xf numFmtId="170" fontId="10" fillId="0" borderId="14" xfId="0" applyFont="1" applyFill="1" applyBorder="1" applyAlignment="1">
      <alignment horizontal="right"/>
    </xf>
    <xf numFmtId="2" fontId="10" fillId="0" borderId="14" xfId="0" applyNumberFormat="1" applyFont="1" applyFill="1" applyBorder="1" applyAlignment="1">
      <alignment horizontal="center"/>
    </xf>
    <xf numFmtId="172" fontId="10" fillId="0" borderId="14" xfId="0" applyNumberFormat="1" applyFont="1" applyFill="1" applyBorder="1" applyAlignment="1">
      <alignment horizontal="center"/>
    </xf>
    <xf numFmtId="0" fontId="10" fillId="0" borderId="14" xfId="0" applyNumberFormat="1" applyFont="1" applyFill="1" applyBorder="1" applyAlignment="1">
      <alignment horizontal="centerContinuous"/>
    </xf>
    <xf numFmtId="0" fontId="10" fillId="0" borderId="14" xfId="0" quotePrefix="1" applyNumberFormat="1" applyFont="1" applyFill="1" applyBorder="1" applyAlignment="1" applyProtection="1">
      <alignment horizontal="center"/>
      <protection locked="0"/>
    </xf>
    <xf numFmtId="170" fontId="10" fillId="0" borderId="0" xfId="0" applyFont="1" applyFill="1" applyAlignment="1">
      <alignment horizontal="center" wrapText="1"/>
    </xf>
    <xf numFmtId="170" fontId="11" fillId="0" borderId="0" xfId="0" applyFont="1" applyFill="1" applyBorder="1">
      <alignment horizontal="left" wrapText="1"/>
    </xf>
    <xf numFmtId="9" fontId="9" fillId="0" borderId="0" xfId="0" applyNumberFormat="1" applyFont="1" applyFill="1" applyBorder="1" applyAlignment="1" applyProtection="1">
      <alignment horizontal="left"/>
      <protection locked="0"/>
    </xf>
    <xf numFmtId="37" fontId="9" fillId="0" borderId="0" xfId="0" applyNumberFormat="1" applyFont="1" applyFill="1" applyBorder="1" applyAlignment="1" applyProtection="1">
      <protection locked="0"/>
    </xf>
    <xf numFmtId="41" fontId="9" fillId="0" borderId="0" xfId="0" applyNumberFormat="1" applyFont="1" applyFill="1" applyBorder="1" applyAlignment="1" applyProtection="1">
      <protection locked="0"/>
    </xf>
    <xf numFmtId="170" fontId="11" fillId="0" borderId="0" xfId="0" applyFont="1" applyFill="1" applyAlignment="1">
      <alignment horizontal="left"/>
    </xf>
    <xf numFmtId="173" fontId="9" fillId="0" borderId="0" xfId="370" quotePrefix="1" applyNumberFormat="1" applyFont="1" applyFill="1" applyBorder="1" applyAlignment="1">
      <alignment horizontal="left"/>
    </xf>
    <xf numFmtId="0" fontId="10" fillId="0" borderId="0" xfId="269" applyNumberFormat="1" applyFont="1" applyFill="1" applyAlignment="1" applyProtection="1">
      <protection locked="0"/>
    </xf>
    <xf numFmtId="0" fontId="9" fillId="0" borderId="0" xfId="269" applyNumberFormat="1" applyFont="1" applyFill="1" applyAlignment="1" applyProtection="1">
      <protection locked="0"/>
    </xf>
    <xf numFmtId="42" fontId="9" fillId="0" borderId="0" xfId="221" applyNumberFormat="1" applyFont="1" applyFill="1" applyAlignment="1"/>
    <xf numFmtId="9" fontId="9" fillId="0" borderId="0" xfId="410" applyFont="1" applyFill="1" applyBorder="1"/>
    <xf numFmtId="0" fontId="9" fillId="0" borderId="0" xfId="0" applyNumberFormat="1" applyFont="1" applyFill="1" applyAlignment="1" applyProtection="1">
      <alignment horizontal="fill"/>
      <protection locked="0"/>
    </xf>
    <xf numFmtId="170" fontId="9" fillId="0" borderId="0" xfId="0" quotePrefix="1" applyFont="1" applyFill="1" applyAlignment="1">
      <alignment horizontal="center"/>
    </xf>
    <xf numFmtId="170" fontId="9" fillId="0" borderId="0" xfId="0" applyFont="1" applyFill="1" applyBorder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170" fontId="9" fillId="0" borderId="0" xfId="0" applyFont="1" applyFill="1" applyAlignment="1" applyProtection="1">
      <alignment horizontal="left"/>
      <protection locked="0"/>
    </xf>
    <xf numFmtId="170" fontId="9" fillId="0" borderId="0" xfId="0" applyNumberFormat="1" applyFont="1" applyFill="1" applyAlignment="1"/>
    <xf numFmtId="169" fontId="9" fillId="0" borderId="0" xfId="0" applyNumberFormat="1" applyFont="1" applyFill="1" applyAlignment="1"/>
    <xf numFmtId="170" fontId="11" fillId="0" borderId="0" xfId="0" applyFont="1" applyFill="1" applyAlignment="1">
      <alignment horizontal="center"/>
    </xf>
    <xf numFmtId="170" fontId="11" fillId="0" borderId="0" xfId="0" applyFont="1" applyFill="1" applyBorder="1" applyAlignment="1">
      <alignment horizontal="center"/>
    </xf>
    <xf numFmtId="37" fontId="11" fillId="0" borderId="0" xfId="0" applyNumberFormat="1" applyFont="1" applyFill="1" applyBorder="1" applyAlignment="1">
      <alignment horizontal="center"/>
    </xf>
    <xf numFmtId="0" fontId="9" fillId="0" borderId="0" xfId="269" applyNumberFormat="1" applyFont="1" applyFill="1" applyBorder="1" applyAlignment="1" applyProtection="1">
      <protection locked="0"/>
    </xf>
    <xf numFmtId="165" fontId="9" fillId="0" borderId="0" xfId="0" applyNumberFormat="1" applyFont="1" applyFill="1" applyAlignment="1"/>
    <xf numFmtId="167" fontId="9" fillId="0" borderId="0" xfId="410" applyNumberFormat="1" applyFont="1" applyFill="1" applyBorder="1"/>
    <xf numFmtId="173" fontId="9" fillId="0" borderId="0" xfId="0" quotePrefix="1" applyNumberFormat="1" applyFont="1" applyFill="1" applyAlignment="1">
      <alignment horizontal="left"/>
    </xf>
    <xf numFmtId="0" fontId="10" fillId="0" borderId="0" xfId="269" quotePrefix="1" applyNumberFormat="1" applyFont="1" applyFill="1" applyAlignment="1" applyProtection="1">
      <protection locked="0"/>
    </xf>
    <xf numFmtId="0" fontId="9" fillId="0" borderId="0" xfId="269" quotePrefix="1" applyNumberFormat="1" applyFont="1" applyFill="1" applyAlignment="1" applyProtection="1">
      <protection locked="0"/>
    </xf>
    <xf numFmtId="170" fontId="9" fillId="0" borderId="0" xfId="0" applyFont="1" applyFill="1" applyAlignment="1" applyProtection="1">
      <alignment horizontal="center"/>
      <protection locked="0"/>
    </xf>
    <xf numFmtId="168" fontId="9" fillId="0" borderId="0" xfId="410" applyNumberFormat="1" applyFont="1" applyFill="1"/>
    <xf numFmtId="173" fontId="9" fillId="0" borderId="0" xfId="0" applyNumberFormat="1" applyFont="1" applyFill="1" applyAlignment="1">
      <alignment horizontal="left"/>
    </xf>
    <xf numFmtId="0" fontId="9" fillId="0" borderId="0" xfId="269" quotePrefix="1" applyNumberFormat="1" applyFont="1" applyFill="1" applyBorder="1" applyAlignment="1" applyProtection="1">
      <protection locked="0"/>
    </xf>
    <xf numFmtId="168" fontId="9" fillId="0" borderId="0" xfId="0" applyNumberFormat="1" applyFont="1" applyFill="1" applyAlignment="1"/>
    <xf numFmtId="167" fontId="9" fillId="0" borderId="0" xfId="410" applyNumberFormat="1" applyFont="1" applyFill="1"/>
    <xf numFmtId="165" fontId="9" fillId="0" borderId="0" xfId="410" applyNumberFormat="1" applyFont="1" applyFill="1"/>
    <xf numFmtId="1" fontId="9" fillId="0" borderId="0" xfId="0" quotePrefix="1" applyNumberFormat="1" applyFont="1" applyFill="1" applyAlignment="1">
      <alignment horizontal="left"/>
    </xf>
    <xf numFmtId="9" fontId="9" fillId="0" borderId="0" xfId="410" applyFont="1" applyFill="1" applyAlignment="1">
      <alignment horizontal="center"/>
    </xf>
    <xf numFmtId="170" fontId="13" fillId="0" borderId="0" xfId="0" applyFont="1" applyFill="1" applyBorder="1">
      <alignment horizontal="left" wrapText="1"/>
    </xf>
    <xf numFmtId="1" fontId="9" fillId="0" borderId="0" xfId="0" applyNumberFormat="1" applyFont="1" applyFill="1" applyAlignment="1"/>
    <xf numFmtId="41" fontId="9" fillId="0" borderId="0" xfId="0" applyNumberFormat="1" applyFont="1" applyFill="1" applyBorder="1">
      <alignment horizontal="left" wrapText="1"/>
    </xf>
    <xf numFmtId="165" fontId="9" fillId="0" borderId="0" xfId="0" applyNumberFormat="1" applyFont="1" applyFill="1" applyAlignment="1">
      <alignment vertical="top"/>
    </xf>
    <xf numFmtId="170" fontId="9" fillId="0" borderId="0" xfId="0" applyFont="1" applyFill="1" applyBorder="1" applyAlignment="1">
      <alignment horizontal="left" indent="1"/>
    </xf>
    <xf numFmtId="165" fontId="9" fillId="0" borderId="0" xfId="0" applyNumberFormat="1" applyFont="1" applyFill="1" applyBorder="1" applyAlignment="1"/>
    <xf numFmtId="170" fontId="9" fillId="0" borderId="0" xfId="0" applyFont="1" applyFill="1" applyBorder="1" applyAlignment="1">
      <alignment horizontal="left"/>
    </xf>
    <xf numFmtId="167" fontId="9" fillId="0" borderId="0" xfId="410" applyNumberFormat="1" applyFont="1" applyFill="1" applyBorder="1" applyAlignment="1">
      <alignment vertical="top"/>
    </xf>
    <xf numFmtId="178" fontId="9" fillId="0" borderId="0" xfId="269" applyNumberFormat="1" applyFont="1" applyFill="1" applyBorder="1" applyAlignment="1" applyProtection="1">
      <protection locked="0"/>
    </xf>
    <xf numFmtId="1" fontId="13" fillId="0" borderId="0" xfId="0" applyNumberFormat="1" applyFont="1" applyFill="1">
      <alignment horizontal="left" wrapText="1"/>
    </xf>
    <xf numFmtId="178" fontId="9" fillId="0" borderId="0" xfId="269" applyNumberFormat="1" applyFont="1" applyFill="1" applyBorder="1" applyAlignment="1">
      <alignment horizontal="right" wrapText="1"/>
    </xf>
    <xf numFmtId="0" fontId="10" fillId="0" borderId="14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Alignment="1">
      <alignment horizontal="left" vertical="center" indent="2"/>
    </xf>
    <xf numFmtId="0" fontId="9" fillId="0" borderId="0" xfId="0" applyNumberFormat="1" applyFont="1" applyFill="1" applyAlignment="1">
      <alignment horizontal="left" indent="2"/>
    </xf>
    <xf numFmtId="9" fontId="9" fillId="0" borderId="0" xfId="0" applyNumberFormat="1" applyFont="1" applyFill="1" applyBorder="1" applyAlignment="1"/>
    <xf numFmtId="42" fontId="10" fillId="0" borderId="0" xfId="269" applyNumberFormat="1" applyFont="1" applyFill="1" applyBorder="1" applyAlignment="1"/>
    <xf numFmtId="178" fontId="14" fillId="0" borderId="0" xfId="269" applyNumberFormat="1" applyFont="1" applyFill="1" applyBorder="1"/>
    <xf numFmtId="10" fontId="13" fillId="0" borderId="0" xfId="391" applyNumberFormat="1" applyFont="1" applyAlignment="1" applyProtection="1"/>
    <xf numFmtId="10" fontId="13" fillId="0" borderId="0" xfId="391" applyNumberFormat="1" applyFont="1" applyAlignment="1"/>
    <xf numFmtId="10" fontId="30" fillId="0" borderId="0" xfId="391" applyNumberFormat="1" applyFont="1" applyAlignment="1" applyProtection="1"/>
    <xf numFmtId="10" fontId="32" fillId="0" borderId="0" xfId="391" applyNumberFormat="1" applyFont="1" applyBorder="1" applyAlignment="1" applyProtection="1"/>
    <xf numFmtId="10" fontId="13" fillId="0" borderId="0" xfId="391" applyFont="1" applyBorder="1"/>
    <xf numFmtId="10" fontId="13" fillId="0" borderId="0" xfId="391" applyFont="1"/>
    <xf numFmtId="165" fontId="13" fillId="0" borderId="0" xfId="391" applyNumberFormat="1" applyFont="1" applyBorder="1" applyAlignment="1" applyProtection="1"/>
    <xf numFmtId="187" fontId="13" fillId="0" borderId="0" xfId="390" applyNumberFormat="1" applyFont="1" applyAlignment="1"/>
    <xf numFmtId="10" fontId="13" fillId="0" borderId="0" xfId="391" applyFont="1" applyFill="1" applyAlignment="1" applyProtection="1"/>
    <xf numFmtId="186" fontId="28" fillId="0" borderId="0" xfId="390" applyNumberFormat="1" applyAlignment="1"/>
    <xf numFmtId="6" fontId="13" fillId="0" borderId="0" xfId="0" applyNumberFormat="1" applyFont="1" applyAlignment="1">
      <alignment horizontal="right" wrapText="1"/>
    </xf>
    <xf numFmtId="0" fontId="13" fillId="0" borderId="0" xfId="390" quotePrefix="1" applyFont="1" applyAlignment="1"/>
    <xf numFmtId="0" fontId="33" fillId="0" borderId="0" xfId="0" applyNumberFormat="1" applyFont="1" applyAlignment="1">
      <alignment wrapText="1"/>
    </xf>
    <xf numFmtId="6" fontId="30" fillId="0" borderId="0" xfId="0" applyNumberFormat="1" applyFont="1" applyAlignment="1">
      <alignment horizontal="right" wrapText="1"/>
    </xf>
    <xf numFmtId="10" fontId="13" fillId="0" borderId="0" xfId="390" applyNumberFormat="1" applyFont="1" applyAlignment="1"/>
    <xf numFmtId="6" fontId="13" fillId="0" borderId="0" xfId="390" applyNumberFormat="1" applyFont="1" applyAlignment="1"/>
    <xf numFmtId="4" fontId="13" fillId="0" borderId="0" xfId="221" applyFont="1" applyFill="1" applyAlignment="1">
      <alignment horizontal="left" wrapText="1"/>
    </xf>
    <xf numFmtId="1" fontId="10" fillId="28" borderId="0" xfId="0" applyNumberFormat="1" applyFont="1" applyFill="1" applyAlignment="1"/>
    <xf numFmtId="10" fontId="13" fillId="0" borderId="0" xfId="0" applyNumberFormat="1" applyFont="1" applyAlignment="1">
      <alignment horizontal="right" wrapText="1"/>
    </xf>
    <xf numFmtId="170" fontId="9" fillId="0" borderId="0" xfId="0" applyNumberFormat="1" applyFont="1" applyFill="1" applyAlignment="1">
      <alignment horizontal="left" wrapText="1" indent="1"/>
    </xf>
    <xf numFmtId="172" fontId="80" fillId="0" borderId="0" xfId="0" applyNumberFormat="1" applyFont="1" applyFill="1" applyAlignment="1" applyProtection="1">
      <protection locked="0"/>
    </xf>
    <xf numFmtId="0" fontId="81" fillId="0" borderId="0" xfId="393" applyFont="1"/>
    <xf numFmtId="170" fontId="80" fillId="0" borderId="0" xfId="0" applyFont="1" applyFill="1" applyAlignment="1" applyProtection="1">
      <alignment horizontal="centerContinuous" vertical="center"/>
      <protection locked="0"/>
    </xf>
    <xf numFmtId="170" fontId="80" fillId="0" borderId="0" xfId="0" applyFont="1" applyFill="1" applyAlignment="1">
      <alignment horizontal="centerContinuous" vertical="center"/>
    </xf>
    <xf numFmtId="170" fontId="82" fillId="0" borderId="0" xfId="0" applyFont="1" applyFill="1" applyAlignment="1">
      <alignment horizontal="centerContinuous" vertical="center"/>
    </xf>
    <xf numFmtId="170" fontId="80" fillId="0" borderId="0" xfId="0" applyFont="1" applyFill="1" applyAlignment="1">
      <alignment horizontal="centerContinuous"/>
    </xf>
    <xf numFmtId="0" fontId="80" fillId="0" borderId="0" xfId="0" applyNumberFormat="1" applyFont="1" applyFill="1" applyAlignment="1">
      <alignment horizontal="centerContinuous"/>
    </xf>
    <xf numFmtId="3" fontId="80" fillId="0" borderId="0" xfId="221" applyNumberFormat="1" applyFont="1" applyFill="1" applyAlignment="1">
      <alignment horizontal="centerContinuous"/>
    </xf>
    <xf numFmtId="15" fontId="80" fillId="0" borderId="0" xfId="0" applyNumberFormat="1" applyFont="1" applyFill="1" applyAlignment="1">
      <alignment horizontal="centerContinuous"/>
    </xf>
    <xf numFmtId="41" fontId="80" fillId="0" borderId="0" xfId="0" applyNumberFormat="1" applyFont="1" applyFill="1" applyAlignment="1">
      <alignment horizontal="centerContinuous"/>
    </xf>
    <xf numFmtId="0" fontId="80" fillId="0" borderId="0" xfId="0" applyNumberFormat="1" applyFont="1" applyFill="1" applyAlignment="1" applyProtection="1">
      <alignment horizontal="centerContinuous"/>
      <protection locked="0"/>
    </xf>
    <xf numFmtId="170" fontId="80" fillId="0" borderId="0" xfId="0" applyFont="1" applyFill="1" applyAlignment="1" applyProtection="1">
      <alignment horizontal="centerContinuous"/>
      <protection locked="0"/>
    </xf>
    <xf numFmtId="172" fontId="80" fillId="0" borderId="0" xfId="0" applyNumberFormat="1" applyFont="1" applyFill="1" applyBorder="1" applyAlignment="1">
      <alignment horizontal="centerContinuous"/>
    </xf>
    <xf numFmtId="0" fontId="83" fillId="0" borderId="0" xfId="0" applyNumberFormat="1" applyFont="1" applyFill="1" applyAlignment="1"/>
    <xf numFmtId="172" fontId="9" fillId="0" borderId="0" xfId="0" applyNumberFormat="1" applyFont="1" applyFill="1" applyAlignment="1">
      <alignment horizontal="left"/>
    </xf>
    <xf numFmtId="41" fontId="9" fillId="0" borderId="0" xfId="269" applyNumberFormat="1" applyFont="1" applyFill="1" applyProtection="1">
      <protection locked="0"/>
    </xf>
    <xf numFmtId="172" fontId="9" fillId="0" borderId="0" xfId="0" applyNumberFormat="1" applyFont="1" applyFill="1" applyBorder="1" applyAlignment="1">
      <alignment vertical="top"/>
    </xf>
    <xf numFmtId="41" fontId="9" fillId="0" borderId="0" xfId="0" applyNumberFormat="1" applyFont="1" applyFill="1" applyAlignment="1">
      <alignment vertical="center"/>
    </xf>
    <xf numFmtId="172" fontId="9" fillId="0" borderId="0" xfId="0" applyNumberFormat="1" applyFont="1" applyFill="1" applyBorder="1" applyAlignment="1">
      <alignment horizontal="left"/>
    </xf>
    <xf numFmtId="42" fontId="9" fillId="0" borderId="0" xfId="0" applyNumberFormat="1" applyFont="1" applyFill="1" applyBorder="1" applyAlignment="1" applyProtection="1">
      <protection locked="0"/>
    </xf>
    <xf numFmtId="10" fontId="9" fillId="0" borderId="0" xfId="0" applyNumberFormat="1" applyFont="1" applyFill="1" applyAlignment="1" applyProtection="1">
      <protection locked="0"/>
    </xf>
    <xf numFmtId="177" fontId="9" fillId="0" borderId="0" xfId="221" applyNumberFormat="1" applyFont="1" applyFill="1" applyBorder="1" applyAlignment="1"/>
    <xf numFmtId="37" fontId="9" fillId="0" borderId="0" xfId="0" applyNumberFormat="1" applyFont="1" applyFill="1" applyAlignment="1">
      <alignment horizontal="right"/>
    </xf>
    <xf numFmtId="37" fontId="9" fillId="0" borderId="14" xfId="0" applyNumberFormat="1" applyFont="1" applyFill="1" applyBorder="1" applyAlignment="1">
      <alignment horizontal="right"/>
    </xf>
    <xf numFmtId="170" fontId="9" fillId="0" borderId="0" xfId="543" applyNumberFormat="1" applyFont="1" applyFill="1" applyAlignment="1">
      <alignment horizontal="left"/>
    </xf>
    <xf numFmtId="41" fontId="9" fillId="0" borderId="0" xfId="221" applyNumberFormat="1" applyFont="1" applyFill="1" applyAlignment="1"/>
    <xf numFmtId="42" fontId="9" fillId="0" borderId="0" xfId="269" applyNumberFormat="1" applyFont="1" applyFill="1" applyAlignment="1"/>
    <xf numFmtId="170" fontId="9" fillId="0" borderId="0" xfId="543" applyNumberFormat="1" applyFont="1" applyFill="1" applyBorder="1" applyAlignment="1">
      <alignment horizontal="left"/>
    </xf>
    <xf numFmtId="42" fontId="9" fillId="0" borderId="0" xfId="269" applyNumberFormat="1" applyFont="1" applyFill="1" applyBorder="1" applyAlignment="1">
      <alignment horizontal="right"/>
    </xf>
    <xf numFmtId="170" fontId="9" fillId="0" borderId="0" xfId="388" applyFont="1" applyFill="1">
      <alignment horizontal="left" wrapText="1"/>
    </xf>
    <xf numFmtId="37" fontId="9" fillId="0" borderId="0" xfId="0" applyNumberFormat="1" applyFont="1" applyFill="1" applyAlignment="1"/>
    <xf numFmtId="41" fontId="9" fillId="0" borderId="0" xfId="269" applyNumberFormat="1" applyFont="1" applyFill="1" applyAlignment="1"/>
    <xf numFmtId="185" fontId="9" fillId="0" borderId="0" xfId="410" applyNumberFormat="1" applyFont="1" applyFill="1" applyAlignment="1"/>
    <xf numFmtId="42" fontId="9" fillId="0" borderId="14" xfId="269" applyNumberFormat="1" applyFont="1" applyFill="1" applyBorder="1" applyAlignment="1"/>
    <xf numFmtId="41" fontId="9" fillId="0" borderId="14" xfId="269" applyNumberFormat="1" applyFont="1" applyFill="1" applyBorder="1" applyAlignment="1"/>
    <xf numFmtId="178" fontId="9" fillId="0" borderId="0" xfId="269" applyNumberFormat="1" applyFont="1" applyFill="1" applyBorder="1" applyAlignment="1"/>
    <xf numFmtId="37" fontId="9" fillId="0" borderId="0" xfId="269" applyNumberFormat="1" applyFont="1" applyFill="1" applyBorder="1" applyAlignment="1">
      <alignment vertical="center"/>
    </xf>
    <xf numFmtId="178" fontId="9" fillId="0" borderId="15" xfId="269" applyNumberFormat="1" applyFont="1" applyFill="1" applyBorder="1" applyProtection="1">
      <protection locked="0"/>
    </xf>
    <xf numFmtId="178" fontId="9" fillId="0" borderId="0" xfId="269" applyNumberFormat="1" applyFont="1" applyFill="1" applyBorder="1" applyProtection="1">
      <protection locked="0"/>
    </xf>
    <xf numFmtId="37" fontId="9" fillId="0" borderId="0" xfId="0" applyNumberFormat="1" applyFont="1" applyFill="1" applyBorder="1" applyAlignment="1">
      <alignment vertical="top"/>
    </xf>
    <xf numFmtId="0" fontId="0" fillId="0" borderId="15" xfId="0" applyNumberFormat="1" applyFill="1" applyBorder="1" applyAlignment="1"/>
    <xf numFmtId="37" fontId="9" fillId="0" borderId="14" xfId="0" applyNumberFormat="1" applyFont="1" applyFill="1" applyBorder="1" applyAlignment="1"/>
    <xf numFmtId="178" fontId="9" fillId="0" borderId="13" xfId="269" applyNumberFormat="1" applyFont="1" applyFill="1" applyBorder="1" applyProtection="1">
      <protection locked="0"/>
    </xf>
    <xf numFmtId="5" fontId="9" fillId="0" borderId="14" xfId="0" applyNumberFormat="1" applyFont="1" applyFill="1" applyBorder="1" applyAlignment="1" applyProtection="1">
      <protection locked="0"/>
    </xf>
    <xf numFmtId="42" fontId="9" fillId="0" borderId="0" xfId="269" applyNumberFormat="1" applyFont="1" applyFill="1" applyBorder="1" applyProtection="1">
      <protection locked="0"/>
    </xf>
    <xf numFmtId="42" fontId="9" fillId="0" borderId="0" xfId="269" applyNumberFormat="1" applyFont="1" applyFill="1" applyBorder="1"/>
    <xf numFmtId="178" fontId="9" fillId="0" borderId="0" xfId="0" applyNumberFormat="1" applyFont="1" applyFill="1" applyAlignment="1"/>
    <xf numFmtId="42" fontId="10" fillId="0" borderId="13" xfId="269" applyNumberFormat="1" applyFont="1" applyFill="1" applyBorder="1"/>
    <xf numFmtId="42" fontId="10" fillId="0" borderId="19" xfId="269" applyNumberFormat="1" applyFont="1" applyFill="1" applyBorder="1" applyAlignment="1"/>
    <xf numFmtId="42" fontId="9" fillId="0" borderId="0" xfId="0" applyNumberFormat="1" applyFont="1" applyFill="1" applyAlignment="1" applyProtection="1">
      <alignment horizontal="right"/>
      <protection locked="0"/>
    </xf>
    <xf numFmtId="172" fontId="9" fillId="0" borderId="14" xfId="0" applyNumberFormat="1" applyFont="1" applyFill="1" applyBorder="1" applyAlignment="1" applyProtection="1">
      <alignment horizontal="right"/>
      <protection locked="0"/>
    </xf>
    <xf numFmtId="42" fontId="9" fillId="0" borderId="0" xfId="0" applyNumberFormat="1" applyFont="1" applyFill="1" applyAlignment="1">
      <alignment horizontal="right"/>
    </xf>
    <xf numFmtId="42" fontId="9" fillId="0" borderId="15" xfId="0" applyNumberFormat="1" applyFont="1" applyFill="1" applyBorder="1" applyAlignment="1" applyProtection="1">
      <alignment horizontal="right"/>
      <protection locked="0"/>
    </xf>
    <xf numFmtId="41" fontId="9" fillId="0" borderId="0" xfId="0" applyNumberFormat="1" applyFont="1" applyFill="1" applyBorder="1" applyAlignment="1" applyProtection="1">
      <alignment horizontal="right"/>
      <protection locked="0"/>
    </xf>
    <xf numFmtId="42" fontId="10" fillId="0" borderId="13" xfId="269" applyNumberFormat="1" applyFont="1" applyFill="1" applyBorder="1" applyAlignment="1"/>
    <xf numFmtId="37" fontId="14" fillId="0" borderId="0" xfId="221" applyNumberFormat="1" applyFont="1" applyFill="1"/>
    <xf numFmtId="37" fontId="14" fillId="0" borderId="0" xfId="221" applyNumberFormat="1" applyFont="1" applyFill="1" applyBorder="1" applyProtection="1">
      <protection locked="0"/>
    </xf>
    <xf numFmtId="41" fontId="14" fillId="0" borderId="0" xfId="221" applyNumberFormat="1" applyFont="1" applyFill="1" applyBorder="1" applyProtection="1">
      <protection locked="0"/>
    </xf>
    <xf numFmtId="41" fontId="14" fillId="0" borderId="0" xfId="221" applyNumberFormat="1" applyFont="1" applyFill="1"/>
    <xf numFmtId="41" fontId="14" fillId="0" borderId="0" xfId="221" applyNumberFormat="1" applyFont="1" applyFill="1" applyProtection="1">
      <protection locked="0"/>
    </xf>
    <xf numFmtId="41" fontId="9" fillId="0" borderId="0" xfId="221" applyNumberFormat="1" applyFont="1" applyFill="1" applyBorder="1" applyProtection="1">
      <protection locked="0"/>
    </xf>
    <xf numFmtId="42" fontId="10" fillId="0" borderId="19" xfId="269" applyNumberFormat="1" applyFont="1" applyFill="1" applyBorder="1"/>
    <xf numFmtId="42" fontId="9" fillId="0" borderId="15" xfId="0" applyNumberFormat="1" applyFont="1" applyFill="1" applyBorder="1" applyAlignment="1"/>
    <xf numFmtId="3" fontId="9" fillId="0" borderId="0" xfId="221" applyNumberFormat="1" applyFont="1" applyFill="1" applyAlignment="1">
      <alignment horizontal="right"/>
    </xf>
    <xf numFmtId="9" fontId="9" fillId="0" borderId="0" xfId="0" applyNumberFormat="1" applyFont="1" applyFill="1" applyAlignment="1"/>
    <xf numFmtId="42" fontId="22" fillId="0" borderId="19" xfId="221" applyNumberFormat="1" applyFont="1" applyFill="1" applyBorder="1"/>
    <xf numFmtId="42" fontId="9" fillId="0" borderId="0" xfId="221" applyNumberFormat="1" applyFont="1" applyFill="1" applyBorder="1" applyAlignment="1">
      <alignment horizontal="center"/>
    </xf>
    <xf numFmtId="42" fontId="14" fillId="0" borderId="0" xfId="269" applyNumberFormat="1" applyFont="1" applyFill="1" applyBorder="1"/>
    <xf numFmtId="41" fontId="14" fillId="0" borderId="14" xfId="221" applyNumberFormat="1" applyFont="1" applyFill="1" applyBorder="1"/>
    <xf numFmtId="41" fontId="14" fillId="0" borderId="0" xfId="221" applyNumberFormat="1" applyFont="1" applyFill="1" applyBorder="1" applyAlignment="1">
      <alignment horizontal="center"/>
    </xf>
    <xf numFmtId="41" fontId="9" fillId="0" borderId="0" xfId="221" applyNumberFormat="1" applyFont="1" applyFill="1" applyBorder="1" applyAlignment="1">
      <alignment horizontal="center"/>
    </xf>
    <xf numFmtId="41" fontId="14" fillId="0" borderId="0" xfId="221" applyNumberFormat="1" applyFont="1" applyFill="1" applyBorder="1"/>
    <xf numFmtId="41" fontId="14" fillId="0" borderId="14" xfId="0" applyNumberFormat="1" applyFont="1" applyFill="1" applyBorder="1" applyAlignment="1"/>
    <xf numFmtId="41" fontId="14" fillId="0" borderId="0" xfId="0" applyNumberFormat="1" applyFont="1" applyFill="1" applyAlignment="1"/>
    <xf numFmtId="41" fontId="9" fillId="0" borderId="0" xfId="542" applyNumberFormat="1" applyFont="1" applyFill="1" applyBorder="1" applyAlignment="1" applyProtection="1">
      <protection locked="0"/>
    </xf>
    <xf numFmtId="42" fontId="14" fillId="0" borderId="19" xfId="269" applyNumberFormat="1" applyFont="1" applyFill="1" applyBorder="1"/>
    <xf numFmtId="42" fontId="9" fillId="0" borderId="0" xfId="221" applyNumberFormat="1" applyFont="1" applyFill="1"/>
    <xf numFmtId="177" fontId="9" fillId="0" borderId="0" xfId="221" applyNumberFormat="1" applyFont="1" applyFill="1"/>
    <xf numFmtId="177" fontId="9" fillId="0" borderId="15" xfId="221" applyNumberFormat="1" applyFont="1" applyFill="1" applyBorder="1"/>
    <xf numFmtId="42" fontId="9" fillId="0" borderId="0" xfId="0" applyNumberFormat="1" applyFont="1" applyFill="1">
      <alignment horizontal="left" wrapText="1"/>
    </xf>
    <xf numFmtId="37" fontId="9" fillId="0" borderId="0" xfId="269" applyNumberFormat="1" applyFont="1" applyFill="1" applyBorder="1"/>
    <xf numFmtId="9" fontId="9" fillId="0" borderId="0" xfId="221" applyNumberFormat="1" applyFont="1" applyFill="1" applyBorder="1"/>
    <xf numFmtId="37" fontId="9" fillId="0" borderId="0" xfId="0" applyNumberFormat="1" applyFont="1" applyFill="1" applyAlignment="1">
      <alignment horizontal="right" wrapText="1"/>
    </xf>
    <xf numFmtId="42" fontId="10" fillId="0" borderId="13" xfId="0" applyNumberFormat="1" applyFont="1" applyFill="1" applyBorder="1">
      <alignment horizontal="left" wrapText="1"/>
    </xf>
    <xf numFmtId="41" fontId="13" fillId="0" borderId="0" xfId="0" applyNumberFormat="1" applyFont="1" applyFill="1" applyBorder="1" applyAlignment="1">
      <alignment horizontal="center"/>
    </xf>
    <xf numFmtId="3" fontId="13" fillId="0" borderId="0" xfId="221" applyNumberFormat="1" applyFont="1" applyFill="1" applyAlignment="1">
      <alignment horizontal="left" wrapText="1"/>
    </xf>
    <xf numFmtId="3" fontId="9" fillId="0" borderId="0" xfId="221" applyNumberFormat="1" applyFont="1" applyFill="1" applyBorder="1" applyAlignment="1">
      <alignment horizontal="left" wrapText="1"/>
    </xf>
    <xf numFmtId="42" fontId="9" fillId="0" borderId="13" xfId="269" applyNumberFormat="1" applyFont="1" applyFill="1" applyBorder="1" applyAlignment="1"/>
    <xf numFmtId="165" fontId="9" fillId="0" borderId="0" xfId="410" applyNumberFormat="1" applyFont="1" applyFill="1" applyBorder="1" applyAlignment="1">
      <alignment horizontal="right"/>
    </xf>
    <xf numFmtId="165" fontId="10" fillId="0" borderId="0" xfId="410" applyNumberFormat="1" applyFont="1" applyFill="1" applyBorder="1" applyAlignment="1">
      <alignment horizontal="right"/>
    </xf>
    <xf numFmtId="165" fontId="10" fillId="0" borderId="14" xfId="0" applyNumberFormat="1" applyFont="1" applyFill="1" applyBorder="1" applyAlignment="1"/>
    <xf numFmtId="177" fontId="9" fillId="0" borderId="14" xfId="221" applyNumberFormat="1" applyFont="1" applyFill="1" applyBorder="1"/>
    <xf numFmtId="42" fontId="9" fillId="0" borderId="15" xfId="269" applyNumberFormat="1" applyFont="1" applyFill="1" applyBorder="1" applyProtection="1"/>
    <xf numFmtId="42" fontId="9" fillId="0" borderId="13" xfId="269" applyNumberFormat="1" applyFont="1" applyFill="1" applyBorder="1" applyProtection="1"/>
    <xf numFmtId="37" fontId="9" fillId="0" borderId="0" xfId="0" applyNumberFormat="1" applyFont="1" applyFill="1" applyBorder="1" applyAlignment="1">
      <alignment horizontal="right"/>
    </xf>
    <xf numFmtId="177" fontId="9" fillId="0" borderId="15" xfId="0" applyNumberFormat="1" applyFont="1" applyFill="1" applyBorder="1" applyAlignment="1"/>
    <xf numFmtId="4" fontId="9" fillId="0" borderId="0" xfId="221" applyFont="1" applyFill="1" applyBorder="1" applyAlignment="1"/>
    <xf numFmtId="169" fontId="9" fillId="0" borderId="0" xfId="0" applyNumberFormat="1" applyFont="1" applyFill="1">
      <alignment horizontal="left" wrapText="1"/>
    </xf>
    <xf numFmtId="177" fontId="9" fillId="0" borderId="0" xfId="0" applyNumberFormat="1" applyFont="1" applyFill="1" applyAlignment="1"/>
    <xf numFmtId="178" fontId="9" fillId="0" borderId="2" xfId="269" applyNumberFormat="1" applyFont="1" applyFill="1" applyBorder="1" applyAlignment="1"/>
    <xf numFmtId="178" fontId="9" fillId="0" borderId="0" xfId="269" applyNumberFormat="1" applyFont="1" applyFill="1" applyAlignment="1">
      <alignment horizontal="right" wrapText="1"/>
    </xf>
    <xf numFmtId="178" fontId="9" fillId="0" borderId="2" xfId="269" applyNumberFormat="1" applyFont="1" applyFill="1" applyBorder="1" applyAlignment="1">
      <alignment horizontal="right" wrapText="1"/>
    </xf>
    <xf numFmtId="10" fontId="9" fillId="0" borderId="14" xfId="410" applyNumberFormat="1" applyFont="1" applyFill="1" applyBorder="1" applyAlignment="1">
      <alignment horizontal="right"/>
    </xf>
    <xf numFmtId="10" fontId="9" fillId="0" borderId="0" xfId="0" applyNumberFormat="1" applyFont="1" applyFill="1" applyAlignment="1">
      <alignment horizontal="left"/>
    </xf>
    <xf numFmtId="9" fontId="9" fillId="0" borderId="0" xfId="410" applyNumberFormat="1" applyFont="1" applyFill="1"/>
    <xf numFmtId="41" fontId="9" fillId="0" borderId="0" xfId="0" applyNumberFormat="1" applyFont="1" applyFill="1" applyBorder="1" applyAlignment="1">
      <alignment horizontal="right"/>
    </xf>
    <xf numFmtId="170" fontId="9" fillId="0" borderId="15" xfId="0" applyFont="1" applyFill="1" applyBorder="1" applyAlignment="1"/>
    <xf numFmtId="37" fontId="9" fillId="0" borderId="15" xfId="0" applyNumberFormat="1" applyFont="1" applyFill="1" applyBorder="1" applyAlignment="1"/>
    <xf numFmtId="41" fontId="9" fillId="0" borderId="15" xfId="0" applyNumberFormat="1" applyFont="1" applyFill="1" applyBorder="1" applyAlignment="1"/>
    <xf numFmtId="41" fontId="9" fillId="0" borderId="15" xfId="221" applyNumberFormat="1" applyFont="1" applyFill="1" applyBorder="1" applyAlignment="1"/>
    <xf numFmtId="9" fontId="9" fillId="0" borderId="0" xfId="410" applyFont="1" applyFill="1" applyAlignment="1"/>
    <xf numFmtId="42" fontId="9" fillId="0" borderId="13" xfId="0" applyNumberFormat="1" applyFont="1" applyFill="1" applyBorder="1" applyAlignment="1"/>
    <xf numFmtId="170" fontId="9" fillId="0" borderId="0" xfId="0" applyFont="1" applyFill="1" applyBorder="1" applyAlignment="1">
      <alignment horizontal="right"/>
    </xf>
    <xf numFmtId="167" fontId="9" fillId="0" borderId="14" xfId="410" applyNumberFormat="1" applyFont="1" applyFill="1" applyBorder="1" applyAlignment="1"/>
    <xf numFmtId="170" fontId="9" fillId="0" borderId="14" xfId="0" applyFont="1" applyFill="1" applyBorder="1" applyAlignment="1">
      <alignment horizontal="right"/>
    </xf>
    <xf numFmtId="168" fontId="19" fillId="0" borderId="0" xfId="410" applyNumberFormat="1" applyFont="1" applyFill="1" applyBorder="1"/>
    <xf numFmtId="170" fontId="9" fillId="0" borderId="14" xfId="0" applyNumberFormat="1" applyFont="1" applyFill="1" applyBorder="1" applyAlignment="1"/>
    <xf numFmtId="168" fontId="19" fillId="0" borderId="0" xfId="410" applyNumberFormat="1" applyFont="1" applyFill="1"/>
    <xf numFmtId="9" fontId="19" fillId="0" borderId="0" xfId="410" applyNumberFormat="1" applyFont="1" applyFill="1"/>
    <xf numFmtId="43" fontId="9" fillId="0" borderId="0" xfId="0" applyNumberFormat="1" applyFont="1" applyFill="1" applyAlignment="1"/>
    <xf numFmtId="170" fontId="9" fillId="0" borderId="0" xfId="544" applyFont="1" applyFill="1" applyAlignment="1">
      <alignment horizontal="left"/>
    </xf>
    <xf numFmtId="170" fontId="80" fillId="0" borderId="0" xfId="0" applyFont="1" applyFill="1" applyAlignment="1"/>
    <xf numFmtId="170" fontId="9" fillId="0" borderId="0" xfId="544" applyNumberFormat="1" applyFont="1" applyFill="1" applyBorder="1" applyAlignment="1"/>
    <xf numFmtId="170" fontId="9" fillId="0" borderId="0" xfId="544" applyFont="1" applyFill="1" applyBorder="1" applyAlignment="1"/>
    <xf numFmtId="172" fontId="9" fillId="0" borderId="0" xfId="544" applyNumberFormat="1" applyFont="1" applyFill="1" applyBorder="1" applyAlignment="1" applyProtection="1">
      <protection locked="0"/>
    </xf>
    <xf numFmtId="170" fontId="11" fillId="0" borderId="0" xfId="544" applyFont="1" applyBorder="1" applyAlignment="1">
      <alignment horizontal="left"/>
    </xf>
    <xf numFmtId="170" fontId="9" fillId="0" borderId="0" xfId="544" quotePrefix="1" applyFont="1" applyFill="1" applyAlignment="1">
      <alignment horizontal="left"/>
    </xf>
    <xf numFmtId="170" fontId="9" fillId="0" borderId="14" xfId="544" quotePrefix="1" applyFont="1" applyFill="1" applyBorder="1" applyAlignment="1">
      <alignment horizontal="left"/>
    </xf>
    <xf numFmtId="170" fontId="9" fillId="0" borderId="0" xfId="544" quotePrefix="1" applyFont="1" applyFill="1" applyBorder="1" applyAlignment="1">
      <alignment horizontal="left"/>
    </xf>
    <xf numFmtId="170" fontId="0" fillId="0" borderId="0" xfId="0" applyFill="1" applyAlignment="1"/>
    <xf numFmtId="172" fontId="11" fillId="0" borderId="0" xfId="544" applyNumberFormat="1" applyFont="1" applyFill="1" applyBorder="1" applyAlignment="1" applyProtection="1">
      <protection locked="0"/>
    </xf>
    <xf numFmtId="170" fontId="9" fillId="0" borderId="0" xfId="544" applyNumberFormat="1" applyFont="1" applyFill="1" applyAlignment="1">
      <alignment horizontal="left"/>
    </xf>
    <xf numFmtId="170" fontId="0" fillId="0" borderId="0" xfId="0" applyAlignment="1"/>
    <xf numFmtId="170" fontId="9" fillId="0" borderId="14" xfId="544" applyNumberFormat="1" applyFont="1" applyFill="1" applyBorder="1">
      <alignment horizontal="left" wrapText="1"/>
    </xf>
    <xf numFmtId="41" fontId="9" fillId="0" borderId="0" xfId="544" applyNumberFormat="1" applyFont="1" applyFill="1" applyBorder="1" applyAlignment="1"/>
    <xf numFmtId="170" fontId="9" fillId="0" borderId="0" xfId="544" applyFont="1" applyFill="1" applyBorder="1">
      <alignment horizontal="left" wrapText="1"/>
    </xf>
    <xf numFmtId="37" fontId="9" fillId="0" borderId="0" xfId="544" applyNumberFormat="1" applyFont="1" applyFill="1" applyAlignment="1">
      <alignment horizontal="right" wrapText="1"/>
    </xf>
    <xf numFmtId="178" fontId="9" fillId="0" borderId="15" xfId="269" applyNumberFormat="1" applyFont="1" applyFill="1" applyBorder="1" applyAlignment="1">
      <alignment horizontal="right" wrapText="1"/>
    </xf>
    <xf numFmtId="170" fontId="0" fillId="0" borderId="0" xfId="0" applyBorder="1" applyAlignment="1"/>
    <xf numFmtId="4" fontId="0" fillId="0" borderId="0" xfId="0" applyNumberFormat="1" applyAlignment="1"/>
    <xf numFmtId="41" fontId="9" fillId="0" borderId="0" xfId="238" applyNumberFormat="1" applyFont="1"/>
    <xf numFmtId="178" fontId="9" fillId="0" borderId="13" xfId="269" applyNumberFormat="1" applyFont="1" applyBorder="1"/>
    <xf numFmtId="42" fontId="9" fillId="0" borderId="0" xfId="270" applyNumberFormat="1" applyFont="1" applyFill="1" applyAlignment="1">
      <alignment horizontal="right"/>
    </xf>
    <xf numFmtId="41" fontId="9" fillId="0" borderId="0" xfId="221" applyNumberFormat="1" applyFont="1" applyFill="1" applyAlignment="1">
      <alignment horizontal="center"/>
    </xf>
    <xf numFmtId="41" fontId="9" fillId="0" borderId="0" xfId="0" applyNumberFormat="1" applyFont="1" applyFill="1" applyAlignment="1">
      <alignment horizontal="center"/>
    </xf>
    <xf numFmtId="41" fontId="9" fillId="0" borderId="0" xfId="0" quotePrefix="1" applyNumberFormat="1" applyFont="1" applyFill="1" applyAlignment="1">
      <alignment horizontal="center"/>
    </xf>
    <xf numFmtId="0" fontId="24" fillId="0" borderId="0" xfId="390" applyFont="1" applyFill="1" applyAlignment="1">
      <alignment horizontal="centerContinuous"/>
    </xf>
    <xf numFmtId="0" fontId="28" fillId="0" borderId="0" xfId="390" applyFill="1" applyAlignment="1">
      <alignment horizontal="centerContinuous"/>
    </xf>
    <xf numFmtId="0" fontId="28" fillId="0" borderId="0" xfId="390" applyFill="1" applyAlignment="1"/>
    <xf numFmtId="188" fontId="10" fillId="0" borderId="23" xfId="0" applyNumberFormat="1" applyFont="1" applyFill="1" applyBorder="1" applyAlignment="1">
      <alignment horizontal="right"/>
    </xf>
    <xf numFmtId="0" fontId="10" fillId="0" borderId="14" xfId="0" applyNumberFormat="1" applyFont="1" applyFill="1" applyBorder="1" applyAlignment="1" applyProtection="1">
      <alignment horizontal="centerContinuous"/>
      <protection locked="0"/>
    </xf>
    <xf numFmtId="170" fontId="9" fillId="0" borderId="0" xfId="0" applyFont="1" applyFill="1" applyAlignment="1">
      <alignment horizontal="right" wrapText="1"/>
    </xf>
    <xf numFmtId="170" fontId="13" fillId="0" borderId="0" xfId="0" applyFont="1" applyFill="1" applyAlignment="1">
      <alignment horizontal="right" wrapText="1"/>
    </xf>
    <xf numFmtId="22" fontId="9" fillId="0" borderId="0" xfId="0" applyNumberFormat="1" applyFont="1" applyFill="1" applyAlignment="1">
      <alignment horizontal="right"/>
    </xf>
    <xf numFmtId="15" fontId="9" fillId="0" borderId="0" xfId="0" applyNumberFormat="1" applyFont="1" applyFill="1" applyAlignment="1">
      <alignment horizontal="right"/>
    </xf>
    <xf numFmtId="170" fontId="9" fillId="0" borderId="0" xfId="0" applyFont="1" applyFill="1" applyAlignment="1">
      <alignment horizontal="right"/>
    </xf>
    <xf numFmtId="172" fontId="9" fillId="0" borderId="0" xfId="0" applyNumberFormat="1" applyFont="1" applyFill="1" applyBorder="1" applyAlignment="1">
      <alignment horizontal="right"/>
    </xf>
    <xf numFmtId="0" fontId="10" fillId="0" borderId="23" xfId="0" quotePrefix="1" applyNumberFormat="1" applyFont="1" applyFill="1" applyBorder="1" applyAlignment="1">
      <alignment horizontal="right"/>
    </xf>
    <xf numFmtId="0" fontId="10" fillId="0" borderId="20" xfId="0" applyNumberFormat="1" applyFont="1" applyFill="1" applyBorder="1" applyAlignment="1">
      <alignment horizontal="right"/>
    </xf>
    <xf numFmtId="10" fontId="76" fillId="0" borderId="0" xfId="410" applyNumberFormat="1" applyFont="1" applyFill="1" applyAlignment="1"/>
    <xf numFmtId="170" fontId="9" fillId="0" borderId="0" xfId="0" applyNumberFormat="1" applyFont="1" applyFill="1" applyBorder="1" applyAlignment="1"/>
    <xf numFmtId="170" fontId="77" fillId="0" borderId="0" xfId="0" applyFont="1" applyAlignment="1"/>
    <xf numFmtId="170" fontId="13" fillId="0" borderId="0" xfId="0" applyFont="1" applyAlignment="1"/>
    <xf numFmtId="170" fontId="13" fillId="0" borderId="0" xfId="0" applyFont="1" applyBorder="1" applyAlignment="1"/>
    <xf numFmtId="170" fontId="13" fillId="0" borderId="0" xfId="0" applyFont="1" applyFill="1" applyAlignment="1"/>
    <xf numFmtId="37" fontId="24" fillId="0" borderId="0" xfId="0" applyNumberFormat="1" applyFont="1" applyBorder="1" applyAlignment="1" applyProtection="1">
      <alignment horizontal="centerContinuous"/>
    </xf>
    <xf numFmtId="37" fontId="13" fillId="0" borderId="0" xfId="0" applyNumberFormat="1" applyFont="1" applyAlignment="1" applyProtection="1">
      <alignment horizontal="centerContinuous"/>
    </xf>
    <xf numFmtId="37" fontId="13" fillId="0" borderId="0" xfId="0" applyNumberFormat="1" applyFont="1" applyBorder="1" applyAlignment="1" applyProtection="1">
      <alignment horizontal="centerContinuous"/>
    </xf>
    <xf numFmtId="37" fontId="24" fillId="0" borderId="0" xfId="0" applyNumberFormat="1" applyFont="1" applyAlignment="1" applyProtection="1">
      <alignment horizontal="centerContinuous"/>
    </xf>
    <xf numFmtId="0" fontId="24" fillId="0" borderId="0" xfId="0" applyNumberFormat="1" applyFont="1" applyBorder="1" applyAlignment="1" applyProtection="1">
      <alignment horizontal="centerContinuous"/>
    </xf>
    <xf numFmtId="37" fontId="13" fillId="0" borderId="0" xfId="0" applyNumberFormat="1" applyFont="1" applyAlignment="1" applyProtection="1">
      <alignment horizontal="centerContinuous"/>
      <protection locked="0"/>
    </xf>
    <xf numFmtId="170" fontId="15" fillId="0" borderId="0" xfId="0" applyFont="1" applyAlignment="1">
      <alignment horizontal="centerContinuous"/>
    </xf>
    <xf numFmtId="37" fontId="81" fillId="0" borderId="0" xfId="0" applyNumberFormat="1" applyFont="1" applyBorder="1" applyAlignment="1" applyProtection="1">
      <alignment horizontal="centerContinuous"/>
    </xf>
    <xf numFmtId="49" fontId="24" fillId="0" borderId="0" xfId="0" applyNumberFormat="1" applyFont="1" applyBorder="1" applyAlignment="1" applyProtection="1">
      <alignment horizontal="centerContinuous"/>
    </xf>
    <xf numFmtId="170" fontId="24" fillId="0" borderId="0" xfId="0" applyFont="1" applyFill="1" applyAlignment="1">
      <alignment horizontal="center"/>
    </xf>
    <xf numFmtId="170" fontId="13" fillId="0" borderId="0" xfId="0" applyFont="1" applyAlignment="1">
      <alignment horizontal="right"/>
    </xf>
    <xf numFmtId="37" fontId="13" fillId="0" borderId="0" xfId="0" applyNumberFormat="1" applyFont="1" applyBorder="1" applyAlignment="1" applyProtection="1">
      <alignment horizontal="right"/>
    </xf>
    <xf numFmtId="37" fontId="13" fillId="0" borderId="0" xfId="0" applyNumberFormat="1" applyFont="1" applyBorder="1" applyAlignment="1" applyProtection="1"/>
    <xf numFmtId="170" fontId="84" fillId="0" borderId="0" xfId="0" applyFont="1" applyFill="1" applyBorder="1" applyAlignment="1"/>
    <xf numFmtId="37" fontId="13" fillId="0" borderId="15" xfId="0" applyNumberFormat="1" applyFont="1" applyBorder="1" applyAlignment="1" applyProtection="1"/>
    <xf numFmtId="41" fontId="13" fillId="0" borderId="15" xfId="0" applyNumberFormat="1" applyFont="1" applyFill="1" applyBorder="1" applyAlignment="1">
      <alignment horizontal="center"/>
    </xf>
    <xf numFmtId="37" fontId="13" fillId="0" borderId="0" xfId="0" applyNumberFormat="1" applyFont="1" applyBorder="1" applyAlignment="1" applyProtection="1">
      <alignment horizontal="left"/>
    </xf>
    <xf numFmtId="37" fontId="13" fillId="0" borderId="0" xfId="0" applyNumberFormat="1" applyFont="1" applyBorder="1" applyAlignment="1" applyProtection="1">
      <alignment horizontal="center"/>
    </xf>
    <xf numFmtId="37" fontId="13" fillId="0" borderId="14" xfId="0" applyNumberFormat="1" applyFont="1" applyBorder="1" applyAlignment="1" applyProtection="1">
      <alignment horizontal="left"/>
    </xf>
    <xf numFmtId="170" fontId="13" fillId="0" borderId="14" xfId="0" applyFont="1" applyBorder="1" applyAlignment="1"/>
    <xf numFmtId="203" fontId="13" fillId="0" borderId="14" xfId="0" applyNumberFormat="1" applyFont="1" applyFill="1" applyBorder="1" applyAlignment="1">
      <alignment horizontal="center"/>
    </xf>
    <xf numFmtId="37" fontId="13" fillId="0" borderId="0" xfId="0" applyNumberFormat="1" applyFont="1" applyAlignment="1" applyProtection="1">
      <alignment horizontal="left"/>
    </xf>
    <xf numFmtId="37" fontId="24" fillId="0" borderId="0" xfId="0" applyNumberFormat="1" applyFont="1" applyBorder="1" applyAlignment="1" applyProtection="1">
      <alignment horizontal="left"/>
    </xf>
    <xf numFmtId="41" fontId="13" fillId="0" borderId="0" xfId="0" applyNumberFormat="1" applyFont="1" applyFill="1" applyAlignment="1" applyProtection="1">
      <alignment horizontal="center"/>
    </xf>
    <xf numFmtId="41" fontId="13" fillId="0" borderId="0" xfId="0" applyNumberFormat="1" applyFont="1" applyFill="1" applyAlignment="1" applyProtection="1">
      <alignment horizontal="centerContinuous"/>
    </xf>
    <xf numFmtId="204" fontId="13" fillId="0" borderId="0" xfId="0" applyNumberFormat="1" applyFont="1" applyAlignment="1" applyProtection="1">
      <alignment horizontal="center"/>
    </xf>
    <xf numFmtId="41" fontId="13" fillId="0" borderId="0" xfId="223" applyNumberFormat="1" applyFont="1" applyFill="1" applyProtection="1">
      <protection locked="0"/>
    </xf>
    <xf numFmtId="0" fontId="13" fillId="0" borderId="0" xfId="0" applyNumberFormat="1" applyFont="1" applyAlignment="1" applyProtection="1"/>
    <xf numFmtId="41" fontId="13" fillId="0" borderId="15" xfId="0" applyNumberFormat="1" applyFont="1" applyFill="1" applyBorder="1" applyAlignment="1"/>
    <xf numFmtId="41" fontId="13" fillId="0" borderId="0" xfId="0" applyNumberFormat="1" applyFont="1" applyFill="1" applyAlignment="1"/>
    <xf numFmtId="37" fontId="13" fillId="0" borderId="0" xfId="0" quotePrefix="1" applyNumberFormat="1" applyFont="1" applyAlignment="1" applyProtection="1">
      <alignment horizontal="left"/>
    </xf>
    <xf numFmtId="204" fontId="13" fillId="0" borderId="0" xfId="0" applyNumberFormat="1" applyFont="1" applyFill="1" applyAlignment="1" applyProtection="1">
      <alignment horizontal="center"/>
    </xf>
    <xf numFmtId="37" fontId="13" fillId="0" borderId="0" xfId="0" applyNumberFormat="1" applyFont="1" applyFill="1" applyAlignment="1" applyProtection="1">
      <alignment horizontal="left"/>
    </xf>
    <xf numFmtId="37" fontId="13" fillId="0" borderId="0" xfId="0" applyNumberFormat="1" applyFont="1" applyFill="1" applyBorder="1" applyAlignment="1" applyProtection="1">
      <alignment horizontal="left"/>
    </xf>
    <xf numFmtId="37" fontId="24" fillId="0" borderId="0" xfId="0" applyNumberFormat="1" applyFont="1" applyFill="1" applyBorder="1" applyAlignment="1" applyProtection="1">
      <alignment horizontal="left"/>
    </xf>
    <xf numFmtId="41" fontId="13" fillId="0" borderId="15" xfId="0" applyNumberFormat="1" applyFont="1" applyFill="1" applyBorder="1" applyAlignment="1" applyProtection="1"/>
    <xf numFmtId="41" fontId="13" fillId="0" borderId="0" xfId="0" applyNumberFormat="1" applyFont="1" applyFill="1" applyBorder="1" applyAlignment="1" applyProtection="1"/>
    <xf numFmtId="41" fontId="13" fillId="0" borderId="14" xfId="0" applyNumberFormat="1" applyFont="1" applyFill="1" applyBorder="1" applyAlignment="1" applyProtection="1"/>
    <xf numFmtId="204" fontId="24" fillId="0" borderId="0" xfId="0" applyNumberFormat="1" applyFont="1" applyAlignment="1" applyProtection="1">
      <alignment horizontal="center"/>
    </xf>
    <xf numFmtId="204" fontId="24" fillId="0" borderId="0" xfId="0" applyNumberFormat="1" applyFont="1" applyAlignment="1" applyProtection="1">
      <alignment horizontal="left"/>
    </xf>
    <xf numFmtId="41" fontId="13" fillId="0" borderId="13" xfId="0" applyNumberFormat="1" applyFont="1" applyFill="1" applyBorder="1" applyAlignment="1"/>
    <xf numFmtId="17" fontId="10" fillId="0" borderId="0" xfId="0" applyNumberFormat="1" applyFont="1" applyFill="1" applyBorder="1" applyAlignment="1">
      <alignment horizontal="center"/>
    </xf>
    <xf numFmtId="10" fontId="13" fillId="0" borderId="0" xfId="393" applyNumberFormat="1"/>
    <xf numFmtId="205" fontId="24" fillId="0" borderId="0" xfId="393" applyNumberFormat="1" applyFont="1" applyAlignment="1">
      <alignment horizontal="center"/>
    </xf>
    <xf numFmtId="168" fontId="81" fillId="0" borderId="0" xfId="410" applyNumberFormat="1" applyFont="1" applyFill="1"/>
    <xf numFmtId="0" fontId="24" fillId="0" borderId="0" xfId="393" quotePrefix="1" applyFont="1"/>
    <xf numFmtId="17" fontId="70" fillId="0" borderId="0" xfId="370" applyNumberFormat="1" applyFont="1" applyFill="1" applyBorder="1" applyAlignment="1">
      <alignment horizontal="center"/>
    </xf>
    <xf numFmtId="10" fontId="13" fillId="0" borderId="0" xfId="0" applyNumberFormat="1" applyFont="1" applyFill="1" applyAlignment="1">
      <alignment horizontal="center"/>
    </xf>
    <xf numFmtId="10" fontId="24" fillId="0" borderId="0" xfId="0" applyNumberFormat="1" applyFont="1" applyFill="1" applyAlignment="1">
      <alignment horizontal="center"/>
    </xf>
    <xf numFmtId="41" fontId="9" fillId="0" borderId="0" xfId="222" applyFont="1" applyFill="1" applyBorder="1" applyAlignment="1" applyProtection="1">
      <alignment vertical="top"/>
      <protection locked="0"/>
    </xf>
    <xf numFmtId="170" fontId="9" fillId="0" borderId="0" xfId="544" applyNumberFormat="1" applyFont="1" applyFill="1" applyBorder="1">
      <alignment horizontal="left" wrapText="1"/>
    </xf>
    <xf numFmtId="41" fontId="9" fillId="0" borderId="14" xfId="222" applyFont="1" applyFill="1" applyBorder="1" applyProtection="1">
      <protection locked="0"/>
    </xf>
    <xf numFmtId="0" fontId="9" fillId="59" borderId="26" xfId="0" applyNumberFormat="1" applyFont="1" applyFill="1" applyBorder="1" applyAlignment="1"/>
    <xf numFmtId="0" fontId="9" fillId="0" borderId="24" xfId="0" applyNumberFormat="1" applyFont="1" applyFill="1" applyBorder="1" applyAlignment="1"/>
    <xf numFmtId="0" fontId="9" fillId="59" borderId="26" xfId="0" applyNumberFormat="1" applyFont="1" applyFill="1" applyBorder="1" applyAlignment="1">
      <alignment horizontal="left"/>
    </xf>
    <xf numFmtId="170" fontId="9" fillId="1" borderId="27" xfId="0" applyFont="1" applyFill="1" applyBorder="1" applyAlignment="1">
      <alignment horizontal="left"/>
    </xf>
    <xf numFmtId="41" fontId="9" fillId="1" borderId="28" xfId="0" applyNumberFormat="1" applyFont="1" applyFill="1" applyBorder="1" applyAlignment="1" applyProtection="1">
      <protection locked="0"/>
    </xf>
    <xf numFmtId="0" fontId="9" fillId="1" borderId="24" xfId="0" applyNumberFormat="1" applyFont="1" applyFill="1" applyBorder="1" applyAlignment="1"/>
    <xf numFmtId="41" fontId="9" fillId="1" borderId="0" xfId="0" applyNumberFormat="1" applyFont="1" applyFill="1" applyBorder="1" applyAlignment="1"/>
    <xf numFmtId="0" fontId="9" fillId="58" borderId="27" xfId="0" applyNumberFormat="1" applyFont="1" applyFill="1" applyBorder="1" applyAlignment="1">
      <alignment horizontal="left"/>
    </xf>
    <xf numFmtId="41" fontId="9" fillId="58" borderId="28" xfId="0" applyNumberFormat="1" applyFont="1" applyFill="1" applyBorder="1" applyAlignment="1"/>
    <xf numFmtId="0" fontId="9" fillId="58" borderId="24" xfId="0" applyNumberFormat="1" applyFont="1" applyFill="1" applyBorder="1" applyAlignment="1"/>
    <xf numFmtId="41" fontId="9" fillId="58" borderId="0" xfId="0" applyNumberFormat="1" applyFont="1" applyFill="1" applyBorder="1" applyAlignment="1"/>
    <xf numFmtId="41" fontId="9" fillId="0" borderId="14" xfId="221" applyNumberFormat="1" applyFont="1" applyBorder="1"/>
    <xf numFmtId="41" fontId="9" fillId="0" borderId="14" xfId="269" applyNumberFormat="1" applyFont="1" applyFill="1" applyBorder="1" applyAlignment="1" applyProtection="1">
      <alignment vertical="top"/>
      <protection locked="0"/>
    </xf>
    <xf numFmtId="0" fontId="9" fillId="0" borderId="0" xfId="0" applyNumberFormat="1" applyFont="1" applyFill="1" applyAlignment="1">
      <alignment horizontal="left" indent="1"/>
    </xf>
    <xf numFmtId="179" fontId="9" fillId="0" borderId="24" xfId="0" applyNumberFormat="1" applyFont="1" applyFill="1" applyBorder="1" applyAlignment="1"/>
    <xf numFmtId="170" fontId="10" fillId="0" borderId="19" xfId="0" applyNumberFormat="1" applyFont="1" applyFill="1" applyBorder="1" applyAlignment="1" applyProtection="1">
      <protection locked="0"/>
    </xf>
    <xf numFmtId="0" fontId="96" fillId="0" borderId="0" xfId="390" applyFont="1" applyFill="1" applyAlignment="1"/>
    <xf numFmtId="17" fontId="13" fillId="0" borderId="0" xfId="598" applyNumberFormat="1" applyFont="1"/>
    <xf numFmtId="0" fontId="97" fillId="0" borderId="0" xfId="0" applyNumberFormat="1" applyFont="1" applyFill="1" applyAlignment="1">
      <alignment horizontal="left" vertical="top"/>
    </xf>
    <xf numFmtId="172" fontId="97" fillId="0" borderId="0" xfId="0" applyNumberFormat="1" applyFont="1" applyFill="1" applyAlignment="1">
      <alignment vertical="top"/>
    </xf>
    <xf numFmtId="42" fontId="9" fillId="0" borderId="35" xfId="0" applyNumberFormat="1" applyFont="1" applyFill="1" applyBorder="1" applyAlignment="1"/>
    <xf numFmtId="42" fontId="9" fillId="0" borderId="35" xfId="221" applyNumberFormat="1" applyFont="1" applyFill="1" applyBorder="1"/>
    <xf numFmtId="170" fontId="13" fillId="0" borderId="0" xfId="0" applyFont="1" applyFill="1" applyAlignment="1">
      <alignment horizontal="center" wrapText="1"/>
    </xf>
    <xf numFmtId="205" fontId="24" fillId="0" borderId="0" xfId="393" applyNumberFormat="1" applyFont="1" applyBorder="1" applyAlignment="1">
      <alignment horizontal="center"/>
    </xf>
    <xf numFmtId="0" fontId="24" fillId="0" borderId="0" xfId="393" applyFont="1" applyBorder="1" applyAlignment="1">
      <alignment horizontal="center"/>
    </xf>
  </cellXfs>
  <cellStyles count="600">
    <cellStyle name="_x0013_" xfId="1"/>
    <cellStyle name="_09GRC Gas Transport For Review" xfId="2"/>
    <cellStyle name="_4.06E Pass Throughs" xfId="3"/>
    <cellStyle name="_4.06E Pass Throughs 2" xfId="4"/>
    <cellStyle name="_4.06E Pass Throughs 3" xfId="5"/>
    <cellStyle name="_4.06E Pass Throughs_04 07E Wild Horse Wind Expansion (C) (2)" xfId="6"/>
    <cellStyle name="_4.06E Pass Throughs_3.01 Income Statement" xfId="7"/>
    <cellStyle name="_4.06E Pass Throughs_Book9" xfId="8"/>
    <cellStyle name="_4.13E Montana Energy Tax" xfId="9"/>
    <cellStyle name="_4.13E Montana Energy Tax 2" xfId="10"/>
    <cellStyle name="_4.13E Montana Energy Tax 3" xfId="11"/>
    <cellStyle name="_4.13E Montana Energy Tax_04 07E Wild Horse Wind Expansion (C) (2)" xfId="12"/>
    <cellStyle name="_4.13E Montana Energy Tax_3.01 Income Statement" xfId="13"/>
    <cellStyle name="_4.13E Montana Energy Tax_Book9" xfId="14"/>
    <cellStyle name="_AURORA WIP" xfId="15"/>
    <cellStyle name="_Book1" xfId="16"/>
    <cellStyle name="_Book1 (2)" xfId="17"/>
    <cellStyle name="_Book1 (2) 2" xfId="18"/>
    <cellStyle name="_Book1 (2) 3" xfId="19"/>
    <cellStyle name="_Book1 (2)_04 07E Wild Horse Wind Expansion (C) (2)" xfId="20"/>
    <cellStyle name="_Book1 (2)_3.01 Income Statement" xfId="21"/>
    <cellStyle name="_Book1 (2)_Book9" xfId="22"/>
    <cellStyle name="_Book1 2" xfId="23"/>
    <cellStyle name="_Book1 3" xfId="24"/>
    <cellStyle name="_Book1_3.01 Income Statement" xfId="25"/>
    <cellStyle name="_Book1_Book9" xfId="26"/>
    <cellStyle name="_Book2" xfId="27"/>
    <cellStyle name="_Book2 2" xfId="28"/>
    <cellStyle name="_Book2 3" xfId="29"/>
    <cellStyle name="_Book2_04 07E Wild Horse Wind Expansion (C) (2)" xfId="30"/>
    <cellStyle name="_Book2_3.01 Income Statement" xfId="31"/>
    <cellStyle name="_Book2_Book9" xfId="32"/>
    <cellStyle name="_Book3" xfId="33"/>
    <cellStyle name="_Book5" xfId="34"/>
    <cellStyle name="_Chelan Debt Forecast 12.19.05" xfId="35"/>
    <cellStyle name="_Chelan Debt Forecast 12.19.05 2" xfId="36"/>
    <cellStyle name="_Chelan Debt Forecast 12.19.05 3" xfId="37"/>
    <cellStyle name="_Chelan Debt Forecast 12.19.05_3.01 Income Statement" xfId="38"/>
    <cellStyle name="_Chelan Debt Forecast 12.19.05_Book9" xfId="39"/>
    <cellStyle name="_Costs not in AURORA 06GRC" xfId="40"/>
    <cellStyle name="_Costs not in AURORA 06GRC 2" xfId="41"/>
    <cellStyle name="_Costs not in AURORA 06GRC 3" xfId="42"/>
    <cellStyle name="_Costs not in AURORA 06GRC_04 07E Wild Horse Wind Expansion (C) (2)" xfId="43"/>
    <cellStyle name="_Costs not in AURORA 06GRC_3.01 Income Statement" xfId="44"/>
    <cellStyle name="_Costs not in AURORA 06GRC_Book9" xfId="45"/>
    <cellStyle name="_Costs not in AURORA 2006GRC 6.15.06" xfId="46"/>
    <cellStyle name="_Costs not in AURORA 2006GRC 6.15.06 2" xfId="47"/>
    <cellStyle name="_Costs not in AURORA 2006GRC 6.15.06 3" xfId="48"/>
    <cellStyle name="_Costs not in AURORA 2006GRC 6.15.06_04 07E Wild Horse Wind Expansion (C) (2)" xfId="49"/>
    <cellStyle name="_Costs not in AURORA 2006GRC 6.15.06_3.01 Income Statement" xfId="50"/>
    <cellStyle name="_Costs not in AURORA 2006GRC 6.15.06_Book9" xfId="51"/>
    <cellStyle name="_Costs not in AURORA 2006GRC w gas price updated" xfId="52"/>
    <cellStyle name="_Costs not in AURORA 2007 Rate Case" xfId="53"/>
    <cellStyle name="_Costs not in AURORA 2007 Rate Case 2" xfId="54"/>
    <cellStyle name="_Costs not in AURORA 2007 Rate Case 3" xfId="55"/>
    <cellStyle name="_Costs not in AURORA 2007 Rate Case_3.01 Income Statement" xfId="56"/>
    <cellStyle name="_Costs not in AURORA 2007 Rate Case_Book9" xfId="57"/>
    <cellStyle name="_Costs not in KWI3000 '06Budget" xfId="58"/>
    <cellStyle name="_Costs not in KWI3000 '06Budget 2" xfId="59"/>
    <cellStyle name="_Costs not in KWI3000 '06Budget 3" xfId="60"/>
    <cellStyle name="_Costs not in KWI3000 '06Budget_3.01 Income Statement" xfId="61"/>
    <cellStyle name="_Costs not in KWI3000 '06Budget_Book9" xfId="62"/>
    <cellStyle name="_DEM-WP (C) Power Cost 2006GRC Order" xfId="63"/>
    <cellStyle name="_DEM-WP (C) Power Cost 2006GRC Order 2" xfId="64"/>
    <cellStyle name="_DEM-WP (C) Power Cost 2006GRC Order 3" xfId="65"/>
    <cellStyle name="_DEM-WP (C) Power Cost 2006GRC Order_04 07E Wild Horse Wind Expansion (C) (2)" xfId="66"/>
    <cellStyle name="_DEM-WP (C) Power Cost 2006GRC Order_3.01 Income Statement" xfId="67"/>
    <cellStyle name="_DEM-WP (C) Power Cost 2006GRC Order_Book9" xfId="68"/>
    <cellStyle name="_DEM-WP Revised (HC) Wild Horse 2006GRC" xfId="69"/>
    <cellStyle name="_DEM-WP Revised (HC) Wild Horse 2006GRC_Electric Rev Req Model (2009 GRC) Rebuttal" xfId="70"/>
    <cellStyle name="_DEM-WP(C) Costs not in AURORA 2006GRC" xfId="71"/>
    <cellStyle name="_DEM-WP(C) Costs not in AURORA 2006GRC 2" xfId="72"/>
    <cellStyle name="_DEM-WP(C) Costs not in AURORA 2006GRC 3" xfId="73"/>
    <cellStyle name="_DEM-WP(C) Costs not in AURORA 2006GRC_3.01 Income Statement" xfId="74"/>
    <cellStyle name="_DEM-WP(C) Costs not in AURORA 2006GRC_Book9" xfId="75"/>
    <cellStyle name="_DEM-WP(C) Costs not in AURORA 2007GRC" xfId="76"/>
    <cellStyle name="_DEM-WP(C) Costs not in AURORA 2007GRC_Electric Rev Req Model (2009 GRC) Rebuttal" xfId="77"/>
    <cellStyle name="_DEM-WP(C) Costs not in AURORA 2007PCORC-5.07Update" xfId="78"/>
    <cellStyle name="_DEM-WP(C) Costs not in AURORA 2007PCORC-5.07Update_Electric Rev Req Model (2009 GRC) Rebuttal" xfId="79"/>
    <cellStyle name="_DEM-WP(C) Sumas Proforma 11.5.07" xfId="80"/>
    <cellStyle name="_DEM-WP(C) Westside Hydro Data_051007" xfId="81"/>
    <cellStyle name="_DEM-WP(C) Westside Hydro Data_051007_Electric Rev Req Model (2009 GRC) Rebuttal" xfId="82"/>
    <cellStyle name="_Fixed Gas Transport 1 19 09" xfId="83"/>
    <cellStyle name="_Fuel Prices 4-14" xfId="84"/>
    <cellStyle name="_Fuel Prices 4-14 2" xfId="85"/>
    <cellStyle name="_Fuel Prices 4-14 3" xfId="86"/>
    <cellStyle name="_Fuel Prices 4-14_04 07E Wild Horse Wind Expansion (C) (2)" xfId="87"/>
    <cellStyle name="_Fuel Prices 4-14_3.01 Income Statement" xfId="88"/>
    <cellStyle name="_Fuel Prices 4-14_Book9" xfId="89"/>
    <cellStyle name="_Gas Transportation Charges_2009GRC_120308" xfId="90"/>
    <cellStyle name="_NIM 06 Base Case Current Trends" xfId="91"/>
    <cellStyle name="_Portfolio SPlan Base Case.xls Chart 1" xfId="92"/>
    <cellStyle name="_Portfolio SPlan Base Case.xls Chart 2" xfId="93"/>
    <cellStyle name="_Portfolio SPlan Base Case.xls Chart 3" xfId="94"/>
    <cellStyle name="_Power Cost Value Copy 11.30.05 gas 1.09.06 AURORA at 1.10.06" xfId="95"/>
    <cellStyle name="_Power Cost Value Copy 11.30.05 gas 1.09.06 AURORA at 1.10.06 2" xfId="96"/>
    <cellStyle name="_Power Cost Value Copy 11.30.05 gas 1.09.06 AURORA at 1.10.06 3" xfId="97"/>
    <cellStyle name="_Power Cost Value Copy 11.30.05 gas 1.09.06 AURORA at 1.10.06_04 07E Wild Horse Wind Expansion (C) (2)" xfId="98"/>
    <cellStyle name="_Power Cost Value Copy 11.30.05 gas 1.09.06 AURORA at 1.10.06_3.01 Income Statement" xfId="99"/>
    <cellStyle name="_Power Cost Value Copy 11.30.05 gas 1.09.06 AURORA at 1.10.06_Book9" xfId="100"/>
    <cellStyle name="_Pro Forma Rev 07 GRC" xfId="101"/>
    <cellStyle name="_Recon to Darrin's 5.11.05 proforma" xfId="102"/>
    <cellStyle name="_Recon to Darrin's 5.11.05 proforma 2" xfId="103"/>
    <cellStyle name="_Recon to Darrin's 5.11.05 proforma 3" xfId="104"/>
    <cellStyle name="_Recon to Darrin's 5.11.05 proforma_3.01 Income Statement" xfId="105"/>
    <cellStyle name="_Recon to Darrin's 5.11.05 proforma_Book9" xfId="106"/>
    <cellStyle name="_Revenue" xfId="107"/>
    <cellStyle name="_Revenue_Data" xfId="108"/>
    <cellStyle name="_Revenue_Data_1" xfId="109"/>
    <cellStyle name="_Revenue_Data_Pro Forma Rev 09 GRC" xfId="110"/>
    <cellStyle name="_Revenue_Data_Pro Forma Rev 2010 GRC" xfId="111"/>
    <cellStyle name="_Revenue_Data_Pro Forma Rev 2010 GRC_Preliminary" xfId="112"/>
    <cellStyle name="_Revenue_Data_Revenue (Feb 09 - Jan 10)" xfId="113"/>
    <cellStyle name="_Revenue_Data_Revenue (Jan 09 - Dec 09)" xfId="114"/>
    <cellStyle name="_Revenue_Data_Revenue (Mar 09 - Feb 10)" xfId="115"/>
    <cellStyle name="_Revenue_Data_Volume Exhibit (Jan09 - Dec09)" xfId="116"/>
    <cellStyle name="_Revenue_Mins" xfId="117"/>
    <cellStyle name="_Revenue_Pro Forma Rev 07 GRC" xfId="118"/>
    <cellStyle name="_Revenue_Pro Forma Rev 08 GRC" xfId="119"/>
    <cellStyle name="_Revenue_Pro Forma Rev 09 GRC" xfId="120"/>
    <cellStyle name="_Revenue_Pro Forma Rev 2010 GRC" xfId="121"/>
    <cellStyle name="_Revenue_Pro Forma Rev 2010 GRC_Preliminary" xfId="122"/>
    <cellStyle name="_Revenue_Revenue (Feb 09 - Jan 10)" xfId="123"/>
    <cellStyle name="_Revenue_Revenue (Jan 09 - Dec 09)" xfId="124"/>
    <cellStyle name="_Revenue_Revenue (Mar 09 - Feb 10)" xfId="125"/>
    <cellStyle name="_Revenue_Sheet2" xfId="126"/>
    <cellStyle name="_Revenue_Therms Data" xfId="127"/>
    <cellStyle name="_Revenue_Therms Data Rerun" xfId="128"/>
    <cellStyle name="_Revenue_Volume Exhibit (Jan09 - Dec09)" xfId="129"/>
    <cellStyle name="_Sumas Proforma - 11-09-07" xfId="130"/>
    <cellStyle name="_Sumas Property Taxes v1" xfId="131"/>
    <cellStyle name="_Tenaska Comparison" xfId="132"/>
    <cellStyle name="_Tenaska Comparison 2" xfId="133"/>
    <cellStyle name="_Tenaska Comparison 3" xfId="134"/>
    <cellStyle name="_Tenaska Comparison_3.01 Income Statement" xfId="135"/>
    <cellStyle name="_Tenaska Comparison_Book9" xfId="136"/>
    <cellStyle name="_Therms Data" xfId="137"/>
    <cellStyle name="_Therms Data_Pro Forma Rev 09 GRC" xfId="138"/>
    <cellStyle name="_Therms Data_Pro Forma Rev 2010 GRC" xfId="139"/>
    <cellStyle name="_Therms Data_Pro Forma Rev 2010 GRC_Preliminary" xfId="140"/>
    <cellStyle name="_Therms Data_Revenue (Feb 09 - Jan 10)" xfId="141"/>
    <cellStyle name="_Therms Data_Revenue (Jan 09 - Dec 09)" xfId="142"/>
    <cellStyle name="_Therms Data_Revenue (Mar 09 - Feb 10)" xfId="143"/>
    <cellStyle name="_Therms Data_Volume Exhibit (Jan09 - Dec09)" xfId="144"/>
    <cellStyle name="_Value Copy 11 30 05 gas 12 09 05 AURORA at 12 14 05" xfId="145"/>
    <cellStyle name="_Value Copy 11 30 05 gas 12 09 05 AURORA at 12 14 05 2" xfId="146"/>
    <cellStyle name="_Value Copy 11 30 05 gas 12 09 05 AURORA at 12 14 05 3" xfId="147"/>
    <cellStyle name="_Value Copy 11 30 05 gas 12 09 05 AURORA at 12 14 05_04 07E Wild Horse Wind Expansion (C) (2)" xfId="148"/>
    <cellStyle name="_Value Copy 11 30 05 gas 12 09 05 AURORA at 12 14 05_3.01 Income Statement" xfId="149"/>
    <cellStyle name="_Value Copy 11 30 05 gas 12 09 05 AURORA at 12 14 05_Book9" xfId="150"/>
    <cellStyle name="_VC 6.15.06 update on 06GRC power costs.xls Chart 1" xfId="151"/>
    <cellStyle name="_VC 6.15.06 update on 06GRC power costs.xls Chart 1 2" xfId="152"/>
    <cellStyle name="_VC 6.15.06 update on 06GRC power costs.xls Chart 1 3" xfId="153"/>
    <cellStyle name="_VC 6.15.06 update on 06GRC power costs.xls Chart 1_04 07E Wild Horse Wind Expansion (C) (2)" xfId="154"/>
    <cellStyle name="_VC 6.15.06 update on 06GRC power costs.xls Chart 1_3.01 Income Statement" xfId="155"/>
    <cellStyle name="_VC 6.15.06 update on 06GRC power costs.xls Chart 1_Book9" xfId="156"/>
    <cellStyle name="_VC 6.15.06 update on 06GRC power costs.xls Chart 2" xfId="157"/>
    <cellStyle name="_VC 6.15.06 update on 06GRC power costs.xls Chart 2 2" xfId="158"/>
    <cellStyle name="_VC 6.15.06 update on 06GRC power costs.xls Chart 2 3" xfId="159"/>
    <cellStyle name="_VC 6.15.06 update on 06GRC power costs.xls Chart 2_04 07E Wild Horse Wind Expansion (C) (2)" xfId="160"/>
    <cellStyle name="_VC 6.15.06 update on 06GRC power costs.xls Chart 2_3.01 Income Statement" xfId="161"/>
    <cellStyle name="_VC 6.15.06 update on 06GRC power costs.xls Chart 2_Book9" xfId="162"/>
    <cellStyle name="_VC 6.15.06 update on 06GRC power costs.xls Chart 3" xfId="163"/>
    <cellStyle name="_VC 6.15.06 update on 06GRC power costs.xls Chart 3 2" xfId="164"/>
    <cellStyle name="_VC 6.15.06 update on 06GRC power costs.xls Chart 3 3" xfId="165"/>
    <cellStyle name="_VC 6.15.06 update on 06GRC power costs.xls Chart 3_04 07E Wild Horse Wind Expansion (C) (2)" xfId="166"/>
    <cellStyle name="_VC 6.15.06 update on 06GRC power costs.xls Chart 3_3.01 Income Statement" xfId="167"/>
    <cellStyle name="_VC 6.15.06 update on 06GRC power costs.xls Chart 3_Book9" xfId="168"/>
    <cellStyle name="0,0_x000d__x000a_NA_x000d__x000a_" xfId="169"/>
    <cellStyle name="0000" xfId="170"/>
    <cellStyle name="000000" xfId="171"/>
    <cellStyle name="20% - Accent1 2" xfId="172"/>
    <cellStyle name="20% - Accent1 3" xfId="173"/>
    <cellStyle name="20% - Accent2 2" xfId="174"/>
    <cellStyle name="20% - Accent2 3" xfId="175"/>
    <cellStyle name="20% - Accent3 2" xfId="176"/>
    <cellStyle name="20% - Accent3 3" xfId="177"/>
    <cellStyle name="20% - Accent4 2" xfId="178"/>
    <cellStyle name="20% - Accent4 3" xfId="179"/>
    <cellStyle name="20% - Accent5 2" xfId="180"/>
    <cellStyle name="20% - Accent5 3" xfId="181"/>
    <cellStyle name="20% - Accent6 2" xfId="182"/>
    <cellStyle name="20% - Accent6 3" xfId="183"/>
    <cellStyle name="40% - Accent1 2" xfId="184"/>
    <cellStyle name="40% - Accent1 3" xfId="185"/>
    <cellStyle name="40% - Accent2 2" xfId="186"/>
    <cellStyle name="40% - Accent2 3" xfId="187"/>
    <cellStyle name="40% - Accent3 2" xfId="188"/>
    <cellStyle name="40% - Accent3 3" xfId="189"/>
    <cellStyle name="40% - Accent4 2" xfId="190"/>
    <cellStyle name="40% - Accent4 3" xfId="191"/>
    <cellStyle name="40% - Accent5 2" xfId="192"/>
    <cellStyle name="40% - Accent5 3" xfId="193"/>
    <cellStyle name="40% - Accent6 2" xfId="194"/>
    <cellStyle name="40% - Accent6 3" xfId="195"/>
    <cellStyle name="Accent1 - 20%" xfId="196"/>
    <cellStyle name="Accent1 - 40%" xfId="197"/>
    <cellStyle name="Accent1 - 60%" xfId="198"/>
    <cellStyle name="Accent2 - 20%" xfId="199"/>
    <cellStyle name="Accent2 - 40%" xfId="200"/>
    <cellStyle name="Accent2 - 60%" xfId="201"/>
    <cellStyle name="Accent3 - 20%" xfId="202"/>
    <cellStyle name="Accent3 - 40%" xfId="203"/>
    <cellStyle name="Accent3 - 60%" xfId="204"/>
    <cellStyle name="Accent4 - 20%" xfId="205"/>
    <cellStyle name="Accent4 - 40%" xfId="206"/>
    <cellStyle name="Accent4 - 60%" xfId="207"/>
    <cellStyle name="Accent5 - 20%" xfId="208"/>
    <cellStyle name="Accent5 - 40%" xfId="209"/>
    <cellStyle name="Accent5 - 60%" xfId="210"/>
    <cellStyle name="Accent6 - 20%" xfId="211"/>
    <cellStyle name="Accent6 - 40%" xfId="212"/>
    <cellStyle name="Accent6 - 60%" xfId="213"/>
    <cellStyle name="blank" xfId="214"/>
    <cellStyle name="Calc Currency (0)" xfId="215"/>
    <cellStyle name="Calc Currency (0) 2" xfId="216"/>
    <cellStyle name="Calc Currency (0) 3" xfId="217"/>
    <cellStyle name="CheckCell" xfId="218"/>
    <cellStyle name="CheckCell 2" xfId="219"/>
    <cellStyle name="CheckCell_Electric Rev Req Model (2009 GRC) Rebuttal" xfId="220"/>
    <cellStyle name="Comma" xfId="221" builtinId="3"/>
    <cellStyle name="Comma [0]" xfId="222" builtinId="6"/>
    <cellStyle name="Comma 10" xfId="223"/>
    <cellStyle name="Comma 11" xfId="224"/>
    <cellStyle name="Comma 12" xfId="225"/>
    <cellStyle name="Comma 13" xfId="564"/>
    <cellStyle name="Comma 15" xfId="226"/>
    <cellStyle name="Comma 2" xfId="227"/>
    <cellStyle name="Comma 2 2" xfId="228"/>
    <cellStyle name="Comma 2 3" xfId="229"/>
    <cellStyle name="Comma 2 4" xfId="230"/>
    <cellStyle name="Comma 3" xfId="231"/>
    <cellStyle name="Comma 3 2" xfId="232"/>
    <cellStyle name="Comma 4" xfId="233"/>
    <cellStyle name="Comma 4 2" xfId="234"/>
    <cellStyle name="Comma 5" xfId="235"/>
    <cellStyle name="Comma 6" xfId="236"/>
    <cellStyle name="Comma 6 2" xfId="237"/>
    <cellStyle name="Comma 7" xfId="238"/>
    <cellStyle name="Comma 8" xfId="239"/>
    <cellStyle name="Comma 9" xfId="240"/>
    <cellStyle name="Comma0" xfId="241"/>
    <cellStyle name="Comma0 - Style2" xfId="242"/>
    <cellStyle name="Comma0 - Style4" xfId="243"/>
    <cellStyle name="Comma0 - Style5" xfId="244"/>
    <cellStyle name="Comma0 - Style5 2" xfId="245"/>
    <cellStyle name="Comma0 - Style5_Electric Rev Req Model (2009 GRC) Rebuttal" xfId="246"/>
    <cellStyle name="Comma0 2" xfId="247"/>
    <cellStyle name="Comma0 3" xfId="248"/>
    <cellStyle name="Comma0 4" xfId="249"/>
    <cellStyle name="Comma0 5" xfId="250"/>
    <cellStyle name="Comma0_00COS Ind Allocators" xfId="251"/>
    <cellStyle name="Comma1 - Style1" xfId="252"/>
    <cellStyle name="Comma1 - Style1 2" xfId="253"/>
    <cellStyle name="Comma1 - Style1_Electric Rev Req Model (2009 GRC) Rebuttal" xfId="254"/>
    <cellStyle name="Copied" xfId="255"/>
    <cellStyle name="Copied 2" xfId="256"/>
    <cellStyle name="Copied 3" xfId="257"/>
    <cellStyle name="COST1" xfId="258"/>
    <cellStyle name="COST1 2" xfId="259"/>
    <cellStyle name="COST1 3" xfId="260"/>
    <cellStyle name="Curren - Style1" xfId="261"/>
    <cellStyle name="Curren - Style2" xfId="262"/>
    <cellStyle name="Curren - Style2 2" xfId="263"/>
    <cellStyle name="Curren - Style2_Electric Rev Req Model (2009 GRC) Rebuttal" xfId="264"/>
    <cellStyle name="Curren - Style5" xfId="265"/>
    <cellStyle name="Curren - Style6" xfId="266"/>
    <cellStyle name="Curren - Style6 2" xfId="267"/>
    <cellStyle name="Curren - Style6_Electric Rev Req Model (2009 GRC) Rebuttal" xfId="268"/>
    <cellStyle name="Currency" xfId="269" builtinId="4"/>
    <cellStyle name="Currency 10" xfId="270"/>
    <cellStyle name="Currency 11" xfId="271"/>
    <cellStyle name="Currency 11 2" xfId="272"/>
    <cellStyle name="Currency 12" xfId="273"/>
    <cellStyle name="Currency 13" xfId="565"/>
    <cellStyle name="Currency 2" xfId="274"/>
    <cellStyle name="Currency 2 2" xfId="275"/>
    <cellStyle name="Currency 2 3" xfId="276"/>
    <cellStyle name="Currency 2 4" xfId="277"/>
    <cellStyle name="Currency 3" xfId="278"/>
    <cellStyle name="Currency 3 2" xfId="279"/>
    <cellStyle name="Currency 4" xfId="280"/>
    <cellStyle name="Currency 5" xfId="281"/>
    <cellStyle name="Currency 6" xfId="282"/>
    <cellStyle name="Currency 7" xfId="283"/>
    <cellStyle name="Currency 8" xfId="284"/>
    <cellStyle name="Currency 9" xfId="285"/>
    <cellStyle name="Currency_ROR and ROE for 2007 CBR cover letters" xfId="286"/>
    <cellStyle name="Currency0" xfId="287"/>
    <cellStyle name="Currency0 2" xfId="288"/>
    <cellStyle name="Currency0 3" xfId="289"/>
    <cellStyle name="Currency0 4" xfId="290"/>
    <cellStyle name="Date" xfId="291"/>
    <cellStyle name="Date 2" xfId="292"/>
    <cellStyle name="Date 3" xfId="293"/>
    <cellStyle name="Date 4" xfId="294"/>
    <cellStyle name="Date 5" xfId="295"/>
    <cellStyle name="Emphasis 1" xfId="296"/>
    <cellStyle name="Emphasis 2" xfId="297"/>
    <cellStyle name="Emphasis 3" xfId="298"/>
    <cellStyle name="Entered" xfId="299"/>
    <cellStyle name="Euro" xfId="300"/>
    <cellStyle name="Fixed" xfId="301"/>
    <cellStyle name="Fixed 2" xfId="302"/>
    <cellStyle name="Fixed 3" xfId="303"/>
    <cellStyle name="Fixed 4" xfId="304"/>
    <cellStyle name="Fixed3 - Style3" xfId="305"/>
    <cellStyle name="Grey" xfId="306"/>
    <cellStyle name="Grey 2" xfId="307"/>
    <cellStyle name="Grey 3" xfId="308"/>
    <cellStyle name="Grey 4" xfId="309"/>
    <cellStyle name="Header" xfId="310"/>
    <cellStyle name="Header1" xfId="311"/>
    <cellStyle name="Header1 2" xfId="312"/>
    <cellStyle name="Header1 3" xfId="313"/>
    <cellStyle name="Header2" xfId="314"/>
    <cellStyle name="Header2 2" xfId="315"/>
    <cellStyle name="Header2 3" xfId="316"/>
    <cellStyle name="Heading" xfId="317"/>
    <cellStyle name="Heading1" xfId="318"/>
    <cellStyle name="Heading1 2" xfId="319"/>
    <cellStyle name="Heading1 3" xfId="320"/>
    <cellStyle name="Heading2" xfId="321"/>
    <cellStyle name="Heading2 2" xfId="322"/>
    <cellStyle name="Heading2 3" xfId="323"/>
    <cellStyle name="Input [yellow]" xfId="324"/>
    <cellStyle name="Input [yellow] 2" xfId="325"/>
    <cellStyle name="Input [yellow] 3" xfId="326"/>
    <cellStyle name="Input [yellow] 4" xfId="327"/>
    <cellStyle name="Input Cells" xfId="328"/>
    <cellStyle name="Input Cells Percent" xfId="329"/>
    <cellStyle name="Input Cells_Book9" xfId="330"/>
    <cellStyle name="Lines" xfId="331"/>
    <cellStyle name="Lines 2" xfId="332"/>
    <cellStyle name="Lines_Electric Rev Req Model (2009 GRC) Rebuttal" xfId="333"/>
    <cellStyle name="LINKED" xfId="334"/>
    <cellStyle name="modified border" xfId="335"/>
    <cellStyle name="modified border 2" xfId="336"/>
    <cellStyle name="modified border 3" xfId="337"/>
    <cellStyle name="modified border 4" xfId="338"/>
    <cellStyle name="modified border1" xfId="339"/>
    <cellStyle name="modified border1 2" xfId="340"/>
    <cellStyle name="modified border1 3" xfId="341"/>
    <cellStyle name="modified border1 4" xfId="342"/>
    <cellStyle name="no dec" xfId="343"/>
    <cellStyle name="no dec 2" xfId="344"/>
    <cellStyle name="no dec 3" xfId="345"/>
    <cellStyle name="Normal" xfId="0" builtinId="0"/>
    <cellStyle name="Normal - Style1" xfId="346"/>
    <cellStyle name="Normal - Style1 2" xfId="347"/>
    <cellStyle name="Normal - Style1 3" xfId="348"/>
    <cellStyle name="Normal - Style1 4" xfId="349"/>
    <cellStyle name="Normal - Style1 5" xfId="350"/>
    <cellStyle name="Normal - Style1_Book2" xfId="351"/>
    <cellStyle name="Normal 10" xfId="352"/>
    <cellStyle name="Normal 10 2" xfId="353"/>
    <cellStyle name="Normal 11" xfId="354"/>
    <cellStyle name="Normal 111" xfId="355"/>
    <cellStyle name="Normal 114" xfId="596"/>
    <cellStyle name="Normal 12" xfId="356"/>
    <cellStyle name="Normal 13" xfId="357"/>
    <cellStyle name="Normal 14" xfId="358"/>
    <cellStyle name="Normal 14 2" xfId="359"/>
    <cellStyle name="Normal 15 2 2" xfId="360"/>
    <cellStyle name="Normal 15 7" xfId="361"/>
    <cellStyle name="Normal 155" xfId="598"/>
    <cellStyle name="Normal 2" xfId="563"/>
    <cellStyle name="Normal 2 2" xfId="362"/>
    <cellStyle name="Normal 2 2 2" xfId="363"/>
    <cellStyle name="Normal 2 2 3" xfId="364"/>
    <cellStyle name="Normal 2 3" xfId="365"/>
    <cellStyle name="Normal 2 4" xfId="366"/>
    <cellStyle name="Normal 2 5" xfId="367"/>
    <cellStyle name="Normal 2 6" xfId="368"/>
    <cellStyle name="Normal 2 7" xfId="369"/>
    <cellStyle name="Normal 2 8" xfId="562"/>
    <cellStyle name="Normal 3" xfId="370"/>
    <cellStyle name="Normal 3 2" xfId="371"/>
    <cellStyle name="Normal 3 3" xfId="372"/>
    <cellStyle name="Normal 3 4" xfId="373"/>
    <cellStyle name="Normal 3 5" xfId="374"/>
    <cellStyle name="Normal 3 6" xfId="375"/>
    <cellStyle name="Normal 3_Electric Rev Req Model (2009 GRC) Rebuttal" xfId="376"/>
    <cellStyle name="Normal 4" xfId="377"/>
    <cellStyle name="Normal 4 2" xfId="378"/>
    <cellStyle name="Normal 4 2 2" xfId="379"/>
    <cellStyle name="Normal 4_3.05 Allocation Method 2010 GTR WF" xfId="380"/>
    <cellStyle name="Normal 5" xfId="381"/>
    <cellStyle name="Normal 51" xfId="597"/>
    <cellStyle name="Normal 6" xfId="382"/>
    <cellStyle name="Normal 6 2" xfId="383"/>
    <cellStyle name="Normal 7" xfId="384"/>
    <cellStyle name="Normal 7 2" xfId="385"/>
    <cellStyle name="Normal 8" xfId="386"/>
    <cellStyle name="Normal 9" xfId="387"/>
    <cellStyle name="Normal_2.01G Revenue &amp; Purchased Gas" xfId="388"/>
    <cellStyle name="Normal_BASECOST" xfId="389"/>
    <cellStyle name="Normal_Book2" xfId="390"/>
    <cellStyle name="Normal_RATEOFRE" xfId="391"/>
    <cellStyle name="Normal_RESCOST" xfId="392"/>
    <cellStyle name="Normal_ROR and ROE for 2007 CBR cover letters" xfId="393"/>
    <cellStyle name="Note 10" xfId="394"/>
    <cellStyle name="Note 11" xfId="395"/>
    <cellStyle name="Note 12" xfId="396"/>
    <cellStyle name="Note 2" xfId="397"/>
    <cellStyle name="Note 3" xfId="398"/>
    <cellStyle name="Note 4" xfId="399"/>
    <cellStyle name="Note 5" xfId="400"/>
    <cellStyle name="Note 6" xfId="401"/>
    <cellStyle name="Note 7" xfId="402"/>
    <cellStyle name="Note 8" xfId="403"/>
    <cellStyle name="Note 9" xfId="404"/>
    <cellStyle name="Percen - Style1" xfId="405"/>
    <cellStyle name="Percen - Style2" xfId="406"/>
    <cellStyle name="Percen - Style3" xfId="407"/>
    <cellStyle name="Percen - Style3 2" xfId="408"/>
    <cellStyle name="Percen - Style3_Electric Rev Req Model (2009 GRC) Rebuttal" xfId="409"/>
    <cellStyle name="Percent" xfId="410" builtinId="5"/>
    <cellStyle name="Percent (0)" xfId="411"/>
    <cellStyle name="Percent [2]" xfId="412"/>
    <cellStyle name="Percent 10" xfId="413"/>
    <cellStyle name="Percent 103" xfId="599"/>
    <cellStyle name="Percent 11" xfId="414"/>
    <cellStyle name="Percent 12" xfId="415"/>
    <cellStyle name="Percent 13" xfId="416"/>
    <cellStyle name="Percent 2" xfId="417"/>
    <cellStyle name="Percent 2 2" xfId="418"/>
    <cellStyle name="Percent 2 3" xfId="419"/>
    <cellStyle name="Percent 2 4" xfId="420"/>
    <cellStyle name="Percent 3" xfId="421"/>
    <cellStyle name="Percent 3 2" xfId="422"/>
    <cellStyle name="Percent 4" xfId="423"/>
    <cellStyle name="Percent 4 2" xfId="424"/>
    <cellStyle name="Percent 5" xfId="425"/>
    <cellStyle name="Percent 6" xfId="426"/>
    <cellStyle name="Percent 7" xfId="427"/>
    <cellStyle name="Percent 8" xfId="428"/>
    <cellStyle name="Percent 8 2" xfId="429"/>
    <cellStyle name="Percent 9" xfId="430"/>
    <cellStyle name="Processing" xfId="431"/>
    <cellStyle name="Processing 2" xfId="432"/>
    <cellStyle name="Processing_Electric Rev Req Model (2009 GRC) Rebuttal" xfId="433"/>
    <cellStyle name="PSChar" xfId="434"/>
    <cellStyle name="PSChar 2" xfId="435"/>
    <cellStyle name="PSChar 3" xfId="436"/>
    <cellStyle name="PSDate" xfId="437"/>
    <cellStyle name="PSDate 2" xfId="438"/>
    <cellStyle name="PSDate 3" xfId="439"/>
    <cellStyle name="PSDec" xfId="440"/>
    <cellStyle name="PSDec 2" xfId="441"/>
    <cellStyle name="PSDec 3" xfId="442"/>
    <cellStyle name="PSHeading" xfId="443"/>
    <cellStyle name="PSHeading 2" xfId="444"/>
    <cellStyle name="PSHeading 3" xfId="445"/>
    <cellStyle name="PSInt" xfId="446"/>
    <cellStyle name="PSInt 2" xfId="447"/>
    <cellStyle name="PSInt 3" xfId="448"/>
    <cellStyle name="PSSpacer" xfId="449"/>
    <cellStyle name="PSSpacer 2" xfId="450"/>
    <cellStyle name="PSSpacer 3" xfId="451"/>
    <cellStyle name="purple - Style8" xfId="452"/>
    <cellStyle name="purple - Style8 2" xfId="453"/>
    <cellStyle name="purple - Style8_Electric Rev Req Model (2009 GRC) Rebuttal" xfId="454"/>
    <cellStyle name="RED" xfId="455"/>
    <cellStyle name="Red - Style7" xfId="456"/>
    <cellStyle name="Red - Style7 2" xfId="457"/>
    <cellStyle name="Red - Style7_Electric Rev Req Model (2009 GRC) Rebuttal" xfId="458"/>
    <cellStyle name="RED_04 07E Wild Horse Wind Expansion (C) (2)" xfId="459"/>
    <cellStyle name="Report" xfId="460"/>
    <cellStyle name="Report - Style5" xfId="461"/>
    <cellStyle name="Report - Style6" xfId="462"/>
    <cellStyle name="Report - Style7" xfId="463"/>
    <cellStyle name="Report - Style8" xfId="464"/>
    <cellStyle name="Report 2" xfId="465"/>
    <cellStyle name="Report Bar" xfId="466"/>
    <cellStyle name="Report Bar 2" xfId="467"/>
    <cellStyle name="Report Bar_Electric Rev Req Model (2009 GRC) Rebuttal" xfId="468"/>
    <cellStyle name="Report Heading" xfId="469"/>
    <cellStyle name="Report Heading 2" xfId="470"/>
    <cellStyle name="Report Heading_Electric Rev Req Model (2009 GRC) Rebuttal" xfId="471"/>
    <cellStyle name="Report Percent" xfId="472"/>
    <cellStyle name="Report Percent 2" xfId="473"/>
    <cellStyle name="Report Percent_Electric Rev Req Model (2009 GRC) Rebuttal" xfId="474"/>
    <cellStyle name="Report Unit Cost" xfId="475"/>
    <cellStyle name="Report Unit Cost 2" xfId="476"/>
    <cellStyle name="Report Unit Cost_Electric Rev Req Model (2009 GRC) Rebuttal" xfId="477"/>
    <cellStyle name="Report_Electric Rev Req Model (2009 GRC) Rebuttal" xfId="478"/>
    <cellStyle name="Reports" xfId="479"/>
    <cellStyle name="Reports Total" xfId="480"/>
    <cellStyle name="Reports Total 2" xfId="481"/>
    <cellStyle name="Reports Total_Electric Rev Req Model (2009 GRC) Rebuttal" xfId="482"/>
    <cellStyle name="Reports Unit Cost Total" xfId="483"/>
    <cellStyle name="Reports_Book9" xfId="484"/>
    <cellStyle name="RevList" xfId="485"/>
    <cellStyle name="round100" xfId="486"/>
    <cellStyle name="round100 2" xfId="487"/>
    <cellStyle name="round100 3" xfId="488"/>
    <cellStyle name="SAPBEXaggData" xfId="489"/>
    <cellStyle name="SAPBEXaggDataEmph" xfId="490"/>
    <cellStyle name="SAPBEXaggItem" xfId="491"/>
    <cellStyle name="SAPBEXaggItemX" xfId="492"/>
    <cellStyle name="SAPBEXchaText" xfId="493"/>
    <cellStyle name="SAPBEXchaText 2" xfId="494"/>
    <cellStyle name="SAPBEXexcBad7" xfId="495"/>
    <cellStyle name="SAPBEXexcBad8" xfId="496"/>
    <cellStyle name="SAPBEXexcBad9" xfId="497"/>
    <cellStyle name="SAPBEXexcCritical4" xfId="498"/>
    <cellStyle name="SAPBEXexcCritical5" xfId="499"/>
    <cellStyle name="SAPBEXexcCritical6" xfId="500"/>
    <cellStyle name="SAPBEXexcGood1" xfId="501"/>
    <cellStyle name="SAPBEXexcGood2" xfId="502"/>
    <cellStyle name="SAPBEXexcGood3" xfId="503"/>
    <cellStyle name="SAPBEXfilterDrill" xfId="504"/>
    <cellStyle name="SAPBEXfilterItem" xfId="505"/>
    <cellStyle name="SAPBEXfilterText" xfId="506"/>
    <cellStyle name="SAPBEXformats" xfId="507"/>
    <cellStyle name="SAPBEXheaderItem" xfId="508"/>
    <cellStyle name="SAPBEXheaderText" xfId="509"/>
    <cellStyle name="SAPBEXHLevel0" xfId="510"/>
    <cellStyle name="SAPBEXHLevel0X" xfId="511"/>
    <cellStyle name="SAPBEXHLevel1" xfId="512"/>
    <cellStyle name="SAPBEXHLevel1X" xfId="513"/>
    <cellStyle name="SAPBEXHLevel2" xfId="514"/>
    <cellStyle name="SAPBEXHLevel2X" xfId="515"/>
    <cellStyle name="SAPBEXHLevel3" xfId="516"/>
    <cellStyle name="SAPBEXHLevel3X" xfId="517"/>
    <cellStyle name="SAPBEXinputData" xfId="518"/>
    <cellStyle name="SAPBEXItemHeader" xfId="566"/>
    <cellStyle name="SAPBEXresData" xfId="519"/>
    <cellStyle name="SAPBEXresDataEmph" xfId="520"/>
    <cellStyle name="SAPBEXresItem" xfId="521"/>
    <cellStyle name="SAPBEXresItemX" xfId="522"/>
    <cellStyle name="SAPBEXstdData" xfId="523"/>
    <cellStyle name="SAPBEXstdDataEmph" xfId="524"/>
    <cellStyle name="SAPBEXstdItem" xfId="525"/>
    <cellStyle name="SAPBEXstdItemX" xfId="526"/>
    <cellStyle name="SAPBEXtitle" xfId="527"/>
    <cellStyle name="SAPBEXunassignedItem" xfId="567"/>
    <cellStyle name="SAPBEXundefined" xfId="528"/>
    <cellStyle name="SAPBorder" xfId="568"/>
    <cellStyle name="SAPDataCell" xfId="569"/>
    <cellStyle name="SAPDataTotalCell" xfId="570"/>
    <cellStyle name="SAPDimensionCell" xfId="571"/>
    <cellStyle name="SAPEditableDataCell" xfId="572"/>
    <cellStyle name="SAPEditableDataTotalCell" xfId="573"/>
    <cellStyle name="SAPEmphasized" xfId="574"/>
    <cellStyle name="SAPEmphasizedTotal" xfId="575"/>
    <cellStyle name="SAPExceptionLevel1" xfId="576"/>
    <cellStyle name="SAPExceptionLevel2" xfId="577"/>
    <cellStyle name="SAPExceptionLevel3" xfId="578"/>
    <cellStyle name="SAPExceptionLevel4" xfId="579"/>
    <cellStyle name="SAPExceptionLevel5" xfId="580"/>
    <cellStyle name="SAPExceptionLevel6" xfId="581"/>
    <cellStyle name="SAPExceptionLevel7" xfId="582"/>
    <cellStyle name="SAPExceptionLevel8" xfId="583"/>
    <cellStyle name="SAPExceptionLevel9" xfId="584"/>
    <cellStyle name="SAPHierarchyCell0" xfId="585"/>
    <cellStyle name="SAPHierarchyCell1" xfId="586"/>
    <cellStyle name="SAPHierarchyCell2" xfId="587"/>
    <cellStyle name="SAPHierarchyCell3" xfId="588"/>
    <cellStyle name="SAPHierarchyCell4" xfId="589"/>
    <cellStyle name="SAPLockedDataCell" xfId="590"/>
    <cellStyle name="SAPLockedDataTotalCell" xfId="591"/>
    <cellStyle name="SAPMemberCell" xfId="592"/>
    <cellStyle name="SAPMemberTotalCell" xfId="593"/>
    <cellStyle name="SAPReadonlyDataCell" xfId="594"/>
    <cellStyle name="SAPReadonlyDataTotalCell" xfId="595"/>
    <cellStyle name="shade" xfId="529"/>
    <cellStyle name="shade 2" xfId="530"/>
    <cellStyle name="shade 3" xfId="531"/>
    <cellStyle name="Sheet Title" xfId="532"/>
    <cellStyle name="StmtTtl1" xfId="533"/>
    <cellStyle name="StmtTtl1 2" xfId="534"/>
    <cellStyle name="StmtTtl1 3" xfId="535"/>
    <cellStyle name="StmtTtl1 4" xfId="536"/>
    <cellStyle name="StmtTtl2" xfId="537"/>
    <cellStyle name="StmtTtl2 2" xfId="538"/>
    <cellStyle name="StmtTtl2 3" xfId="539"/>
    <cellStyle name="STYL1 - Style1" xfId="540"/>
    <cellStyle name="Style 1" xfId="541"/>
    <cellStyle name="Style 1 2" xfId="542"/>
    <cellStyle name="Style 1 3" xfId="543"/>
    <cellStyle name="Style 1 4" xfId="544"/>
    <cellStyle name="Style 1 5" xfId="545"/>
    <cellStyle name="Style 1_3.01 Income Statement" xfId="546"/>
    <cellStyle name="Subtotal" xfId="547"/>
    <cellStyle name="Sub-total" xfId="548"/>
    <cellStyle name="taples Plaza" xfId="549"/>
    <cellStyle name="Test" xfId="550"/>
    <cellStyle name="Tickmark" xfId="551"/>
    <cellStyle name="Title: - Style3" xfId="552"/>
    <cellStyle name="Title: - Style4" xfId="553"/>
    <cellStyle name="Title: Major" xfId="554"/>
    <cellStyle name="Title: Minor" xfId="555"/>
    <cellStyle name="Title: Minor 2" xfId="556"/>
    <cellStyle name="Title: Minor_Electric Rev Req Model (2009 GRC) Rebuttal" xfId="557"/>
    <cellStyle name="Title: Worksheet" xfId="558"/>
    <cellStyle name="Total4 - Style4" xfId="559"/>
    <cellStyle name="Total4 - Style4 2" xfId="560"/>
    <cellStyle name="Total4 - Style4_Electric Rev Req Model (2009 GRC) Rebuttal" xfId="561"/>
  </cellStyles>
  <dxfs count="3"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13" Type="http://schemas.openxmlformats.org/officeDocument/2006/relationships/printerSettings" Target="../printerSettings/printerSettings16.bin"/><Relationship Id="rId1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6.bin"/><Relationship Id="rId21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10.bin"/><Relationship Id="rId12" Type="http://schemas.openxmlformats.org/officeDocument/2006/relationships/printerSettings" Target="../printerSettings/printerSettings15.bin"/><Relationship Id="rId1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5.bin"/><Relationship Id="rId16" Type="http://schemas.openxmlformats.org/officeDocument/2006/relationships/printerSettings" Target="../printerSettings/printerSettings19.bin"/><Relationship Id="rId20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1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8.bin"/><Relationship Id="rId15" Type="http://schemas.openxmlformats.org/officeDocument/2006/relationships/printerSettings" Target="../printerSettings/printerSettings18.bin"/><Relationship Id="rId23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13.bin"/><Relationship Id="rId19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7.bin"/><Relationship Id="rId9" Type="http://schemas.openxmlformats.org/officeDocument/2006/relationships/printerSettings" Target="../printerSettings/printerSettings12.bin"/><Relationship Id="rId14" Type="http://schemas.openxmlformats.org/officeDocument/2006/relationships/printerSettings" Target="../printerSettings/printerSettings17.bin"/><Relationship Id="rId22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3"/>
  <sheetViews>
    <sheetView tabSelected="1" workbookViewId="0">
      <selection activeCell="D4" sqref="D4:E5"/>
    </sheetView>
  </sheetViews>
  <sheetFormatPr defaultColWidth="10.7109375" defaultRowHeight="13.2"/>
  <cols>
    <col min="1" max="1" width="42.85546875" style="176" bestFit="1" customWidth="1"/>
    <col min="2" max="2" width="6.7109375" style="176" customWidth="1"/>
    <col min="3" max="3" width="19.7109375" style="176" customWidth="1"/>
    <col min="4" max="4" width="15.42578125" style="176" bestFit="1" customWidth="1"/>
    <col min="5" max="5" width="19.85546875" style="176" customWidth="1"/>
    <col min="6" max="6" width="6.7109375" style="176" bestFit="1" customWidth="1"/>
    <col min="7" max="7" width="10.7109375" style="176"/>
    <col min="8" max="8" width="16.28515625" style="176" bestFit="1" customWidth="1"/>
    <col min="9" max="16384" width="10.7109375" style="176"/>
  </cols>
  <sheetData>
    <row r="1" spans="1:8" ht="13.8" thickBot="1">
      <c r="A1" s="175" t="s">
        <v>296</v>
      </c>
      <c r="D1" s="212"/>
      <c r="E1" s="213" t="s">
        <v>178</v>
      </c>
    </row>
    <row r="2" spans="1:8">
      <c r="A2" s="535" t="s">
        <v>326</v>
      </c>
    </row>
    <row r="3" spans="1:8">
      <c r="A3" s="326"/>
    </row>
    <row r="4" spans="1:8">
      <c r="C4" s="533" t="s">
        <v>297</v>
      </c>
      <c r="D4" s="565"/>
      <c r="E4" s="565"/>
    </row>
    <row r="5" spans="1:8">
      <c r="B5" s="178"/>
      <c r="C5" s="177" t="s">
        <v>298</v>
      </c>
      <c r="D5" s="566"/>
      <c r="E5" s="566"/>
      <c r="F5" s="178"/>
    </row>
    <row r="7" spans="1:8">
      <c r="A7" s="176" t="s">
        <v>131</v>
      </c>
      <c r="B7" s="176" t="s">
        <v>120</v>
      </c>
      <c r="C7" s="179">
        <f>+model!CQ44</f>
        <v>144888255.90936542</v>
      </c>
      <c r="D7" s="179"/>
      <c r="E7" s="179"/>
    </row>
    <row r="8" spans="1:8">
      <c r="A8" s="176" t="s">
        <v>132</v>
      </c>
      <c r="B8" s="176" t="s">
        <v>121</v>
      </c>
      <c r="C8" s="179">
        <f>+model!CQ46</f>
        <v>1716428935.0948741</v>
      </c>
      <c r="D8" s="179"/>
      <c r="E8" s="179"/>
    </row>
    <row r="9" spans="1:8">
      <c r="B9" s="180"/>
      <c r="C9" s="179"/>
      <c r="D9" s="179"/>
      <c r="E9" s="179"/>
    </row>
    <row r="10" spans="1:8">
      <c r="A10" s="175" t="s">
        <v>135</v>
      </c>
      <c r="B10" s="182" t="s">
        <v>122</v>
      </c>
      <c r="C10" s="181">
        <f>+C7/C8</f>
        <v>8.4412615603777871E-2</v>
      </c>
      <c r="D10" s="181"/>
      <c r="E10" s="181"/>
      <c r="H10" s="181"/>
    </row>
    <row r="11" spans="1:8">
      <c r="B11" s="184"/>
      <c r="C11" s="183"/>
      <c r="D11" s="534"/>
      <c r="E11" s="534"/>
      <c r="H11" s="532"/>
    </row>
    <row r="12" spans="1:8">
      <c r="C12" s="185"/>
      <c r="D12" s="185"/>
      <c r="E12" s="185"/>
      <c r="H12" s="179"/>
    </row>
    <row r="13" spans="1:8">
      <c r="C13" s="185"/>
      <c r="D13" s="185"/>
      <c r="E13" s="185"/>
      <c r="H13" s="179"/>
    </row>
    <row r="14" spans="1:8">
      <c r="C14" s="185"/>
      <c r="D14" s="185"/>
      <c r="E14" s="185"/>
      <c r="H14" s="179"/>
    </row>
    <row r="15" spans="1:8">
      <c r="A15" s="176" t="s">
        <v>131</v>
      </c>
      <c r="B15" s="176" t="s">
        <v>123</v>
      </c>
      <c r="C15" s="186">
        <f>+C7</f>
        <v>144888255.90936542</v>
      </c>
      <c r="D15" s="186"/>
      <c r="E15" s="186"/>
    </row>
    <row r="16" spans="1:8">
      <c r="A16" s="176" t="s">
        <v>181</v>
      </c>
      <c r="B16" s="176" t="s">
        <v>124</v>
      </c>
      <c r="C16" s="179">
        <f>+model!T17</f>
        <v>52351082.520393662</v>
      </c>
      <c r="D16" s="179"/>
      <c r="E16" s="179"/>
    </row>
    <row r="17" spans="1:5">
      <c r="A17" s="176" t="s">
        <v>182</v>
      </c>
      <c r="B17" s="176" t="s">
        <v>125</v>
      </c>
      <c r="C17" s="186">
        <f>+C15-C16</f>
        <v>92537173.388971746</v>
      </c>
      <c r="D17" s="186"/>
      <c r="E17" s="186"/>
    </row>
    <row r="18" spans="1:5">
      <c r="C18" s="185"/>
      <c r="D18" s="185"/>
      <c r="E18" s="185"/>
    </row>
    <row r="19" spans="1:5">
      <c r="A19" s="176" t="s">
        <v>132</v>
      </c>
      <c r="B19" s="176" t="s">
        <v>126</v>
      </c>
      <c r="C19" s="186">
        <f>+C8</f>
        <v>1716428935.0948741</v>
      </c>
      <c r="D19" s="186"/>
      <c r="E19" s="186"/>
    </row>
    <row r="20" spans="1:5">
      <c r="A20" s="176" t="s">
        <v>133</v>
      </c>
      <c r="B20" s="176" t="s">
        <v>127</v>
      </c>
      <c r="C20" s="209">
        <f>'1.02 COC'!D21</f>
        <v>0.48759999999999998</v>
      </c>
      <c r="D20" s="209"/>
      <c r="E20" s="209"/>
    </row>
    <row r="21" spans="1:5">
      <c r="A21" s="176" t="s">
        <v>128</v>
      </c>
      <c r="B21" s="176" t="s">
        <v>129</v>
      </c>
      <c r="C21" s="179">
        <f>+C19*C20</f>
        <v>836930748.75226057</v>
      </c>
      <c r="D21" s="179"/>
      <c r="E21" s="179"/>
    </row>
    <row r="22" spans="1:5">
      <c r="C22" s="179"/>
      <c r="D22" s="179"/>
      <c r="E22" s="179"/>
    </row>
    <row r="23" spans="1:5">
      <c r="A23" s="175" t="s">
        <v>134</v>
      </c>
      <c r="B23" s="176" t="s">
        <v>130</v>
      </c>
      <c r="C23" s="181">
        <f>+C17/C21</f>
        <v>0.11056730025385127</v>
      </c>
      <c r="D23" s="181"/>
      <c r="E23" s="181"/>
    </row>
  </sheetData>
  <phoneticPr fontId="16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6"/>
  <sheetViews>
    <sheetView workbookViewId="0">
      <selection activeCell="J14" sqref="J14"/>
    </sheetView>
  </sheetViews>
  <sheetFormatPr defaultColWidth="10.7109375" defaultRowHeight="13.2"/>
  <cols>
    <col min="1" max="1" width="3.85546875" style="214" bestFit="1" customWidth="1"/>
    <col min="2" max="2" width="36.85546875" style="214" bestFit="1" customWidth="1"/>
    <col min="3" max="3" width="19.42578125" style="214" customWidth="1"/>
    <col min="4" max="4" width="12.7109375" style="214" customWidth="1"/>
    <col min="5" max="5" width="12" style="214" customWidth="1"/>
    <col min="6" max="6" width="14.140625" style="214" customWidth="1"/>
    <col min="7" max="7" width="4" style="214" bestFit="1" customWidth="1"/>
    <col min="8" max="8" width="21.85546875" style="214" customWidth="1"/>
    <col min="9" max="9" width="12.28515625" style="214" bestFit="1" customWidth="1"/>
    <col min="10" max="16384" width="10.7109375" style="214"/>
  </cols>
  <sheetData>
    <row r="1" spans="1:8" ht="13.8" thickBot="1">
      <c r="F1" s="215" t="s">
        <v>191</v>
      </c>
    </row>
    <row r="2" spans="1:8">
      <c r="B2" s="326"/>
    </row>
    <row r="3" spans="1:8" ht="12.75" customHeight="1">
      <c r="A3" s="216" t="s">
        <v>192</v>
      </c>
      <c r="B3" s="216"/>
      <c r="C3" s="216"/>
      <c r="D3" s="216"/>
      <c r="E3" s="216"/>
      <c r="F3" s="217"/>
      <c r="G3" s="217"/>
    </row>
    <row r="4" spans="1:8" ht="12.75" customHeight="1">
      <c r="A4" s="216"/>
      <c r="B4" s="216"/>
      <c r="C4" s="216"/>
      <c r="D4" s="216"/>
      <c r="E4" s="216"/>
      <c r="F4" s="217"/>
      <c r="G4" s="217"/>
    </row>
    <row r="5" spans="1:8" ht="12.75" customHeight="1">
      <c r="A5" s="216" t="s">
        <v>193</v>
      </c>
      <c r="B5" s="216"/>
      <c r="C5" s="216"/>
      <c r="D5" s="216"/>
      <c r="E5" s="216"/>
      <c r="F5" s="217"/>
      <c r="G5" s="217"/>
    </row>
    <row r="6" spans="1:8" ht="14.25" customHeight="1">
      <c r="A6" s="216" t="s">
        <v>194</v>
      </c>
      <c r="B6" s="216"/>
      <c r="C6" s="216"/>
      <c r="D6" s="216"/>
      <c r="E6" s="216"/>
      <c r="F6" s="217"/>
      <c r="G6" s="217"/>
    </row>
    <row r="7" spans="1:8" s="473" customFormat="1" ht="23.25" customHeight="1">
      <c r="A7" s="471" t="s">
        <v>328</v>
      </c>
      <c r="B7" s="471"/>
      <c r="C7" s="471"/>
      <c r="D7" s="471"/>
      <c r="E7" s="471"/>
      <c r="F7" s="472"/>
      <c r="G7" s="472"/>
      <c r="H7" s="558"/>
    </row>
    <row r="8" spans="1:8">
      <c r="A8" s="218"/>
      <c r="B8" s="218"/>
      <c r="C8" s="218"/>
      <c r="D8" s="218"/>
      <c r="E8" s="218"/>
      <c r="F8" s="218"/>
    </row>
    <row r="9" spans="1:8">
      <c r="A9" s="218"/>
      <c r="B9" s="218"/>
      <c r="C9" s="218"/>
      <c r="D9" s="218"/>
      <c r="E9" s="218"/>
      <c r="F9" s="218"/>
    </row>
    <row r="10" spans="1:8">
      <c r="A10" s="218"/>
      <c r="B10" s="218"/>
      <c r="C10" s="218"/>
      <c r="D10" s="218"/>
      <c r="E10" s="218"/>
      <c r="F10" s="218"/>
    </row>
    <row r="11" spans="1:8">
      <c r="A11" s="219">
        <v>1</v>
      </c>
      <c r="B11" s="220" t="s">
        <v>195</v>
      </c>
      <c r="C11" s="220" t="s">
        <v>196</v>
      </c>
      <c r="D11" s="220" t="s">
        <v>197</v>
      </c>
      <c r="E11" s="220" t="s">
        <v>198</v>
      </c>
      <c r="F11" s="220" t="s">
        <v>199</v>
      </c>
    </row>
    <row r="12" spans="1:8">
      <c r="A12" s="219">
        <v>2</v>
      </c>
      <c r="B12" s="219"/>
      <c r="C12" s="219"/>
      <c r="D12" s="219"/>
      <c r="E12" s="219"/>
      <c r="F12" s="219"/>
      <c r="G12" s="219"/>
      <c r="H12" s="219"/>
    </row>
    <row r="13" spans="1:8">
      <c r="A13" s="219">
        <v>3</v>
      </c>
      <c r="B13" s="219" t="s">
        <v>20</v>
      </c>
      <c r="C13" s="219"/>
      <c r="D13" s="219"/>
      <c r="E13" s="219"/>
      <c r="F13" s="220" t="s">
        <v>200</v>
      </c>
      <c r="G13" s="219"/>
      <c r="H13" s="219"/>
    </row>
    <row r="14" spans="1:8">
      <c r="A14" s="219">
        <v>4</v>
      </c>
      <c r="B14" s="219"/>
      <c r="C14" s="219"/>
      <c r="D14" s="219"/>
      <c r="E14" s="219"/>
      <c r="F14" s="220" t="s">
        <v>201</v>
      </c>
      <c r="G14" s="219"/>
      <c r="H14" s="219"/>
    </row>
    <row r="15" spans="1:8">
      <c r="A15" s="219">
        <v>5</v>
      </c>
      <c r="B15" s="221" t="s">
        <v>202</v>
      </c>
      <c r="C15" s="221" t="s">
        <v>203</v>
      </c>
      <c r="D15" s="221" t="s">
        <v>204</v>
      </c>
      <c r="E15" s="221" t="s">
        <v>205</v>
      </c>
      <c r="F15" s="221" t="s">
        <v>206</v>
      </c>
      <c r="G15" s="219"/>
      <c r="H15" s="219"/>
    </row>
    <row r="16" spans="1:8">
      <c r="A16" s="219">
        <v>6</v>
      </c>
      <c r="B16" s="219"/>
      <c r="C16" s="219"/>
      <c r="D16" s="219"/>
      <c r="E16" s="219"/>
      <c r="F16" s="219"/>
      <c r="G16" s="219"/>
      <c r="H16" s="219"/>
    </row>
    <row r="17" spans="1:9">
      <c r="A17" s="219">
        <v>7</v>
      </c>
      <c r="B17" s="218" t="s">
        <v>207</v>
      </c>
      <c r="C17" s="315">
        <v>45875333</v>
      </c>
      <c r="D17" s="222">
        <f>ROUND(C17/$C$23,4)</f>
        <v>6.1999999999999998E-3</v>
      </c>
      <c r="E17" s="313">
        <v>6.8053107612586428E-2</v>
      </c>
      <c r="F17" s="305">
        <f>ROUND(D17*E17,4)</f>
        <v>4.0000000000000002E-4</v>
      </c>
      <c r="G17" s="316" t="s">
        <v>195</v>
      </c>
      <c r="H17" s="312"/>
      <c r="I17" s="314"/>
    </row>
    <row r="18" spans="1:9" ht="13.8">
      <c r="A18" s="219">
        <v>8</v>
      </c>
      <c r="B18" s="219"/>
      <c r="C18" s="317"/>
      <c r="D18" s="219"/>
      <c r="E18" s="317"/>
      <c r="F18" s="305"/>
      <c r="G18" s="219"/>
      <c r="H18" s="219"/>
    </row>
    <row r="19" spans="1:9">
      <c r="A19" s="219">
        <v>9</v>
      </c>
      <c r="B19" s="218" t="s">
        <v>208</v>
      </c>
      <c r="C19" s="315">
        <v>3766017117</v>
      </c>
      <c r="D19" s="222">
        <f>ROUND(C19/$C$23,4)</f>
        <v>0.50619999999999998</v>
      </c>
      <c r="E19" s="313">
        <v>5.9499999999999997E-2</v>
      </c>
      <c r="F19" s="305">
        <f>ROUND(D19*E19,4)</f>
        <v>3.0099999999999998E-2</v>
      </c>
      <c r="G19" s="316" t="s">
        <v>195</v>
      </c>
      <c r="H19" s="219"/>
    </row>
    <row r="20" spans="1:9">
      <c r="A20" s="219">
        <f>A19+1</f>
        <v>10</v>
      </c>
      <c r="B20" s="219"/>
      <c r="C20" s="219"/>
      <c r="D20" s="219"/>
      <c r="E20" s="219"/>
      <c r="F20" s="306"/>
      <c r="G20" s="219"/>
      <c r="H20" s="219"/>
    </row>
    <row r="21" spans="1:9">
      <c r="A21" s="219">
        <v>13</v>
      </c>
      <c r="B21" s="218" t="s">
        <v>209</v>
      </c>
      <c r="C21" s="318">
        <v>3627618353</v>
      </c>
      <c r="D21" s="223">
        <f>ROUND(C21/$C$23,4)</f>
        <v>0.48759999999999998</v>
      </c>
      <c r="E21" s="313">
        <v>9.8000000000000004E-2</v>
      </c>
      <c r="F21" s="307">
        <f>ROUND(D21*E21,4)</f>
        <v>4.7800000000000002E-2</v>
      </c>
      <c r="G21" s="219"/>
      <c r="H21" s="219"/>
    </row>
    <row r="22" spans="1:9">
      <c r="A22" s="219">
        <v>14</v>
      </c>
      <c r="B22" s="219"/>
      <c r="C22" s="219"/>
      <c r="D22" s="219"/>
      <c r="E22" s="219"/>
      <c r="F22" s="311"/>
      <c r="G22" s="219"/>
      <c r="H22" s="219"/>
    </row>
    <row r="23" spans="1:9">
      <c r="A23" s="219">
        <v>16</v>
      </c>
      <c r="B23" s="218" t="s">
        <v>210</v>
      </c>
      <c r="C23" s="224">
        <f>SUM(C17:C22)</f>
        <v>7439510803</v>
      </c>
      <c r="D23" s="225">
        <v>1</v>
      </c>
      <c r="E23" s="226"/>
      <c r="F23" s="308">
        <f>ROUND(SUM(F17:F21),5)</f>
        <v>7.8299999999999995E-2</v>
      </c>
      <c r="G23" s="219"/>
      <c r="H23" s="219"/>
    </row>
    <row r="24" spans="1:9">
      <c r="A24" s="219">
        <v>17.600000000000001</v>
      </c>
      <c r="B24" s="219"/>
      <c r="C24" s="219"/>
      <c r="D24" s="219"/>
      <c r="E24" s="219"/>
      <c r="F24" s="309"/>
      <c r="G24" s="219"/>
      <c r="H24" s="219"/>
    </row>
    <row r="25" spans="1:9">
      <c r="A25" s="219">
        <v>19.2</v>
      </c>
      <c r="B25" s="219"/>
      <c r="C25" s="219"/>
      <c r="D25" s="219"/>
      <c r="E25" s="219"/>
      <c r="F25" s="310"/>
      <c r="G25" s="219"/>
      <c r="H25" s="219"/>
    </row>
    <row r="26" spans="1:9">
      <c r="A26" s="219">
        <v>20.8</v>
      </c>
      <c r="B26" s="218" t="s">
        <v>212</v>
      </c>
      <c r="C26" s="218"/>
      <c r="D26" s="219"/>
      <c r="E26" s="219"/>
      <c r="F26" s="310"/>
      <c r="G26" s="219"/>
      <c r="H26" s="219"/>
    </row>
    <row r="27" spans="1:9">
      <c r="B27" s="219"/>
      <c r="C27" s="219"/>
      <c r="D27" s="219"/>
      <c r="E27" s="219" t="s">
        <v>211</v>
      </c>
      <c r="F27" s="319">
        <f>F17+F19</f>
        <v>3.0499999999999999E-2</v>
      </c>
      <c r="G27" s="219"/>
      <c r="H27" s="219"/>
    </row>
    <row r="28" spans="1:9">
      <c r="B28" s="219"/>
      <c r="C28" s="219"/>
      <c r="D28" s="219"/>
      <c r="E28" s="219"/>
      <c r="F28" s="319"/>
      <c r="G28" s="219"/>
      <c r="H28" s="219"/>
    </row>
    <row r="29" spans="1:9">
      <c r="B29" s="219"/>
      <c r="C29" s="320"/>
      <c r="D29" s="219"/>
      <c r="E29" s="219"/>
      <c r="F29" s="219"/>
      <c r="G29" s="219"/>
      <c r="H29" s="219"/>
    </row>
    <row r="30" spans="1:9">
      <c r="A30" s="219"/>
      <c r="B30" s="220"/>
      <c r="C30" s="220"/>
      <c r="D30" s="220"/>
      <c r="E30" s="220"/>
      <c r="F30" s="220"/>
      <c r="H30" s="219"/>
    </row>
    <row r="31" spans="1:9">
      <c r="A31" s="219"/>
      <c r="B31" s="219"/>
      <c r="C31" s="219"/>
      <c r="D31" s="219"/>
      <c r="E31" s="219"/>
      <c r="F31" s="219"/>
      <c r="G31" s="219"/>
      <c r="H31" s="219"/>
    </row>
    <row r="32" spans="1:9">
      <c r="A32" s="219"/>
      <c r="B32" s="219"/>
      <c r="C32" s="219"/>
      <c r="D32" s="219"/>
      <c r="E32" s="219"/>
      <c r="F32" s="220"/>
      <c r="G32" s="219"/>
    </row>
    <row r="33" spans="1:7">
      <c r="A33" s="219"/>
      <c r="B33" s="219"/>
      <c r="C33" s="219"/>
      <c r="D33" s="219"/>
      <c r="E33" s="219"/>
      <c r="F33" s="220"/>
      <c r="G33" s="219"/>
    </row>
    <row r="34" spans="1:7">
      <c r="A34" s="219"/>
      <c r="B34" s="221"/>
      <c r="C34" s="221"/>
      <c r="D34" s="221"/>
      <c r="E34" s="221"/>
      <c r="F34" s="221"/>
      <c r="G34" s="219"/>
    </row>
    <row r="35" spans="1:7">
      <c r="A35" s="219"/>
      <c r="B35" s="219"/>
      <c r="C35" s="219"/>
      <c r="D35" s="219"/>
      <c r="E35" s="219"/>
      <c r="F35" s="219"/>
      <c r="G35" s="219"/>
    </row>
    <row r="36" spans="1:7">
      <c r="A36" s="219"/>
      <c r="B36" s="218"/>
      <c r="C36" s="315"/>
      <c r="D36" s="222"/>
      <c r="E36" s="313"/>
      <c r="F36" s="305"/>
      <c r="G36" s="316"/>
    </row>
    <row r="37" spans="1:7" ht="13.8">
      <c r="A37" s="219"/>
      <c r="B37" s="219"/>
      <c r="C37" s="317"/>
      <c r="D37" s="219"/>
      <c r="E37" s="317"/>
      <c r="F37" s="305"/>
      <c r="G37" s="219"/>
    </row>
    <row r="38" spans="1:7">
      <c r="A38" s="219"/>
      <c r="B38" s="218"/>
      <c r="C38" s="315"/>
      <c r="D38" s="222"/>
      <c r="E38" s="313"/>
      <c r="F38" s="305"/>
      <c r="G38" s="316"/>
    </row>
    <row r="39" spans="1:7">
      <c r="A39" s="219"/>
      <c r="B39" s="219"/>
      <c r="C39" s="219"/>
      <c r="D39" s="219"/>
      <c r="E39" s="219"/>
      <c r="F39" s="306"/>
      <c r="G39" s="219"/>
    </row>
    <row r="40" spans="1:7">
      <c r="A40" s="219"/>
      <c r="B40" s="218"/>
      <c r="C40" s="318"/>
      <c r="D40" s="223"/>
      <c r="E40" s="323"/>
      <c r="F40" s="307"/>
      <c r="G40" s="219"/>
    </row>
    <row r="41" spans="1:7">
      <c r="A41" s="219"/>
      <c r="B41" s="219"/>
      <c r="C41" s="219"/>
      <c r="D41" s="219"/>
      <c r="E41" s="219"/>
      <c r="F41" s="311"/>
      <c r="G41" s="219"/>
    </row>
    <row r="42" spans="1:7">
      <c r="A42" s="219"/>
      <c r="B42" s="218"/>
      <c r="C42" s="224"/>
      <c r="D42" s="225"/>
      <c r="E42" s="226"/>
      <c r="F42" s="308"/>
      <c r="G42" s="219"/>
    </row>
    <row r="43" spans="1:7">
      <c r="A43" s="219"/>
      <c r="B43" s="219"/>
      <c r="C43" s="219"/>
      <c r="D43" s="219"/>
      <c r="E43" s="219"/>
      <c r="F43" s="309"/>
      <c r="G43" s="219"/>
    </row>
    <row r="44" spans="1:7">
      <c r="A44" s="219"/>
      <c r="B44" s="219"/>
      <c r="C44" s="219"/>
      <c r="D44" s="219"/>
      <c r="E44" s="219"/>
      <c r="F44" s="310"/>
      <c r="G44" s="219"/>
    </row>
    <row r="45" spans="1:7">
      <c r="A45" s="219"/>
      <c r="B45" s="218"/>
      <c r="C45" s="218"/>
      <c r="D45" s="219"/>
      <c r="E45" s="219"/>
      <c r="F45" s="310"/>
      <c r="G45" s="219"/>
    </row>
    <row r="46" spans="1:7">
      <c r="B46" s="219"/>
      <c r="C46" s="219"/>
      <c r="D46" s="219"/>
      <c r="E46" s="219"/>
      <c r="F46" s="319"/>
      <c r="G46" s="21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" workbookViewId="0">
      <selection activeCell="C40" sqref="C40:C41"/>
    </sheetView>
  </sheetViews>
  <sheetFormatPr defaultColWidth="9.28515625" defaultRowHeight="15" customHeight="1"/>
  <cols>
    <col min="1" max="1" width="10.28515625" style="487" customWidth="1"/>
    <col min="2" max="2" width="58.85546875" style="487" customWidth="1"/>
    <col min="3" max="3" width="11.28515625" style="488" bestFit="1" customWidth="1"/>
    <col min="4" max="4" width="19.140625" style="489" bestFit="1" customWidth="1"/>
    <col min="5" max="16384" width="9.28515625" style="487"/>
  </cols>
  <sheetData>
    <row r="1" spans="1:4" ht="13.2">
      <c r="A1" s="486"/>
    </row>
    <row r="2" spans="1:4" ht="13.2"/>
    <row r="3" spans="1:4" ht="13.2">
      <c r="A3" s="490" t="s">
        <v>272</v>
      </c>
      <c r="B3" s="491"/>
      <c r="C3" s="492"/>
    </row>
    <row r="4" spans="1:4" ht="13.2">
      <c r="A4" s="493" t="s">
        <v>273</v>
      </c>
      <c r="B4" s="491"/>
      <c r="C4" s="492"/>
    </row>
    <row r="5" spans="1:4" ht="13.2">
      <c r="A5" s="494" t="s">
        <v>327</v>
      </c>
      <c r="B5" s="495"/>
      <c r="C5" s="492"/>
    </row>
    <row r="6" spans="1:4" ht="13.2">
      <c r="A6" s="496"/>
      <c r="B6" s="495"/>
      <c r="C6" s="497"/>
    </row>
    <row r="7" spans="1:4" ht="13.2">
      <c r="A7" s="498"/>
      <c r="B7" s="495" t="s">
        <v>274</v>
      </c>
      <c r="C7" s="499" t="s">
        <v>275</v>
      </c>
    </row>
    <row r="8" spans="1:4" ht="13.2">
      <c r="A8" s="500" t="s">
        <v>234</v>
      </c>
      <c r="B8" s="537">
        <v>0.6865</v>
      </c>
      <c r="C8" s="538">
        <v>0</v>
      </c>
    </row>
    <row r="9" spans="1:4" ht="13.2">
      <c r="A9" s="501" t="s">
        <v>119</v>
      </c>
      <c r="B9" s="537">
        <v>0.3135</v>
      </c>
      <c r="C9" s="538">
        <v>0</v>
      </c>
    </row>
    <row r="10" spans="1:4" ht="15.6">
      <c r="A10" s="502"/>
      <c r="B10" s="502"/>
      <c r="C10" s="502"/>
      <c r="D10" s="503"/>
    </row>
    <row r="11" spans="1:4" ht="13.2">
      <c r="A11" s="504"/>
      <c r="B11" s="504"/>
      <c r="C11" s="492"/>
      <c r="D11" s="505"/>
    </row>
    <row r="12" spans="1:4" ht="13.2">
      <c r="A12" s="506" t="s">
        <v>276</v>
      </c>
      <c r="B12" s="507" t="s">
        <v>202</v>
      </c>
      <c r="C12" s="492"/>
      <c r="D12" s="409" t="s">
        <v>277</v>
      </c>
    </row>
    <row r="13" spans="1:4" ht="13.2">
      <c r="A13" s="508" t="s">
        <v>278</v>
      </c>
      <c r="B13" s="509"/>
      <c r="D13" s="510">
        <v>42551</v>
      </c>
    </row>
    <row r="14" spans="1:4" ht="13.2">
      <c r="A14" s="511" t="s">
        <v>279</v>
      </c>
      <c r="B14" s="512"/>
      <c r="C14" s="502"/>
      <c r="D14" s="513"/>
    </row>
    <row r="15" spans="1:4" ht="13.2">
      <c r="A15" s="511"/>
      <c r="B15" s="507"/>
      <c r="C15" s="502"/>
      <c r="D15" s="514"/>
    </row>
    <row r="16" spans="1:4" ht="13.2">
      <c r="A16" s="515">
        <v>1</v>
      </c>
      <c r="B16" s="511" t="s">
        <v>280</v>
      </c>
      <c r="C16" s="506"/>
      <c r="D16" s="516">
        <v>3340795920</v>
      </c>
    </row>
    <row r="17" spans="1:4" ht="13.2">
      <c r="A17" s="515">
        <v>2</v>
      </c>
      <c r="B17" s="517" t="s">
        <v>281</v>
      </c>
      <c r="C17" s="506"/>
      <c r="D17" s="516">
        <v>147655781</v>
      </c>
    </row>
    <row r="18" spans="1:4" ht="13.2">
      <c r="A18" s="515">
        <v>3</v>
      </c>
      <c r="B18" s="511" t="s">
        <v>282</v>
      </c>
      <c r="C18" s="506" t="s">
        <v>283</v>
      </c>
      <c r="D18" s="516">
        <v>8654564</v>
      </c>
    </row>
    <row r="19" spans="1:4" ht="13.2">
      <c r="A19" s="515">
        <v>4</v>
      </c>
      <c r="B19" s="511" t="s">
        <v>284</v>
      </c>
      <c r="C19" s="506" t="s">
        <v>283</v>
      </c>
      <c r="D19" s="518">
        <f>SUM(D16:D18)</f>
        <v>3497106265</v>
      </c>
    </row>
    <row r="20" spans="1:4" ht="13.2">
      <c r="A20" s="515"/>
      <c r="B20" s="511"/>
      <c r="C20" s="506"/>
      <c r="D20" s="519"/>
    </row>
    <row r="21" spans="1:4" ht="13.2">
      <c r="A21" s="515">
        <v>5</v>
      </c>
      <c r="B21" s="511" t="s">
        <v>285</v>
      </c>
      <c r="C21" s="506" t="s">
        <v>283</v>
      </c>
      <c r="D21" s="516">
        <v>-1276887301</v>
      </c>
    </row>
    <row r="22" spans="1:4" ht="13.2">
      <c r="A22" s="515">
        <v>7</v>
      </c>
      <c r="B22" s="511" t="s">
        <v>286</v>
      </c>
      <c r="C22" s="506"/>
      <c r="D22" s="516">
        <v>-60382360</v>
      </c>
    </row>
    <row r="23" spans="1:4" ht="13.2">
      <c r="A23" s="515">
        <v>8</v>
      </c>
      <c r="B23" s="511" t="s">
        <v>287</v>
      </c>
      <c r="C23" s="506" t="s">
        <v>283</v>
      </c>
      <c r="D23" s="516">
        <v>-20858256</v>
      </c>
    </row>
    <row r="24" spans="1:4" ht="13.2">
      <c r="A24" s="515">
        <v>9</v>
      </c>
      <c r="B24" s="520" t="s">
        <v>288</v>
      </c>
      <c r="C24" s="506" t="s">
        <v>283</v>
      </c>
      <c r="D24" s="516">
        <v>0</v>
      </c>
    </row>
    <row r="25" spans="1:4" s="489" customFormat="1" ht="13.2">
      <c r="A25" s="521">
        <v>10</v>
      </c>
      <c r="B25" s="522" t="s">
        <v>289</v>
      </c>
      <c r="C25" s="523" t="s">
        <v>283</v>
      </c>
      <c r="D25" s="516">
        <v>-504232382</v>
      </c>
    </row>
    <row r="26" spans="1:4" s="489" customFormat="1" ht="13.2">
      <c r="A26" s="521">
        <v>11</v>
      </c>
      <c r="B26" s="522" t="s">
        <v>290</v>
      </c>
      <c r="C26" s="524"/>
      <c r="D26" s="516">
        <v>14820995.47698327</v>
      </c>
    </row>
    <row r="27" spans="1:4" s="489" customFormat="1" ht="13.2">
      <c r="A27" s="521">
        <v>12</v>
      </c>
      <c r="B27" s="522" t="s">
        <v>291</v>
      </c>
      <c r="C27" s="523"/>
      <c r="D27" s="516">
        <v>-8095461</v>
      </c>
    </row>
    <row r="28" spans="1:4" ht="13.2">
      <c r="A28" s="515">
        <v>12</v>
      </c>
      <c r="B28" s="520" t="s">
        <v>292</v>
      </c>
      <c r="C28" s="506" t="s">
        <v>283</v>
      </c>
      <c r="D28" s="525">
        <f>SUM(D21:D27)</f>
        <v>-1855634764.5230167</v>
      </c>
    </row>
    <row r="29" spans="1:4" ht="13.2">
      <c r="A29" s="515"/>
      <c r="B29" s="511"/>
      <c r="C29" s="506"/>
      <c r="D29" s="526"/>
    </row>
    <row r="30" spans="1:4" ht="13.2">
      <c r="A30" s="515">
        <v>13</v>
      </c>
      <c r="B30" s="511" t="s">
        <v>293</v>
      </c>
      <c r="C30" s="506" t="s">
        <v>283</v>
      </c>
      <c r="D30" s="527">
        <f>+D28+D19</f>
        <v>1641471500.4769833</v>
      </c>
    </row>
    <row r="31" spans="1:4" ht="13.2">
      <c r="A31" s="528">
        <v>14</v>
      </c>
      <c r="B31" s="529" t="s">
        <v>294</v>
      </c>
      <c r="C31" s="512" t="s">
        <v>283</v>
      </c>
      <c r="D31" s="516">
        <v>74957434.61789085</v>
      </c>
    </row>
    <row r="32" spans="1:4" ht="13.8" thickBot="1">
      <c r="A32" s="515">
        <v>15</v>
      </c>
      <c r="B32" s="487" t="s">
        <v>295</v>
      </c>
      <c r="C32" s="506"/>
      <c r="D32" s="530">
        <f>+D30+D31</f>
        <v>1716428935.0948741</v>
      </c>
    </row>
    <row r="33" spans="1:4" ht="13.8" thickTop="1">
      <c r="A33" s="515"/>
      <c r="D33" s="519"/>
    </row>
    <row r="34" spans="1:4" ht="13.2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CQ353"/>
  <sheetViews>
    <sheetView zoomScale="88" zoomScaleNormal="115" workbookViewId="0">
      <selection activeCell="BV52" sqref="BV52"/>
    </sheetView>
  </sheetViews>
  <sheetFormatPr defaultColWidth="21.140625" defaultRowHeight="12.75" customHeight="1"/>
  <cols>
    <col min="1" max="1" width="7.140625" style="204" customWidth="1"/>
    <col min="2" max="2" width="47.7109375" style="204" customWidth="1"/>
    <col min="3" max="6" width="18" style="204" customWidth="1"/>
    <col min="7" max="7" width="6.85546875" style="2" customWidth="1"/>
    <col min="8" max="8" width="60.140625" style="2" customWidth="1"/>
    <col min="9" max="9" width="23.7109375" style="2" customWidth="1"/>
    <col min="10" max="10" width="21" style="2" bestFit="1" customWidth="1"/>
    <col min="11" max="11" width="19" style="2" bestFit="1" customWidth="1"/>
    <col min="12" max="12" width="6.85546875" style="2" customWidth="1"/>
    <col min="13" max="13" width="23" style="2" customWidth="1"/>
    <col min="14" max="14" width="25.7109375" style="2" customWidth="1"/>
    <col min="15" max="15" width="24" style="2" customWidth="1"/>
    <col min="16" max="16" width="20" style="2" customWidth="1"/>
    <col min="17" max="17" width="6.85546875" style="2" customWidth="1"/>
    <col min="18" max="18" width="55" style="2" customWidth="1"/>
    <col min="19" max="19" width="21.42578125" style="2" customWidth="1"/>
    <col min="20" max="20" width="22.140625" style="2" customWidth="1"/>
    <col min="21" max="21" width="6.42578125" style="2" bestFit="1" customWidth="1"/>
    <col min="22" max="22" width="73.28515625" style="2" bestFit="1" customWidth="1"/>
    <col min="23" max="23" width="16.140625" style="2" customWidth="1"/>
    <col min="24" max="24" width="18.140625" style="2" customWidth="1"/>
    <col min="25" max="25" width="6.42578125" style="2" bestFit="1" customWidth="1"/>
    <col min="26" max="26" width="67.140625" style="2" customWidth="1"/>
    <col min="27" max="27" width="5.42578125" style="2" bestFit="1" customWidth="1"/>
    <col min="28" max="29" width="18.140625" style="2" customWidth="1"/>
    <col min="30" max="30" width="6.85546875" style="2" customWidth="1"/>
    <col min="31" max="31" width="39" style="2" customWidth="1"/>
    <col min="32" max="35" width="17" style="2" customWidth="1"/>
    <col min="36" max="36" width="15.28515625" style="2" customWidth="1"/>
    <col min="37" max="37" width="5.85546875" style="2" bestFit="1" customWidth="1"/>
    <col min="38" max="38" width="40.85546875" style="2" bestFit="1" customWidth="1"/>
    <col min="39" max="39" width="14" style="2" customWidth="1"/>
    <col min="40" max="40" width="22.85546875" style="45" customWidth="1"/>
    <col min="41" max="41" width="5.85546875" style="164" customWidth="1"/>
    <col min="42" max="42" width="36.140625" style="164" bestFit="1" customWidth="1"/>
    <col min="43" max="43" width="16.140625" style="164" customWidth="1"/>
    <col min="44" max="44" width="18.85546875" style="164" customWidth="1"/>
    <col min="45" max="45" width="6.85546875" style="2" customWidth="1"/>
    <col min="46" max="46" width="44" style="2" customWidth="1"/>
    <col min="47" max="47" width="18.140625" style="2" customWidth="1"/>
    <col min="48" max="48" width="17.140625" style="2" customWidth="1"/>
    <col min="49" max="49" width="18.42578125" style="2" customWidth="1"/>
    <col min="50" max="50" width="5.85546875" style="151" bestFit="1" customWidth="1"/>
    <col min="51" max="51" width="55.140625" style="151" bestFit="1" customWidth="1"/>
    <col min="52" max="54" width="17" style="151" customWidth="1"/>
    <col min="55" max="55" width="6.42578125" style="151" bestFit="1" customWidth="1"/>
    <col min="56" max="56" width="62.42578125" style="151" customWidth="1"/>
    <col min="57" max="57" width="14.42578125" style="151" customWidth="1"/>
    <col min="58" max="58" width="15" style="151" customWidth="1"/>
    <col min="59" max="59" width="17" style="151" customWidth="1"/>
    <col min="60" max="60" width="5.85546875" style="151" bestFit="1" customWidth="1"/>
    <col min="61" max="61" width="45.28515625" style="151" customWidth="1"/>
    <col min="62" max="64" width="17" style="151" customWidth="1"/>
    <col min="65" max="65" width="6.85546875" style="2" customWidth="1"/>
    <col min="66" max="66" width="42.7109375" style="2" customWidth="1"/>
    <col min="67" max="67" width="17.7109375" style="2" customWidth="1"/>
    <col min="68" max="68" width="16.85546875" style="2" customWidth="1"/>
    <col min="69" max="69" width="19.140625" style="2" customWidth="1"/>
    <col min="70" max="70" width="4.140625" style="2" customWidth="1"/>
    <col min="71" max="71" width="6.85546875" style="2" customWidth="1"/>
    <col min="72" max="72" width="62.28515625" style="2" bestFit="1" customWidth="1"/>
    <col min="73" max="73" width="27.85546875" style="2" bestFit="1" customWidth="1"/>
    <col min="74" max="77" width="23.85546875" style="2" customWidth="1"/>
    <col min="78" max="78" width="23.85546875" style="2" customWidth="1" collapsed="1"/>
    <col min="79" max="80" width="23.85546875" style="2" customWidth="1"/>
    <col min="81" max="81" width="5.85546875" style="2" bestFit="1" customWidth="1"/>
    <col min="82" max="82" width="60.140625" style="2" bestFit="1" customWidth="1"/>
    <col min="83" max="83" width="17.42578125" style="2" customWidth="1"/>
    <col min="84" max="84" width="23.7109375" style="2" customWidth="1"/>
    <col min="85" max="88" width="18.42578125" style="2" bestFit="1" customWidth="1"/>
    <col min="89" max="89" width="22" style="2" bestFit="1" customWidth="1"/>
    <col min="90" max="90" width="20.42578125" style="2" bestFit="1" customWidth="1"/>
    <col min="91" max="91" width="6.85546875" style="2" customWidth="1"/>
    <col min="92" max="92" width="60.140625" style="2" bestFit="1" customWidth="1"/>
    <col min="93" max="93" width="21.140625" style="2" customWidth="1"/>
    <col min="94" max="94" width="22" style="2" bestFit="1" customWidth="1"/>
    <col min="95" max="95" width="20.42578125" style="2" bestFit="1" customWidth="1"/>
    <col min="96" max="16384" width="21.140625" style="2"/>
  </cols>
  <sheetData>
    <row r="1" spans="1:95" ht="15" customHeight="1" thickBot="1">
      <c r="A1" s="322">
        <f>ROUND(SUM(B1:CQ1),0)+ROUND(CL60,0)</f>
        <v>0</v>
      </c>
      <c r="B1" s="159"/>
      <c r="C1" s="159"/>
      <c r="D1" s="188"/>
      <c r="F1" s="322">
        <f>ROUND(F50-BV$44,0)</f>
        <v>0</v>
      </c>
      <c r="G1" s="187"/>
      <c r="H1" s="159"/>
      <c r="I1" s="159"/>
      <c r="J1" s="188"/>
      <c r="K1" s="322">
        <f>ROUND(K39-BW$44,0)</f>
        <v>0</v>
      </c>
      <c r="L1" s="84"/>
      <c r="P1" s="322">
        <f>ROUND(P31-BX$44,0)</f>
        <v>0</v>
      </c>
      <c r="Q1" s="84"/>
      <c r="T1" s="322">
        <f>ROUND(T24-BY$44,0)</f>
        <v>0</v>
      </c>
      <c r="U1" s="84"/>
      <c r="X1" s="322">
        <f>ROUND(X42-BZ$44,0)</f>
        <v>0</v>
      </c>
      <c r="Y1" s="130"/>
      <c r="Z1" s="130"/>
      <c r="AA1" s="130"/>
      <c r="AB1" s="130"/>
      <c r="AC1" s="322">
        <f>ROUND(AC24-CA$44,0)</f>
        <v>0</v>
      </c>
      <c r="AD1" s="84"/>
      <c r="AE1" s="63"/>
      <c r="AF1" s="63"/>
      <c r="AG1" s="63"/>
      <c r="AH1" s="63"/>
      <c r="AI1" s="63"/>
      <c r="AJ1" s="322">
        <f>ROUND(AJ30-CB$44,0)</f>
        <v>0</v>
      </c>
      <c r="AK1" s="84"/>
      <c r="AN1" s="322">
        <f>ROUND(AN26-CE$44,0)</f>
        <v>0</v>
      </c>
      <c r="AO1" s="165"/>
      <c r="AR1" s="322">
        <f>ROUND(AR15-CF$44,0)</f>
        <v>0</v>
      </c>
      <c r="AS1" s="84"/>
      <c r="AU1" s="21"/>
      <c r="AW1" s="322">
        <f>ROUND(AW20-CG$44,0)</f>
        <v>0</v>
      </c>
      <c r="AX1" s="84"/>
      <c r="AY1" s="2"/>
      <c r="AZ1" s="2"/>
      <c r="BA1" s="2"/>
      <c r="BB1" s="322">
        <f>ROUND(BB20-CH$44,0)</f>
        <v>0</v>
      </c>
      <c r="BC1" s="227"/>
      <c r="BD1" s="227"/>
      <c r="BE1" s="227"/>
      <c r="BF1" s="227"/>
      <c r="BG1" s="322">
        <f>ROUND(BG19-CI$44,0)</f>
        <v>0</v>
      </c>
      <c r="BH1" s="84"/>
      <c r="BI1" s="2"/>
      <c r="BJ1" s="2"/>
      <c r="BK1" s="2"/>
      <c r="BL1" s="322">
        <f>ROUND(BL21-CJ$44,0)</f>
        <v>0</v>
      </c>
      <c r="BM1" s="84"/>
      <c r="BQ1" s="322"/>
      <c r="BS1" s="84"/>
      <c r="CF1" s="15"/>
      <c r="CG1" s="15"/>
      <c r="CH1" s="15"/>
      <c r="CI1" s="15"/>
      <c r="CJ1" s="15"/>
      <c r="CK1" s="15"/>
      <c r="CL1" s="130"/>
      <c r="CQ1" s="130"/>
    </row>
    <row r="2" spans="1:95" s="107" customFormat="1" ht="15" customHeight="1" thickTop="1" thickBot="1">
      <c r="A2" s="476"/>
      <c r="B2" s="477"/>
      <c r="C2" s="476"/>
      <c r="D2" s="477"/>
      <c r="E2" s="477"/>
      <c r="F2" s="474" t="str">
        <f>BV11</f>
        <v>Adj 3.01</v>
      </c>
      <c r="G2" s="476"/>
      <c r="H2" s="476"/>
      <c r="I2" s="476"/>
      <c r="J2" s="477"/>
      <c r="K2" s="474" t="str">
        <f>BW11</f>
        <v>Adj 3.02</v>
      </c>
      <c r="P2" s="474" t="str">
        <f>BX11</f>
        <v>Adj 3.03</v>
      </c>
      <c r="R2" s="478" t="s">
        <v>20</v>
      </c>
      <c r="T2" s="474" t="str">
        <f>BY11</f>
        <v xml:space="preserve"> Adj 3.04</v>
      </c>
      <c r="X2" s="474" t="str">
        <f>BZ11</f>
        <v>Adj 3.05</v>
      </c>
      <c r="Y2" s="49"/>
      <c r="Z2" s="49"/>
      <c r="AA2" s="49"/>
      <c r="AB2" s="49"/>
      <c r="AC2" s="474" t="str">
        <f>CA11</f>
        <v>Adj 3.06</v>
      </c>
      <c r="AE2" s="479"/>
      <c r="AF2" s="479"/>
      <c r="AG2" s="479"/>
      <c r="AH2" s="479"/>
      <c r="AI2" s="479"/>
      <c r="AJ2" s="474" t="str">
        <f>CB11</f>
        <v>Adj 3.07</v>
      </c>
      <c r="AN2" s="474" t="str">
        <f>CE11</f>
        <v>Adj 3.08</v>
      </c>
      <c r="AO2" s="480"/>
      <c r="AP2" s="480"/>
      <c r="AQ2" s="480"/>
      <c r="AR2" s="474" t="str">
        <f>CF11</f>
        <v>Adj 3.09</v>
      </c>
      <c r="AU2" s="481"/>
      <c r="AW2" s="474" t="str">
        <f>CG11</f>
        <v>Adj 3.10</v>
      </c>
      <c r="AX2" s="388"/>
      <c r="AY2" s="388"/>
      <c r="AZ2" s="388"/>
      <c r="BA2" s="388"/>
      <c r="BB2" s="474" t="str">
        <f>CH11</f>
        <v>Adj 3.11</v>
      </c>
      <c r="BC2" s="49"/>
      <c r="BD2" s="49"/>
      <c r="BE2" s="49"/>
      <c r="BF2" s="49"/>
      <c r="BG2" s="474" t="str">
        <f>CI11</f>
        <v>Adj 3.12</v>
      </c>
      <c r="BH2" s="388"/>
      <c r="BI2" s="388"/>
      <c r="BJ2" s="388"/>
      <c r="BK2" s="388"/>
      <c r="BL2" s="474" t="str">
        <f>CJ11</f>
        <v>Adj 3.13</v>
      </c>
      <c r="BQ2" s="210" t="s">
        <v>256</v>
      </c>
      <c r="BU2" s="388"/>
      <c r="CB2" s="482" t="s">
        <v>213</v>
      </c>
      <c r="CL2" s="482" t="s">
        <v>214</v>
      </c>
      <c r="CQ2" s="483" t="s">
        <v>215</v>
      </c>
    </row>
    <row r="3" spans="1:95" s="33" customFormat="1" ht="15" customHeight="1">
      <c r="A3" s="189"/>
      <c r="B3" s="190"/>
      <c r="C3" s="191"/>
      <c r="D3" s="189"/>
      <c r="E3" s="204"/>
      <c r="F3" s="228"/>
      <c r="G3" s="189"/>
      <c r="H3" s="190"/>
      <c r="I3" s="191"/>
      <c r="J3" s="189"/>
      <c r="K3" s="204"/>
      <c r="AD3" s="86"/>
      <c r="AK3" s="229"/>
      <c r="AL3" s="49"/>
      <c r="AM3" s="49"/>
      <c r="AO3" s="230"/>
      <c r="AP3" s="230"/>
      <c r="AQ3" s="230"/>
      <c r="AU3" s="231"/>
      <c r="AX3" s="232"/>
      <c r="AY3" s="232"/>
      <c r="AZ3" s="232"/>
      <c r="BA3" s="232"/>
      <c r="BH3" s="232"/>
      <c r="BI3" s="232"/>
      <c r="BJ3" s="232"/>
      <c r="BK3" s="232"/>
      <c r="BN3" s="4"/>
      <c r="BO3" s="4"/>
      <c r="BP3" s="4"/>
      <c r="BR3" s="49"/>
      <c r="BS3" s="32" t="s">
        <v>21</v>
      </c>
      <c r="BT3" s="4"/>
      <c r="BU3" s="4"/>
      <c r="BV3" s="4"/>
      <c r="BW3" s="4"/>
      <c r="BX3" s="4"/>
      <c r="BY3" s="4"/>
      <c r="BZ3" s="4"/>
      <c r="CA3" s="4"/>
      <c r="CB3" s="4"/>
      <c r="CC3" s="32" t="s">
        <v>21</v>
      </c>
      <c r="CD3" s="4"/>
      <c r="CE3" s="4"/>
      <c r="CF3" s="4"/>
      <c r="CG3" s="4"/>
      <c r="CH3" s="4"/>
      <c r="CI3" s="4"/>
      <c r="CJ3" s="4"/>
      <c r="CK3" s="4"/>
      <c r="CL3" s="4"/>
      <c r="CM3" s="32" t="str">
        <f>PSPL</f>
        <v>PUGET SOUND ENERGY-GAS</v>
      </c>
      <c r="CN3" s="4"/>
      <c r="CO3" s="4"/>
      <c r="CP3" s="4"/>
      <c r="CQ3" s="87"/>
    </row>
    <row r="4" spans="1:95" s="39" customFormat="1" ht="15" customHeight="1">
      <c r="A4" s="234" t="s">
        <v>21</v>
      </c>
      <c r="B4" s="330"/>
      <c r="C4" s="330"/>
      <c r="D4" s="330"/>
      <c r="E4" s="330"/>
      <c r="F4" s="330"/>
      <c r="G4" s="192" t="s">
        <v>21</v>
      </c>
      <c r="H4" s="193"/>
      <c r="I4" s="193"/>
      <c r="J4" s="193"/>
      <c r="K4" s="205"/>
      <c r="L4" s="32" t="str">
        <f>PSPL</f>
        <v>PUGET SOUND ENERGY-GAS</v>
      </c>
      <c r="M4" s="4"/>
      <c r="N4" s="4"/>
      <c r="O4" s="4"/>
      <c r="P4" s="88"/>
      <c r="Q4" s="32" t="str">
        <f>PSPL</f>
        <v>PUGET SOUND ENERGY-GAS</v>
      </c>
      <c r="R4" s="4"/>
      <c r="S4" s="4"/>
      <c r="T4" s="4"/>
      <c r="U4" s="32" t="str">
        <f>PSPL</f>
        <v>PUGET SOUND ENERGY-GAS</v>
      </c>
      <c r="V4" s="4"/>
      <c r="W4" s="4"/>
      <c r="X4" s="233"/>
      <c r="Y4" s="32" t="str">
        <f>PSPL</f>
        <v>PUGET SOUND ENERGY-GAS</v>
      </c>
      <c r="Z4" s="233"/>
      <c r="AA4" s="233"/>
      <c r="AB4" s="233"/>
      <c r="AC4" s="233"/>
      <c r="AD4" s="4" t="str">
        <f>PSPL</f>
        <v>PUGET SOUND ENERGY-GAS</v>
      </c>
      <c r="AE4" s="4"/>
      <c r="AF4" s="4"/>
      <c r="AG4" s="4"/>
      <c r="AH4" s="4"/>
      <c r="AI4" s="4"/>
      <c r="AJ4" s="4"/>
      <c r="AK4" s="32" t="str">
        <f>PSPL</f>
        <v>PUGET SOUND ENERGY-GAS</v>
      </c>
      <c r="AL4" s="4"/>
      <c r="AM4" s="4"/>
      <c r="AN4" s="4"/>
      <c r="AO4" s="234" t="str">
        <f>PSPL</f>
        <v>PUGET SOUND ENERGY-GAS</v>
      </c>
      <c r="AP4" s="234"/>
      <c r="AQ4" s="234"/>
      <c r="AR4" s="234"/>
      <c r="AS4" s="32" t="str">
        <f>PSPL</f>
        <v>PUGET SOUND ENERGY-GAS</v>
      </c>
      <c r="AT4" s="4"/>
      <c r="AU4" s="235"/>
      <c r="AV4" s="4"/>
      <c r="AW4" s="4"/>
      <c r="AX4" s="32" t="str">
        <f>PSPL</f>
        <v>PUGET SOUND ENERGY-GAS</v>
      </c>
      <c r="AY4" s="4"/>
      <c r="AZ4" s="4"/>
      <c r="BA4" s="4"/>
      <c r="BB4" s="122"/>
      <c r="BC4" s="32" t="str">
        <f>PSPL</f>
        <v>PUGET SOUND ENERGY-GAS</v>
      </c>
      <c r="BD4" s="122"/>
      <c r="BE4" s="122"/>
      <c r="BF4" s="122"/>
      <c r="BG4" s="122"/>
      <c r="BH4" s="32" t="str">
        <f>PSPL</f>
        <v>PUGET SOUND ENERGY-GAS</v>
      </c>
      <c r="BI4" s="4"/>
      <c r="BJ4" s="4"/>
      <c r="BK4" s="4"/>
      <c r="BL4" s="122"/>
      <c r="BM4" s="32" t="str">
        <f>PSPL</f>
        <v>PUGET SOUND ENERGY-GAS</v>
      </c>
      <c r="BN4" s="4"/>
      <c r="BO4" s="4"/>
      <c r="BP4" s="4"/>
      <c r="BQ4" s="4"/>
      <c r="BR4" s="49"/>
      <c r="BS4" s="32" t="s">
        <v>65</v>
      </c>
      <c r="BT4" s="4"/>
      <c r="BU4" s="4"/>
      <c r="BV4" s="4"/>
      <c r="BW4" s="89"/>
      <c r="BX4" s="4"/>
      <c r="BY4" s="32"/>
      <c r="BZ4" s="32"/>
      <c r="CA4" s="32"/>
      <c r="CB4" s="32"/>
      <c r="CC4" s="32" t="s">
        <v>65</v>
      </c>
      <c r="CD4" s="32"/>
      <c r="CE4" s="32"/>
      <c r="CF4" s="4"/>
      <c r="CG4" s="4"/>
      <c r="CH4" s="4"/>
      <c r="CI4" s="4"/>
      <c r="CJ4" s="4"/>
      <c r="CK4" s="32"/>
      <c r="CL4" s="4"/>
      <c r="CM4" s="32" t="s">
        <v>23</v>
      </c>
      <c r="CN4" s="32"/>
      <c r="CO4" s="32"/>
      <c r="CP4" s="32"/>
      <c r="CQ4" s="32"/>
    </row>
    <row r="5" spans="1:95" s="338" customFormat="1" ht="15" customHeight="1">
      <c r="A5" s="327" t="s">
        <v>171</v>
      </c>
      <c r="B5" s="328"/>
      <c r="C5" s="327"/>
      <c r="D5" s="328"/>
      <c r="E5" s="329"/>
      <c r="F5" s="330"/>
      <c r="G5" s="327" t="s">
        <v>174</v>
      </c>
      <c r="H5" s="328"/>
      <c r="I5" s="327"/>
      <c r="J5" s="328"/>
      <c r="K5" s="329"/>
      <c r="L5" s="331" t="s">
        <v>58</v>
      </c>
      <c r="M5" s="331"/>
      <c r="N5" s="331"/>
      <c r="O5" s="331"/>
      <c r="P5" s="332"/>
      <c r="Q5" s="331" t="s">
        <v>93</v>
      </c>
      <c r="R5" s="331"/>
      <c r="S5" s="331"/>
      <c r="T5" s="333"/>
      <c r="U5" s="331"/>
      <c r="V5" s="331" t="s">
        <v>172</v>
      </c>
      <c r="W5" s="333"/>
      <c r="X5" s="334"/>
      <c r="Y5" s="331" t="s">
        <v>221</v>
      </c>
      <c r="Z5" s="334"/>
      <c r="AA5" s="334"/>
      <c r="AB5" s="334"/>
      <c r="AC5" s="334"/>
      <c r="AD5" s="335" t="s">
        <v>84</v>
      </c>
      <c r="AE5" s="331"/>
      <c r="AF5" s="331"/>
      <c r="AG5" s="331"/>
      <c r="AH5" s="331"/>
      <c r="AI5" s="331"/>
      <c r="AJ5" s="331"/>
      <c r="AK5" s="335" t="s">
        <v>85</v>
      </c>
      <c r="AL5" s="333"/>
      <c r="AM5" s="333"/>
      <c r="AN5" s="333"/>
      <c r="AO5" s="336" t="s">
        <v>110</v>
      </c>
      <c r="AP5" s="330"/>
      <c r="AQ5" s="330"/>
      <c r="AR5" s="330"/>
      <c r="AS5" s="331" t="s">
        <v>114</v>
      </c>
      <c r="AT5" s="331"/>
      <c r="AU5" s="337"/>
      <c r="AV5" s="331"/>
      <c r="AW5" s="333"/>
      <c r="AX5" s="331" t="s">
        <v>98</v>
      </c>
      <c r="AY5" s="331"/>
      <c r="AZ5" s="331"/>
      <c r="BA5" s="331"/>
      <c r="BB5" s="333"/>
      <c r="BC5" s="331" t="s">
        <v>227</v>
      </c>
      <c r="BD5" s="333"/>
      <c r="BE5" s="333"/>
      <c r="BF5" s="333"/>
      <c r="BG5" s="333"/>
      <c r="BH5" s="331" t="s">
        <v>185</v>
      </c>
      <c r="BI5" s="331"/>
      <c r="BJ5" s="331"/>
      <c r="BK5" s="331"/>
      <c r="BL5" s="333"/>
      <c r="BM5" s="331" t="s">
        <v>22</v>
      </c>
      <c r="BN5" s="331"/>
      <c r="BO5" s="331"/>
      <c r="BP5" s="331"/>
      <c r="BQ5" s="331"/>
      <c r="BR5" s="49"/>
      <c r="BS5" s="331" t="str">
        <f>TESTYEAR</f>
        <v>FOR THE TWELVE MONTHS ENDED JUNE 30, 2016</v>
      </c>
      <c r="BT5" s="331"/>
      <c r="BU5" s="331"/>
      <c r="BV5" s="331"/>
      <c r="BW5" s="331"/>
      <c r="BX5" s="331"/>
      <c r="BY5" s="335"/>
      <c r="BZ5" s="335"/>
      <c r="CA5" s="335"/>
      <c r="CB5" s="335"/>
      <c r="CC5" s="331" t="str">
        <f>TESTYEAR</f>
        <v>FOR THE TWELVE MONTHS ENDED JUNE 30, 2016</v>
      </c>
      <c r="CD5" s="335"/>
      <c r="CE5" s="331"/>
      <c r="CF5" s="331"/>
      <c r="CG5" s="331"/>
      <c r="CH5" s="331"/>
      <c r="CI5" s="331"/>
      <c r="CJ5" s="331"/>
      <c r="CK5" s="335"/>
      <c r="CL5" s="331"/>
      <c r="CM5" s="331" t="str">
        <f>TESTYEAR</f>
        <v>FOR THE TWELVE MONTHS ENDED JUNE 30, 2016</v>
      </c>
      <c r="CN5" s="335"/>
      <c r="CO5" s="335"/>
      <c r="CP5" s="335"/>
      <c r="CQ5" s="335"/>
    </row>
    <row r="6" spans="1:95" s="39" customFormat="1" ht="15" customHeight="1">
      <c r="A6" s="193" t="s">
        <v>324</v>
      </c>
      <c r="B6" s="193"/>
      <c r="C6" s="192"/>
      <c r="D6" s="193"/>
      <c r="E6" s="205"/>
      <c r="F6" s="237"/>
      <c r="G6" s="193" t="str">
        <f>A6</f>
        <v>FOR THE TWELVE MONTHS ENDED JUNE 30, 2016</v>
      </c>
      <c r="H6" s="193"/>
      <c r="I6" s="192"/>
      <c r="J6" s="193"/>
      <c r="K6" s="205"/>
      <c r="L6" s="4" t="str">
        <f>TESTYEAR</f>
        <v>FOR THE TWELVE MONTHS ENDED JUNE 30, 2016</v>
      </c>
      <c r="M6" s="4"/>
      <c r="N6" s="4"/>
      <c r="O6" s="4"/>
      <c r="P6" s="88"/>
      <c r="Q6" s="4" t="str">
        <f>TESTYEAR</f>
        <v>FOR THE TWELVE MONTHS ENDED JUNE 30, 2016</v>
      </c>
      <c r="R6" s="4"/>
      <c r="S6" s="4"/>
      <c r="T6" s="34"/>
      <c r="U6" s="4" t="str">
        <f>TESTYEAR</f>
        <v>FOR THE TWELVE MONTHS ENDED JUNE 30, 2016</v>
      </c>
      <c r="V6" s="4"/>
      <c r="W6" s="34"/>
      <c r="X6" s="233"/>
      <c r="Y6" s="4" t="str">
        <f>TESTYEAR</f>
        <v>FOR THE TWELVE MONTHS ENDED JUNE 30, 2016</v>
      </c>
      <c r="Z6" s="233"/>
      <c r="AA6" s="233"/>
      <c r="AB6" s="233"/>
      <c r="AC6" s="233"/>
      <c r="AD6" s="32" t="str">
        <f>TESTYEAR</f>
        <v>FOR THE TWELVE MONTHS ENDED JUNE 30, 2016</v>
      </c>
      <c r="AE6" s="4"/>
      <c r="AF6" s="4"/>
      <c r="AG6" s="4"/>
      <c r="AH6" s="4"/>
      <c r="AI6" s="4"/>
      <c r="AJ6" s="4"/>
      <c r="AK6" s="4" t="str">
        <f>TESTYEAR</f>
        <v>FOR THE TWELVE MONTHS ENDED JUNE 30, 2016</v>
      </c>
      <c r="AL6" s="34"/>
      <c r="AM6" s="34"/>
      <c r="AN6" s="34"/>
      <c r="AO6" s="236" t="str">
        <f>TESTYEAR</f>
        <v>FOR THE TWELVE MONTHS ENDED JUNE 30, 2016</v>
      </c>
      <c r="AP6" s="234"/>
      <c r="AQ6" s="234"/>
      <c r="AR6" s="234"/>
      <c r="AS6" s="4" t="str">
        <f>TESTYEAR</f>
        <v>FOR THE TWELVE MONTHS ENDED JUNE 30, 2016</v>
      </c>
      <c r="AT6" s="4"/>
      <c r="AU6" s="235"/>
      <c r="AV6" s="4"/>
      <c r="AW6" s="34"/>
      <c r="AX6" s="4" t="str">
        <f>TESTYEAR</f>
        <v>FOR THE TWELVE MONTHS ENDED JUNE 30, 2016</v>
      </c>
      <c r="AY6" s="4"/>
      <c r="AZ6" s="4"/>
      <c r="BA6" s="4"/>
      <c r="BB6" s="34"/>
      <c r="BC6" s="4" t="str">
        <f>TESTYEAR</f>
        <v>FOR THE TWELVE MONTHS ENDED JUNE 30, 2016</v>
      </c>
      <c r="BD6" s="34"/>
      <c r="BE6" s="34"/>
      <c r="BF6" s="34"/>
      <c r="BG6" s="34"/>
      <c r="BH6" s="4" t="str">
        <f>TESTYEAR</f>
        <v>FOR THE TWELVE MONTHS ENDED JUNE 30, 2016</v>
      </c>
      <c r="BI6" s="4"/>
      <c r="BJ6" s="4"/>
      <c r="BK6" s="4"/>
      <c r="BL6" s="34"/>
      <c r="BM6" s="4" t="str">
        <f>TESTYEAR</f>
        <v>FOR THE TWELVE MONTHS ENDED JUNE 30, 2016</v>
      </c>
      <c r="BN6" s="4"/>
      <c r="BO6" s="4"/>
      <c r="BP6" s="4"/>
      <c r="BQ6" s="4"/>
      <c r="BR6" s="49"/>
      <c r="BS6" s="32" t="str">
        <f>DOCKET</f>
        <v>COMMISSION BASIS REPORT</v>
      </c>
      <c r="BT6" s="4"/>
      <c r="BU6" s="4"/>
      <c r="BV6" s="4"/>
      <c r="BW6" s="4"/>
      <c r="BX6" s="4"/>
      <c r="BY6" s="4"/>
      <c r="BZ6" s="4"/>
      <c r="CA6" s="4"/>
      <c r="CB6" s="4"/>
      <c r="CC6" s="4" t="str">
        <f>DOCKET</f>
        <v>COMMISSION BASIS REPORT</v>
      </c>
      <c r="CD6" s="4"/>
      <c r="CE6" s="32"/>
      <c r="CF6" s="4"/>
      <c r="CG6" s="4"/>
      <c r="CH6" s="4"/>
      <c r="CI6" s="4"/>
      <c r="CJ6" s="4"/>
      <c r="CK6" s="4"/>
      <c r="CL6" s="4"/>
      <c r="CM6" s="4" t="str">
        <f>DOCKET</f>
        <v>COMMISSION BASIS REPORT</v>
      </c>
      <c r="CN6" s="4"/>
      <c r="CO6" s="4"/>
      <c r="CP6" s="4"/>
      <c r="CQ6" s="4"/>
    </row>
    <row r="7" spans="1:95" s="33" customFormat="1" ht="15" customHeight="1">
      <c r="A7" s="192" t="s">
        <v>91</v>
      </c>
      <c r="B7" s="193"/>
      <c r="C7" s="192"/>
      <c r="D7" s="192"/>
      <c r="E7" s="205"/>
      <c r="F7" s="34"/>
      <c r="G7" s="192" t="s">
        <v>91</v>
      </c>
      <c r="H7" s="193"/>
      <c r="I7" s="192"/>
      <c r="J7" s="192"/>
      <c r="K7" s="205"/>
      <c r="L7" s="4" t="str">
        <f>DOCKET</f>
        <v>COMMISSION BASIS REPORT</v>
      </c>
      <c r="M7" s="32"/>
      <c r="N7" s="4"/>
      <c r="O7" s="32"/>
      <c r="P7" s="88"/>
      <c r="Q7" s="32" t="str">
        <f>DOCKET</f>
        <v>COMMISSION BASIS REPORT</v>
      </c>
      <c r="R7" s="4"/>
      <c r="S7" s="4"/>
      <c r="T7" s="34"/>
      <c r="U7" s="32" t="str">
        <f>DOCKET</f>
        <v>COMMISSION BASIS REPORT</v>
      </c>
      <c r="V7" s="32"/>
      <c r="W7" s="4"/>
      <c r="X7" s="233"/>
      <c r="Y7" s="32" t="str">
        <f>DOCKET</f>
        <v>COMMISSION BASIS REPORT</v>
      </c>
      <c r="Z7" s="233"/>
      <c r="AA7" s="233"/>
      <c r="AB7" s="233"/>
      <c r="AC7" s="233"/>
      <c r="AD7" s="32" t="str">
        <f>DOCKET</f>
        <v>COMMISSION BASIS REPORT</v>
      </c>
      <c r="AE7" s="4"/>
      <c r="AF7" s="4"/>
      <c r="AG7" s="4"/>
      <c r="AH7" s="4"/>
      <c r="AI7" s="4"/>
      <c r="AJ7" s="4"/>
      <c r="AK7" s="32" t="str">
        <f>DOCKET</f>
        <v>COMMISSION BASIS REPORT</v>
      </c>
      <c r="AL7" s="4"/>
      <c r="AM7" s="4"/>
      <c r="AN7" s="4"/>
      <c r="AO7" s="236" t="str">
        <f>DOCKET</f>
        <v>COMMISSION BASIS REPORT</v>
      </c>
      <c r="AP7" s="234"/>
      <c r="AQ7" s="234"/>
      <c r="AR7" s="234"/>
      <c r="AS7" s="4" t="str">
        <f>DOCKET</f>
        <v>COMMISSION BASIS REPORT</v>
      </c>
      <c r="AT7" s="4"/>
      <c r="AU7" s="235"/>
      <c r="AV7" s="4"/>
      <c r="AW7" s="4"/>
      <c r="AX7" s="32" t="str">
        <f>DOCKET</f>
        <v>COMMISSION BASIS REPORT</v>
      </c>
      <c r="AY7" s="4"/>
      <c r="AZ7" s="4"/>
      <c r="BA7" s="32"/>
      <c r="BB7" s="34"/>
      <c r="BC7" s="32" t="str">
        <f>DOCKET</f>
        <v>COMMISSION BASIS REPORT</v>
      </c>
      <c r="BD7" s="34"/>
      <c r="BE7" s="34"/>
      <c r="BF7" s="34"/>
      <c r="BG7" s="34"/>
      <c r="BH7" s="32" t="str">
        <f>DOCKET</f>
        <v>COMMISSION BASIS REPORT</v>
      </c>
      <c r="BI7" s="4"/>
      <c r="BJ7" s="4"/>
      <c r="BK7" s="32"/>
      <c r="BL7" s="34"/>
      <c r="BM7" s="32" t="str">
        <f>DOCKET</f>
        <v>COMMISSION BASIS REPORT</v>
      </c>
      <c r="BN7" s="4"/>
      <c r="BO7" s="4"/>
      <c r="BP7" s="4"/>
      <c r="BQ7" s="4"/>
      <c r="BR7" s="49"/>
      <c r="BS7" s="90"/>
      <c r="BT7" s="4"/>
      <c r="BU7" s="4" t="s">
        <v>20</v>
      </c>
      <c r="BV7" s="4"/>
      <c r="BW7" s="4"/>
      <c r="BX7" s="4"/>
      <c r="BY7" s="32"/>
      <c r="BZ7" s="32"/>
      <c r="CA7" s="32"/>
      <c r="CB7" s="32"/>
      <c r="CC7" s="32"/>
      <c r="CD7" s="32"/>
      <c r="CE7" s="4"/>
      <c r="CF7" s="4"/>
      <c r="CG7" s="4"/>
      <c r="CH7" s="4"/>
      <c r="CI7" s="4"/>
      <c r="CJ7" s="4"/>
      <c r="CK7" s="32"/>
      <c r="CL7" s="4"/>
      <c r="CN7" s="4"/>
      <c r="CO7" s="4"/>
      <c r="CP7" s="4"/>
      <c r="CQ7" s="4"/>
    </row>
    <row r="8" spans="1:95" s="33" customFormat="1" ht="15" customHeight="1">
      <c r="A8" s="189"/>
      <c r="B8" s="189"/>
      <c r="C8" s="189"/>
      <c r="D8" s="189"/>
      <c r="E8" s="162"/>
      <c r="F8" s="162"/>
      <c r="G8" s="162"/>
      <c r="H8" s="160"/>
      <c r="I8" s="160"/>
      <c r="J8" s="160"/>
      <c r="K8" s="160"/>
      <c r="M8" s="35"/>
      <c r="N8" s="35"/>
      <c r="O8" s="35"/>
      <c r="P8" s="91"/>
      <c r="R8" s="35"/>
      <c r="S8" s="31"/>
      <c r="T8" s="31"/>
      <c r="U8" s="134"/>
      <c r="AF8" s="160"/>
      <c r="AG8" s="160"/>
      <c r="AH8" s="160" t="s">
        <v>179</v>
      </c>
      <c r="AI8" s="160"/>
      <c r="AJ8" s="160" t="s">
        <v>102</v>
      </c>
      <c r="AO8" s="230"/>
      <c r="AP8" s="230"/>
      <c r="AQ8" s="230"/>
      <c r="AR8" s="230"/>
      <c r="AS8" s="238"/>
      <c r="AU8" s="231"/>
      <c r="AX8" s="232"/>
      <c r="AY8" s="239"/>
      <c r="AZ8" s="239"/>
      <c r="BA8" s="232"/>
      <c r="BB8" s="232"/>
      <c r="BC8" s="232"/>
      <c r="BD8" s="232"/>
      <c r="BE8" s="232"/>
      <c r="BF8" s="232"/>
      <c r="BG8" s="232"/>
      <c r="BH8" s="232"/>
      <c r="BI8" s="239"/>
      <c r="BJ8" s="239"/>
      <c r="BK8" s="232"/>
      <c r="BL8" s="232"/>
      <c r="BU8" s="66" t="s">
        <v>24</v>
      </c>
      <c r="BV8" s="66"/>
      <c r="BW8" s="66"/>
      <c r="BX8" s="66"/>
      <c r="BY8" s="66"/>
      <c r="BZ8" s="66"/>
      <c r="CA8" s="66"/>
      <c r="CB8" s="66"/>
      <c r="CC8" s="66" t="s">
        <v>24</v>
      </c>
      <c r="CD8" s="92"/>
      <c r="CE8" s="66"/>
      <c r="CF8" s="66"/>
      <c r="CG8" s="66"/>
      <c r="CH8" s="66"/>
      <c r="CI8" s="66"/>
      <c r="CJ8" s="66"/>
      <c r="CK8" s="66"/>
      <c r="CL8" s="66"/>
    </row>
    <row r="9" spans="1:95" s="33" customFormat="1" ht="15" customHeight="1">
      <c r="A9" s="162" t="s">
        <v>25</v>
      </c>
      <c r="B9" s="191"/>
      <c r="C9" s="189"/>
      <c r="D9" s="189"/>
      <c r="E9" s="162"/>
      <c r="F9" s="162"/>
      <c r="G9" s="162" t="s">
        <v>25</v>
      </c>
      <c r="H9" s="160"/>
      <c r="I9" s="160"/>
      <c r="J9" s="160"/>
      <c r="K9" s="160"/>
      <c r="L9" s="42" t="s">
        <v>25</v>
      </c>
      <c r="P9" s="91"/>
      <c r="Q9" s="42" t="s">
        <v>25</v>
      </c>
      <c r="T9" s="16" t="s">
        <v>20</v>
      </c>
      <c r="U9" s="16" t="s">
        <v>25</v>
      </c>
      <c r="W9" s="134"/>
      <c r="X9" s="240"/>
      <c r="Y9" s="16" t="s">
        <v>25</v>
      </c>
      <c r="AC9" s="39"/>
      <c r="AD9" s="42" t="s">
        <v>25</v>
      </c>
      <c r="AE9" s="35"/>
      <c r="AF9" s="160" t="s">
        <v>103</v>
      </c>
      <c r="AG9" s="160" t="s">
        <v>104</v>
      </c>
      <c r="AH9" s="160" t="s">
        <v>180</v>
      </c>
      <c r="AI9" s="160" t="s">
        <v>103</v>
      </c>
      <c r="AJ9" s="160" t="s">
        <v>105</v>
      </c>
      <c r="AK9" s="42" t="s">
        <v>25</v>
      </c>
      <c r="AO9" s="162" t="s">
        <v>25</v>
      </c>
      <c r="AP9" s="241"/>
      <c r="AQ9" s="241"/>
      <c r="AR9" s="230"/>
      <c r="AS9" s="238" t="s">
        <v>26</v>
      </c>
      <c r="AU9" s="231"/>
      <c r="AV9" s="42"/>
      <c r="AW9" s="42"/>
      <c r="AX9" s="16" t="s">
        <v>25</v>
      </c>
      <c r="AY9" s="232"/>
      <c r="AZ9" s="232"/>
      <c r="BA9" s="232"/>
      <c r="BB9" s="232"/>
      <c r="BC9" s="42" t="s">
        <v>25</v>
      </c>
      <c r="BE9" s="42"/>
      <c r="BF9" s="42"/>
      <c r="BG9" s="42"/>
      <c r="BH9" s="42" t="s">
        <v>25</v>
      </c>
      <c r="BJ9" s="242"/>
      <c r="BK9" s="42"/>
      <c r="BL9" s="42"/>
      <c r="BM9" s="16" t="s">
        <v>25</v>
      </c>
      <c r="BU9" s="16" t="s">
        <v>27</v>
      </c>
      <c r="BV9" s="31" t="s">
        <v>146</v>
      </c>
      <c r="BW9" s="31" t="s">
        <v>176</v>
      </c>
      <c r="BX9" s="31" t="s">
        <v>28</v>
      </c>
      <c r="BY9" s="31" t="s">
        <v>29</v>
      </c>
      <c r="BZ9" s="16" t="s">
        <v>167</v>
      </c>
      <c r="CA9" s="16" t="s">
        <v>219</v>
      </c>
      <c r="CB9" s="31" t="s">
        <v>30</v>
      </c>
      <c r="CC9" s="31"/>
      <c r="CD9" s="31"/>
      <c r="CE9" s="16" t="s">
        <v>86</v>
      </c>
      <c r="CF9" s="160" t="s">
        <v>112</v>
      </c>
      <c r="CG9" s="16" t="s">
        <v>117</v>
      </c>
      <c r="CH9" s="16" t="s">
        <v>100</v>
      </c>
      <c r="CI9" s="16" t="s">
        <v>225</v>
      </c>
      <c r="CJ9" s="16" t="s">
        <v>183</v>
      </c>
      <c r="CK9" s="16" t="s">
        <v>32</v>
      </c>
      <c r="CL9" s="16" t="s">
        <v>76</v>
      </c>
      <c r="CO9" s="16" t="s">
        <v>31</v>
      </c>
      <c r="CP9" s="16"/>
      <c r="CQ9" s="16" t="s">
        <v>35</v>
      </c>
    </row>
    <row r="10" spans="1:95" s="33" customFormat="1" ht="15" customHeight="1">
      <c r="A10" s="163" t="s">
        <v>33</v>
      </c>
      <c r="B10" s="243" t="s">
        <v>34</v>
      </c>
      <c r="C10" s="55" t="s">
        <v>31</v>
      </c>
      <c r="D10" s="55" t="s">
        <v>35</v>
      </c>
      <c r="E10" s="475" t="s">
        <v>37</v>
      </c>
      <c r="F10" s="475"/>
      <c r="G10" s="163" t="s">
        <v>33</v>
      </c>
      <c r="H10" s="197" t="s">
        <v>34</v>
      </c>
      <c r="I10" s="197"/>
      <c r="J10" s="198" t="s">
        <v>37</v>
      </c>
      <c r="K10" s="198"/>
      <c r="L10" s="55" t="s">
        <v>33</v>
      </c>
      <c r="M10" s="37" t="s">
        <v>34</v>
      </c>
      <c r="N10" s="36"/>
      <c r="O10" s="36"/>
      <c r="P10" s="93" t="s">
        <v>36</v>
      </c>
      <c r="Q10" s="55" t="s">
        <v>33</v>
      </c>
      <c r="R10" s="37" t="s">
        <v>34</v>
      </c>
      <c r="S10" s="23"/>
      <c r="T10" s="23" t="s">
        <v>36</v>
      </c>
      <c r="U10" s="23" t="s">
        <v>33</v>
      </c>
      <c r="V10" s="244" t="s">
        <v>34</v>
      </c>
      <c r="W10" s="23"/>
      <c r="X10" s="245" t="s">
        <v>37</v>
      </c>
      <c r="Y10" s="23" t="s">
        <v>33</v>
      </c>
      <c r="Z10" s="244" t="s">
        <v>34</v>
      </c>
      <c r="AA10" s="37"/>
      <c r="AB10" s="298"/>
      <c r="AC10" s="23" t="s">
        <v>36</v>
      </c>
      <c r="AD10" s="55" t="s">
        <v>33</v>
      </c>
      <c r="AE10" s="161" t="s">
        <v>108</v>
      </c>
      <c r="AF10" s="161" t="s">
        <v>105</v>
      </c>
      <c r="AG10" s="161" t="s">
        <v>106</v>
      </c>
      <c r="AH10" s="161" t="s">
        <v>176</v>
      </c>
      <c r="AI10" s="161" t="s">
        <v>106</v>
      </c>
      <c r="AJ10" s="161" t="s">
        <v>107</v>
      </c>
      <c r="AK10" s="23" t="s">
        <v>33</v>
      </c>
      <c r="AL10" s="244" t="s">
        <v>34</v>
      </c>
      <c r="AM10" s="244"/>
      <c r="AN10" s="55" t="s">
        <v>36</v>
      </c>
      <c r="AO10" s="163" t="s">
        <v>33</v>
      </c>
      <c r="AP10" s="243" t="s">
        <v>34</v>
      </c>
      <c r="AQ10" s="161"/>
      <c r="AR10" s="246" t="s">
        <v>36</v>
      </c>
      <c r="AS10" s="247" t="s">
        <v>33</v>
      </c>
      <c r="AT10" s="37" t="s">
        <v>34</v>
      </c>
      <c r="AU10" s="248" t="s">
        <v>31</v>
      </c>
      <c r="AV10" s="55" t="s">
        <v>218</v>
      </c>
      <c r="AW10" s="55" t="s">
        <v>37</v>
      </c>
      <c r="AX10" s="23" t="s">
        <v>33</v>
      </c>
      <c r="AY10" s="244" t="s">
        <v>34</v>
      </c>
      <c r="AZ10" s="23" t="s">
        <v>92</v>
      </c>
      <c r="BA10" s="23" t="s">
        <v>35</v>
      </c>
      <c r="BB10" s="249" t="s">
        <v>37</v>
      </c>
      <c r="BC10" s="23" t="s">
        <v>33</v>
      </c>
      <c r="BD10" s="36" t="s">
        <v>34</v>
      </c>
      <c r="BE10" s="55" t="s">
        <v>31</v>
      </c>
      <c r="BF10" s="55" t="s">
        <v>35</v>
      </c>
      <c r="BG10" s="55" t="s">
        <v>37</v>
      </c>
      <c r="BH10" s="23" t="s">
        <v>33</v>
      </c>
      <c r="BI10" s="36" t="s">
        <v>34</v>
      </c>
      <c r="BJ10" s="248" t="s">
        <v>31</v>
      </c>
      <c r="BK10" s="250" t="s">
        <v>35</v>
      </c>
      <c r="BL10" s="55" t="s">
        <v>37</v>
      </c>
      <c r="BM10" s="23" t="s">
        <v>33</v>
      </c>
      <c r="BN10" s="37" t="s">
        <v>34</v>
      </c>
      <c r="BO10" s="23" t="s">
        <v>45</v>
      </c>
      <c r="BP10" s="23" t="s">
        <v>46</v>
      </c>
      <c r="BQ10" s="23" t="s">
        <v>36</v>
      </c>
      <c r="BR10" s="31"/>
      <c r="BS10" s="16" t="s">
        <v>25</v>
      </c>
      <c r="BT10" s="147"/>
      <c r="BU10" s="16" t="s">
        <v>38</v>
      </c>
      <c r="BV10" s="31" t="s">
        <v>147</v>
      </c>
      <c r="BW10" s="31" t="s">
        <v>175</v>
      </c>
      <c r="BX10" s="31" t="s">
        <v>40</v>
      </c>
      <c r="BY10" s="31" t="s">
        <v>41</v>
      </c>
      <c r="BZ10" s="16" t="s">
        <v>173</v>
      </c>
      <c r="CA10" s="16" t="s">
        <v>220</v>
      </c>
      <c r="CB10" s="31" t="s">
        <v>42</v>
      </c>
      <c r="CC10" s="16" t="s">
        <v>25</v>
      </c>
      <c r="CE10" s="16" t="s">
        <v>87</v>
      </c>
      <c r="CF10" s="251" t="s">
        <v>113</v>
      </c>
      <c r="CG10" s="16" t="s">
        <v>118</v>
      </c>
      <c r="CH10" s="16" t="s">
        <v>101</v>
      </c>
      <c r="CI10" s="16" t="s">
        <v>226</v>
      </c>
      <c r="CJ10" s="16" t="s">
        <v>184</v>
      </c>
      <c r="CK10" s="31" t="s">
        <v>43</v>
      </c>
      <c r="CL10" s="16" t="s">
        <v>44</v>
      </c>
      <c r="CM10" s="16" t="s">
        <v>25</v>
      </c>
      <c r="CO10" s="16" t="s">
        <v>44</v>
      </c>
      <c r="CP10" s="16" t="s">
        <v>32</v>
      </c>
      <c r="CQ10" s="16" t="s">
        <v>44</v>
      </c>
    </row>
    <row r="11" spans="1:95" ht="15" customHeight="1">
      <c r="A11" s="167"/>
      <c r="B11" s="252"/>
      <c r="C11" s="252"/>
      <c r="D11" s="194"/>
      <c r="E11" s="159"/>
      <c r="F11" s="159"/>
      <c r="G11" s="159"/>
      <c r="H11" s="199"/>
      <c r="I11" s="199"/>
      <c r="J11" s="200"/>
      <c r="K11" s="200"/>
      <c r="P11" s="58"/>
      <c r="Q11" s="17"/>
      <c r="R11" s="81"/>
      <c r="S11" s="82" t="s">
        <v>20</v>
      </c>
      <c r="T11" s="59"/>
      <c r="U11" s="17"/>
      <c r="V11" s="253"/>
      <c r="W11" s="254"/>
      <c r="X11" s="255"/>
      <c r="Y11" s="255"/>
      <c r="Z11" s="255"/>
      <c r="AA11" s="255"/>
      <c r="AB11" s="255"/>
      <c r="AC11" s="255"/>
      <c r="AF11" s="536" t="s">
        <v>320</v>
      </c>
      <c r="AG11" s="536" t="s">
        <v>321</v>
      </c>
      <c r="AH11" s="536" t="s">
        <v>321</v>
      </c>
      <c r="AI11" s="536" t="s">
        <v>321</v>
      </c>
      <c r="AN11" s="2"/>
      <c r="AS11" s="56"/>
      <c r="AT11" s="57"/>
      <c r="AU11" s="21"/>
      <c r="AX11" s="18"/>
      <c r="AY11" s="18"/>
      <c r="AZ11" s="18"/>
      <c r="BA11" s="18"/>
      <c r="BB11" s="18"/>
      <c r="BC11" s="2"/>
      <c r="BD11" s="195"/>
      <c r="BE11" s="195"/>
      <c r="BF11" s="195"/>
      <c r="BG11" s="195"/>
      <c r="BH11" s="2"/>
      <c r="BI11" s="2"/>
      <c r="BJ11" s="2"/>
      <c r="BK11" s="2"/>
      <c r="BL11" s="2"/>
      <c r="BS11" s="16" t="s">
        <v>33</v>
      </c>
      <c r="BT11" s="107"/>
      <c r="BU11" s="16" t="s">
        <v>325</v>
      </c>
      <c r="BV11" s="211" t="s">
        <v>243</v>
      </c>
      <c r="BW11" s="211" t="s">
        <v>244</v>
      </c>
      <c r="BX11" s="211" t="s">
        <v>245</v>
      </c>
      <c r="BY11" s="211" t="s">
        <v>246</v>
      </c>
      <c r="BZ11" s="211" t="s">
        <v>247</v>
      </c>
      <c r="CA11" s="211" t="s">
        <v>248</v>
      </c>
      <c r="CB11" s="211" t="s">
        <v>249</v>
      </c>
      <c r="CC11" s="16" t="s">
        <v>33</v>
      </c>
      <c r="CD11" s="33"/>
      <c r="CE11" s="211" t="s">
        <v>250</v>
      </c>
      <c r="CF11" s="211" t="s">
        <v>251</v>
      </c>
      <c r="CG11" s="211" t="s">
        <v>252</v>
      </c>
      <c r="CH11" s="211" t="s">
        <v>253</v>
      </c>
      <c r="CI11" s="211" t="s">
        <v>254</v>
      </c>
      <c r="CJ11" s="211" t="s">
        <v>255</v>
      </c>
      <c r="CK11" s="31"/>
      <c r="CL11" s="31" t="s">
        <v>38</v>
      </c>
      <c r="CM11" s="23" t="s">
        <v>33</v>
      </c>
      <c r="CN11" s="94"/>
      <c r="CO11" s="23" t="s">
        <v>38</v>
      </c>
      <c r="CP11" s="23" t="s">
        <v>43</v>
      </c>
      <c r="CQ11" s="23" t="s">
        <v>38</v>
      </c>
    </row>
    <row r="12" spans="1:95" ht="15" customHeight="1">
      <c r="A12" s="17">
        <v>1</v>
      </c>
      <c r="B12" s="166" t="s">
        <v>136</v>
      </c>
      <c r="C12" s="168"/>
      <c r="D12" s="168"/>
      <c r="E12" s="164"/>
      <c r="F12" s="159"/>
      <c r="G12" s="56">
        <v>1</v>
      </c>
      <c r="H12" s="164" t="s">
        <v>148</v>
      </c>
      <c r="I12" s="164"/>
      <c r="J12" s="164"/>
      <c r="K12" s="164"/>
      <c r="L12" s="17">
        <v>1</v>
      </c>
      <c r="M12" s="95" t="s">
        <v>48</v>
      </c>
      <c r="N12" s="95"/>
      <c r="O12" s="95"/>
      <c r="P12" s="5">
        <v>90904466.263672233</v>
      </c>
      <c r="Q12" s="17">
        <v>1</v>
      </c>
      <c r="R12" s="81" t="s">
        <v>63</v>
      </c>
      <c r="S12" s="149">
        <f>CQ46</f>
        <v>1716428935.0948741</v>
      </c>
      <c r="T12" s="20"/>
      <c r="U12" s="17">
        <v>1</v>
      </c>
      <c r="V12" s="256" t="s">
        <v>153</v>
      </c>
      <c r="X12" s="45"/>
      <c r="Y12" s="17">
        <v>1</v>
      </c>
      <c r="Z12" s="232" t="s">
        <v>222</v>
      </c>
      <c r="AA12" s="299"/>
      <c r="AB12" s="98"/>
      <c r="AC12"/>
      <c r="AD12" s="38" t="s">
        <v>47</v>
      </c>
      <c r="AE12" s="257" t="s">
        <v>331</v>
      </c>
      <c r="AF12" s="27">
        <v>5663392.9500000002</v>
      </c>
      <c r="AG12" s="27">
        <v>1074328854.2099998</v>
      </c>
      <c r="AH12" s="27">
        <v>13479352.060000001</v>
      </c>
      <c r="AI12" s="376">
        <f>AG12-AH12</f>
        <v>1060849502.1499999</v>
      </c>
      <c r="AJ12" s="413">
        <f>ROUND(AF12/AI12,6)</f>
        <v>5.339E-3</v>
      </c>
      <c r="AK12" s="17">
        <v>1</v>
      </c>
      <c r="AL12" s="258" t="s">
        <v>78</v>
      </c>
      <c r="AM12" s="259"/>
      <c r="AN12" s="13">
        <v>33776383.463178001</v>
      </c>
      <c r="AO12" s="17">
        <v>1</v>
      </c>
      <c r="AP12" s="166" t="s">
        <v>111</v>
      </c>
      <c r="AQ12" s="166"/>
      <c r="AR12" s="142">
        <v>19654.357348883124</v>
      </c>
      <c r="AS12" s="56">
        <v>1</v>
      </c>
      <c r="AT12" s="168" t="s">
        <v>64</v>
      </c>
      <c r="AU12" s="401">
        <v>3197852.4151809588</v>
      </c>
      <c r="AV12" s="401">
        <v>3349443.1788226957</v>
      </c>
      <c r="AW12" s="135">
        <f>AV12-AU12</f>
        <v>151590.76364173694</v>
      </c>
      <c r="AX12" s="17">
        <v>1</v>
      </c>
      <c r="AY12" s="18" t="s">
        <v>99</v>
      </c>
      <c r="AZ12" s="374">
        <v>94944.191182233568</v>
      </c>
      <c r="BA12" s="374">
        <v>81372.89826781716</v>
      </c>
      <c r="BB12" s="374">
        <f>+BA12-AZ12</f>
        <v>-13571.292914416408</v>
      </c>
      <c r="BC12" s="17">
        <v>1</v>
      </c>
      <c r="BD12" s="135" t="s">
        <v>228</v>
      </c>
      <c r="BE12" s="391">
        <v>7500</v>
      </c>
      <c r="BF12" s="391">
        <v>127833.33333333333</v>
      </c>
      <c r="BG12" s="392">
        <f>BF12-BE12</f>
        <v>120333.33333333333</v>
      </c>
      <c r="BH12" s="17">
        <v>1</v>
      </c>
      <c r="BI12" s="83" t="s">
        <v>186</v>
      </c>
      <c r="BJ12" s="260">
        <v>2703149.2868171292</v>
      </c>
      <c r="BK12" s="260">
        <v>2886680.3174359202</v>
      </c>
      <c r="BL12" s="392">
        <f>BK12-BJ12</f>
        <v>183531.030618791</v>
      </c>
      <c r="BM12" s="17">
        <v>1</v>
      </c>
      <c r="BN12" s="168" t="s">
        <v>84</v>
      </c>
      <c r="BQ12" s="437">
        <f>AJ16</f>
        <v>5.2209999999999999E-3</v>
      </c>
      <c r="BR12" s="261"/>
      <c r="BS12" s="3" t="s">
        <v>49</v>
      </c>
      <c r="BT12" s="3"/>
      <c r="BU12" s="262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</row>
    <row r="13" spans="1:95" ht="15" customHeight="1">
      <c r="A13" s="17">
        <f t="shared" ref="A13:A50" si="0">+A12+1</f>
        <v>2</v>
      </c>
      <c r="B13" s="164"/>
      <c r="C13" s="263" t="s">
        <v>31</v>
      </c>
      <c r="D13" s="264" t="s">
        <v>137</v>
      </c>
      <c r="E13" s="265" t="s">
        <v>138</v>
      </c>
      <c r="F13" s="159"/>
      <c r="G13" s="56">
        <f>+G12+1</f>
        <v>2</v>
      </c>
      <c r="H13" s="324"/>
      <c r="I13" s="202"/>
      <c r="J13" s="360"/>
      <c r="K13" s="164"/>
      <c r="L13" s="17">
        <f>L12+1</f>
        <v>2</v>
      </c>
      <c r="M13" s="18"/>
      <c r="N13" s="18"/>
      <c r="O13" s="18"/>
      <c r="P13" s="380"/>
      <c r="Q13" s="17">
        <f>+Q12+1</f>
        <v>2</v>
      </c>
      <c r="R13" s="531"/>
      <c r="S13" s="385"/>
      <c r="T13" s="20" t="s">
        <v>20</v>
      </c>
      <c r="U13" s="17">
        <f>+U12+1</f>
        <v>2</v>
      </c>
      <c r="V13" s="445" t="s">
        <v>154</v>
      </c>
      <c r="X13" s="45">
        <v>5817014.0299999993</v>
      </c>
      <c r="Y13" s="17">
        <f t="shared" ref="Y13:Y24" si="1">+Y12+1</f>
        <v>2</v>
      </c>
      <c r="Z13" s="18"/>
      <c r="AA13" s="299"/>
      <c r="AB13" s="98"/>
      <c r="AC13"/>
      <c r="AD13" s="38">
        <f t="shared" ref="AD13:AD30" si="2">1+AD12</f>
        <v>2</v>
      </c>
      <c r="AE13" s="257" t="s">
        <v>332</v>
      </c>
      <c r="AF13" s="27">
        <v>5595417.71</v>
      </c>
      <c r="AG13" s="27">
        <v>1027824695.83</v>
      </c>
      <c r="AH13" s="27">
        <v>7258950.2300000004</v>
      </c>
      <c r="AI13" s="376">
        <f t="shared" ref="AI13:AI14" si="3">AG13-AH13</f>
        <v>1020565745.6</v>
      </c>
      <c r="AJ13" s="413">
        <f>ROUND(AF13/AI13,6)</f>
        <v>5.483E-3</v>
      </c>
      <c r="AK13" s="17">
        <v>2</v>
      </c>
      <c r="AL13" s="50" t="s">
        <v>79</v>
      </c>
      <c r="AM13" s="50"/>
      <c r="AN13" s="368">
        <v>33776383.463178001</v>
      </c>
      <c r="AO13" s="17">
        <f>AO12+1</f>
        <v>2</v>
      </c>
      <c r="AP13" s="266"/>
      <c r="AQ13" s="266"/>
      <c r="AR13" s="27"/>
      <c r="AS13" s="56">
        <f t="shared" ref="AS13:AS20" si="4">AS12+1</f>
        <v>2</v>
      </c>
      <c r="AT13" s="168"/>
      <c r="AU13" s="402"/>
      <c r="AV13" s="402"/>
      <c r="AW13" s="150"/>
      <c r="AX13" s="17">
        <f t="shared" ref="AX13:AX20" si="5">AX12+1</f>
        <v>2</v>
      </c>
      <c r="AY13" s="18"/>
      <c r="AZ13" s="375"/>
      <c r="BA13" s="375"/>
      <c r="BB13" s="82"/>
      <c r="BC13" s="17">
        <f>BC12+1</f>
        <v>2</v>
      </c>
      <c r="BD13" s="135" t="s">
        <v>229</v>
      </c>
      <c r="BE13" s="393">
        <v>107637.71787199999</v>
      </c>
      <c r="BF13" s="393">
        <v>188136.00597599999</v>
      </c>
      <c r="BG13" s="393">
        <f>BF13-BE13</f>
        <v>80498.288103999992</v>
      </c>
      <c r="BH13" s="17">
        <f>BH12+1</f>
        <v>2</v>
      </c>
      <c r="BI13" s="2" t="s">
        <v>187</v>
      </c>
      <c r="BJ13" s="562">
        <f>BJ12</f>
        <v>2703149.2868171292</v>
      </c>
      <c r="BK13" s="562">
        <f>BK12</f>
        <v>2886680.3174359202</v>
      </c>
      <c r="BL13" s="563">
        <f>BK13-BJ13</f>
        <v>183531.030618791</v>
      </c>
      <c r="BM13" s="17">
        <f t="shared" ref="BM13:BM20" si="6">+BM12+1</f>
        <v>2</v>
      </c>
      <c r="BN13" s="168" t="s">
        <v>159</v>
      </c>
      <c r="BQ13" s="267">
        <v>2E-3</v>
      </c>
      <c r="BR13" s="268"/>
      <c r="BS13" s="17">
        <v>1</v>
      </c>
      <c r="BT13" s="18" t="s">
        <v>50</v>
      </c>
      <c r="BU13" s="325" t="s">
        <v>20</v>
      </c>
      <c r="BV13" s="24"/>
      <c r="BW13" s="24"/>
      <c r="BX13" s="24"/>
      <c r="BY13" s="24"/>
      <c r="BZ13" s="24"/>
      <c r="CA13" s="24"/>
      <c r="CC13" s="17">
        <v>1</v>
      </c>
      <c r="CD13" s="18" t="s">
        <v>50</v>
      </c>
      <c r="CE13" s="24"/>
      <c r="CG13" s="17"/>
      <c r="CH13" s="17"/>
      <c r="CI13" s="17"/>
      <c r="CJ13" s="17"/>
      <c r="CK13" s="174"/>
      <c r="CL13" s="174"/>
      <c r="CM13" s="17">
        <v>1</v>
      </c>
      <c r="CN13" s="57" t="s">
        <v>0</v>
      </c>
      <c r="CO13" s="24"/>
    </row>
    <row r="14" spans="1:95" ht="15" customHeight="1">
      <c r="A14" s="17">
        <f t="shared" si="0"/>
        <v>3</v>
      </c>
      <c r="B14" s="164"/>
      <c r="C14" s="269" t="s">
        <v>138</v>
      </c>
      <c r="D14" s="270" t="s">
        <v>138</v>
      </c>
      <c r="E14" s="271" t="s">
        <v>139</v>
      </c>
      <c r="F14" s="159"/>
      <c r="G14" s="56">
        <f>+G13+1</f>
        <v>3</v>
      </c>
      <c r="H14" s="201" t="s">
        <v>322</v>
      </c>
      <c r="I14" s="164"/>
      <c r="J14" s="467">
        <v>2711610.87</v>
      </c>
      <c r="K14" s="54"/>
      <c r="L14" s="17">
        <f t="shared" ref="L14:L19" si="7">L13+1</f>
        <v>3</v>
      </c>
      <c r="M14" s="18" t="s">
        <v>302</v>
      </c>
      <c r="N14" s="19" t="s">
        <v>20</v>
      </c>
      <c r="O14" s="19"/>
      <c r="P14" s="381"/>
      <c r="Q14" s="17">
        <f t="shared" ref="Q14:Q24" si="8">+Q13+1</f>
        <v>3</v>
      </c>
      <c r="R14" s="2" t="s">
        <v>177</v>
      </c>
      <c r="S14" s="387">
        <f>SUM(S12:S13)</f>
        <v>1716428935.0948741</v>
      </c>
      <c r="U14" s="17">
        <f t="shared" ref="U14:U42" si="9">+U13+1</f>
        <v>3</v>
      </c>
      <c r="V14" s="445" t="s">
        <v>155</v>
      </c>
      <c r="X14" s="45">
        <v>12387937.43</v>
      </c>
      <c r="Y14" s="17">
        <f t="shared" si="1"/>
        <v>3</v>
      </c>
      <c r="Z14" s="18" t="s">
        <v>299</v>
      </c>
      <c r="AA14" s="299"/>
      <c r="AB14" s="344">
        <v>1040000</v>
      </c>
      <c r="AC14" s="39"/>
      <c r="AD14" s="38">
        <f t="shared" si="2"/>
        <v>3</v>
      </c>
      <c r="AE14" s="257" t="s">
        <v>333</v>
      </c>
      <c r="AF14" s="27">
        <v>4358815.99</v>
      </c>
      <c r="AG14" s="27">
        <v>928962804.46999991</v>
      </c>
      <c r="AH14" s="27">
        <v>28544306.52</v>
      </c>
      <c r="AI14" s="376">
        <f t="shared" si="3"/>
        <v>900418497.94999993</v>
      </c>
      <c r="AJ14" s="413">
        <f>ROUND(AF14/AI14,6)</f>
        <v>4.8409999999999998E-3</v>
      </c>
      <c r="AK14" s="17">
        <v>3</v>
      </c>
      <c r="AL14" s="272" t="s">
        <v>80</v>
      </c>
      <c r="AM14" s="272"/>
      <c r="AN14" s="369">
        <f>AN12-AN13</f>
        <v>0</v>
      </c>
      <c r="AO14" s="17">
        <f>AO13+1</f>
        <v>3</v>
      </c>
      <c r="AR14" s="47"/>
      <c r="AS14" s="56">
        <f t="shared" si="4"/>
        <v>3</v>
      </c>
      <c r="AT14" s="168"/>
      <c r="AU14" s="403"/>
      <c r="AV14" s="403"/>
      <c r="AW14" s="403"/>
      <c r="AX14" s="17">
        <f t="shared" si="5"/>
        <v>3</v>
      </c>
      <c r="AY14" s="18" t="s">
        <v>54</v>
      </c>
      <c r="AZ14" s="376">
        <f>SUM(AZ12:AZ13)</f>
        <v>94944.191182233568</v>
      </c>
      <c r="BA14" s="376">
        <f>SUM(BA12:BA13)</f>
        <v>81372.89826781716</v>
      </c>
      <c r="BB14" s="377">
        <f>SUM(BB12:BB13)</f>
        <v>-13571.292914416408</v>
      </c>
      <c r="BC14" s="17">
        <f t="shared" ref="BC14:BC19" si="10">BC13+1</f>
        <v>3</v>
      </c>
      <c r="BD14" s="135" t="s">
        <v>230</v>
      </c>
      <c r="BE14" s="394">
        <f>SUM(BE12:BE13)</f>
        <v>115137.71787199999</v>
      </c>
      <c r="BF14" s="394">
        <f>SUM(BF12:BF13)</f>
        <v>315969.3393093333</v>
      </c>
      <c r="BG14" s="394">
        <f>SUM(BG12:BG13)</f>
        <v>200831.62143733332</v>
      </c>
      <c r="BH14" s="17">
        <f t="shared" ref="BH14:BH21" si="11">BH13+1</f>
        <v>3</v>
      </c>
      <c r="BI14" s="45"/>
      <c r="BJ14" s="2"/>
      <c r="BK14" s="2"/>
      <c r="BL14" s="401"/>
      <c r="BM14" s="17">
        <f t="shared" si="6"/>
        <v>3</v>
      </c>
      <c r="BN14" s="168" t="s">
        <v>169</v>
      </c>
      <c r="BP14" s="438">
        <v>3.8519999999999999E-2</v>
      </c>
      <c r="BQ14" s="439">
        <f>ROUND(BP14-(BP14*BQ12),6)</f>
        <v>3.8318999999999999E-2</v>
      </c>
      <c r="BR14" s="268"/>
      <c r="BS14" s="17">
        <f t="shared" ref="BS14:BS57" si="12">+BS13+1</f>
        <v>2</v>
      </c>
      <c r="BT14" s="18" t="s">
        <v>1</v>
      </c>
      <c r="BU14" s="26">
        <v>824596725.82999897</v>
      </c>
      <c r="BV14" s="26">
        <f>+F35</f>
        <v>162952.83285872213</v>
      </c>
      <c r="BW14" s="26">
        <f>J14</f>
        <v>2711610.87</v>
      </c>
      <c r="BX14" s="26">
        <v>0</v>
      </c>
      <c r="BY14" s="26">
        <v>0</v>
      </c>
      <c r="BZ14" s="26">
        <f>-X13-X14-X16-X17-X15-X19</f>
        <v>-34304568.449862748</v>
      </c>
      <c r="CA14" s="26"/>
      <c r="CB14" s="26">
        <v>0</v>
      </c>
      <c r="CC14" s="17">
        <f t="shared" ref="CC14:CC57" si="13">+CC13+1</f>
        <v>2</v>
      </c>
      <c r="CD14" s="18" t="s">
        <v>1</v>
      </c>
      <c r="CE14" s="26"/>
      <c r="CF14" s="26">
        <v>0</v>
      </c>
      <c r="CG14" s="26">
        <v>0</v>
      </c>
      <c r="CH14" s="26">
        <v>0</v>
      </c>
      <c r="CI14" s="26"/>
      <c r="CJ14" s="26"/>
      <c r="CK14" s="27">
        <f>SUM(BV14:CJ14)-CC14</f>
        <v>-31430004.747004025</v>
      </c>
      <c r="CL14" s="27">
        <f>BU14+CK14</f>
        <v>793166721.08299494</v>
      </c>
      <c r="CM14" s="17">
        <f t="shared" ref="CM14:CM57" si="14">+CM13+1</f>
        <v>2</v>
      </c>
      <c r="CN14" s="18" t="s">
        <v>1</v>
      </c>
      <c r="CO14" s="26">
        <f>BU14</f>
        <v>824596725.82999897</v>
      </c>
      <c r="CP14" s="26">
        <f>CK14</f>
        <v>-31430004.747004025</v>
      </c>
      <c r="CQ14" s="67">
        <f>CO14+CP14</f>
        <v>793166721.08299494</v>
      </c>
    </row>
    <row r="15" spans="1:95" ht="15" customHeight="1" thickBot="1">
      <c r="A15" s="17">
        <f t="shared" si="0"/>
        <v>4</v>
      </c>
      <c r="B15" s="559">
        <v>42186</v>
      </c>
      <c r="C15" s="419">
        <v>16802470.35524036</v>
      </c>
      <c r="D15" s="419">
        <v>16802470.35524036</v>
      </c>
      <c r="E15" s="419">
        <f t="shared" ref="E15:E20" si="15">+D15-C15</f>
        <v>0</v>
      </c>
      <c r="F15" s="346"/>
      <c r="G15" s="56">
        <f t="shared" ref="G15:G39" si="16">+G14+1</f>
        <v>4</v>
      </c>
      <c r="H15" s="555"/>
      <c r="J15" s="69"/>
      <c r="L15" s="17">
        <f t="shared" si="7"/>
        <v>4</v>
      </c>
      <c r="M15" s="18" t="s">
        <v>301</v>
      </c>
      <c r="N15" s="429"/>
      <c r="O15" s="428">
        <v>0.35</v>
      </c>
      <c r="P15" s="382">
        <f>P12*O15</f>
        <v>31816563.192285281</v>
      </c>
      <c r="Q15" s="17">
        <f t="shared" si="8"/>
        <v>4</v>
      </c>
      <c r="U15" s="17">
        <f t="shared" si="9"/>
        <v>4</v>
      </c>
      <c r="V15" s="445" t="s">
        <v>242</v>
      </c>
      <c r="X15" s="45">
        <v>19967855</v>
      </c>
      <c r="Y15" s="17">
        <f t="shared" si="1"/>
        <v>4</v>
      </c>
      <c r="Z15" s="18"/>
      <c r="AA15" s="299"/>
      <c r="AB15" s="98"/>
      <c r="AC15" s="39"/>
      <c r="AD15" s="38">
        <f t="shared" si="2"/>
        <v>4</v>
      </c>
      <c r="AF15" s="27"/>
      <c r="AG15" s="376"/>
      <c r="AH15" s="376"/>
      <c r="AI15" s="376"/>
      <c r="AJ15" s="39"/>
      <c r="AK15" s="17">
        <v>4</v>
      </c>
      <c r="AO15" s="17">
        <f>AO14+1</f>
        <v>4</v>
      </c>
      <c r="AP15" s="164" t="s">
        <v>56</v>
      </c>
      <c r="AR15" s="373">
        <f>-AR12</f>
        <v>-19654.357348883124</v>
      </c>
      <c r="AS15" s="56">
        <f t="shared" si="4"/>
        <v>4</v>
      </c>
      <c r="AT15" s="168" t="s">
        <v>115</v>
      </c>
      <c r="AU15" s="404">
        <f>SUM(AU12:AU13)</f>
        <v>3197852.4151809588</v>
      </c>
      <c r="AV15" s="404">
        <f>SUM(AV12:AV13)</f>
        <v>3349443.1788226957</v>
      </c>
      <c r="AW15" s="404">
        <f>SUM(AW12:AW13)</f>
        <v>151590.76364173694</v>
      </c>
      <c r="AX15" s="17">
        <f t="shared" si="5"/>
        <v>4</v>
      </c>
      <c r="AY15" s="18"/>
      <c r="AZ15" s="107"/>
      <c r="BA15" s="107"/>
      <c r="BB15" s="107"/>
      <c r="BC15" s="17">
        <f t="shared" si="10"/>
        <v>4</v>
      </c>
      <c r="BD15" s="304"/>
      <c r="BE15" s="395"/>
      <c r="BF15" s="395"/>
      <c r="BG15" s="396"/>
      <c r="BH15" s="17">
        <f t="shared" si="11"/>
        <v>4</v>
      </c>
      <c r="BI15" s="83" t="s">
        <v>188</v>
      </c>
      <c r="BJ15" s="553">
        <v>230252.56844041363</v>
      </c>
      <c r="BK15" s="553">
        <v>245885.62703417367</v>
      </c>
      <c r="BL15" s="85">
        <f>BK15-BJ15</f>
        <v>15633.058593760041</v>
      </c>
      <c r="BM15" s="17">
        <f t="shared" si="6"/>
        <v>4</v>
      </c>
      <c r="BN15" s="168"/>
      <c r="BP15" s="273"/>
      <c r="BQ15" s="440"/>
      <c r="BR15" s="274"/>
      <c r="BS15" s="17">
        <f t="shared" si="12"/>
        <v>3</v>
      </c>
      <c r="BT15" s="18" t="s">
        <v>53</v>
      </c>
      <c r="BU15" s="45">
        <f>X21</f>
        <v>40307517.150000006</v>
      </c>
      <c r="BV15" s="45"/>
      <c r="BW15" s="45"/>
      <c r="BX15" s="45"/>
      <c r="BY15" s="45"/>
      <c r="BZ15" s="45">
        <f>-X21</f>
        <v>-40307517.150000006</v>
      </c>
      <c r="CA15" s="45"/>
      <c r="CB15" s="45"/>
      <c r="CC15" s="17">
        <f t="shared" si="13"/>
        <v>3</v>
      </c>
      <c r="CD15" s="18" t="s">
        <v>53</v>
      </c>
      <c r="CE15" s="45"/>
      <c r="CF15" s="45"/>
      <c r="CG15" s="45"/>
      <c r="CH15" s="45"/>
      <c r="CI15" s="45"/>
      <c r="CJ15" s="45"/>
      <c r="CK15" s="45">
        <f>SUM(BV15:CJ15)-CC15</f>
        <v>-40307517.150000006</v>
      </c>
      <c r="CL15" s="45">
        <f>BU15+CK15</f>
        <v>0</v>
      </c>
      <c r="CM15" s="17">
        <f t="shared" si="14"/>
        <v>3</v>
      </c>
      <c r="CN15" s="18" t="str">
        <f>BT15</f>
        <v>MUNICIPAL ADDITIONS</v>
      </c>
      <c r="CO15" s="14">
        <f>BU15</f>
        <v>40307517.150000006</v>
      </c>
      <c r="CP15" s="96">
        <f>CK15</f>
        <v>-40307517.150000006</v>
      </c>
      <c r="CQ15" s="68">
        <f>+CO15+CP15</f>
        <v>0</v>
      </c>
    </row>
    <row r="16" spans="1:95" ht="15" customHeight="1" thickTop="1">
      <c r="A16" s="17">
        <f t="shared" si="0"/>
        <v>5</v>
      </c>
      <c r="B16" s="559">
        <v>42217</v>
      </c>
      <c r="C16" s="419">
        <v>16745311.835772</v>
      </c>
      <c r="D16" s="419">
        <v>16745311.835772</v>
      </c>
      <c r="E16" s="419">
        <f t="shared" si="15"/>
        <v>0</v>
      </c>
      <c r="F16" s="346"/>
      <c r="G16" s="56">
        <f t="shared" si="16"/>
        <v>5</v>
      </c>
      <c r="H16" s="164" t="s">
        <v>149</v>
      </c>
      <c r="I16" s="164"/>
      <c r="K16" s="360">
        <f>SUM(J14:J15)</f>
        <v>2711610.87</v>
      </c>
      <c r="L16" s="17">
        <f t="shared" si="7"/>
        <v>5</v>
      </c>
      <c r="M16" s="18" t="s">
        <v>303</v>
      </c>
      <c r="N16" s="18" t="s">
        <v>20</v>
      </c>
      <c r="O16" s="18"/>
      <c r="P16" s="393">
        <v>34245778.579999998</v>
      </c>
      <c r="Q16" s="17">
        <f t="shared" si="8"/>
        <v>5</v>
      </c>
      <c r="R16" s="81" t="s">
        <v>67</v>
      </c>
      <c r="S16" s="427">
        <f>'1.02 COC'!F27</f>
        <v>3.0499999999999999E-2</v>
      </c>
      <c r="T16" s="20" t="s">
        <v>20</v>
      </c>
      <c r="U16" s="17">
        <f t="shared" si="9"/>
        <v>5</v>
      </c>
      <c r="V16" s="445" t="s">
        <v>156</v>
      </c>
      <c r="X16" s="45">
        <v>-20415667.497852188</v>
      </c>
      <c r="Y16" s="17">
        <f t="shared" si="1"/>
        <v>5</v>
      </c>
      <c r="Z16" s="300" t="s">
        <v>223</v>
      </c>
      <c r="AA16" s="25"/>
      <c r="AB16" s="361">
        <f>+AB14/2</f>
        <v>520000</v>
      </c>
      <c r="AC16" s="39"/>
      <c r="AD16" s="38">
        <f t="shared" si="2"/>
        <v>5</v>
      </c>
      <c r="AE16" s="275" t="s">
        <v>270</v>
      </c>
      <c r="AF16" s="27"/>
      <c r="AG16" s="376"/>
      <c r="AH16" s="376"/>
      <c r="AI16" s="376"/>
      <c r="AJ16" s="414">
        <f>ROUND(SUM(AJ12:AJ14)/3,6)</f>
        <v>5.2209999999999999E-3</v>
      </c>
      <c r="AK16" s="17">
        <v>5</v>
      </c>
      <c r="AL16" s="276" t="s">
        <v>82</v>
      </c>
      <c r="AM16" s="277"/>
      <c r="AN16" s="27">
        <v>1800214.5548999978</v>
      </c>
      <c r="AO16" s="278"/>
      <c r="AS16" s="56">
        <f t="shared" si="4"/>
        <v>5</v>
      </c>
      <c r="AT16" s="164"/>
      <c r="AU16" s="402"/>
      <c r="AV16" s="402"/>
      <c r="AW16" s="402"/>
      <c r="AX16" s="17">
        <f t="shared" si="5"/>
        <v>5</v>
      </c>
      <c r="AY16" s="18" t="s">
        <v>96</v>
      </c>
      <c r="AZ16" s="107"/>
      <c r="BA16" s="107"/>
      <c r="BB16" s="68">
        <f>-BB14</f>
        <v>13571.292914416408</v>
      </c>
      <c r="BC16" s="17">
        <f t="shared" si="10"/>
        <v>5</v>
      </c>
      <c r="BD16" s="135" t="s">
        <v>231</v>
      </c>
      <c r="BE16" s="395"/>
      <c r="BF16" s="395"/>
      <c r="BG16" s="392">
        <f>BG14</f>
        <v>200831.62143733332</v>
      </c>
      <c r="BH16" s="17">
        <f>BH15+1</f>
        <v>5</v>
      </c>
      <c r="BI16" s="2" t="s">
        <v>52</v>
      </c>
      <c r="BJ16" s="434">
        <f>SUM(BJ13:BJ15)</f>
        <v>2933401.8552575428</v>
      </c>
      <c r="BK16" s="434">
        <f>SUM(BK13:BK15)</f>
        <v>3132565.9444700941</v>
      </c>
      <c r="BL16" s="434">
        <f>SUM(BL13:BL15)</f>
        <v>199164.08921255104</v>
      </c>
      <c r="BM16" s="17">
        <f t="shared" si="6"/>
        <v>5</v>
      </c>
      <c r="BN16" s="168" t="s">
        <v>168</v>
      </c>
      <c r="BP16" s="273"/>
      <c r="BQ16" s="267">
        <f>SUM(BQ12:BQ14)</f>
        <v>4.5539999999999997E-2</v>
      </c>
      <c r="BR16" s="268"/>
      <c r="BS16" s="17">
        <f t="shared" si="12"/>
        <v>4</v>
      </c>
      <c r="BT16" s="18" t="s">
        <v>2</v>
      </c>
      <c r="BU16" s="45">
        <v>35692207.049999997</v>
      </c>
      <c r="BV16" s="45"/>
      <c r="BW16" s="45">
        <f>K25</f>
        <v>7712818.8799999999</v>
      </c>
      <c r="BX16" s="45"/>
      <c r="BY16" s="39"/>
      <c r="BZ16" s="45">
        <f>-X18-X20-X22</f>
        <v>15343126.059999999</v>
      </c>
      <c r="CA16" s="45"/>
      <c r="CB16" s="46"/>
      <c r="CC16" s="17">
        <f t="shared" si="13"/>
        <v>4</v>
      </c>
      <c r="CD16" s="18" t="s">
        <v>2</v>
      </c>
      <c r="CE16" s="46"/>
      <c r="CF16" s="46"/>
      <c r="CG16" s="46"/>
      <c r="CH16" s="46"/>
      <c r="CI16" s="46"/>
      <c r="CJ16" s="46"/>
      <c r="CK16" s="46">
        <f>SUM(BV16:CJ16)-CC16</f>
        <v>23055944.939999998</v>
      </c>
      <c r="CL16" s="46">
        <f>BU16+CK16</f>
        <v>58748151.989999995</v>
      </c>
      <c r="CM16" s="17">
        <f t="shared" si="14"/>
        <v>4</v>
      </c>
      <c r="CN16" s="18" t="s">
        <v>2</v>
      </c>
      <c r="CO16" s="85">
        <f>BU16</f>
        <v>35692207.049999997</v>
      </c>
      <c r="CP16" s="97">
        <f>CK16</f>
        <v>23055944.939999998</v>
      </c>
      <c r="CQ16" s="69">
        <f>+CO16+CP16</f>
        <v>58748151.989999995</v>
      </c>
    </row>
    <row r="17" spans="1:95" ht="15" customHeight="1">
      <c r="A17" s="17">
        <f t="shared" si="0"/>
        <v>6</v>
      </c>
      <c r="B17" s="559">
        <v>42248</v>
      </c>
      <c r="C17" s="419">
        <v>19122925.135228001</v>
      </c>
      <c r="D17" s="419">
        <v>19122925.135228001</v>
      </c>
      <c r="E17" s="419">
        <f t="shared" si="15"/>
        <v>0</v>
      </c>
      <c r="F17" s="346"/>
      <c r="G17" s="56">
        <f t="shared" si="16"/>
        <v>6</v>
      </c>
      <c r="H17" s="164"/>
      <c r="I17" s="164"/>
      <c r="K17" s="360"/>
      <c r="L17" s="17">
        <f t="shared" si="7"/>
        <v>6</v>
      </c>
      <c r="M17" s="2" t="s">
        <v>304</v>
      </c>
      <c r="N17" s="2" t="s">
        <v>20</v>
      </c>
      <c r="P17" s="384">
        <f>SUM(P12:P16)</f>
        <v>156966808.03595752</v>
      </c>
      <c r="Q17" s="17">
        <f t="shared" si="8"/>
        <v>6</v>
      </c>
      <c r="R17" s="81" t="s">
        <v>41</v>
      </c>
      <c r="S17" s="39"/>
      <c r="T17" s="149">
        <f>+S14*S16</f>
        <v>52351082.520393662</v>
      </c>
      <c r="U17" s="17">
        <f t="shared" si="9"/>
        <v>6</v>
      </c>
      <c r="V17" s="445" t="s">
        <v>235</v>
      </c>
      <c r="X17" s="45">
        <v>98407.14</v>
      </c>
      <c r="Y17" s="17">
        <f t="shared" si="1"/>
        <v>6</v>
      </c>
      <c r="Z17" s="301" t="s">
        <v>224</v>
      </c>
      <c r="AA17" s="1"/>
      <c r="AB17" s="51">
        <v>86139.846191999997</v>
      </c>
      <c r="AC17" s="39"/>
      <c r="AD17" s="38">
        <f>1+AD16</f>
        <v>6</v>
      </c>
      <c r="AK17" s="17">
        <v>6</v>
      </c>
      <c r="AL17" s="50" t="s">
        <v>79</v>
      </c>
      <c r="AM17" s="50"/>
      <c r="AN17" s="51">
        <v>1792151.35</v>
      </c>
      <c r="AO17" s="166"/>
      <c r="AP17" s="166"/>
      <c r="AQ17" s="166"/>
      <c r="AR17" s="166"/>
      <c r="AS17" s="56">
        <f t="shared" si="4"/>
        <v>6</v>
      </c>
      <c r="AT17" s="169" t="s">
        <v>116</v>
      </c>
      <c r="AU17" s="138"/>
      <c r="AV17" s="150"/>
      <c r="AW17" s="405">
        <f>-AW15</f>
        <v>-151590.76364173694</v>
      </c>
      <c r="AX17" s="17">
        <f t="shared" si="5"/>
        <v>6</v>
      </c>
      <c r="AY17" s="18"/>
      <c r="AZ17" s="107"/>
      <c r="BA17" s="107"/>
      <c r="BB17" s="68"/>
      <c r="BC17" s="17">
        <f t="shared" si="10"/>
        <v>6</v>
      </c>
      <c r="BD17" s="146" t="s">
        <v>97</v>
      </c>
      <c r="BE17" s="14"/>
      <c r="BF17" s="302">
        <v>0.35</v>
      </c>
      <c r="BG17" s="397">
        <f>ROUND(-BG16*BF17,0)</f>
        <v>-70291</v>
      </c>
      <c r="BH17" s="17">
        <f t="shared" si="11"/>
        <v>6</v>
      </c>
      <c r="BI17" s="2"/>
      <c r="BJ17" s="45"/>
      <c r="BK17" s="45"/>
      <c r="BL17" s="350"/>
      <c r="BM17" s="17">
        <f t="shared" si="6"/>
        <v>6</v>
      </c>
      <c r="BN17" s="164"/>
      <c r="BO17" s="279"/>
      <c r="BP17" s="273"/>
      <c r="BQ17" s="268"/>
      <c r="BR17" s="268"/>
      <c r="BS17" s="17">
        <f t="shared" si="12"/>
        <v>5</v>
      </c>
      <c r="BT17" s="18" t="s">
        <v>3</v>
      </c>
      <c r="BU17" s="43">
        <f>SUM(BU14:BU16)</f>
        <v>900596450.0299989</v>
      </c>
      <c r="BV17" s="43">
        <f t="shared" ref="BV17:CB17" si="17">SUM(BV14:BV16)</f>
        <v>162952.83285872213</v>
      </c>
      <c r="BW17" s="43">
        <f t="shared" si="17"/>
        <v>10424429.75</v>
      </c>
      <c r="BX17" s="43">
        <f t="shared" si="17"/>
        <v>0</v>
      </c>
      <c r="BY17" s="43">
        <f t="shared" si="17"/>
        <v>0</v>
      </c>
      <c r="BZ17" s="43">
        <f t="shared" si="17"/>
        <v>-59268959.539862752</v>
      </c>
      <c r="CA17" s="43"/>
      <c r="CB17" s="43">
        <f t="shared" si="17"/>
        <v>0</v>
      </c>
      <c r="CC17" s="17">
        <f t="shared" si="13"/>
        <v>5</v>
      </c>
      <c r="CD17" s="18" t="s">
        <v>3</v>
      </c>
      <c r="CE17" s="43">
        <f t="shared" ref="CE17:CJ17" si="18">SUM(CE14:CE16)</f>
        <v>0</v>
      </c>
      <c r="CF17" s="43">
        <f t="shared" si="18"/>
        <v>0</v>
      </c>
      <c r="CG17" s="43">
        <f t="shared" si="18"/>
        <v>0</v>
      </c>
      <c r="CH17" s="43">
        <f t="shared" si="18"/>
        <v>0</v>
      </c>
      <c r="CI17" s="43"/>
      <c r="CJ17" s="43">
        <f t="shared" si="18"/>
        <v>0</v>
      </c>
      <c r="CK17" s="27">
        <f>SUM(BV17:CH17)-CC17</f>
        <v>-48681576.957004026</v>
      </c>
      <c r="CL17" s="27">
        <f>BU17+CK17</f>
        <v>851914873.07299483</v>
      </c>
      <c r="CM17" s="17">
        <f t="shared" si="14"/>
        <v>5</v>
      </c>
      <c r="CN17" s="18" t="s">
        <v>3</v>
      </c>
      <c r="CO17" s="26">
        <f>SUM(CO14:CO16)</f>
        <v>900596450.0299989</v>
      </c>
      <c r="CP17" s="26">
        <f>SUM(CP14:CP16)</f>
        <v>-48681576.95700404</v>
      </c>
      <c r="CQ17" s="43">
        <f>SUM(CQ14:CQ16)</f>
        <v>851914873.07299495</v>
      </c>
    </row>
    <row r="18" spans="1:95" ht="15" customHeight="1">
      <c r="A18" s="17">
        <f t="shared" si="0"/>
        <v>7</v>
      </c>
      <c r="B18" s="559">
        <v>42278</v>
      </c>
      <c r="C18" s="419">
        <v>18714054.200500004</v>
      </c>
      <c r="D18" s="419">
        <v>19898414.200500004</v>
      </c>
      <c r="E18" s="419">
        <f t="shared" si="15"/>
        <v>1184360</v>
      </c>
      <c r="F18" s="346"/>
      <c r="G18" s="56">
        <f t="shared" si="16"/>
        <v>7</v>
      </c>
      <c r="H18" s="18" t="s">
        <v>238</v>
      </c>
      <c r="I18" s="164"/>
      <c r="K18" s="360"/>
      <c r="L18" s="17">
        <f t="shared" si="7"/>
        <v>7</v>
      </c>
      <c r="M18" s="2" t="s">
        <v>20</v>
      </c>
      <c r="P18" s="382"/>
      <c r="Q18" s="17">
        <f t="shared" si="8"/>
        <v>7</v>
      </c>
      <c r="R18" s="81"/>
      <c r="S18" s="388"/>
      <c r="T18" s="20" t="s">
        <v>20</v>
      </c>
      <c r="U18" s="17">
        <f t="shared" si="9"/>
        <v>7</v>
      </c>
      <c r="V18" s="445" t="s">
        <v>236</v>
      </c>
      <c r="X18" s="45">
        <v>-11370.619999999999</v>
      </c>
      <c r="Y18" s="17">
        <f t="shared" si="1"/>
        <v>7</v>
      </c>
      <c r="Z18" s="18" t="s">
        <v>51</v>
      </c>
      <c r="AA18" s="62"/>
      <c r="AB18" s="362">
        <f>+AB16-AB17</f>
        <v>433860.15380800003</v>
      </c>
      <c r="AC18" s="363">
        <f>+AB18</f>
        <v>433860.15380800003</v>
      </c>
      <c r="AD18" s="38">
        <f t="shared" si="2"/>
        <v>7</v>
      </c>
      <c r="AE18" s="280" t="s">
        <v>271</v>
      </c>
      <c r="AF18" s="27"/>
      <c r="AG18" s="376">
        <v>900596450.0299989</v>
      </c>
      <c r="AH18" s="376">
        <v>35692207.049999997</v>
      </c>
      <c r="AI18" s="376">
        <f>AG18-AH18</f>
        <v>864904242.97999895</v>
      </c>
      <c r="AK18" s="17">
        <v>7</v>
      </c>
      <c r="AL18" s="281" t="s">
        <v>81</v>
      </c>
      <c r="AM18" s="281"/>
      <c r="AN18" s="370">
        <f>AN16-AN17</f>
        <v>8063.2048999976832</v>
      </c>
      <c r="AS18" s="56">
        <f t="shared" si="4"/>
        <v>7</v>
      </c>
      <c r="AT18" s="170" t="s">
        <v>97</v>
      </c>
      <c r="AU18" s="170"/>
      <c r="AV18" s="406">
        <f>FIT</f>
        <v>0.35</v>
      </c>
      <c r="AW18" s="407">
        <f>AW17*AV18</f>
        <v>-53056.767274607926</v>
      </c>
      <c r="AX18" s="17">
        <f t="shared" si="5"/>
        <v>7</v>
      </c>
      <c r="AY18" s="18" t="s">
        <v>97</v>
      </c>
      <c r="AZ18" s="107"/>
      <c r="BA18" s="148">
        <f>FIT</f>
        <v>0.35</v>
      </c>
      <c r="BB18" s="378">
        <f>BB16*BA18</f>
        <v>4749.9525200457429</v>
      </c>
      <c r="BC18" s="17">
        <f t="shared" si="10"/>
        <v>7</v>
      </c>
      <c r="BD18" s="2"/>
      <c r="BE18" s="45"/>
      <c r="BF18" s="45"/>
      <c r="BG18" s="398"/>
      <c r="BH18" s="17">
        <f t="shared" si="11"/>
        <v>7</v>
      </c>
      <c r="BI18" s="2" t="s">
        <v>189</v>
      </c>
      <c r="BJ18" s="45"/>
      <c r="BK18" s="45"/>
      <c r="BL18" s="350">
        <f>BL16</f>
        <v>199164.08921255104</v>
      </c>
      <c r="BM18" s="17">
        <f t="shared" si="6"/>
        <v>7</v>
      </c>
      <c r="BN18" s="168" t="s">
        <v>240</v>
      </c>
      <c r="BO18" s="279"/>
      <c r="BQ18" s="485">
        <f>ROUND((1-BQ16),6)</f>
        <v>0.95445999999999998</v>
      </c>
      <c r="BR18" s="268"/>
      <c r="BS18" s="17">
        <f t="shared" si="12"/>
        <v>6</v>
      </c>
      <c r="CB18" s="20"/>
      <c r="CC18" s="17">
        <f t="shared" si="13"/>
        <v>6</v>
      </c>
      <c r="CF18" s="20"/>
      <c r="CG18" s="20"/>
      <c r="CH18" s="20"/>
      <c r="CI18" s="20"/>
      <c r="CJ18" s="20"/>
      <c r="CK18" s="24"/>
      <c r="CL18" s="24"/>
      <c r="CM18" s="17">
        <f t="shared" si="14"/>
        <v>6</v>
      </c>
    </row>
    <row r="19" spans="1:95" ht="15" customHeight="1" thickBot="1">
      <c r="A19" s="17">
        <f t="shared" si="0"/>
        <v>8</v>
      </c>
      <c r="B19" s="559">
        <v>42309</v>
      </c>
      <c r="C19" s="419">
        <v>21307429.020979166</v>
      </c>
      <c r="D19" s="419">
        <v>20904383.020979166</v>
      </c>
      <c r="E19" s="419">
        <f t="shared" si="15"/>
        <v>-403046</v>
      </c>
      <c r="F19" s="346"/>
      <c r="G19" s="56">
        <f t="shared" si="16"/>
        <v>8</v>
      </c>
      <c r="H19" s="324"/>
      <c r="I19" s="164"/>
      <c r="J19" s="27"/>
      <c r="K19" s="360"/>
      <c r="L19" s="17">
        <f t="shared" si="7"/>
        <v>8</v>
      </c>
      <c r="M19" s="2" t="s">
        <v>305</v>
      </c>
      <c r="N19" s="2" t="s">
        <v>20</v>
      </c>
      <c r="P19" s="541">
        <f>T17</f>
        <v>52351082.520393662</v>
      </c>
      <c r="Q19" s="17">
        <f t="shared" si="8"/>
        <v>8</v>
      </c>
      <c r="S19" s="388"/>
      <c r="T19" s="20"/>
      <c r="U19" s="17">
        <f t="shared" si="9"/>
        <v>8</v>
      </c>
      <c r="V19" s="447" t="s">
        <v>257</v>
      </c>
      <c r="X19" s="45">
        <v>16449022.347714938</v>
      </c>
      <c r="Y19" s="17">
        <f t="shared" si="1"/>
        <v>8</v>
      </c>
      <c r="Z19" s="18"/>
      <c r="AA19" s="62"/>
      <c r="AB19" s="364"/>
      <c r="AC19" s="365"/>
      <c r="AD19" s="38">
        <f>1+AD18</f>
        <v>8</v>
      </c>
      <c r="AE19" s="2" t="s">
        <v>329</v>
      </c>
      <c r="AI19" s="46">
        <v>155531.83285872213</v>
      </c>
      <c r="AK19" s="17">
        <v>8</v>
      </c>
      <c r="AN19" s="2"/>
      <c r="AS19" s="56">
        <f t="shared" si="4"/>
        <v>8</v>
      </c>
      <c r="AT19" s="204"/>
      <c r="AU19" s="204"/>
      <c r="AV19" s="204"/>
      <c r="AW19" s="204"/>
      <c r="AX19" s="17">
        <f t="shared" si="5"/>
        <v>8</v>
      </c>
      <c r="AY19" s="18"/>
      <c r="AZ19" s="107"/>
      <c r="BA19" s="148"/>
      <c r="BB19" s="378"/>
      <c r="BC19" s="17">
        <f t="shared" si="10"/>
        <v>8</v>
      </c>
      <c r="BD19" s="25" t="s">
        <v>56</v>
      </c>
      <c r="BE19" s="399"/>
      <c r="BF19" s="39"/>
      <c r="BG19" s="400">
        <f>-BG16-BG17</f>
        <v>-130540.62143733332</v>
      </c>
      <c r="BH19" s="17">
        <f t="shared" si="11"/>
        <v>8</v>
      </c>
      <c r="BI19" s="2"/>
      <c r="BJ19" s="2"/>
      <c r="BK19" s="2"/>
      <c r="BL19" s="2"/>
      <c r="BM19" s="17">
        <f t="shared" si="6"/>
        <v>8</v>
      </c>
      <c r="BN19" s="168" t="str">
        <f>"FEDERAL INCOME TAX ( ( 1 - LINE "&amp;BM16&amp;" ) * "&amp;FIT*100&amp;"% )"</f>
        <v>FEDERAL INCOME TAX ( ( 1 - LINE 5 ) * 35% )</v>
      </c>
      <c r="BO19" s="282"/>
      <c r="BP19" s="389">
        <v>0.35</v>
      </c>
      <c r="BQ19" s="441">
        <f>ROUND((BQ18)*BP19,6)</f>
        <v>0.334061</v>
      </c>
      <c r="BS19" s="17">
        <f t="shared" si="12"/>
        <v>7</v>
      </c>
      <c r="BU19" s="59"/>
      <c r="BV19" s="339"/>
      <c r="BW19" s="339"/>
      <c r="BX19" s="339" t="s">
        <v>20</v>
      </c>
      <c r="BY19" s="339" t="s">
        <v>20</v>
      </c>
      <c r="BZ19" s="339"/>
      <c r="CA19" s="339"/>
      <c r="CB19" s="339" t="s">
        <v>20</v>
      </c>
      <c r="CC19" s="17">
        <f t="shared" si="13"/>
        <v>7</v>
      </c>
      <c r="CE19" s="339"/>
      <c r="CF19" s="339"/>
      <c r="CG19" s="339"/>
      <c r="CH19" s="339"/>
      <c r="CI19" s="339"/>
      <c r="CJ19" s="339"/>
      <c r="CK19" s="24"/>
      <c r="CL19" s="24"/>
      <c r="CM19" s="17">
        <f t="shared" si="14"/>
        <v>7</v>
      </c>
      <c r="CO19" s="24"/>
      <c r="CP19" s="24"/>
      <c r="CQ19" s="24"/>
    </row>
    <row r="20" spans="1:95" ht="15" customHeight="1" thickTop="1" thickBot="1">
      <c r="A20" s="17">
        <f t="shared" si="0"/>
        <v>9</v>
      </c>
      <c r="B20" s="559">
        <v>42339</v>
      </c>
      <c r="C20" s="419">
        <v>23996189.269187499</v>
      </c>
      <c r="D20" s="419">
        <v>24573556.269187499</v>
      </c>
      <c r="E20" s="419">
        <f t="shared" si="15"/>
        <v>577367</v>
      </c>
      <c r="F20" s="346"/>
      <c r="G20" s="56">
        <f t="shared" si="16"/>
        <v>9</v>
      </c>
      <c r="H20" s="324" t="s">
        <v>323</v>
      </c>
      <c r="I20" s="446"/>
      <c r="J20" s="27">
        <v>53414.94999999999</v>
      </c>
      <c r="K20" s="360"/>
      <c r="L20" s="17">
        <f t="shared" ref="L20:L31" si="19">L19+1</f>
        <v>9</v>
      </c>
      <c r="M20" s="2" t="s">
        <v>300</v>
      </c>
      <c r="P20" s="398">
        <f>P17-P19</f>
        <v>104615725.51556385</v>
      </c>
      <c r="Q20" s="17">
        <f t="shared" si="8"/>
        <v>9</v>
      </c>
      <c r="R20" s="81"/>
      <c r="S20" s="388"/>
      <c r="T20" s="20"/>
      <c r="U20" s="17">
        <f t="shared" si="9"/>
        <v>9</v>
      </c>
      <c r="V20" s="447" t="s">
        <v>258</v>
      </c>
      <c r="X20" s="45">
        <v>-15699933.869999999</v>
      </c>
      <c r="Y20" s="17">
        <f t="shared" si="1"/>
        <v>9</v>
      </c>
      <c r="Z20" s="18"/>
      <c r="AA20" s="1"/>
      <c r="AB20" s="254"/>
      <c r="AC20" s="39"/>
      <c r="AD20" s="38">
        <f t="shared" ref="AD20:AD23" si="20">1+AD19</f>
        <v>9</v>
      </c>
      <c r="AI20" s="27">
        <f>SUM(AI18:AI19)</f>
        <v>865059774.81285763</v>
      </c>
      <c r="AK20" s="17">
        <v>9</v>
      </c>
      <c r="AL20" s="83" t="s">
        <v>52</v>
      </c>
      <c r="AN20" s="27">
        <f>AN14+AN18</f>
        <v>8063.2048999976832</v>
      </c>
      <c r="AS20" s="56">
        <f t="shared" si="4"/>
        <v>9</v>
      </c>
      <c r="AT20" s="168" t="s">
        <v>56</v>
      </c>
      <c r="AU20" s="159"/>
      <c r="AV20" s="159"/>
      <c r="AW20" s="408">
        <f>AW17-AW18</f>
        <v>-98533.996367129002</v>
      </c>
      <c r="AX20" s="17">
        <f t="shared" si="5"/>
        <v>9</v>
      </c>
      <c r="AY20" s="18" t="s">
        <v>56</v>
      </c>
      <c r="AZ20" s="107"/>
      <c r="BA20" s="107"/>
      <c r="BB20" s="379">
        <f>BB16-BB18</f>
        <v>8821.3403943706653</v>
      </c>
      <c r="BC20" s="303"/>
      <c r="BD20" s="303"/>
      <c r="BE20" s="303"/>
      <c r="BF20" s="303"/>
      <c r="BG20" s="303"/>
      <c r="BH20" s="17">
        <f t="shared" si="11"/>
        <v>9</v>
      </c>
      <c r="BI20" s="18" t="s">
        <v>190</v>
      </c>
      <c r="BJ20" s="45"/>
      <c r="BK20" s="435">
        <v>0.35</v>
      </c>
      <c r="BL20" s="350">
        <f>ROUND(-BL18*BK20,0)</f>
        <v>-69707</v>
      </c>
      <c r="BM20" s="17">
        <f t="shared" si="6"/>
        <v>9</v>
      </c>
      <c r="BN20" s="168" t="str">
        <f>"CONVERSION FACTOR ( 1 - ( LINE "&amp;BM16&amp;" + LINE "&amp;BM18&amp;" ) )"</f>
        <v>CONVERSION FACTOR ( 1 - ( LINE 5 + LINE 7 ) )</v>
      </c>
      <c r="BO20" s="282"/>
      <c r="BP20" s="442"/>
      <c r="BQ20" s="557">
        <f>ROUND(1-BQ19-BQ16,6)-BQ24</f>
        <v>0.62039900000000003</v>
      </c>
      <c r="BR20" s="283"/>
      <c r="BS20" s="17">
        <f t="shared" si="12"/>
        <v>8</v>
      </c>
      <c r="BT20" s="18" t="s">
        <v>4</v>
      </c>
      <c r="BU20" s="59"/>
      <c r="BV20" s="24"/>
      <c r="BW20" s="24"/>
      <c r="BX20" s="24"/>
      <c r="BY20" s="24"/>
      <c r="BZ20" s="24"/>
      <c r="CA20" s="24"/>
      <c r="CB20" s="24"/>
      <c r="CC20" s="17">
        <f t="shared" si="13"/>
        <v>8</v>
      </c>
      <c r="CD20" s="18" t="s">
        <v>4</v>
      </c>
      <c r="CE20" s="24"/>
      <c r="CF20" s="24"/>
      <c r="CG20" s="24"/>
      <c r="CH20" s="24"/>
      <c r="CI20" s="24"/>
      <c r="CJ20" s="24"/>
      <c r="CK20" s="24"/>
      <c r="CL20" s="24"/>
      <c r="CM20" s="17">
        <f t="shared" si="14"/>
        <v>8</v>
      </c>
      <c r="CN20" s="83" t="s">
        <v>4</v>
      </c>
      <c r="CO20" s="24"/>
      <c r="CP20" s="24"/>
      <c r="CQ20" s="24"/>
    </row>
    <row r="21" spans="1:95" ht="15" customHeight="1" thickTop="1" thickBot="1">
      <c r="A21" s="17">
        <f t="shared" si="0"/>
        <v>10</v>
      </c>
      <c r="B21" s="559">
        <v>42370</v>
      </c>
      <c r="C21" s="419">
        <v>24870087.55483333</v>
      </c>
      <c r="D21" s="419">
        <v>25446635.55483333</v>
      </c>
      <c r="E21" s="419">
        <f t="shared" ref="E21:E26" si="21">+D21-C21</f>
        <v>576548</v>
      </c>
      <c r="F21" s="346"/>
      <c r="G21" s="56">
        <f t="shared" si="16"/>
        <v>10</v>
      </c>
      <c r="H21" s="555" t="s">
        <v>319</v>
      </c>
      <c r="I21" s="164"/>
      <c r="J21" s="45">
        <v>7659403.9299999997</v>
      </c>
      <c r="K21" s="360"/>
      <c r="L21" s="17">
        <f t="shared" si="19"/>
        <v>10</v>
      </c>
      <c r="M21" s="2" t="s">
        <v>20</v>
      </c>
      <c r="O21" s="53" t="s">
        <v>20</v>
      </c>
      <c r="P21" s="380"/>
      <c r="Q21" s="17">
        <f t="shared" si="8"/>
        <v>10</v>
      </c>
      <c r="R21" s="2" t="s">
        <v>116</v>
      </c>
      <c r="S21" s="39"/>
      <c r="T21" s="344">
        <f>-T17+T19</f>
        <v>-52351082.520393662</v>
      </c>
      <c r="U21" s="17">
        <f t="shared" si="9"/>
        <v>10</v>
      </c>
      <c r="V21" s="445" t="s">
        <v>232</v>
      </c>
      <c r="W21" s="423"/>
      <c r="X21" s="45">
        <v>40307517.150000006</v>
      </c>
      <c r="Y21" s="17">
        <f t="shared" si="1"/>
        <v>10</v>
      </c>
      <c r="Z21" s="18" t="s">
        <v>109</v>
      </c>
      <c r="AA21" s="1"/>
      <c r="AB21" s="39"/>
      <c r="AC21" s="344">
        <f>+AC18</f>
        <v>433860.15380800003</v>
      </c>
      <c r="AD21" s="38">
        <f t="shared" si="20"/>
        <v>10</v>
      </c>
      <c r="AK21" s="17">
        <v>10</v>
      </c>
      <c r="AN21" s="2"/>
      <c r="AS21" s="56"/>
      <c r="AT21" s="164"/>
      <c r="AU21" s="164"/>
      <c r="AV21" s="164"/>
      <c r="AW21" s="164"/>
      <c r="AX21" s="17"/>
      <c r="AY21" s="18"/>
      <c r="AZ21" s="107"/>
      <c r="BA21" s="107"/>
      <c r="BB21" s="152"/>
      <c r="BC21" s="152"/>
      <c r="BD21" s="152"/>
      <c r="BE21" s="152"/>
      <c r="BF21" s="152"/>
      <c r="BG21" s="152"/>
      <c r="BH21" s="17">
        <f t="shared" si="11"/>
        <v>10</v>
      </c>
      <c r="BI21" s="18" t="s">
        <v>55</v>
      </c>
      <c r="BJ21" s="18"/>
      <c r="BK21" s="2"/>
      <c r="BL21" s="436">
        <f>-BL18-BL20</f>
        <v>-129457.08921255104</v>
      </c>
      <c r="BM21" s="17"/>
      <c r="BO21" s="282"/>
      <c r="BP21" s="282"/>
      <c r="BS21" s="17">
        <f t="shared" si="12"/>
        <v>9</v>
      </c>
      <c r="CC21" s="17">
        <f t="shared" si="13"/>
        <v>9</v>
      </c>
      <c r="CK21" s="24"/>
      <c r="CL21" s="24"/>
      <c r="CM21" s="17">
        <f t="shared" si="14"/>
        <v>9</v>
      </c>
      <c r="CO21" s="24"/>
      <c r="CP21" s="24"/>
      <c r="CQ21" s="24"/>
    </row>
    <row r="22" spans="1:95" ht="15" customHeight="1" thickTop="1">
      <c r="A22" s="17">
        <f t="shared" si="0"/>
        <v>11</v>
      </c>
      <c r="B22" s="559">
        <v>42401</v>
      </c>
      <c r="C22" s="419">
        <v>23565988.190499999</v>
      </c>
      <c r="D22" s="419">
        <v>24862849.190499999</v>
      </c>
      <c r="E22" s="419">
        <f t="shared" si="21"/>
        <v>1296861</v>
      </c>
      <c r="F22" s="346"/>
      <c r="G22" s="56">
        <f t="shared" si="16"/>
        <v>11</v>
      </c>
      <c r="H22" s="555" t="s">
        <v>20</v>
      </c>
      <c r="I22" s="164"/>
      <c r="J22" s="45">
        <v>0</v>
      </c>
      <c r="K22" s="360"/>
      <c r="L22" s="17">
        <f t="shared" si="19"/>
        <v>11</v>
      </c>
      <c r="M22" s="18" t="s">
        <v>316</v>
      </c>
      <c r="N22" s="20"/>
      <c r="O22" s="59"/>
      <c r="P22" s="382" t="s">
        <v>20</v>
      </c>
      <c r="Q22" s="17">
        <f t="shared" si="8"/>
        <v>11</v>
      </c>
      <c r="R22" s="2" t="s">
        <v>20</v>
      </c>
      <c r="T22" s="59" t="s">
        <v>20</v>
      </c>
      <c r="U22" s="17">
        <f t="shared" si="9"/>
        <v>11</v>
      </c>
      <c r="V22" s="448" t="s">
        <v>233</v>
      </c>
      <c r="W22" s="45"/>
      <c r="X22" s="45">
        <v>368178.43</v>
      </c>
      <c r="Y22" s="17">
        <f t="shared" si="1"/>
        <v>11</v>
      </c>
      <c r="AA22" s="1"/>
      <c r="AB22" s="39"/>
      <c r="AC22" s="195"/>
      <c r="AD22" s="38">
        <f t="shared" si="20"/>
        <v>11</v>
      </c>
      <c r="AE22" s="2" t="s">
        <v>216</v>
      </c>
      <c r="AI22" s="415">
        <f>AJ16</f>
        <v>5.2209999999999999E-3</v>
      </c>
      <c r="AK22" s="17">
        <v>11</v>
      </c>
      <c r="AL22" s="2" t="s">
        <v>94</v>
      </c>
      <c r="AN22" s="27">
        <f>-(AN14+AN18)</f>
        <v>-8063.2048999976832</v>
      </c>
      <c r="AS22" s="56"/>
      <c r="AT22" s="164"/>
      <c r="AU22" s="171"/>
      <c r="AV22" s="172"/>
      <c r="AW22" s="172"/>
      <c r="AX22" s="18" t="s">
        <v>20</v>
      </c>
      <c r="AY22" s="18"/>
      <c r="AZ22" s="107"/>
      <c r="BA22" s="107"/>
      <c r="BB22" s="107"/>
      <c r="BC22" s="107"/>
      <c r="BD22" s="107"/>
      <c r="BE22" s="107"/>
      <c r="BF22" s="107"/>
      <c r="BG22" s="107"/>
      <c r="BH22" s="21"/>
      <c r="BI22" s="21"/>
      <c r="BJ22" s="21"/>
      <c r="BK22" s="21"/>
      <c r="BL22" s="21"/>
      <c r="BM22" s="17"/>
      <c r="BO22" s="282"/>
      <c r="BP22" s="282"/>
      <c r="BR22" s="283"/>
      <c r="BS22" s="17">
        <f t="shared" si="12"/>
        <v>10</v>
      </c>
      <c r="BT22" s="18" t="s">
        <v>88</v>
      </c>
      <c r="BU22" s="13"/>
      <c r="BV22" s="26"/>
      <c r="BW22" s="26"/>
      <c r="BX22" s="26"/>
      <c r="BY22" s="26"/>
      <c r="BZ22" s="26"/>
      <c r="CA22" s="26"/>
      <c r="CB22" s="24"/>
      <c r="CC22" s="17">
        <f t="shared" si="13"/>
        <v>10</v>
      </c>
      <c r="CD22" s="18" t="s">
        <v>88</v>
      </c>
      <c r="CE22" s="24"/>
      <c r="CF22" s="24"/>
      <c r="CG22" s="24"/>
      <c r="CH22" s="24"/>
      <c r="CI22" s="24"/>
      <c r="CJ22" s="24"/>
      <c r="CK22" s="24"/>
      <c r="CL22" s="24"/>
      <c r="CM22" s="17">
        <f t="shared" si="14"/>
        <v>10</v>
      </c>
      <c r="CN22" s="18" t="s">
        <v>88</v>
      </c>
      <c r="CO22" s="24"/>
      <c r="CP22" s="24"/>
      <c r="CQ22" s="24"/>
    </row>
    <row r="23" spans="1:95" ht="15" customHeight="1">
      <c r="A23" s="17">
        <f t="shared" si="0"/>
        <v>12</v>
      </c>
      <c r="B23" s="559">
        <v>42430</v>
      </c>
      <c r="C23" s="419">
        <v>20945939.07</v>
      </c>
      <c r="D23" s="419">
        <v>21785617.07</v>
      </c>
      <c r="E23" s="419">
        <f t="shared" si="21"/>
        <v>839678</v>
      </c>
      <c r="F23" s="346"/>
      <c r="G23" s="56">
        <f t="shared" si="16"/>
        <v>12</v>
      </c>
      <c r="H23" s="555"/>
      <c r="I23" s="164"/>
      <c r="J23" s="45"/>
      <c r="K23" s="360"/>
      <c r="L23" s="17">
        <f t="shared" si="19"/>
        <v>12</v>
      </c>
      <c r="M23" s="2" t="s">
        <v>301</v>
      </c>
      <c r="P23" s="45"/>
      <c r="Q23" s="17">
        <f t="shared" si="8"/>
        <v>12</v>
      </c>
      <c r="R23" s="2" t="s">
        <v>68</v>
      </c>
      <c r="S23" s="389">
        <v>0.35</v>
      </c>
      <c r="T23" s="45">
        <f>T21*S23</f>
        <v>-18322878.882137779</v>
      </c>
      <c r="U23" s="17">
        <f t="shared" si="9"/>
        <v>12</v>
      </c>
      <c r="V23" s="449" t="s">
        <v>157</v>
      </c>
      <c r="W23" s="423"/>
      <c r="X23" s="424">
        <f>SUM(X12:X22)</f>
        <v>59268959.539862759</v>
      </c>
      <c r="Y23" s="17">
        <f t="shared" si="1"/>
        <v>12</v>
      </c>
      <c r="Z23" s="2" t="s">
        <v>190</v>
      </c>
      <c r="AA23" s="302">
        <v>0.35</v>
      </c>
      <c r="AB23" s="39"/>
      <c r="AC23" s="366">
        <f>-AC21*AA23</f>
        <v>-151851.05383280001</v>
      </c>
      <c r="AD23" s="38">
        <f t="shared" si="20"/>
        <v>12</v>
      </c>
      <c r="AE23" s="2" t="s">
        <v>217</v>
      </c>
      <c r="AI23" s="376">
        <f>AI20*AI22</f>
        <v>4516477.0842979299</v>
      </c>
      <c r="AK23" s="17">
        <v>12</v>
      </c>
      <c r="AN23" s="2"/>
      <c r="AS23" s="56"/>
      <c r="AT23" s="168"/>
      <c r="AU23" s="171"/>
      <c r="AV23" s="172"/>
      <c r="AW23" s="172"/>
      <c r="AX23" s="18"/>
      <c r="AY23" s="18"/>
      <c r="AZ23" s="107"/>
      <c r="BA23" s="107"/>
      <c r="BB23" s="107"/>
      <c r="BC23" s="107"/>
      <c r="BD23" s="107"/>
      <c r="BE23" s="107"/>
      <c r="BF23" s="107"/>
      <c r="BG23" s="107"/>
      <c r="BM23" s="17"/>
      <c r="BO23" s="282"/>
      <c r="BP23" s="443"/>
      <c r="BQ23"/>
      <c r="BR23" s="283"/>
      <c r="BS23" s="17">
        <f t="shared" si="12"/>
        <v>11</v>
      </c>
      <c r="BT23" s="18"/>
      <c r="BU23" s="340"/>
      <c r="BV23" s="52"/>
      <c r="BW23" s="52"/>
      <c r="BX23" s="52"/>
      <c r="BY23" s="52"/>
      <c r="BZ23" s="52"/>
      <c r="CA23" s="52"/>
      <c r="CB23" s="52"/>
      <c r="CC23" s="17">
        <f t="shared" si="13"/>
        <v>11</v>
      </c>
      <c r="CD23" s="18"/>
      <c r="CE23" s="52"/>
      <c r="CF23" s="52"/>
      <c r="CG23" s="52"/>
      <c r="CH23" s="52"/>
      <c r="CI23" s="52"/>
      <c r="CJ23" s="52"/>
      <c r="CK23" s="27"/>
      <c r="CL23" s="27"/>
      <c r="CM23" s="17">
        <f t="shared" si="14"/>
        <v>11</v>
      </c>
      <c r="CN23" s="18"/>
      <c r="CO23" s="52"/>
      <c r="CP23" s="52"/>
      <c r="CQ23" s="70"/>
    </row>
    <row r="24" spans="1:95" ht="15" customHeight="1" thickBot="1">
      <c r="A24" s="17">
        <f t="shared" si="0"/>
        <v>13</v>
      </c>
      <c r="B24" s="559">
        <v>42461</v>
      </c>
      <c r="C24" s="419">
        <v>19923398.473999999</v>
      </c>
      <c r="D24" s="419">
        <v>21418746.473999999</v>
      </c>
      <c r="E24" s="419">
        <f t="shared" si="21"/>
        <v>1495348</v>
      </c>
      <c r="F24" s="346"/>
      <c r="G24" s="56">
        <f t="shared" si="16"/>
        <v>13</v>
      </c>
      <c r="H24" s="555"/>
      <c r="I24" s="164"/>
      <c r="K24" s="360"/>
      <c r="L24" s="17">
        <f t="shared" si="19"/>
        <v>13</v>
      </c>
      <c r="M24" s="2" t="s">
        <v>313</v>
      </c>
      <c r="N24" s="2" t="s">
        <v>20</v>
      </c>
      <c r="P24" s="383">
        <v>262894194.94999999</v>
      </c>
      <c r="Q24" s="17">
        <f t="shared" si="8"/>
        <v>13</v>
      </c>
      <c r="R24" s="2" t="s">
        <v>56</v>
      </c>
      <c r="S24" s="39"/>
      <c r="T24" s="390">
        <f>-T23</f>
        <v>18322878.882137779</v>
      </c>
      <c r="U24" s="17">
        <f t="shared" si="9"/>
        <v>13</v>
      </c>
      <c r="V24" s="449"/>
      <c r="W24" s="422"/>
      <c r="X24" s="459"/>
      <c r="Y24" s="17">
        <f t="shared" si="1"/>
        <v>13</v>
      </c>
      <c r="Z24" s="2" t="s">
        <v>55</v>
      </c>
      <c r="AA24" s="1"/>
      <c r="AB24" s="39"/>
      <c r="AC24" s="367">
        <f>-AC21-AC23</f>
        <v>-282009.09997520002</v>
      </c>
      <c r="AD24" s="38">
        <f t="shared" si="2"/>
        <v>13</v>
      </c>
      <c r="AI24" s="27"/>
      <c r="AK24" s="17">
        <v>13</v>
      </c>
      <c r="AL24" s="2" t="s">
        <v>57</v>
      </c>
      <c r="AM24" s="286">
        <f>FIT</f>
        <v>0.35</v>
      </c>
      <c r="AN24" s="371">
        <f>AN22*AM24</f>
        <v>-2822.121714999189</v>
      </c>
      <c r="AS24" s="173"/>
      <c r="AT24" s="252"/>
      <c r="AU24" s="287"/>
      <c r="AV24" s="287"/>
      <c r="AW24" s="287"/>
      <c r="AX24" s="18"/>
      <c r="AY24" s="18"/>
      <c r="AZ24" s="107"/>
      <c r="BA24" s="107"/>
      <c r="BB24" s="107"/>
      <c r="BC24" s="107"/>
      <c r="BD24" s="107"/>
      <c r="BE24" s="107"/>
      <c r="BF24" s="107"/>
      <c r="BG24" s="107"/>
      <c r="BM24" s="17"/>
      <c r="BO24" s="53"/>
      <c r="BP24" s="284"/>
      <c r="BQ24"/>
      <c r="BR24" s="283"/>
      <c r="BS24" s="17">
        <f t="shared" si="12"/>
        <v>12</v>
      </c>
      <c r="BT24" s="18" t="s">
        <v>89</v>
      </c>
      <c r="BU24" s="13">
        <v>338788095.74000001</v>
      </c>
      <c r="BV24" s="26">
        <f>+F39</f>
        <v>0</v>
      </c>
      <c r="BW24" s="26"/>
      <c r="BX24" s="26">
        <v>0</v>
      </c>
      <c r="BY24" s="26">
        <v>0</v>
      </c>
      <c r="BZ24" s="26">
        <f>X35</f>
        <v>19485938</v>
      </c>
      <c r="CA24" s="26"/>
      <c r="CB24" s="26">
        <v>0</v>
      </c>
      <c r="CC24" s="17">
        <f t="shared" si="13"/>
        <v>12</v>
      </c>
      <c r="CD24" s="18" t="s">
        <v>89</v>
      </c>
      <c r="CE24" s="26"/>
      <c r="CF24" s="26">
        <v>0</v>
      </c>
      <c r="CG24" s="26">
        <v>0</v>
      </c>
      <c r="CH24" s="26">
        <v>0</v>
      </c>
      <c r="CI24" s="26"/>
      <c r="CJ24" s="26"/>
      <c r="CK24" s="45">
        <f>SUM(BV24:CJ24)-CC24</f>
        <v>19485938</v>
      </c>
      <c r="CL24" s="27">
        <f>BU24+CK24</f>
        <v>358274033.74000001</v>
      </c>
      <c r="CM24" s="17">
        <f t="shared" si="14"/>
        <v>12</v>
      </c>
      <c r="CN24" s="18" t="s">
        <v>89</v>
      </c>
      <c r="CO24" s="26">
        <f>BU24</f>
        <v>338788095.74000001</v>
      </c>
      <c r="CP24" s="26">
        <f>CK24</f>
        <v>19485938</v>
      </c>
      <c r="CQ24" s="67">
        <f>+CO24+CP24</f>
        <v>358274033.74000001</v>
      </c>
    </row>
    <row r="25" spans="1:95" ht="15" customHeight="1" thickTop="1">
      <c r="A25" s="17">
        <f t="shared" si="0"/>
        <v>14</v>
      </c>
      <c r="B25" s="559">
        <v>42491</v>
      </c>
      <c r="C25" s="419">
        <v>20979670.839500003</v>
      </c>
      <c r="D25" s="419">
        <v>21709560.839500003</v>
      </c>
      <c r="E25" s="419">
        <f t="shared" si="21"/>
        <v>729890</v>
      </c>
      <c r="F25" s="346"/>
      <c r="G25" s="56">
        <f t="shared" si="16"/>
        <v>14</v>
      </c>
      <c r="H25" s="267" t="s">
        <v>239</v>
      </c>
      <c r="I25" s="164"/>
      <c r="K25" s="360">
        <f>SUM(J20:J24)</f>
        <v>7712818.8799999999</v>
      </c>
      <c r="L25" s="17">
        <f t="shared" si="19"/>
        <v>14</v>
      </c>
      <c r="M25" s="2" t="s">
        <v>314</v>
      </c>
      <c r="P25" s="396">
        <v>-197509722.16999999</v>
      </c>
      <c r="Q25" s="17"/>
      <c r="T25" s="2" t="s">
        <v>20</v>
      </c>
      <c r="U25" s="17">
        <f t="shared" si="9"/>
        <v>14</v>
      </c>
      <c r="V25" s="450" t="s">
        <v>158</v>
      </c>
      <c r="W25" s="422"/>
      <c r="X25" s="460"/>
      <c r="Y25" s="45"/>
      <c r="Z25" s="45"/>
      <c r="AA25" s="45"/>
      <c r="AB25" s="45"/>
      <c r="AC25" s="45"/>
      <c r="AD25" s="38">
        <f t="shared" si="2"/>
        <v>14</v>
      </c>
      <c r="AE25" s="18" t="s">
        <v>95</v>
      </c>
      <c r="AI25" s="416">
        <v>3997770.07</v>
      </c>
      <c r="AK25" s="17">
        <v>14</v>
      </c>
      <c r="AM25" s="286"/>
      <c r="AN25" s="371"/>
      <c r="AS25" s="173"/>
      <c r="AT25" s="194"/>
      <c r="AU25" s="135"/>
      <c r="AV25" s="135"/>
      <c r="AW25" s="135"/>
      <c r="AX25" s="18"/>
      <c r="AY25" s="18"/>
      <c r="AZ25" s="18"/>
      <c r="BA25" s="18"/>
      <c r="BB25" s="107"/>
      <c r="BC25" s="107"/>
      <c r="BD25" s="107"/>
      <c r="BE25" s="107"/>
      <c r="BF25" s="107"/>
      <c r="BG25" s="107"/>
      <c r="BM25" s="17"/>
      <c r="BP25" s="273"/>
      <c r="BQ25"/>
      <c r="BR25" s="26"/>
      <c r="BS25" s="17">
        <f t="shared" si="12"/>
        <v>13</v>
      </c>
      <c r="BT25" s="18"/>
      <c r="BU25" s="48"/>
      <c r="BV25" s="45"/>
      <c r="BW25" s="45"/>
      <c r="BX25" s="45"/>
      <c r="BY25" s="45"/>
      <c r="BZ25" s="45"/>
      <c r="CA25" s="45"/>
      <c r="CB25" s="46"/>
      <c r="CC25" s="17">
        <f t="shared" si="13"/>
        <v>13</v>
      </c>
      <c r="CD25" s="18"/>
      <c r="CE25" s="45"/>
      <c r="CF25" s="46"/>
      <c r="CG25" s="46"/>
      <c r="CH25" s="46"/>
      <c r="CI25" s="46"/>
      <c r="CJ25" s="46"/>
      <c r="CK25" s="46"/>
      <c r="CL25" s="46"/>
      <c r="CM25" s="17">
        <f t="shared" si="14"/>
        <v>13</v>
      </c>
      <c r="CN25" s="18"/>
      <c r="CO25" s="46"/>
      <c r="CP25" s="45"/>
      <c r="CQ25" s="68"/>
    </row>
    <row r="26" spans="1:95" ht="15" customHeight="1" thickBot="1">
      <c r="A26" s="17">
        <f t="shared" si="0"/>
        <v>15</v>
      </c>
      <c r="B26" s="559">
        <v>42522</v>
      </c>
      <c r="C26" s="419">
        <v>18262715.906500001</v>
      </c>
      <c r="D26" s="419">
        <v>18400616.906500001</v>
      </c>
      <c r="E26" s="419">
        <f t="shared" si="21"/>
        <v>137901</v>
      </c>
      <c r="F26" s="346"/>
      <c r="G26" s="56">
        <f t="shared" si="16"/>
        <v>15</v>
      </c>
      <c r="H26" s="164"/>
      <c r="I26" s="164"/>
      <c r="J26" s="166"/>
      <c r="K26" s="431"/>
      <c r="L26" s="17">
        <f t="shared" si="19"/>
        <v>15</v>
      </c>
      <c r="M26" s="62" t="s">
        <v>315</v>
      </c>
      <c r="N26" s="99"/>
      <c r="O26" s="99"/>
      <c r="P26" s="554">
        <v>0</v>
      </c>
      <c r="Q26" s="64"/>
      <c r="R26" s="39"/>
      <c r="S26" s="149"/>
      <c r="T26" s="20"/>
      <c r="U26" s="17">
        <f t="shared" si="9"/>
        <v>15</v>
      </c>
      <c r="V26" s="445" t="s">
        <v>142</v>
      </c>
      <c r="W26" s="540">
        <f>BQ12</f>
        <v>5.2209999999999999E-3</v>
      </c>
      <c r="X26" s="425">
        <f>-X23*W26</f>
        <v>-309443.23775762349</v>
      </c>
      <c r="Y26" s="135"/>
      <c r="Z26" s="135"/>
      <c r="AA26" s="135"/>
      <c r="AB26" s="135"/>
      <c r="AC26" s="135"/>
      <c r="AD26" s="38">
        <f t="shared" si="2"/>
        <v>15</v>
      </c>
      <c r="AE26" s="285" t="s">
        <v>51</v>
      </c>
      <c r="AJ26" s="27">
        <f>ROUND(AI23-AI25,0)</f>
        <v>518707</v>
      </c>
      <c r="AK26" s="17">
        <v>15</v>
      </c>
      <c r="AL26" s="2" t="s">
        <v>55</v>
      </c>
      <c r="AN26" s="372">
        <f>AN22-AN24</f>
        <v>-5241.0831849984943</v>
      </c>
      <c r="AS26" s="173"/>
      <c r="AT26" s="194"/>
      <c r="AU26" s="289"/>
      <c r="AV26" s="289"/>
      <c r="AW26" s="150"/>
      <c r="AX26" s="18"/>
      <c r="AY26" s="18"/>
      <c r="AZ26" s="18"/>
      <c r="BA26" s="18"/>
      <c r="BB26" s="107"/>
      <c r="BC26" s="107"/>
      <c r="BD26" s="107"/>
      <c r="BE26" s="107"/>
      <c r="BF26" s="107"/>
      <c r="BG26" s="107"/>
      <c r="BH26" s="2"/>
      <c r="BI26" s="2"/>
      <c r="BJ26" s="2"/>
      <c r="BK26" s="2"/>
      <c r="BL26" s="2"/>
      <c r="BM26" s="17"/>
      <c r="BN26" s="62"/>
      <c r="BO26" s="62"/>
      <c r="BP26" s="290"/>
      <c r="BR26" s="45"/>
      <c r="BS26" s="17">
        <f t="shared" si="12"/>
        <v>14</v>
      </c>
      <c r="BT26" s="18" t="s">
        <v>5</v>
      </c>
      <c r="BU26" s="44">
        <f>SUM(BU24:BU25)</f>
        <v>338788095.74000001</v>
      </c>
      <c r="BV26" s="44">
        <f t="shared" ref="BV26:CB26" si="22">SUM(BV23:BV25)</f>
        <v>0</v>
      </c>
      <c r="BW26" s="44">
        <f t="shared" si="22"/>
        <v>0</v>
      </c>
      <c r="BX26" s="44">
        <f t="shared" si="22"/>
        <v>0</v>
      </c>
      <c r="BY26" s="44">
        <f t="shared" si="22"/>
        <v>0</v>
      </c>
      <c r="BZ26" s="44">
        <f t="shared" si="22"/>
        <v>19485938</v>
      </c>
      <c r="CA26" s="44"/>
      <c r="CB26" s="44">
        <f t="shared" si="22"/>
        <v>0</v>
      </c>
      <c r="CC26" s="17">
        <f t="shared" si="13"/>
        <v>14</v>
      </c>
      <c r="CD26" s="18" t="s">
        <v>5</v>
      </c>
      <c r="CE26" s="44">
        <f t="shared" ref="CE26:CJ26" si="23">SUM(CE23:CE25)</f>
        <v>0</v>
      </c>
      <c r="CF26" s="44">
        <f t="shared" si="23"/>
        <v>0</v>
      </c>
      <c r="CG26" s="44">
        <f t="shared" si="23"/>
        <v>0</v>
      </c>
      <c r="CH26" s="44">
        <f t="shared" si="23"/>
        <v>0</v>
      </c>
      <c r="CI26" s="44"/>
      <c r="CJ26" s="44">
        <f t="shared" si="23"/>
        <v>0</v>
      </c>
      <c r="CK26" s="27">
        <f>SUM(BV26:CH26)-CC26</f>
        <v>19485938</v>
      </c>
      <c r="CL26" s="27">
        <f>BU26+CK26</f>
        <v>358274033.74000001</v>
      </c>
      <c r="CM26" s="17">
        <f t="shared" si="14"/>
        <v>14</v>
      </c>
      <c r="CN26" s="18" t="s">
        <v>5</v>
      </c>
      <c r="CO26" s="44">
        <f>SUM(CO22:CO25)</f>
        <v>338788095.74000001</v>
      </c>
      <c r="CP26" s="44">
        <f>SUM(CP22:CP25)</f>
        <v>19485938</v>
      </c>
      <c r="CQ26" s="44">
        <f>SUM(CQ22:CQ25)</f>
        <v>358274033.74000001</v>
      </c>
    </row>
    <row r="27" spans="1:95" s="62" customFormat="1" ht="15" customHeight="1" thickTop="1">
      <c r="A27" s="17">
        <f t="shared" si="0"/>
        <v>16</v>
      </c>
      <c r="B27" s="164"/>
      <c r="C27" s="420">
        <f>ROUND(SUM(C15:C26),0)</f>
        <v>245236180</v>
      </c>
      <c r="D27" s="420">
        <f>ROUND(SUM(D15:D26),0)</f>
        <v>251671087</v>
      </c>
      <c r="E27" s="420">
        <f>ROUND(SUM(E15:E26),0)</f>
        <v>6434907</v>
      </c>
      <c r="F27" s="159"/>
      <c r="G27" s="56">
        <f t="shared" si="16"/>
        <v>16</v>
      </c>
      <c r="H27" s="164" t="s">
        <v>150</v>
      </c>
      <c r="I27" s="166"/>
      <c r="J27" s="142"/>
      <c r="K27" s="54">
        <f>SUM(K12:K26)</f>
        <v>10424429.75</v>
      </c>
      <c r="L27" s="17">
        <f t="shared" si="19"/>
        <v>16</v>
      </c>
      <c r="M27" s="168" t="s">
        <v>317</v>
      </c>
      <c r="P27" s="539">
        <f>SUM(P23:P26)</f>
        <v>65384472.780000001</v>
      </c>
      <c r="Q27" s="17"/>
      <c r="R27" s="2"/>
      <c r="S27" s="149"/>
      <c r="T27" s="20"/>
      <c r="U27" s="17">
        <f t="shared" si="9"/>
        <v>16</v>
      </c>
      <c r="V27" s="451" t="s">
        <v>159</v>
      </c>
      <c r="W27" s="540">
        <f t="shared" ref="W27:W28" si="24">BQ13</f>
        <v>2E-3</v>
      </c>
      <c r="X27" s="461">
        <f>-X23*W27</f>
        <v>-118537.91907972551</v>
      </c>
      <c r="Y27" s="45"/>
      <c r="Z27" s="45"/>
      <c r="AA27" s="45"/>
      <c r="AB27" s="45"/>
      <c r="AC27" s="45"/>
      <c r="AD27" s="38">
        <f t="shared" si="2"/>
        <v>16</v>
      </c>
      <c r="AE27" s="288"/>
      <c r="AF27" s="2"/>
      <c r="AG27" s="2"/>
      <c r="AH27" s="2"/>
      <c r="AI27" s="2"/>
      <c r="AJ27" s="2"/>
      <c r="AK27" s="2"/>
      <c r="AL27" s="2"/>
      <c r="AM27" s="2"/>
      <c r="AN27"/>
      <c r="AO27" s="164"/>
      <c r="AP27" s="164"/>
      <c r="AQ27" s="164"/>
      <c r="AR27" s="164"/>
      <c r="AS27" s="173"/>
      <c r="AT27" s="291"/>
      <c r="AU27" s="289"/>
      <c r="AV27" s="289"/>
      <c r="AW27" s="150"/>
      <c r="AX27" s="18"/>
      <c r="AY27" s="18"/>
      <c r="AZ27" s="18"/>
      <c r="BA27" s="18"/>
      <c r="BB27" s="107"/>
      <c r="BC27" s="107"/>
      <c r="BD27" s="107"/>
      <c r="BE27" s="107"/>
      <c r="BF27" s="107"/>
      <c r="BG27" s="107"/>
      <c r="BH27" s="153"/>
      <c r="BI27" s="153"/>
      <c r="BJ27" s="153"/>
      <c r="BK27" s="153"/>
      <c r="BL27" s="153"/>
      <c r="BM27" s="17"/>
      <c r="BN27" s="18"/>
      <c r="BO27" s="2"/>
      <c r="BP27" s="292"/>
      <c r="BQ27" s="2"/>
      <c r="BR27" s="45"/>
      <c r="BS27" s="17">
        <f t="shared" si="12"/>
        <v>15</v>
      </c>
      <c r="BT27" s="99"/>
      <c r="BU27" s="40"/>
      <c r="BV27" s="40"/>
      <c r="BW27" s="40"/>
      <c r="BX27" s="40"/>
      <c r="BY27" s="40"/>
      <c r="BZ27" s="40"/>
      <c r="CA27" s="40"/>
      <c r="CB27" s="341"/>
      <c r="CC27" s="17">
        <f t="shared" si="13"/>
        <v>15</v>
      </c>
      <c r="CD27" s="99"/>
      <c r="CE27" s="65"/>
      <c r="CF27" s="341"/>
      <c r="CG27" s="341"/>
      <c r="CH27" s="341"/>
      <c r="CI27" s="341"/>
      <c r="CJ27" s="341"/>
      <c r="CK27" s="40"/>
      <c r="CL27" s="40"/>
      <c r="CM27" s="17">
        <f t="shared" si="14"/>
        <v>15</v>
      </c>
      <c r="CN27" s="560" t="s">
        <v>330</v>
      </c>
      <c r="CO27" s="561">
        <f>CO17-CO26</f>
        <v>561808354.28999889</v>
      </c>
      <c r="CP27" s="561">
        <f>CP17-CP26</f>
        <v>-68167514.95700404</v>
      </c>
      <c r="CQ27" s="561">
        <f>CQ17-CQ26</f>
        <v>493640839.33299494</v>
      </c>
    </row>
    <row r="28" spans="1:95" ht="15" customHeight="1">
      <c r="A28" s="17">
        <f t="shared" si="0"/>
        <v>17</v>
      </c>
      <c r="B28" s="230" t="s">
        <v>140</v>
      </c>
      <c r="C28" s="151"/>
      <c r="D28" s="151"/>
      <c r="E28" s="164"/>
      <c r="F28" s="159"/>
      <c r="G28" s="56">
        <f t="shared" si="16"/>
        <v>17</v>
      </c>
      <c r="H28" s="164"/>
      <c r="I28" s="166"/>
      <c r="J28" s="142"/>
      <c r="K28" s="54"/>
      <c r="L28" s="17">
        <f t="shared" si="19"/>
        <v>17</v>
      </c>
      <c r="N28" s="18"/>
      <c r="O28" s="18"/>
      <c r="P28" s="370" t="s">
        <v>20</v>
      </c>
      <c r="Q28" s="17"/>
      <c r="R28" s="25"/>
      <c r="S28" s="100"/>
      <c r="T28" s="101"/>
      <c r="U28" s="17">
        <f t="shared" si="9"/>
        <v>17</v>
      </c>
      <c r="V28" s="452" t="s">
        <v>160</v>
      </c>
      <c r="W28" s="458">
        <f t="shared" si="24"/>
        <v>3.8318999999999999E-2</v>
      </c>
      <c r="X28" s="461">
        <f>-X23*W28</f>
        <v>-2271127.2606080011</v>
      </c>
      <c r="Y28" s="45"/>
      <c r="Z28" s="45"/>
      <c r="AA28" s="45"/>
      <c r="AB28" s="45"/>
      <c r="AC28" s="45"/>
      <c r="AD28" s="38">
        <f t="shared" si="2"/>
        <v>17</v>
      </c>
      <c r="AE28" s="168" t="s">
        <v>170</v>
      </c>
      <c r="AJ28" s="27">
        <f>-AJ26</f>
        <v>-518707</v>
      </c>
      <c r="AN28"/>
      <c r="AS28" s="173"/>
      <c r="AT28" s="291"/>
      <c r="AU28" s="289"/>
      <c r="AV28" s="289"/>
      <c r="AW28" s="289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154"/>
      <c r="BI28" s="154"/>
      <c r="BJ28" s="154"/>
      <c r="BK28" s="154"/>
      <c r="BL28" s="154"/>
      <c r="BM28" s="17"/>
      <c r="BN28" s="18"/>
      <c r="BP28" s="292"/>
      <c r="BR28" s="294"/>
      <c r="BS28" s="17">
        <f t="shared" si="12"/>
        <v>16</v>
      </c>
      <c r="BT28" s="30" t="s">
        <v>66</v>
      </c>
      <c r="BU28" s="45">
        <v>2438414.12</v>
      </c>
      <c r="BV28" s="26">
        <v>0</v>
      </c>
      <c r="BW28" s="26"/>
      <c r="BX28" s="26">
        <v>0</v>
      </c>
      <c r="BY28" s="26">
        <v>0</v>
      </c>
      <c r="BZ28" s="26">
        <f>X36</f>
        <v>-82881.91</v>
      </c>
      <c r="CA28" s="26"/>
      <c r="CB28" s="26">
        <v>0</v>
      </c>
      <c r="CC28" s="17">
        <f t="shared" si="13"/>
        <v>16</v>
      </c>
      <c r="CD28" s="30" t="s">
        <v>66</v>
      </c>
      <c r="CE28" s="26">
        <v>0</v>
      </c>
      <c r="CF28" s="47">
        <v>0</v>
      </c>
      <c r="CG28" s="47">
        <v>0</v>
      </c>
      <c r="CH28" s="47">
        <v>0</v>
      </c>
      <c r="CI28" s="47"/>
      <c r="CJ28" s="47"/>
      <c r="CK28" s="27">
        <f t="shared" ref="CK28:CK41" si="25">SUM(BV28:CJ28)-CC28</f>
        <v>-82881.91</v>
      </c>
      <c r="CL28" s="27">
        <f t="shared" ref="CL28:CL41" si="26">BU28+CK28</f>
        <v>2355532.21</v>
      </c>
      <c r="CM28" s="17">
        <f t="shared" si="14"/>
        <v>16</v>
      </c>
      <c r="CN28" s="83" t="s">
        <v>59</v>
      </c>
      <c r="CO28" s="26">
        <f t="shared" ref="CO28:CO41" si="27">BU28</f>
        <v>2438414.12</v>
      </c>
      <c r="CP28" s="26">
        <f t="shared" ref="CP28:CP41" si="28">CK28</f>
        <v>-82881.91</v>
      </c>
      <c r="CQ28" s="67">
        <f>CO28+CP28</f>
        <v>2355532.21</v>
      </c>
    </row>
    <row r="29" spans="1:95" ht="15" customHeight="1">
      <c r="A29" s="17">
        <f t="shared" si="0"/>
        <v>18</v>
      </c>
      <c r="C29" s="349"/>
      <c r="D29" s="350"/>
      <c r="E29" s="351"/>
      <c r="F29" s="164"/>
      <c r="G29" s="56">
        <f t="shared" si="16"/>
        <v>18</v>
      </c>
      <c r="H29" s="168" t="s">
        <v>142</v>
      </c>
      <c r="I29" s="207">
        <f>BQ12</f>
        <v>5.2209999999999999E-3</v>
      </c>
      <c r="J29" s="430">
        <f>+K27*I29</f>
        <v>54425.947724749996</v>
      </c>
      <c r="K29" s="45"/>
      <c r="L29" s="17">
        <f t="shared" si="19"/>
        <v>18</v>
      </c>
      <c r="M29" s="168" t="s">
        <v>83</v>
      </c>
      <c r="P29" s="385">
        <f>P15-P23</f>
        <v>31816563.192285281</v>
      </c>
      <c r="Q29" s="17"/>
      <c r="S29" s="100"/>
      <c r="T29" s="20"/>
      <c r="U29" s="17">
        <f t="shared" si="9"/>
        <v>18</v>
      </c>
      <c r="V29" s="453" t="s">
        <v>161</v>
      </c>
      <c r="X29" s="462">
        <f>SUM(X26:X28)</f>
        <v>-2699108.41744535</v>
      </c>
      <c r="Y29" s="45"/>
      <c r="Z29" s="45"/>
      <c r="AA29" s="45"/>
      <c r="AB29" s="45"/>
      <c r="AC29" s="45"/>
      <c r="AD29" s="38">
        <f t="shared" si="2"/>
        <v>18</v>
      </c>
      <c r="AE29" s="166" t="s">
        <v>83</v>
      </c>
      <c r="AI29" s="19">
        <f>FIT</f>
        <v>0.35</v>
      </c>
      <c r="AJ29" s="85">
        <f>ROUND(-AJ26*AI29,0)</f>
        <v>-181547</v>
      </c>
      <c r="AN29"/>
      <c r="AO29" s="167"/>
      <c r="AS29" s="173"/>
      <c r="AT29" s="291"/>
      <c r="AU29" s="289"/>
      <c r="AV29" s="289"/>
      <c r="AW29" s="289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39"/>
      <c r="BI29" s="39"/>
      <c r="BJ29" s="39"/>
      <c r="BK29" s="39"/>
      <c r="BL29" s="39"/>
      <c r="BM29" s="17"/>
      <c r="BR29" s="26"/>
      <c r="BS29" s="17">
        <f t="shared" si="12"/>
        <v>17</v>
      </c>
      <c r="BT29" s="18" t="s">
        <v>6</v>
      </c>
      <c r="BU29" s="45">
        <v>0</v>
      </c>
      <c r="BV29" s="45"/>
      <c r="BW29" s="45"/>
      <c r="BX29" s="45"/>
      <c r="BY29" s="45"/>
      <c r="BZ29" s="45"/>
      <c r="CA29" s="45"/>
      <c r="CB29" s="45"/>
      <c r="CC29" s="17">
        <f t="shared" si="13"/>
        <v>17</v>
      </c>
      <c r="CD29" s="18" t="s">
        <v>6</v>
      </c>
      <c r="CE29" s="45"/>
      <c r="CF29" s="45"/>
      <c r="CG29" s="45"/>
      <c r="CH29" s="45"/>
      <c r="CI29" s="45"/>
      <c r="CJ29" s="45"/>
      <c r="CK29" s="45">
        <f t="shared" si="25"/>
        <v>0</v>
      </c>
      <c r="CL29" s="45">
        <f t="shared" si="26"/>
        <v>0</v>
      </c>
      <c r="CM29" s="17">
        <f t="shared" si="14"/>
        <v>17</v>
      </c>
      <c r="CN29" s="18" t="s">
        <v>6</v>
      </c>
      <c r="CO29" s="45">
        <f t="shared" si="27"/>
        <v>0</v>
      </c>
      <c r="CP29" s="14">
        <f t="shared" si="28"/>
        <v>0</v>
      </c>
      <c r="CQ29" s="68">
        <f t="shared" ref="CQ29:CQ41" si="29">+CO29+CP29</f>
        <v>0</v>
      </c>
    </row>
    <row r="30" spans="1:95" ht="15" customHeight="1" thickBot="1">
      <c r="A30" s="17">
        <f t="shared" si="0"/>
        <v>19</v>
      </c>
      <c r="B30" s="164" t="s">
        <v>265</v>
      </c>
      <c r="C30" s="349"/>
      <c r="D30" s="468" t="s">
        <v>260</v>
      </c>
      <c r="E30" s="347">
        <v>37846.025011257014</v>
      </c>
      <c r="G30" s="56">
        <f t="shared" si="16"/>
        <v>19</v>
      </c>
      <c r="H30" s="168" t="s">
        <v>143</v>
      </c>
      <c r="I30" s="208">
        <f>BQ13</f>
        <v>2E-3</v>
      </c>
      <c r="J30" s="430">
        <f>+K27*I30</f>
        <v>20848.859499999999</v>
      </c>
      <c r="K30" s="45"/>
      <c r="L30" s="17">
        <f t="shared" si="19"/>
        <v>19</v>
      </c>
      <c r="M30" s="18" t="s">
        <v>318</v>
      </c>
      <c r="P30" s="46">
        <f>P16-P24-P25</f>
        <v>-31138694.200000018</v>
      </c>
      <c r="Q30" s="17"/>
      <c r="S30" s="100"/>
      <c r="T30" s="20"/>
      <c r="U30" s="17">
        <f t="shared" si="9"/>
        <v>19</v>
      </c>
      <c r="V30" s="454"/>
      <c r="W30" s="25"/>
      <c r="X30" s="463"/>
      <c r="Y30" s="297"/>
      <c r="Z30" s="297"/>
      <c r="AA30" s="297"/>
      <c r="AB30" s="297"/>
      <c r="AC30" s="297"/>
      <c r="AD30" s="38">
        <f t="shared" si="2"/>
        <v>19</v>
      </c>
      <c r="AE30" s="293" t="s">
        <v>56</v>
      </c>
      <c r="AJ30" s="386">
        <f>AJ28-AJ29</f>
        <v>-337160</v>
      </c>
      <c r="AK30" s="62"/>
      <c r="AL30" s="62"/>
      <c r="AM30" s="62"/>
      <c r="AN30"/>
      <c r="AO30" s="167"/>
      <c r="AS30" s="173"/>
      <c r="AT30" s="291"/>
      <c r="AU30" s="289"/>
      <c r="AV30" s="289"/>
      <c r="AW30" s="289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39"/>
      <c r="BI30" s="39"/>
      <c r="BJ30" s="39"/>
      <c r="BK30" s="39"/>
      <c r="BL30" s="39"/>
      <c r="BM30" s="17"/>
      <c r="BR30" s="26"/>
      <c r="BS30" s="17">
        <f t="shared" si="12"/>
        <v>18</v>
      </c>
      <c r="BT30" s="18" t="s">
        <v>7</v>
      </c>
      <c r="BU30" s="45">
        <v>52699043.389999896</v>
      </c>
      <c r="BV30" s="45"/>
      <c r="BW30" s="45"/>
      <c r="BX30" s="45"/>
      <c r="BY30" s="45"/>
      <c r="BZ30" s="45"/>
      <c r="CA30" s="45"/>
      <c r="CB30" s="45"/>
      <c r="CC30" s="17">
        <f t="shared" si="13"/>
        <v>18</v>
      </c>
      <c r="CD30" s="18" t="s">
        <v>7</v>
      </c>
      <c r="CE30" s="45"/>
      <c r="CF30" s="45"/>
      <c r="CG30" s="45"/>
      <c r="CH30" s="45"/>
      <c r="CI30" s="45"/>
      <c r="CJ30" s="45"/>
      <c r="CK30" s="45">
        <f t="shared" si="25"/>
        <v>0</v>
      </c>
      <c r="CL30" s="45">
        <f t="shared" si="26"/>
        <v>52699043.389999896</v>
      </c>
      <c r="CM30" s="17">
        <f t="shared" si="14"/>
        <v>18</v>
      </c>
      <c r="CN30" s="18" t="s">
        <v>7</v>
      </c>
      <c r="CO30" s="45">
        <f t="shared" si="27"/>
        <v>52699043.389999896</v>
      </c>
      <c r="CP30" s="14">
        <f t="shared" si="28"/>
        <v>0</v>
      </c>
      <c r="CQ30" s="68">
        <f t="shared" si="29"/>
        <v>52699043.389999896</v>
      </c>
    </row>
    <row r="31" spans="1:95" ht="15" customHeight="1" thickTop="1" thickBot="1">
      <c r="A31" s="17">
        <f t="shared" si="0"/>
        <v>20</v>
      </c>
      <c r="B31" s="164" t="s">
        <v>266</v>
      </c>
      <c r="C31" s="352"/>
      <c r="D31" s="469" t="s">
        <v>261</v>
      </c>
      <c r="E31" s="347">
        <v>28907.21644195246</v>
      </c>
      <c r="G31" s="56">
        <f t="shared" si="16"/>
        <v>20</v>
      </c>
      <c r="H31" s="169" t="s">
        <v>51</v>
      </c>
      <c r="I31" s="203"/>
      <c r="J31" s="432"/>
      <c r="K31" s="54">
        <f>SUM(J29:J30)</f>
        <v>75274.807224749995</v>
      </c>
      <c r="L31" s="17">
        <f t="shared" si="19"/>
        <v>20</v>
      </c>
      <c r="M31" s="18" t="s">
        <v>55</v>
      </c>
      <c r="N31" s="18"/>
      <c r="O31" s="18"/>
      <c r="P31" s="386">
        <f>-SUM(P28:P30)</f>
        <v>-677868.99228526279</v>
      </c>
      <c r="Q31" s="17"/>
      <c r="S31" s="421"/>
      <c r="T31" s="20"/>
      <c r="U31" s="17">
        <f>+U30+1</f>
        <v>20</v>
      </c>
      <c r="V31" s="455" t="s">
        <v>162</v>
      </c>
      <c r="W31" s="39"/>
      <c r="X31" s="463"/>
      <c r="Y31" s="45"/>
      <c r="Z31" s="45"/>
      <c r="AA31" s="45"/>
      <c r="AB31" s="45"/>
      <c r="AC31" s="45"/>
      <c r="AE31" s="1"/>
      <c r="AN31"/>
      <c r="AS31" s="173"/>
      <c r="AT31" s="291"/>
      <c r="AU31" s="289"/>
      <c r="AV31" s="289"/>
      <c r="AW31" s="289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155"/>
      <c r="BI31" s="155"/>
      <c r="BJ31" s="155"/>
      <c r="BK31" s="155"/>
      <c r="BL31" s="155"/>
      <c r="BP31" s="53" t="s">
        <v>20</v>
      </c>
      <c r="BR31" s="26"/>
      <c r="BS31" s="17">
        <f t="shared" si="12"/>
        <v>19</v>
      </c>
      <c r="BT31" s="61" t="s">
        <v>8</v>
      </c>
      <c r="BU31" s="45">
        <v>25413242.034696002</v>
      </c>
      <c r="BV31" s="342">
        <f>+E40</f>
        <v>851</v>
      </c>
      <c r="BW31" s="342">
        <f>J29</f>
        <v>54425.947724749996</v>
      </c>
      <c r="BX31" s="342"/>
      <c r="BY31" s="342"/>
      <c r="BZ31" s="342">
        <f>X26</f>
        <v>-309443.23775762349</v>
      </c>
      <c r="CA31" s="342"/>
      <c r="CB31" s="45">
        <f>AJ26</f>
        <v>518707</v>
      </c>
      <c r="CC31" s="17">
        <f t="shared" si="13"/>
        <v>19</v>
      </c>
      <c r="CD31" s="61" t="s">
        <v>8</v>
      </c>
      <c r="CE31" s="342"/>
      <c r="CF31" s="45">
        <f>AR12</f>
        <v>19654.357348883124</v>
      </c>
      <c r="CG31" s="45"/>
      <c r="CH31" s="45"/>
      <c r="CI31" s="45"/>
      <c r="CJ31" s="45"/>
      <c r="CK31" s="45">
        <f t="shared" si="25"/>
        <v>284195.0673160096</v>
      </c>
      <c r="CL31" s="45">
        <f t="shared" si="26"/>
        <v>25697437.102012012</v>
      </c>
      <c r="CM31" s="17">
        <f t="shared" si="14"/>
        <v>19</v>
      </c>
      <c r="CN31" s="61" t="s">
        <v>60</v>
      </c>
      <c r="CO31" s="45">
        <f t="shared" si="27"/>
        <v>25413242.034696002</v>
      </c>
      <c r="CP31" s="96">
        <f t="shared" si="28"/>
        <v>284195.0673160096</v>
      </c>
      <c r="CQ31" s="68">
        <f t="shared" si="29"/>
        <v>25697437.102012012</v>
      </c>
    </row>
    <row r="32" spans="1:95" ht="15" customHeight="1" thickTop="1">
      <c r="A32" s="17">
        <f t="shared" si="0"/>
        <v>21</v>
      </c>
      <c r="B32" s="164" t="s">
        <v>267</v>
      </c>
      <c r="C32" s="349"/>
      <c r="D32" s="470" t="s">
        <v>263</v>
      </c>
      <c r="E32" s="347">
        <v>52287.134548926449</v>
      </c>
      <c r="F32" s="164"/>
      <c r="G32" s="56">
        <f t="shared" si="16"/>
        <v>21</v>
      </c>
      <c r="H32" s="168"/>
      <c r="I32" s="203"/>
      <c r="J32" s="195"/>
      <c r="K32" s="45"/>
      <c r="L32" s="17"/>
      <c r="M32" s="18"/>
      <c r="N32" s="19"/>
      <c r="O32" s="58"/>
      <c r="P32" s="98"/>
      <c r="Q32" s="17"/>
      <c r="S32" s="149" t="s">
        <v>20</v>
      </c>
      <c r="T32" s="20"/>
      <c r="U32" s="17">
        <f t="shared" si="9"/>
        <v>21</v>
      </c>
      <c r="V32" s="445" t="s">
        <v>163</v>
      </c>
      <c r="W32" s="484"/>
      <c r="X32" s="45">
        <v>-5540351.5200000005</v>
      </c>
      <c r="Y32" s="295"/>
      <c r="Z32" s="295"/>
      <c r="AA32" s="295"/>
      <c r="AB32" s="295"/>
      <c r="AC32" s="295"/>
      <c r="AN32"/>
      <c r="AS32" s="173"/>
      <c r="AT32" s="291"/>
      <c r="AU32" s="289"/>
      <c r="AV32" s="289"/>
      <c r="AW32" s="289"/>
      <c r="BH32" s="156"/>
      <c r="BI32" s="156"/>
      <c r="BJ32" s="156"/>
      <c r="BK32" s="156"/>
      <c r="BL32" s="156"/>
      <c r="BO32" s="1"/>
      <c r="BR32" s="26"/>
      <c r="BS32" s="17">
        <f t="shared" si="12"/>
        <v>20</v>
      </c>
      <c r="BT32" s="18" t="s">
        <v>9</v>
      </c>
      <c r="BU32" s="45">
        <v>7410558.5434720004</v>
      </c>
      <c r="BV32" s="45"/>
      <c r="BW32" s="45"/>
      <c r="BX32" s="45"/>
      <c r="BY32" s="45"/>
      <c r="BZ32" s="45">
        <f>X32</f>
        <v>-5540351.5200000005</v>
      </c>
      <c r="CA32" s="45"/>
      <c r="CB32" s="45"/>
      <c r="CC32" s="17">
        <f t="shared" si="13"/>
        <v>20</v>
      </c>
      <c r="CD32" s="18" t="s">
        <v>9</v>
      </c>
      <c r="CE32" s="45"/>
      <c r="CF32" s="45"/>
      <c r="CG32" s="45"/>
      <c r="CH32" s="45"/>
      <c r="CI32" s="45"/>
      <c r="CJ32" s="45"/>
      <c r="CK32" s="45">
        <f t="shared" si="25"/>
        <v>-5540351.5200000005</v>
      </c>
      <c r="CL32" s="45">
        <f t="shared" si="26"/>
        <v>1870207.0234719999</v>
      </c>
      <c r="CM32" s="17">
        <f t="shared" si="14"/>
        <v>20</v>
      </c>
      <c r="CN32" s="18" t="s">
        <v>9</v>
      </c>
      <c r="CO32" s="45">
        <f t="shared" si="27"/>
        <v>7410558.5434720004</v>
      </c>
      <c r="CP32" s="96">
        <f t="shared" si="28"/>
        <v>-5540351.5200000005</v>
      </c>
      <c r="CQ32" s="68">
        <f t="shared" si="29"/>
        <v>1870207.0234719999</v>
      </c>
    </row>
    <row r="33" spans="1:95" s="25" customFormat="1" ht="15" customHeight="1">
      <c r="A33" s="17">
        <f t="shared" si="0"/>
        <v>22</v>
      </c>
      <c r="B33" s="164" t="s">
        <v>268</v>
      </c>
      <c r="C33" s="349"/>
      <c r="D33" s="470" t="s">
        <v>264</v>
      </c>
      <c r="E33" s="347">
        <v>22145.380426586235</v>
      </c>
      <c r="F33" s="164"/>
      <c r="G33" s="56">
        <f t="shared" si="16"/>
        <v>22</v>
      </c>
      <c r="H33" s="168" t="s">
        <v>144</v>
      </c>
      <c r="I33" s="207">
        <f>BQ14</f>
        <v>3.8318999999999999E-2</v>
      </c>
      <c r="J33" s="142">
        <f>+K27*I33</f>
        <v>399453.72359025001</v>
      </c>
      <c r="K33" s="45"/>
      <c r="L33" s="17"/>
      <c r="M33" s="18"/>
      <c r="N33" s="58"/>
      <c r="O33" s="58"/>
      <c r="P33" s="98"/>
      <c r="Q33" s="17"/>
      <c r="R33" s="2"/>
      <c r="S33" s="100"/>
      <c r="T33" s="20"/>
      <c r="U33" s="17">
        <f t="shared" si="9"/>
        <v>22</v>
      </c>
      <c r="V33" s="445" t="s">
        <v>164</v>
      </c>
      <c r="W33" s="484"/>
      <c r="X33" s="45">
        <v>-12111975.93</v>
      </c>
      <c r="Y33" s="14"/>
      <c r="Z33" s="14"/>
      <c r="AA33" s="14"/>
      <c r="AB33" s="14"/>
      <c r="AC33" s="14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/>
      <c r="AO33" s="164"/>
      <c r="AP33" s="164"/>
      <c r="AQ33" s="164"/>
      <c r="AR33" s="164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6"/>
      <c r="BI33" s="156"/>
      <c r="BJ33" s="156"/>
      <c r="BK33" s="156"/>
      <c r="BL33" s="156"/>
      <c r="BM33" s="2"/>
      <c r="BN33" s="2"/>
      <c r="BO33" s="1"/>
      <c r="BP33" s="2"/>
      <c r="BQ33" s="2"/>
      <c r="BR33" s="26"/>
      <c r="BS33" s="17">
        <f t="shared" si="12"/>
        <v>21</v>
      </c>
      <c r="BT33" s="18" t="s">
        <v>10</v>
      </c>
      <c r="BU33" s="45">
        <v>12111975.929999899</v>
      </c>
      <c r="BV33" s="45"/>
      <c r="BW33" s="45"/>
      <c r="BX33" s="45"/>
      <c r="BY33" s="45"/>
      <c r="BZ33" s="342">
        <f>X33</f>
        <v>-12111975.93</v>
      </c>
      <c r="CA33" s="342"/>
      <c r="CB33" s="342"/>
      <c r="CC33" s="17">
        <f t="shared" si="13"/>
        <v>21</v>
      </c>
      <c r="CD33" s="18" t="s">
        <v>10</v>
      </c>
      <c r="CE33" s="45"/>
      <c r="CF33" s="342"/>
      <c r="CG33" s="342"/>
      <c r="CH33" s="342"/>
      <c r="CI33" s="342"/>
      <c r="CJ33" s="342"/>
      <c r="CK33" s="45">
        <f t="shared" si="25"/>
        <v>-12111975.93</v>
      </c>
      <c r="CL33" s="45">
        <f t="shared" si="26"/>
        <v>-1.0058283805847168E-7</v>
      </c>
      <c r="CM33" s="17">
        <f t="shared" si="14"/>
        <v>21</v>
      </c>
      <c r="CN33" s="18" t="s">
        <v>10</v>
      </c>
      <c r="CO33" s="45">
        <f t="shared" si="27"/>
        <v>12111975.929999899</v>
      </c>
      <c r="CP33" s="96">
        <f t="shared" si="28"/>
        <v>-12111975.93</v>
      </c>
      <c r="CQ33" s="68">
        <f t="shared" si="29"/>
        <v>-1.0058283805847168E-7</v>
      </c>
    </row>
    <row r="34" spans="1:95" ht="15" customHeight="1">
      <c r="A34" s="17">
        <f t="shared" si="0"/>
        <v>23</v>
      </c>
      <c r="B34" s="164" t="s">
        <v>269</v>
      </c>
      <c r="C34" s="349"/>
      <c r="D34" s="469" t="s">
        <v>262</v>
      </c>
      <c r="E34" s="347">
        <v>21767.076429999994</v>
      </c>
      <c r="G34" s="56">
        <f t="shared" si="16"/>
        <v>23</v>
      </c>
      <c r="H34" s="169"/>
      <c r="I34" s="203"/>
      <c r="J34" s="433"/>
      <c r="K34" s="45"/>
      <c r="L34" s="17"/>
      <c r="P34" s="27" t="s">
        <v>20</v>
      </c>
      <c r="Q34" s="17"/>
      <c r="S34" s="100"/>
      <c r="T34" s="20"/>
      <c r="U34" s="17">
        <f t="shared" si="9"/>
        <v>23</v>
      </c>
      <c r="V34" s="445" t="s">
        <v>241</v>
      </c>
      <c r="W34" s="484"/>
      <c r="X34" s="45">
        <v>-19087272.629999999</v>
      </c>
      <c r="Y34" s="138"/>
      <c r="Z34" s="138"/>
      <c r="AA34" s="138"/>
      <c r="AB34" s="138"/>
      <c r="AC34" s="138"/>
      <c r="AN34"/>
      <c r="BH34" s="156"/>
      <c r="BI34" s="156"/>
      <c r="BJ34" s="156"/>
      <c r="BK34" s="156"/>
      <c r="BL34" s="156"/>
      <c r="BM34" s="84"/>
      <c r="BO34" s="1"/>
      <c r="BQ34" s="130"/>
      <c r="BR34" s="26"/>
      <c r="BS34" s="17">
        <f t="shared" si="12"/>
        <v>22</v>
      </c>
      <c r="BT34" s="18" t="s">
        <v>11</v>
      </c>
      <c r="BU34" s="45">
        <v>47535374.046922997</v>
      </c>
      <c r="BV34" s="45">
        <f>+E41</f>
        <v>326</v>
      </c>
      <c r="BW34" s="45">
        <f>J30</f>
        <v>20848.859499999999</v>
      </c>
      <c r="BX34" s="45"/>
      <c r="BY34" s="45"/>
      <c r="BZ34" s="45">
        <f>X27</f>
        <v>-118537.91907972551</v>
      </c>
      <c r="CA34" s="45">
        <f>AC21</f>
        <v>433860.15380800003</v>
      </c>
      <c r="CB34" s="45"/>
      <c r="CC34" s="17">
        <f t="shared" si="13"/>
        <v>22</v>
      </c>
      <c r="CD34" s="18" t="s">
        <v>11</v>
      </c>
      <c r="CE34" s="45">
        <f>AN18</f>
        <v>8063.2048999976832</v>
      </c>
      <c r="CF34" s="45"/>
      <c r="CG34" s="45">
        <f>AW15</f>
        <v>151590.76364173694</v>
      </c>
      <c r="CH34" s="45">
        <f>BB14</f>
        <v>-13571.292914416408</v>
      </c>
      <c r="CI34" s="45">
        <f>BG16</f>
        <v>200831.62143733332</v>
      </c>
      <c r="CJ34" s="45">
        <f>BL13</f>
        <v>183531.030618791</v>
      </c>
      <c r="CK34" s="45">
        <f t="shared" si="25"/>
        <v>866942.42191171704</v>
      </c>
      <c r="CL34" s="45">
        <f t="shared" si="26"/>
        <v>48402316.468834713</v>
      </c>
      <c r="CM34" s="17">
        <f t="shared" si="14"/>
        <v>22</v>
      </c>
      <c r="CN34" s="18" t="s">
        <v>11</v>
      </c>
      <c r="CO34" s="45">
        <f t="shared" si="27"/>
        <v>47535374.046922997</v>
      </c>
      <c r="CP34" s="96">
        <f t="shared" si="28"/>
        <v>866942.42191171704</v>
      </c>
      <c r="CQ34" s="68">
        <f t="shared" si="29"/>
        <v>48402316.468834713</v>
      </c>
    </row>
    <row r="35" spans="1:95" ht="15" customHeight="1">
      <c r="A35" s="17">
        <f t="shared" si="0"/>
        <v>24</v>
      </c>
      <c r="B35" s="164" t="s">
        <v>141</v>
      </c>
      <c r="C35" s="164"/>
      <c r="D35" s="164"/>
      <c r="E35" s="27"/>
      <c r="F35" s="353">
        <f>SUM(E29:E34)</f>
        <v>162952.83285872213</v>
      </c>
      <c r="G35" s="56">
        <f t="shared" si="16"/>
        <v>24</v>
      </c>
      <c r="H35" s="169" t="s">
        <v>145</v>
      </c>
      <c r="I35" s="164"/>
      <c r="J35" s="195"/>
      <c r="K35" s="196">
        <f>SUM(J33:J34)</f>
        <v>399453.72359025001</v>
      </c>
      <c r="P35" s="45"/>
      <c r="Q35" s="17"/>
      <c r="S35" s="100"/>
      <c r="T35" s="20"/>
      <c r="U35" s="17">
        <f t="shared" si="9"/>
        <v>24</v>
      </c>
      <c r="V35" s="445" t="s">
        <v>165</v>
      </c>
      <c r="W35" s="484"/>
      <c r="X35" s="45">
        <v>19485938</v>
      </c>
      <c r="AD35" s="25"/>
      <c r="AE35" s="25"/>
      <c r="AF35" s="25"/>
      <c r="AG35" s="25"/>
      <c r="AH35" s="25"/>
      <c r="AI35" s="25"/>
      <c r="AJ35" s="25"/>
      <c r="AN35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156"/>
      <c r="BI35" s="156"/>
      <c r="BJ35" s="156"/>
      <c r="BK35" s="156"/>
      <c r="BL35" s="156"/>
      <c r="BM35" s="84"/>
      <c r="BO35" s="1"/>
      <c r="BQ35" s="130"/>
      <c r="BS35" s="17">
        <f t="shared" si="12"/>
        <v>23</v>
      </c>
      <c r="BT35" s="18" t="s">
        <v>90</v>
      </c>
      <c r="BU35" s="45">
        <v>120257419.469786</v>
      </c>
      <c r="BV35" s="45"/>
      <c r="BW35" s="45"/>
      <c r="BX35" s="45"/>
      <c r="BY35" s="45"/>
      <c r="CB35" s="45"/>
      <c r="CC35" s="17">
        <f t="shared" si="13"/>
        <v>23</v>
      </c>
      <c r="CD35" s="18" t="s">
        <v>90</v>
      </c>
      <c r="CE35" s="45"/>
      <c r="CF35" s="45"/>
      <c r="CG35" s="45"/>
      <c r="CH35" s="45"/>
      <c r="CI35" s="45"/>
      <c r="CJ35" s="45"/>
      <c r="CK35" s="45">
        <f t="shared" si="25"/>
        <v>0</v>
      </c>
      <c r="CL35" s="45">
        <f t="shared" si="26"/>
        <v>120257419.469786</v>
      </c>
      <c r="CM35" s="17">
        <f t="shared" si="14"/>
        <v>23</v>
      </c>
      <c r="CN35" s="18" t="s">
        <v>90</v>
      </c>
      <c r="CO35" s="45">
        <f t="shared" si="27"/>
        <v>120257419.469786</v>
      </c>
      <c r="CP35" s="96">
        <f t="shared" si="28"/>
        <v>0</v>
      </c>
      <c r="CQ35" s="68">
        <f t="shared" si="29"/>
        <v>120257419.469786</v>
      </c>
    </row>
    <row r="36" spans="1:95" ht="15" customHeight="1">
      <c r="A36" s="17">
        <f t="shared" si="0"/>
        <v>25</v>
      </c>
      <c r="B36" s="164"/>
      <c r="C36" s="164"/>
      <c r="D36" s="164"/>
      <c r="E36" s="27"/>
      <c r="F36" s="353"/>
      <c r="G36" s="56">
        <f t="shared" si="16"/>
        <v>25</v>
      </c>
      <c r="H36" s="168"/>
      <c r="I36" s="164"/>
      <c r="J36" s="164"/>
      <c r="K36" s="433"/>
      <c r="P36" s="45"/>
      <c r="Q36" s="17"/>
      <c r="S36" s="100"/>
      <c r="T36" s="20"/>
      <c r="U36" s="17">
        <f t="shared" si="9"/>
        <v>25</v>
      </c>
      <c r="V36" s="456" t="s">
        <v>237</v>
      </c>
      <c r="W36" s="484"/>
      <c r="X36" s="45">
        <v>-82881.91</v>
      </c>
      <c r="AK36" s="25"/>
      <c r="AL36" s="25"/>
      <c r="AM36" s="25"/>
      <c r="AN36"/>
      <c r="AS36" s="2" t="s">
        <v>20</v>
      </c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6"/>
      <c r="BI36" s="156"/>
      <c r="BJ36" s="156"/>
      <c r="BK36" s="156"/>
      <c r="BL36" s="156"/>
      <c r="BM36" s="84"/>
      <c r="BO36" s="1"/>
      <c r="BQ36" s="130"/>
      <c r="BS36" s="17">
        <f t="shared" si="12"/>
        <v>24</v>
      </c>
      <c r="BT36" s="18" t="s">
        <v>39</v>
      </c>
      <c r="BU36" s="45">
        <v>11123640.037173999</v>
      </c>
      <c r="BV36" s="45"/>
      <c r="BW36" s="45"/>
      <c r="BX36" s="45"/>
      <c r="BY36" s="45"/>
      <c r="CB36" s="45"/>
      <c r="CC36" s="17">
        <f t="shared" si="13"/>
        <v>24</v>
      </c>
      <c r="CD36" s="18" t="s">
        <v>39</v>
      </c>
      <c r="CF36" s="45"/>
      <c r="CG36" s="45"/>
      <c r="CH36" s="45"/>
      <c r="CI36" s="45"/>
      <c r="CJ36" s="45"/>
      <c r="CK36" s="45">
        <f t="shared" si="25"/>
        <v>0</v>
      </c>
      <c r="CL36" s="45">
        <f t="shared" si="26"/>
        <v>11123640.037173999</v>
      </c>
      <c r="CM36" s="17">
        <f t="shared" si="14"/>
        <v>24</v>
      </c>
      <c r="CN36" s="18" t="s">
        <v>39</v>
      </c>
      <c r="CO36" s="45">
        <f t="shared" si="27"/>
        <v>11123640.037173999</v>
      </c>
      <c r="CP36" s="14">
        <f>CK36</f>
        <v>0</v>
      </c>
      <c r="CQ36" s="68">
        <f>+CO36+CP36</f>
        <v>11123640.037173999</v>
      </c>
    </row>
    <row r="37" spans="1:95" ht="15" customHeight="1">
      <c r="A37" s="17">
        <f t="shared" si="0"/>
        <v>26</v>
      </c>
      <c r="B37" s="230" t="s">
        <v>151</v>
      </c>
      <c r="G37" s="56">
        <f t="shared" si="16"/>
        <v>26</v>
      </c>
      <c r="H37" s="168" t="s">
        <v>96</v>
      </c>
      <c r="I37" s="164"/>
      <c r="J37" s="355"/>
      <c r="K37" s="196">
        <f>K27-K31-K35</f>
        <v>9949701.2191850003</v>
      </c>
      <c r="Q37" s="17"/>
      <c r="S37" s="100"/>
      <c r="T37" s="20"/>
      <c r="U37" s="17">
        <f t="shared" si="9"/>
        <v>26</v>
      </c>
      <c r="V37" s="445" t="s">
        <v>232</v>
      </c>
      <c r="W37" s="484"/>
      <c r="X37" s="45">
        <v>-39038755.379999995</v>
      </c>
      <c r="Y37" s="58"/>
      <c r="Z37" s="58"/>
      <c r="AA37" s="58"/>
      <c r="AB37" s="58"/>
      <c r="AC37" s="58"/>
      <c r="AN37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6"/>
      <c r="BI37" s="156"/>
      <c r="BJ37" s="156"/>
      <c r="BK37" s="156"/>
      <c r="BL37" s="156"/>
      <c r="BM37" s="84"/>
      <c r="BO37" s="1"/>
      <c r="BQ37" s="130"/>
      <c r="BS37" s="17">
        <f t="shared" si="12"/>
        <v>25</v>
      </c>
      <c r="BT37" s="18" t="s">
        <v>62</v>
      </c>
      <c r="BU37" s="45">
        <v>0</v>
      </c>
      <c r="BV37" s="45"/>
      <c r="BW37" s="45"/>
      <c r="BX37" s="45"/>
      <c r="BY37" s="45"/>
      <c r="BZ37" s="45"/>
      <c r="CA37" s="45"/>
      <c r="CB37" s="45"/>
      <c r="CC37" s="17">
        <f t="shared" si="13"/>
        <v>25</v>
      </c>
      <c r="CD37" s="18" t="s">
        <v>62</v>
      </c>
      <c r="CE37" s="45"/>
      <c r="CF37" s="45"/>
      <c r="CG37" s="45"/>
      <c r="CH37" s="45"/>
      <c r="CI37" s="45"/>
      <c r="CJ37" s="45"/>
      <c r="CK37" s="45">
        <f t="shared" si="25"/>
        <v>0</v>
      </c>
      <c r="CL37" s="45">
        <f t="shared" si="26"/>
        <v>0</v>
      </c>
      <c r="CM37" s="17">
        <f t="shared" si="14"/>
        <v>25</v>
      </c>
      <c r="CN37" s="18" t="s">
        <v>62</v>
      </c>
      <c r="CO37" s="45">
        <f t="shared" si="27"/>
        <v>0</v>
      </c>
      <c r="CP37" s="14">
        <f t="shared" si="28"/>
        <v>0</v>
      </c>
      <c r="CQ37" s="68">
        <f t="shared" si="29"/>
        <v>0</v>
      </c>
    </row>
    <row r="38" spans="1:95" ht="15" customHeight="1">
      <c r="A38" s="17">
        <f t="shared" si="0"/>
        <v>27</v>
      </c>
      <c r="B38" s="164" t="s">
        <v>152</v>
      </c>
      <c r="E38" s="348">
        <v>0</v>
      </c>
      <c r="F38" s="164"/>
      <c r="G38" s="56">
        <f t="shared" si="16"/>
        <v>27</v>
      </c>
      <c r="H38" s="168" t="s">
        <v>97</v>
      </c>
      <c r="I38" s="148">
        <f>FIT</f>
        <v>0.35</v>
      </c>
      <c r="J38" s="355"/>
      <c r="K38" s="54">
        <f>ROUND(K37*I38,0)</f>
        <v>3482395</v>
      </c>
      <c r="Q38" s="17"/>
      <c r="S38" s="100"/>
      <c r="T38" s="20"/>
      <c r="U38" s="17">
        <f t="shared" si="9"/>
        <v>27</v>
      </c>
      <c r="V38" s="449" t="s">
        <v>109</v>
      </c>
      <c r="W38" s="484"/>
      <c r="X38" s="426">
        <f>SUM(X32:X37)</f>
        <v>-56375299.36999999</v>
      </c>
      <c r="Y38" s="58"/>
      <c r="Z38" s="58"/>
      <c r="AA38" s="58"/>
      <c r="AB38" s="58"/>
      <c r="AC38" s="58"/>
      <c r="AD38" s="2" t="s">
        <v>61</v>
      </c>
      <c r="AN38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M38" s="84"/>
      <c r="BO38" s="1"/>
      <c r="BQ38" s="130"/>
      <c r="BS38" s="17">
        <f t="shared" si="12"/>
        <v>26</v>
      </c>
      <c r="BT38" s="18" t="s">
        <v>12</v>
      </c>
      <c r="BU38" s="45">
        <v>-45370.199999999903</v>
      </c>
      <c r="BV38" s="45"/>
      <c r="BW38" s="45"/>
      <c r="BX38" s="45"/>
      <c r="BY38" s="45"/>
      <c r="BZ38" s="45"/>
      <c r="CA38" s="45"/>
      <c r="CB38" s="45"/>
      <c r="CC38" s="17">
        <f t="shared" si="13"/>
        <v>26</v>
      </c>
      <c r="CD38" s="18" t="s">
        <v>12</v>
      </c>
      <c r="CE38" s="45"/>
      <c r="CF38" s="45"/>
      <c r="CG38" s="45"/>
      <c r="CH38" s="45"/>
      <c r="CI38" s="45"/>
      <c r="CJ38" s="45"/>
      <c r="CK38" s="45">
        <f t="shared" si="25"/>
        <v>0</v>
      </c>
      <c r="CL38" s="45">
        <f t="shared" si="26"/>
        <v>-45370.199999999903</v>
      </c>
      <c r="CM38" s="17">
        <f t="shared" si="14"/>
        <v>26</v>
      </c>
      <c r="CN38" s="18" t="s">
        <v>12</v>
      </c>
      <c r="CO38" s="45">
        <f t="shared" si="27"/>
        <v>-45370.199999999903</v>
      </c>
      <c r="CP38" s="14">
        <f t="shared" si="28"/>
        <v>0</v>
      </c>
      <c r="CQ38" s="68">
        <f t="shared" si="29"/>
        <v>-45370.199999999903</v>
      </c>
    </row>
    <row r="39" spans="1:95" ht="15" customHeight="1" thickBot="1">
      <c r="A39" s="17">
        <f t="shared" si="0"/>
        <v>28</v>
      </c>
      <c r="E39" s="27"/>
      <c r="F39" s="353">
        <f>SUM(E38:E38)</f>
        <v>0</v>
      </c>
      <c r="G39" s="56">
        <f t="shared" si="16"/>
        <v>28</v>
      </c>
      <c r="H39" s="168" t="s">
        <v>56</v>
      </c>
      <c r="I39" s="164"/>
      <c r="J39" s="355"/>
      <c r="K39" s="412">
        <f>K37-K38</f>
        <v>6467306.2191850003</v>
      </c>
      <c r="Q39" s="17"/>
      <c r="S39" s="100"/>
      <c r="T39" s="20"/>
      <c r="U39" s="17">
        <f t="shared" si="9"/>
        <v>28</v>
      </c>
      <c r="V39" s="457"/>
      <c r="X39" s="464"/>
      <c r="Y39" s="58"/>
      <c r="Z39" s="58"/>
      <c r="AA39" s="58"/>
      <c r="AB39" s="58"/>
      <c r="AC39" s="58"/>
      <c r="AN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M39" s="84"/>
      <c r="BO39" s="1"/>
      <c r="BQ39" s="130"/>
      <c r="BS39" s="17">
        <f t="shared" si="12"/>
        <v>27</v>
      </c>
      <c r="BT39" s="18" t="s">
        <v>13</v>
      </c>
      <c r="BU39" s="45">
        <v>95684506.624275997</v>
      </c>
      <c r="BV39" s="45">
        <f>+E44</f>
        <v>6244</v>
      </c>
      <c r="BW39" s="45">
        <f>J33</f>
        <v>399453.72359025001</v>
      </c>
      <c r="BX39" s="45"/>
      <c r="BY39" s="45"/>
      <c r="BZ39" s="444">
        <f>X28+X37+X34</f>
        <v>-60397155.270607993</v>
      </c>
      <c r="CA39" s="45"/>
      <c r="CB39" s="45"/>
      <c r="CC39" s="17">
        <f t="shared" si="13"/>
        <v>27</v>
      </c>
      <c r="CD39" s="18" t="s">
        <v>13</v>
      </c>
      <c r="CE39" s="45">
        <f>AN14</f>
        <v>0</v>
      </c>
      <c r="CF39" s="45"/>
      <c r="CG39" s="45"/>
      <c r="CH39" s="45"/>
      <c r="CI39" s="45"/>
      <c r="CJ39" s="45">
        <f>BL15</f>
        <v>15633.058593760041</v>
      </c>
      <c r="CK39" s="45">
        <f t="shared" si="25"/>
        <v>-59975824.488423988</v>
      </c>
      <c r="CL39" s="45">
        <f t="shared" si="26"/>
        <v>35708682.135852009</v>
      </c>
      <c r="CM39" s="17">
        <f t="shared" si="14"/>
        <v>27</v>
      </c>
      <c r="CN39" s="18" t="s">
        <v>13</v>
      </c>
      <c r="CO39" s="45">
        <f t="shared" si="27"/>
        <v>95684506.624275997</v>
      </c>
      <c r="CP39" s="96">
        <f t="shared" si="28"/>
        <v>-59975824.488423988</v>
      </c>
      <c r="CQ39" s="68">
        <f t="shared" si="29"/>
        <v>35708682.135852009</v>
      </c>
    </row>
    <row r="40" spans="1:95" ht="15" customHeight="1" thickTop="1">
      <c r="A40" s="17">
        <f t="shared" si="0"/>
        <v>29</v>
      </c>
      <c r="B40" s="168" t="s">
        <v>142</v>
      </c>
      <c r="C40" s="168"/>
      <c r="D40" s="207">
        <f>+BQ12</f>
        <v>5.2209999999999999E-3</v>
      </c>
      <c r="E40" s="67">
        <f>ROUND(F35*D40,0)</f>
        <v>851</v>
      </c>
      <c r="F40" s="45"/>
      <c r="G40" s="56"/>
      <c r="H40" s="206"/>
      <c r="I40" s="194"/>
      <c r="J40" s="142"/>
      <c r="K40" s="411"/>
      <c r="Q40" s="17"/>
      <c r="S40" s="100"/>
      <c r="T40" s="20"/>
      <c r="U40" s="17">
        <f t="shared" si="9"/>
        <v>29</v>
      </c>
      <c r="V40" s="448" t="s">
        <v>166</v>
      </c>
      <c r="X40" s="295">
        <f>-X23-X29-X38</f>
        <v>-194551.75241742283</v>
      </c>
      <c r="Y40" s="39"/>
      <c r="Z40" s="39"/>
      <c r="AA40" s="39"/>
      <c r="AB40" s="39"/>
      <c r="AC40" s="39"/>
      <c r="AN40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M40" s="84"/>
      <c r="BO40" s="1"/>
      <c r="BQ40" s="130"/>
      <c r="BS40" s="17">
        <f t="shared" si="12"/>
        <v>28</v>
      </c>
      <c r="BT40" s="18" t="s">
        <v>14</v>
      </c>
      <c r="BU40" s="45">
        <v>0</v>
      </c>
      <c r="BV40" s="45">
        <f>+F49</f>
        <v>54436</v>
      </c>
      <c r="BW40" s="45">
        <f>K38</f>
        <v>3482395</v>
      </c>
      <c r="BX40" s="45">
        <f>P29</f>
        <v>31816563.192285281</v>
      </c>
      <c r="BY40" s="45">
        <f>T23</f>
        <v>-18322878.882137779</v>
      </c>
      <c r="BZ40" s="45">
        <f>X41</f>
        <v>-68093.113346097991</v>
      </c>
      <c r="CA40" s="45">
        <f>AC23</f>
        <v>-151851.05383280001</v>
      </c>
      <c r="CB40" s="45">
        <f>AJ29</f>
        <v>-181547</v>
      </c>
      <c r="CC40" s="17">
        <f t="shared" si="13"/>
        <v>28</v>
      </c>
      <c r="CD40" s="18" t="s">
        <v>14</v>
      </c>
      <c r="CE40" s="45">
        <f>AN24</f>
        <v>-2822.121714999189</v>
      </c>
      <c r="CF40" s="45"/>
      <c r="CG40" s="45">
        <f>AW18</f>
        <v>-53056.767274607926</v>
      </c>
      <c r="CH40" s="45">
        <f>BB18</f>
        <v>4749.9525200457429</v>
      </c>
      <c r="CI40" s="45">
        <f>BG17</f>
        <v>-70291</v>
      </c>
      <c r="CJ40" s="45">
        <f>BL20</f>
        <v>-69707</v>
      </c>
      <c r="CK40" s="45">
        <f t="shared" si="25"/>
        <v>16437897.206499048</v>
      </c>
      <c r="CL40" s="45">
        <f t="shared" si="26"/>
        <v>16437897.206499048</v>
      </c>
      <c r="CM40" s="17">
        <f t="shared" si="14"/>
        <v>28</v>
      </c>
      <c r="CN40" s="18" t="s">
        <v>14</v>
      </c>
      <c r="CO40" s="45">
        <f t="shared" si="27"/>
        <v>0</v>
      </c>
      <c r="CP40" s="96">
        <f t="shared" si="28"/>
        <v>16437897.206499048</v>
      </c>
      <c r="CQ40" s="68">
        <f t="shared" si="29"/>
        <v>16437897.206499048</v>
      </c>
    </row>
    <row r="41" spans="1:95" ht="15" customHeight="1">
      <c r="A41" s="17">
        <f t="shared" si="0"/>
        <v>30</v>
      </c>
      <c r="B41" s="168" t="s">
        <v>143</v>
      </c>
      <c r="C41" s="168"/>
      <c r="D41" s="208">
        <f>+BQ13</f>
        <v>2E-3</v>
      </c>
      <c r="E41" s="69">
        <f>ROUND(F35*D41,0)</f>
        <v>326</v>
      </c>
      <c r="F41" s="45"/>
      <c r="G41" s="56"/>
      <c r="H41" s="564"/>
      <c r="I41" s="564"/>
      <c r="J41" s="564"/>
      <c r="K41" s="410"/>
      <c r="Q41" s="17"/>
      <c r="S41" s="100"/>
      <c r="T41" s="20"/>
      <c r="U41" s="17">
        <f t="shared" si="9"/>
        <v>30</v>
      </c>
      <c r="V41" s="448" t="s">
        <v>259</v>
      </c>
      <c r="X41" s="465">
        <f>X40*0.35</f>
        <v>-68093.113346097991</v>
      </c>
      <c r="Y41" s="39"/>
      <c r="Z41" s="39"/>
      <c r="AA41" s="39"/>
      <c r="AB41" s="39"/>
      <c r="AC41" s="39"/>
      <c r="AN41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M41" s="84"/>
      <c r="BO41" s="1"/>
      <c r="BQ41" s="130"/>
      <c r="BS41" s="17">
        <f t="shared" si="12"/>
        <v>29</v>
      </c>
      <c r="BT41" s="2" t="s">
        <v>15</v>
      </c>
      <c r="BU41" s="45">
        <v>65384472.780000001</v>
      </c>
      <c r="BV41" s="45"/>
      <c r="BW41" s="45"/>
      <c r="BX41" s="45">
        <f>P30</f>
        <v>-31138694.200000018</v>
      </c>
      <c r="BY41" s="45"/>
      <c r="BZ41" s="45"/>
      <c r="CA41" s="45"/>
      <c r="CB41" s="46"/>
      <c r="CC41" s="17">
        <f t="shared" si="13"/>
        <v>29</v>
      </c>
      <c r="CD41" s="2" t="s">
        <v>15</v>
      </c>
      <c r="CE41" s="48"/>
      <c r="CF41" s="46"/>
      <c r="CG41" s="54"/>
      <c r="CH41" s="54"/>
      <c r="CI41" s="54"/>
      <c r="CJ41" s="54"/>
      <c r="CK41" s="45">
        <f t="shared" si="25"/>
        <v>-31138694.200000018</v>
      </c>
      <c r="CL41" s="46">
        <f t="shared" si="26"/>
        <v>34245778.579999983</v>
      </c>
      <c r="CM41" s="17">
        <f t="shared" si="14"/>
        <v>29</v>
      </c>
      <c r="CN41" s="2" t="s">
        <v>15</v>
      </c>
      <c r="CO41" s="46">
        <f t="shared" si="27"/>
        <v>65384472.780000001</v>
      </c>
      <c r="CP41" s="97">
        <f t="shared" si="28"/>
        <v>-31138694.200000018</v>
      </c>
      <c r="CQ41" s="69">
        <f t="shared" si="29"/>
        <v>34245778.579999983</v>
      </c>
    </row>
    <row r="42" spans="1:95" ht="15" customHeight="1" thickBot="1">
      <c r="A42" s="17">
        <f t="shared" si="0"/>
        <v>31</v>
      </c>
      <c r="B42" s="169" t="s">
        <v>51</v>
      </c>
      <c r="C42" s="168"/>
      <c r="D42" s="354"/>
      <c r="E42" s="355"/>
      <c r="F42" s="356">
        <f>SUM(E40:E41)</f>
        <v>1177</v>
      </c>
      <c r="G42" s="56"/>
      <c r="I42" s="204"/>
      <c r="J42" s="204"/>
      <c r="K42" s="204"/>
      <c r="Q42" s="17"/>
      <c r="S42" s="100"/>
      <c r="T42" s="20"/>
      <c r="U42" s="17">
        <f t="shared" si="9"/>
        <v>31</v>
      </c>
      <c r="V42" s="448" t="s">
        <v>56</v>
      </c>
      <c r="X42" s="466">
        <f>X40-X41</f>
        <v>-126458.63907132484</v>
      </c>
      <c r="Y42" s="39"/>
      <c r="Z42" s="39"/>
      <c r="AA42" s="39"/>
      <c r="AB42" s="39"/>
      <c r="AC42" s="39"/>
      <c r="AN42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M42" s="84"/>
      <c r="BO42" s="1"/>
      <c r="BQ42" s="130"/>
      <c r="BR42" s="16"/>
      <c r="BS42" s="17">
        <f t="shared" si="12"/>
        <v>30</v>
      </c>
      <c r="BT42" s="18" t="s">
        <v>16</v>
      </c>
      <c r="BU42" s="44">
        <f>SUM(BU28:BU41)</f>
        <v>440013276.77632678</v>
      </c>
      <c r="BV42" s="44">
        <f t="shared" ref="BV42:CB42" si="30">SUM(BV28:BV41)</f>
        <v>61857</v>
      </c>
      <c r="BW42" s="44">
        <f t="shared" si="30"/>
        <v>3957123.5308150002</v>
      </c>
      <c r="BX42" s="44">
        <f t="shared" si="30"/>
        <v>677868.99228526279</v>
      </c>
      <c r="BY42" s="44">
        <f t="shared" si="30"/>
        <v>-18322878.882137779</v>
      </c>
      <c r="BZ42" s="44">
        <f t="shared" si="30"/>
        <v>-78628438.900791436</v>
      </c>
      <c r="CA42" s="44">
        <f t="shared" si="30"/>
        <v>282009.09997520002</v>
      </c>
      <c r="CB42" s="44">
        <f t="shared" si="30"/>
        <v>337160</v>
      </c>
      <c r="CC42" s="17">
        <f t="shared" si="13"/>
        <v>30</v>
      </c>
      <c r="CD42" s="18" t="s">
        <v>16</v>
      </c>
      <c r="CE42" s="44">
        <f t="shared" ref="CE42:CL42" si="31">SUM(CE28:CE41)</f>
        <v>5241.0831849984943</v>
      </c>
      <c r="CF42" s="44">
        <f t="shared" si="31"/>
        <v>19654.357348883124</v>
      </c>
      <c r="CG42" s="44">
        <f t="shared" si="31"/>
        <v>98533.996367129002</v>
      </c>
      <c r="CH42" s="44">
        <f t="shared" si="31"/>
        <v>-8821.3403943706653</v>
      </c>
      <c r="CI42" s="44">
        <f>SUM(CI28:CI41)</f>
        <v>130540.62143733332</v>
      </c>
      <c r="CJ42" s="44">
        <f t="shared" si="31"/>
        <v>129457.08921255104</v>
      </c>
      <c r="CK42" s="44">
        <f t="shared" si="31"/>
        <v>-91260693.352697223</v>
      </c>
      <c r="CL42" s="44">
        <f t="shared" si="31"/>
        <v>348752583.42362952</v>
      </c>
      <c r="CM42" s="17">
        <f t="shared" si="14"/>
        <v>30</v>
      </c>
      <c r="CN42" s="18" t="s">
        <v>16</v>
      </c>
      <c r="CO42" s="44">
        <f>SUM(CO28:CO41)</f>
        <v>440013276.77632678</v>
      </c>
      <c r="CP42" s="44">
        <f>SUM(CP28:CP41)</f>
        <v>-91260693.352697223</v>
      </c>
      <c r="CQ42" s="44">
        <f>SUM(CQ28:CQ41)</f>
        <v>348752583.42362952</v>
      </c>
    </row>
    <row r="43" spans="1:95" ht="15" customHeight="1" thickTop="1">
      <c r="A43" s="17">
        <f t="shared" si="0"/>
        <v>32</v>
      </c>
      <c r="B43" s="168"/>
      <c r="C43" s="168"/>
      <c r="D43" s="357"/>
      <c r="E43" s="195"/>
      <c r="F43" s="45"/>
      <c r="G43" s="56"/>
      <c r="I43" s="204"/>
      <c r="J43" s="204"/>
      <c r="K43" s="204"/>
      <c r="Q43" s="17"/>
      <c r="S43" s="100"/>
      <c r="T43" s="20"/>
      <c r="W43" s="58"/>
      <c r="X43" s="58"/>
      <c r="Y43" s="39"/>
      <c r="Z43" s="39"/>
      <c r="AA43" s="39"/>
      <c r="AB43" s="39"/>
      <c r="AC43" s="39"/>
      <c r="AN43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M43" s="84"/>
      <c r="BO43" s="1"/>
      <c r="BQ43" s="130"/>
      <c r="BR43" s="73"/>
      <c r="BS43" s="17">
        <f t="shared" si="12"/>
        <v>31</v>
      </c>
      <c r="BU43" s="27"/>
      <c r="BV43" s="27"/>
      <c r="BW43" s="27"/>
      <c r="BX43" s="27"/>
      <c r="BY43" s="27"/>
      <c r="BZ43" s="27"/>
      <c r="CA43" s="27"/>
      <c r="CB43" s="27"/>
      <c r="CC43" s="17">
        <f t="shared" si="13"/>
        <v>31</v>
      </c>
      <c r="CE43" s="27"/>
      <c r="CF43" s="27"/>
      <c r="CG43" s="27"/>
      <c r="CH43" s="27"/>
      <c r="CI43" s="27"/>
      <c r="CJ43" s="27"/>
      <c r="CK43" s="27"/>
      <c r="CL43" s="27"/>
      <c r="CM43" s="17">
        <f t="shared" si="14"/>
        <v>31</v>
      </c>
      <c r="CO43" s="27"/>
      <c r="CP43" s="27"/>
      <c r="CQ43" s="27"/>
    </row>
    <row r="44" spans="1:95" ht="15" customHeight="1">
      <c r="A44" s="17">
        <f t="shared" si="0"/>
        <v>33</v>
      </c>
      <c r="B44" s="168" t="s">
        <v>144</v>
      </c>
      <c r="C44" s="168"/>
      <c r="D44" s="207">
        <f>+BQ14</f>
        <v>3.8318999999999999E-2</v>
      </c>
      <c r="E44" s="358">
        <f>ROUND(F35*D44,0)</f>
        <v>6244</v>
      </c>
      <c r="F44" s="45"/>
      <c r="G44" s="56"/>
      <c r="Q44" s="17"/>
      <c r="S44" s="100"/>
      <c r="T44" s="20"/>
      <c r="W44" s="58"/>
      <c r="X44" s="283"/>
      <c r="Y44" s="39"/>
      <c r="Z44" s="39"/>
      <c r="AA44" s="39"/>
      <c r="AB44" s="39"/>
      <c r="AC44" s="39"/>
      <c r="AN44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M44" s="84"/>
      <c r="BO44" s="1"/>
      <c r="BQ44" s="130"/>
      <c r="BR44" s="3"/>
      <c r="BS44" s="17">
        <f t="shared" si="12"/>
        <v>32</v>
      </c>
      <c r="BT44" s="18" t="s">
        <v>17</v>
      </c>
      <c r="BU44" s="13">
        <f t="shared" ref="BU44:CB44" si="32">BU17-BU26-BU42</f>
        <v>121795077.51367211</v>
      </c>
      <c r="BV44" s="13">
        <f t="shared" si="32"/>
        <v>101095.83285872213</v>
      </c>
      <c r="BW44" s="13">
        <f t="shared" si="32"/>
        <v>6467306.2191850003</v>
      </c>
      <c r="BX44" s="13">
        <f t="shared" si="32"/>
        <v>-677868.99228526279</v>
      </c>
      <c r="BY44" s="13">
        <f t="shared" si="32"/>
        <v>18322878.882137779</v>
      </c>
      <c r="BZ44" s="13">
        <f t="shared" si="32"/>
        <v>-126458.63907131553</v>
      </c>
      <c r="CA44" s="13">
        <f t="shared" si="32"/>
        <v>-282009.09997520002</v>
      </c>
      <c r="CB44" s="13">
        <f t="shared" si="32"/>
        <v>-337160</v>
      </c>
      <c r="CC44" s="17">
        <f t="shared" si="13"/>
        <v>32</v>
      </c>
      <c r="CD44" s="18" t="s">
        <v>17</v>
      </c>
      <c r="CE44" s="13">
        <f t="shared" ref="CE44:CL44" si="33">CE17-CE26-CE42</f>
        <v>-5241.0831849984943</v>
      </c>
      <c r="CF44" s="13">
        <f t="shared" si="33"/>
        <v>-19654.357348883124</v>
      </c>
      <c r="CG44" s="13">
        <f>CG17-CG26-CG42</f>
        <v>-98533.996367129002</v>
      </c>
      <c r="CH44" s="13">
        <f>CH17-CH26-CH42</f>
        <v>8821.3403943706653</v>
      </c>
      <c r="CI44" s="13">
        <f>CI17-CI26-CI42</f>
        <v>-130540.62143733332</v>
      </c>
      <c r="CJ44" s="13">
        <f>CJ17-CJ26-CJ42</f>
        <v>-129457.08921255104</v>
      </c>
      <c r="CK44" s="13">
        <f t="shared" si="33"/>
        <v>23093178.395693198</v>
      </c>
      <c r="CL44" s="13">
        <f t="shared" si="33"/>
        <v>144888255.9093653</v>
      </c>
      <c r="CM44" s="17">
        <f t="shared" si="14"/>
        <v>32</v>
      </c>
      <c r="CN44" s="2" t="str">
        <f>BT44</f>
        <v>NET OPERATING INCOME</v>
      </c>
      <c r="CO44" s="13">
        <f>CO17-CO26-CO42</f>
        <v>121795077.51367211</v>
      </c>
      <c r="CP44" s="13">
        <f>CP17-CP26-CP42</f>
        <v>23093178.395693183</v>
      </c>
      <c r="CQ44" s="13">
        <f>CQ17-CQ26-CQ42</f>
        <v>144888255.90936542</v>
      </c>
    </row>
    <row r="45" spans="1:95" ht="15" customHeight="1">
      <c r="A45" s="17">
        <f t="shared" si="0"/>
        <v>34</v>
      </c>
      <c r="B45" s="169" t="s">
        <v>145</v>
      </c>
      <c r="C45" s="168"/>
      <c r="D45" s="164"/>
      <c r="E45" s="195"/>
      <c r="F45" s="359">
        <f>SUM(E44:E44)</f>
        <v>6244</v>
      </c>
      <c r="G45" s="56"/>
      <c r="I45" s="204"/>
      <c r="J45" s="204"/>
      <c r="K45" s="204"/>
      <c r="Q45" s="17"/>
      <c r="S45" s="100"/>
      <c r="T45" s="20"/>
      <c r="V45" s="58"/>
      <c r="W45" s="58"/>
      <c r="X45" s="283"/>
      <c r="Y45" s="39"/>
      <c r="Z45" s="39"/>
      <c r="AA45" s="39"/>
      <c r="AB45" s="39"/>
      <c r="AC45" s="39"/>
      <c r="AN45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M45" s="84"/>
      <c r="BO45" s="1"/>
      <c r="BQ45" s="130"/>
      <c r="BR45" s="53"/>
      <c r="BS45" s="17">
        <f t="shared" si="12"/>
        <v>33</v>
      </c>
      <c r="BU45" s="27"/>
      <c r="BV45" s="27"/>
      <c r="BW45" s="27"/>
      <c r="BX45" s="27"/>
      <c r="BY45" s="27"/>
      <c r="BZ45" s="27"/>
      <c r="CA45" s="27"/>
      <c r="CB45" s="343" t="s">
        <v>20</v>
      </c>
      <c r="CC45" s="17">
        <f t="shared" si="13"/>
        <v>33</v>
      </c>
      <c r="CE45" s="27"/>
      <c r="CF45" s="343"/>
      <c r="CG45" s="343"/>
      <c r="CH45" s="343"/>
      <c r="CI45" s="343"/>
      <c r="CJ45" s="343"/>
      <c r="CK45" s="24"/>
      <c r="CL45" s="24"/>
      <c r="CM45" s="17">
        <f t="shared" si="14"/>
        <v>33</v>
      </c>
      <c r="CN45" s="18"/>
      <c r="CO45" s="28"/>
      <c r="CP45" s="28"/>
      <c r="CQ45" s="28"/>
    </row>
    <row r="46" spans="1:95" ht="15" customHeight="1">
      <c r="A46" s="17">
        <f t="shared" si="0"/>
        <v>35</v>
      </c>
      <c r="B46" s="168"/>
      <c r="C46" s="168"/>
      <c r="D46" s="164"/>
      <c r="E46" s="164"/>
      <c r="F46" s="45"/>
      <c r="G46" s="56"/>
      <c r="S46" s="100"/>
      <c r="T46" s="20"/>
      <c r="U46" s="39"/>
      <c r="V46" s="39"/>
      <c r="W46" s="39"/>
      <c r="X46" s="283"/>
      <c r="Y46" s="58"/>
      <c r="Z46" s="58"/>
      <c r="AA46" s="58"/>
      <c r="AB46" s="58"/>
      <c r="AC46" s="58"/>
      <c r="AN4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M46" s="84"/>
      <c r="BO46" s="1"/>
      <c r="BQ46" s="130"/>
      <c r="BR46" s="53"/>
      <c r="BS46" s="17">
        <f t="shared" si="12"/>
        <v>34</v>
      </c>
      <c r="BT46" s="18" t="s">
        <v>18</v>
      </c>
      <c r="BU46" s="13">
        <f>BU57</f>
        <v>1716428935.0948741</v>
      </c>
      <c r="BV46" s="27"/>
      <c r="BW46" s="27"/>
      <c r="BX46" s="27"/>
      <c r="BY46" s="27"/>
      <c r="BZ46" s="27">
        <v>0</v>
      </c>
      <c r="CA46" s="27"/>
      <c r="CB46" s="344"/>
      <c r="CC46" s="17">
        <f t="shared" si="13"/>
        <v>34</v>
      </c>
      <c r="CD46" s="18" t="s">
        <v>18</v>
      </c>
      <c r="CE46" s="27"/>
      <c r="CF46" s="47"/>
      <c r="CG46" s="47"/>
      <c r="CH46" s="47"/>
      <c r="CI46" s="47"/>
      <c r="CJ46" s="47"/>
      <c r="CK46" s="27">
        <f>SUM(BV46:CH46)-CC46</f>
        <v>0</v>
      </c>
      <c r="CL46" s="27">
        <f>BU46+CK46</f>
        <v>1716428935.0948741</v>
      </c>
      <c r="CM46" s="17">
        <f t="shared" si="14"/>
        <v>34</v>
      </c>
      <c r="CN46" s="18" t="s">
        <v>18</v>
      </c>
      <c r="CO46" s="27">
        <f>BU46</f>
        <v>1716428935.0948741</v>
      </c>
      <c r="CP46" s="103">
        <f>CK46</f>
        <v>0</v>
      </c>
      <c r="CQ46" s="27">
        <f>+CO46+CP46</f>
        <v>1716428935.0948741</v>
      </c>
    </row>
    <row r="47" spans="1:95" ht="15" customHeight="1">
      <c r="A47" s="17">
        <f t="shared" si="0"/>
        <v>36</v>
      </c>
      <c r="B47" s="168" t="s">
        <v>96</v>
      </c>
      <c r="C47" s="168"/>
      <c r="D47" s="164"/>
      <c r="E47" s="355"/>
      <c r="F47" s="196">
        <f>F35-F39-F42-F45</f>
        <v>155531.83285872213</v>
      </c>
      <c r="G47" s="56"/>
      <c r="H47" s="204"/>
      <c r="I47" s="204"/>
      <c r="J47" s="204"/>
      <c r="K47" s="204"/>
      <c r="S47" s="100"/>
      <c r="T47" s="20"/>
      <c r="U47" s="39"/>
      <c r="V47" s="39"/>
      <c r="W47" s="39"/>
      <c r="X47" s="283"/>
      <c r="Y47" s="58"/>
      <c r="Z47" s="58"/>
      <c r="AA47" s="58"/>
      <c r="AB47" s="58"/>
      <c r="AC47" s="58"/>
      <c r="AN47"/>
      <c r="BM47" s="84"/>
      <c r="BO47" s="1"/>
      <c r="BQ47" s="130"/>
      <c r="BR47" s="53"/>
      <c r="BS47" s="17">
        <f t="shared" si="12"/>
        <v>35</v>
      </c>
      <c r="CB47" s="21"/>
      <c r="CC47" s="17">
        <f t="shared" si="13"/>
        <v>35</v>
      </c>
      <c r="CF47" s="1"/>
      <c r="CG47" s="1"/>
      <c r="CH47" s="1"/>
      <c r="CI47" s="1"/>
      <c r="CJ47" s="1"/>
      <c r="CK47" s="24"/>
      <c r="CL47" s="24"/>
      <c r="CM47" s="17">
        <f t="shared" si="14"/>
        <v>35</v>
      </c>
    </row>
    <row r="48" spans="1:95" ht="15" customHeight="1">
      <c r="A48" s="17">
        <f t="shared" si="0"/>
        <v>37</v>
      </c>
      <c r="B48" s="168"/>
      <c r="C48" s="168"/>
      <c r="D48" s="164"/>
      <c r="E48" s="355"/>
      <c r="F48" s="355"/>
      <c r="G48" s="56"/>
      <c r="H48" s="204"/>
      <c r="I48" s="204"/>
      <c r="J48" s="204"/>
      <c r="K48" s="204"/>
      <c r="U48" s="39"/>
      <c r="V48" s="39"/>
      <c r="W48" s="39"/>
      <c r="X48" s="39"/>
      <c r="Y48" s="58"/>
      <c r="Z48" s="58"/>
      <c r="AA48" s="58"/>
      <c r="AB48" s="58"/>
      <c r="AC48" s="58"/>
      <c r="AK48" s="17"/>
      <c r="AL48" s="83"/>
      <c r="AM48" s="1"/>
      <c r="AN48"/>
      <c r="AT48" s="39"/>
      <c r="AU48" s="39"/>
      <c r="AV48" s="39"/>
      <c r="BM48" s="84"/>
      <c r="BO48" s="1"/>
      <c r="BQ48" s="130"/>
      <c r="BR48" s="74"/>
      <c r="BS48" s="17">
        <f t="shared" si="12"/>
        <v>36</v>
      </c>
      <c r="BT48" s="18" t="s">
        <v>19</v>
      </c>
      <c r="BU48" s="345">
        <f>BU44/BU46</f>
        <v>7.0958415477271122E-2</v>
      </c>
      <c r="BZ48" s="50"/>
      <c r="CA48" s="50"/>
      <c r="CB48" s="1"/>
      <c r="CC48" s="17">
        <f t="shared" si="13"/>
        <v>36</v>
      </c>
      <c r="CD48" s="18" t="s">
        <v>19</v>
      </c>
      <c r="CF48" s="1"/>
      <c r="CG48" s="1"/>
      <c r="CH48" s="1"/>
      <c r="CI48" s="1"/>
      <c r="CJ48" s="1"/>
      <c r="CL48" s="53">
        <f>CL44/CL46</f>
        <v>8.4412615603777802E-2</v>
      </c>
      <c r="CM48" s="17">
        <f t="shared" si="14"/>
        <v>36</v>
      </c>
      <c r="CN48" s="18" t="s">
        <v>19</v>
      </c>
      <c r="CO48" s="53">
        <f>BU48</f>
        <v>7.0958415477271122E-2</v>
      </c>
      <c r="CQ48" s="53">
        <f>CQ44/CQ46</f>
        <v>8.4412615603777871E-2</v>
      </c>
    </row>
    <row r="49" spans="1:95" ht="15" customHeight="1">
      <c r="A49" s="17">
        <f t="shared" si="0"/>
        <v>38</v>
      </c>
      <c r="B49" s="168" t="s">
        <v>97</v>
      </c>
      <c r="C49" s="168"/>
      <c r="D49" s="136">
        <f>FIT</f>
        <v>0.35</v>
      </c>
      <c r="E49" s="355"/>
      <c r="F49" s="54">
        <f>ROUND(F47*D49,0)</f>
        <v>54436</v>
      </c>
      <c r="G49" s="56"/>
      <c r="Q49" s="17"/>
      <c r="U49" s="39"/>
      <c r="V49" s="39"/>
      <c r="W49" s="39"/>
      <c r="X49" s="39"/>
      <c r="Y49" s="58"/>
      <c r="Z49" s="58"/>
      <c r="AA49" s="58"/>
      <c r="AB49" s="58"/>
      <c r="AC49" s="58"/>
      <c r="AN49"/>
      <c r="AT49" s="39"/>
      <c r="AU49" s="39"/>
      <c r="AV49" s="39"/>
      <c r="BM49" s="84"/>
      <c r="BO49" s="1"/>
      <c r="BQ49" s="130"/>
      <c r="BS49" s="17">
        <f t="shared" si="12"/>
        <v>37</v>
      </c>
      <c r="CC49" s="17">
        <f t="shared" si="13"/>
        <v>37</v>
      </c>
      <c r="CM49" s="17">
        <f t="shared" si="14"/>
        <v>37</v>
      </c>
      <c r="CO49" s="71"/>
      <c r="CQ49" s="71"/>
    </row>
    <row r="50" spans="1:95" ht="15" customHeight="1" thickBot="1">
      <c r="A50" s="17">
        <f t="shared" si="0"/>
        <v>39</v>
      </c>
      <c r="B50" s="168" t="s">
        <v>56</v>
      </c>
      <c r="C50" s="168"/>
      <c r="D50" s="164"/>
      <c r="E50" s="355"/>
      <c r="F50" s="412">
        <f>F47-F49</f>
        <v>101095.83285872213</v>
      </c>
      <c r="G50" s="56"/>
      <c r="H50" s="204"/>
      <c r="I50" s="204"/>
      <c r="J50" s="204"/>
      <c r="K50" s="204"/>
      <c r="Q50" s="17"/>
      <c r="U50" s="39"/>
      <c r="V50" s="39"/>
      <c r="W50" s="39"/>
      <c r="X50" s="39"/>
      <c r="Y50" s="58"/>
      <c r="Z50" s="58"/>
      <c r="AA50" s="58"/>
      <c r="AB50" s="58"/>
      <c r="AC50" s="58"/>
      <c r="AK50" s="17"/>
      <c r="AN50"/>
      <c r="AT50" s="39"/>
      <c r="AU50" s="39"/>
      <c r="AV50" s="39"/>
      <c r="BM50" s="84"/>
      <c r="BO50" s="1"/>
      <c r="BQ50" s="130"/>
      <c r="BS50" s="17">
        <f t="shared" si="12"/>
        <v>38</v>
      </c>
      <c r="BT50" s="2" t="s">
        <v>69</v>
      </c>
      <c r="BU50" s="16"/>
      <c r="CB50" s="1"/>
      <c r="CC50" s="17">
        <f t="shared" si="13"/>
        <v>38</v>
      </c>
      <c r="CD50" s="2" t="s">
        <v>69</v>
      </c>
      <c r="CF50" s="1"/>
      <c r="CG50" s="1"/>
      <c r="CH50" s="1"/>
      <c r="CI50" s="1"/>
      <c r="CJ50" s="1"/>
      <c r="CL50" s="24"/>
      <c r="CM50" s="17">
        <f t="shared" si="14"/>
        <v>38</v>
      </c>
      <c r="CN50" s="2" t="s">
        <v>69</v>
      </c>
    </row>
    <row r="51" spans="1:95" ht="15" customHeight="1" thickTop="1">
      <c r="A51" s="17"/>
      <c r="F51" s="54"/>
      <c r="G51" s="56"/>
      <c r="H51" s="204"/>
      <c r="I51" s="204"/>
      <c r="J51" s="204"/>
      <c r="K51" s="204"/>
      <c r="Q51" s="1"/>
      <c r="S51" s="100"/>
      <c r="T51" s="20"/>
      <c r="U51" s="39"/>
      <c r="V51" s="39"/>
      <c r="W51" s="39"/>
      <c r="X51" s="39"/>
      <c r="Y51" s="58"/>
      <c r="Z51" s="58"/>
      <c r="AA51" s="58"/>
      <c r="AB51" s="58"/>
      <c r="AC51" s="58"/>
      <c r="AK51" s="17"/>
      <c r="AN51"/>
      <c r="BI51" s="157"/>
      <c r="BM51" s="84"/>
      <c r="BO51" s="1"/>
      <c r="BQ51" s="130"/>
      <c r="BR51" s="49"/>
      <c r="BS51" s="17">
        <f t="shared" si="12"/>
        <v>39</v>
      </c>
      <c r="BT51" s="104" t="s">
        <v>70</v>
      </c>
      <c r="BU51" s="13">
        <f>GRB!D19</f>
        <v>3497106265</v>
      </c>
      <c r="BV51" s="5"/>
      <c r="BW51" s="5">
        <v>0</v>
      </c>
      <c r="BX51" s="5">
        <v>0</v>
      </c>
      <c r="BY51" s="5">
        <v>0</v>
      </c>
      <c r="BZ51" s="5">
        <f>+BZ46</f>
        <v>0</v>
      </c>
      <c r="CA51" s="5"/>
      <c r="CB51" s="5">
        <v>0</v>
      </c>
      <c r="CC51" s="17">
        <f t="shared" si="13"/>
        <v>39</v>
      </c>
      <c r="CD51" s="104" t="s">
        <v>70</v>
      </c>
      <c r="CE51" s="5">
        <v>0</v>
      </c>
      <c r="CF51" s="5">
        <v>0</v>
      </c>
      <c r="CG51" s="5">
        <v>0</v>
      </c>
      <c r="CH51" s="5">
        <v>0</v>
      </c>
      <c r="CI51" s="5"/>
      <c r="CJ51" s="5">
        <v>0</v>
      </c>
      <c r="CK51" s="5">
        <f>SUM(BV51:CH51)-CC51</f>
        <v>0</v>
      </c>
      <c r="CL51" s="5">
        <f>+CK51+BU51</f>
        <v>3497106265</v>
      </c>
      <c r="CM51" s="17">
        <f t="shared" si="14"/>
        <v>39</v>
      </c>
      <c r="CN51" s="104" t="s">
        <v>70</v>
      </c>
      <c r="CO51" s="13">
        <f>+BU51</f>
        <v>3497106265</v>
      </c>
      <c r="CP51" s="6">
        <f>+CK51</f>
        <v>0</v>
      </c>
      <c r="CQ51" s="5">
        <f>+CP51+CO51</f>
        <v>3497106265</v>
      </c>
    </row>
    <row r="52" spans="1:95" ht="15" customHeight="1">
      <c r="A52" s="17"/>
      <c r="B52" s="169"/>
      <c r="G52" s="56"/>
      <c r="Q52" s="1"/>
      <c r="S52" s="100"/>
      <c r="T52" s="20"/>
      <c r="V52" s="58"/>
      <c r="W52" s="58"/>
      <c r="X52" s="58"/>
      <c r="Y52" s="58"/>
      <c r="Z52" s="58"/>
      <c r="AA52" s="58"/>
      <c r="AB52" s="58"/>
      <c r="AC52" s="58"/>
      <c r="AK52" s="17"/>
      <c r="AN52"/>
      <c r="BM52" s="84"/>
      <c r="BO52" s="1"/>
      <c r="BQ52" s="130"/>
      <c r="BR52" s="15"/>
      <c r="BS52" s="17">
        <f t="shared" si="12"/>
        <v>40</v>
      </c>
      <c r="BT52" s="9" t="s">
        <v>71</v>
      </c>
      <c r="BU52" s="48">
        <f>GRB!D21+GRB!D22</f>
        <v>-1337269661</v>
      </c>
      <c r="BV52" s="7"/>
      <c r="BW52" s="7"/>
      <c r="BX52" s="7"/>
      <c r="BY52" s="7"/>
      <c r="BZ52" s="7"/>
      <c r="CA52" s="7"/>
      <c r="CB52" s="7"/>
      <c r="CC52" s="17">
        <f t="shared" si="13"/>
        <v>40</v>
      </c>
      <c r="CD52" s="9" t="s">
        <v>71</v>
      </c>
      <c r="CE52" s="7"/>
      <c r="CF52" s="7"/>
      <c r="CG52" s="7"/>
      <c r="CH52" s="7"/>
      <c r="CI52" s="7"/>
      <c r="CJ52" s="7"/>
      <c r="CK52" s="143">
        <f>SUM(BV52:CH52)-CC52</f>
        <v>0</v>
      </c>
      <c r="CL52" s="7">
        <f>+CK52+BU52</f>
        <v>-1337269661</v>
      </c>
      <c r="CM52" s="17">
        <f t="shared" si="14"/>
        <v>40</v>
      </c>
      <c r="CN52" s="9" t="s">
        <v>71</v>
      </c>
      <c r="CO52" s="48">
        <f>+BU52</f>
        <v>-1337269661</v>
      </c>
      <c r="CP52" s="7">
        <f>+CK52</f>
        <v>0</v>
      </c>
      <c r="CQ52" s="7">
        <f>+CP52+CO52</f>
        <v>-1337269661</v>
      </c>
    </row>
    <row r="53" spans="1:95" ht="15" customHeight="1">
      <c r="A53" s="17"/>
      <c r="B53" s="169"/>
      <c r="G53" s="173"/>
      <c r="R53" s="1"/>
      <c r="S53" s="1"/>
      <c r="T53" s="1"/>
      <c r="V53" s="58"/>
      <c r="W53" s="58"/>
      <c r="X53" s="58"/>
      <c r="Y53" s="58"/>
      <c r="Z53" s="58"/>
      <c r="AA53" s="58"/>
      <c r="AB53" s="58"/>
      <c r="AC53" s="58"/>
      <c r="AN53"/>
      <c r="BM53" s="84"/>
      <c r="BO53" s="1"/>
      <c r="BQ53" s="130"/>
      <c r="BR53" s="15"/>
      <c r="BS53" s="17">
        <f t="shared" si="12"/>
        <v>41</v>
      </c>
      <c r="BT53" s="9" t="s">
        <v>72</v>
      </c>
      <c r="BU53" s="48">
        <f>GRB!D25</f>
        <v>-504232382</v>
      </c>
      <c r="BV53" s="8"/>
      <c r="BW53" s="8"/>
      <c r="BX53" s="8"/>
      <c r="BY53" s="8"/>
      <c r="BZ53" s="8"/>
      <c r="CA53" s="8"/>
      <c r="CB53" s="8"/>
      <c r="CC53" s="17">
        <f t="shared" si="13"/>
        <v>41</v>
      </c>
      <c r="CD53" s="9" t="s">
        <v>72</v>
      </c>
      <c r="CE53" s="8"/>
      <c r="CF53" s="8"/>
      <c r="CG53" s="8"/>
      <c r="CH53" s="8"/>
      <c r="CI53" s="8"/>
      <c r="CJ53" s="8"/>
      <c r="CK53" s="143">
        <f>SUM(BV53:CH53)-CC53</f>
        <v>0</v>
      </c>
      <c r="CL53" s="7">
        <f>+CK53+BU53</f>
        <v>-504232382</v>
      </c>
      <c r="CM53" s="17">
        <f t="shared" si="14"/>
        <v>41</v>
      </c>
      <c r="CN53" s="9" t="s">
        <v>72</v>
      </c>
      <c r="CO53" s="145">
        <f>+BU53</f>
        <v>-504232382</v>
      </c>
      <c r="CP53" s="8">
        <f>+CK53</f>
        <v>0</v>
      </c>
      <c r="CQ53" s="8">
        <f>+CP53+CO53</f>
        <v>-504232382</v>
      </c>
    </row>
    <row r="54" spans="1:95" ht="15" customHeight="1">
      <c r="A54" s="17"/>
      <c r="B54" s="169"/>
      <c r="G54" s="173"/>
      <c r="H54" s="204"/>
      <c r="I54" s="204"/>
      <c r="J54" s="204"/>
      <c r="K54" s="204"/>
      <c r="L54" s="1"/>
      <c r="R54" s="1"/>
      <c r="S54" s="1"/>
      <c r="T54" s="1"/>
      <c r="V54" s="58"/>
      <c r="W54" s="58"/>
      <c r="X54" s="58"/>
      <c r="Y54" s="58"/>
      <c r="Z54" s="58"/>
      <c r="AA54" s="58"/>
      <c r="AB54" s="58"/>
      <c r="AC54" s="58"/>
      <c r="AK54" s="17"/>
      <c r="AN54"/>
      <c r="BM54" s="17"/>
      <c r="BO54" s="74"/>
      <c r="BP54" s="53"/>
      <c r="BQ54" s="74"/>
      <c r="BR54" s="15"/>
      <c r="BS54" s="17">
        <f t="shared" si="12"/>
        <v>42</v>
      </c>
      <c r="BT54" s="9" t="s">
        <v>77</v>
      </c>
      <c r="BU54" s="48">
        <f>GRB!D23+GRB!D24+GRB!D26+GRB!D27</f>
        <v>-14132721.52301673</v>
      </c>
      <c r="BV54" s="10"/>
      <c r="BW54" s="10"/>
      <c r="BX54" s="10"/>
      <c r="BY54" s="10"/>
      <c r="BZ54" s="10"/>
      <c r="CA54" s="10"/>
      <c r="CB54" s="10"/>
      <c r="CC54" s="17">
        <f t="shared" si="13"/>
        <v>42</v>
      </c>
      <c r="CD54" s="9" t="s">
        <v>77</v>
      </c>
      <c r="CE54" s="10"/>
      <c r="CF54" s="10"/>
      <c r="CG54" s="10"/>
      <c r="CH54" s="10"/>
      <c r="CI54" s="10"/>
      <c r="CJ54" s="10"/>
      <c r="CK54" s="144">
        <f>SUM(BV54:CH54)-CC54</f>
        <v>0</v>
      </c>
      <c r="CL54" s="10">
        <f>+CK54+BU54</f>
        <v>-14132721.52301673</v>
      </c>
      <c r="CM54" s="17">
        <f t="shared" si="14"/>
        <v>42</v>
      </c>
      <c r="CN54" s="9" t="s">
        <v>77</v>
      </c>
      <c r="CO54" s="51">
        <f>+BU54</f>
        <v>-14132721.52301673</v>
      </c>
      <c r="CP54" s="10">
        <f>+CK54</f>
        <v>0</v>
      </c>
      <c r="CQ54" s="10">
        <f>+CP54+CO54</f>
        <v>-14132721.52301673</v>
      </c>
    </row>
    <row r="55" spans="1:95" ht="15" customHeight="1">
      <c r="A55" s="17"/>
      <c r="B55" s="169"/>
      <c r="G55" s="296"/>
      <c r="L55" s="1"/>
      <c r="V55" s="58"/>
      <c r="W55" s="58"/>
      <c r="X55" s="58"/>
      <c r="Y55" s="58"/>
      <c r="Z55" s="58"/>
      <c r="AA55" s="58"/>
      <c r="AB55" s="58"/>
      <c r="AC55" s="58"/>
      <c r="AK55" s="17"/>
      <c r="AL55" s="1"/>
      <c r="AM55" s="1"/>
      <c r="AN55"/>
      <c r="BM55" s="17"/>
      <c r="BR55" s="15"/>
      <c r="BS55" s="17">
        <f t="shared" si="12"/>
        <v>43</v>
      </c>
      <c r="BT55" s="9" t="s">
        <v>75</v>
      </c>
      <c r="BU55" s="417">
        <f t="shared" ref="BU55:CB55" si="34">SUM(BU51:BU54)</f>
        <v>1641471500.4769833</v>
      </c>
      <c r="BV55" s="6"/>
      <c r="BW55" s="6">
        <f t="shared" si="34"/>
        <v>0</v>
      </c>
      <c r="BX55" s="6">
        <f t="shared" si="34"/>
        <v>0</v>
      </c>
      <c r="BY55" s="6">
        <f t="shared" si="34"/>
        <v>0</v>
      </c>
      <c r="BZ55" s="6">
        <f t="shared" si="34"/>
        <v>0</v>
      </c>
      <c r="CA55" s="6"/>
      <c r="CB55" s="6">
        <f t="shared" si="34"/>
        <v>0</v>
      </c>
      <c r="CC55" s="17">
        <f t="shared" si="13"/>
        <v>43</v>
      </c>
      <c r="CD55" s="9" t="s">
        <v>75</v>
      </c>
      <c r="CE55" s="6">
        <f t="shared" ref="CE55:CL55" si="35">SUM(CE51:CE54)</f>
        <v>0</v>
      </c>
      <c r="CF55" s="6">
        <f t="shared" si="35"/>
        <v>0</v>
      </c>
      <c r="CG55" s="6">
        <f t="shared" si="35"/>
        <v>0</v>
      </c>
      <c r="CH55" s="6">
        <f t="shared" si="35"/>
        <v>0</v>
      </c>
      <c r="CI55" s="6"/>
      <c r="CJ55" s="6">
        <f t="shared" si="35"/>
        <v>0</v>
      </c>
      <c r="CK55" s="6">
        <f t="shared" si="35"/>
        <v>0</v>
      </c>
      <c r="CL55" s="6">
        <f t="shared" si="35"/>
        <v>1641471500.4769833</v>
      </c>
      <c r="CM55" s="17">
        <f t="shared" si="14"/>
        <v>43</v>
      </c>
      <c r="CN55" s="9" t="s">
        <v>75</v>
      </c>
      <c r="CO55" s="6">
        <f>SUM(CO51:CO54)</f>
        <v>1641471500.4769833</v>
      </c>
      <c r="CP55" s="6">
        <f>SUM(CP51:CP54)</f>
        <v>0</v>
      </c>
      <c r="CQ55" s="6">
        <f>SUM(CQ51:CQ54)</f>
        <v>1641471500.4769833</v>
      </c>
    </row>
    <row r="56" spans="1:95" ht="15" customHeight="1">
      <c r="G56" s="296"/>
      <c r="H56" s="204"/>
      <c r="I56" s="204"/>
      <c r="J56" s="204"/>
      <c r="K56" s="204"/>
      <c r="L56" s="1"/>
      <c r="V56" s="58"/>
      <c r="W56" s="58"/>
      <c r="X56" s="58"/>
      <c r="Y56" s="58"/>
      <c r="Z56" s="58"/>
      <c r="AA56" s="58"/>
      <c r="AB56" s="58"/>
      <c r="AC56" s="58"/>
      <c r="AK56" s="17"/>
      <c r="AL56" s="1"/>
      <c r="AM56" s="105"/>
      <c r="AN56"/>
      <c r="BM56" s="39"/>
      <c r="BN56" s="39"/>
      <c r="BO56" s="39"/>
      <c r="BP56" s="39"/>
      <c r="BQ56" s="39"/>
      <c r="BR56" s="15"/>
      <c r="BS56" s="17">
        <f t="shared" si="12"/>
        <v>44</v>
      </c>
      <c r="BT56" s="9" t="s">
        <v>73</v>
      </c>
      <c r="BU56" s="48">
        <f>GRB!D31</f>
        <v>74957434.61789085</v>
      </c>
      <c r="BV56" s="10"/>
      <c r="BW56" s="10"/>
      <c r="BX56" s="10"/>
      <c r="BY56" s="10"/>
      <c r="BZ56" s="10"/>
      <c r="CA56" s="10"/>
      <c r="CB56" s="10"/>
      <c r="CC56" s="17">
        <f t="shared" si="13"/>
        <v>44</v>
      </c>
      <c r="CD56" s="9" t="s">
        <v>73</v>
      </c>
      <c r="CE56" s="10"/>
      <c r="CF56" s="10"/>
      <c r="CG56" s="10"/>
      <c r="CH56" s="10"/>
      <c r="CI56" s="10"/>
      <c r="CJ56" s="10"/>
      <c r="CK56" s="10">
        <f>SUM(BV56:CH56)-CC56</f>
        <v>0</v>
      </c>
      <c r="CL56" s="10">
        <f>+CK56+BU56</f>
        <v>74957434.61789085</v>
      </c>
      <c r="CM56" s="17">
        <f t="shared" si="14"/>
        <v>44</v>
      </c>
      <c r="CN56" s="9" t="s">
        <v>73</v>
      </c>
      <c r="CO56" s="51">
        <f>+BU56</f>
        <v>74957434.61789085</v>
      </c>
      <c r="CP56" s="10">
        <f>+CK56</f>
        <v>0</v>
      </c>
      <c r="CQ56" s="10">
        <f>+CP56+CO56</f>
        <v>74957434.61789085</v>
      </c>
    </row>
    <row r="57" spans="1:95" ht="15" customHeight="1" thickBot="1">
      <c r="G57" s="296"/>
      <c r="L57" s="1"/>
      <c r="V57" s="58"/>
      <c r="W57" s="58"/>
      <c r="X57" s="58"/>
      <c r="Y57" s="58"/>
      <c r="Z57" s="58"/>
      <c r="AA57" s="58"/>
      <c r="AB57" s="58"/>
      <c r="AC57" s="58"/>
      <c r="AK57" s="17"/>
      <c r="AL57" s="1"/>
      <c r="AM57" s="1"/>
      <c r="AN57"/>
      <c r="BM57" s="39"/>
      <c r="BN57" s="39"/>
      <c r="BO57" s="39"/>
      <c r="BP57" s="39"/>
      <c r="BQ57" s="39"/>
      <c r="BS57" s="17">
        <f t="shared" si="12"/>
        <v>45</v>
      </c>
      <c r="BT57" s="104" t="s">
        <v>74</v>
      </c>
      <c r="BU57" s="418">
        <f t="shared" ref="BU57:CB57" si="36">SUM(BU55:BU56)</f>
        <v>1716428935.0948741</v>
      </c>
      <c r="BV57" s="11"/>
      <c r="BW57" s="11">
        <f t="shared" si="36"/>
        <v>0</v>
      </c>
      <c r="BX57" s="11">
        <f t="shared" si="36"/>
        <v>0</v>
      </c>
      <c r="BY57" s="11">
        <f t="shared" si="36"/>
        <v>0</v>
      </c>
      <c r="BZ57" s="11">
        <f t="shared" si="36"/>
        <v>0</v>
      </c>
      <c r="CA57" s="11"/>
      <c r="CB57" s="11">
        <f t="shared" si="36"/>
        <v>0</v>
      </c>
      <c r="CC57" s="17">
        <f t="shared" si="13"/>
        <v>45</v>
      </c>
      <c r="CD57" s="104" t="s">
        <v>74</v>
      </c>
      <c r="CE57" s="11">
        <f t="shared" ref="CE57:CL57" si="37">SUM(CE55:CE56)</f>
        <v>0</v>
      </c>
      <c r="CF57" s="11">
        <f t="shared" si="37"/>
        <v>0</v>
      </c>
      <c r="CG57" s="11">
        <f t="shared" si="37"/>
        <v>0</v>
      </c>
      <c r="CH57" s="11">
        <f t="shared" si="37"/>
        <v>0</v>
      </c>
      <c r="CI57" s="11"/>
      <c r="CJ57" s="11">
        <f t="shared" si="37"/>
        <v>0</v>
      </c>
      <c r="CK57" s="11">
        <f t="shared" si="37"/>
        <v>0</v>
      </c>
      <c r="CL57" s="11">
        <f t="shared" si="37"/>
        <v>1716428935.0948741</v>
      </c>
      <c r="CM57" s="17">
        <f t="shared" si="14"/>
        <v>45</v>
      </c>
      <c r="CN57" s="104" t="s">
        <v>74</v>
      </c>
      <c r="CO57" s="11">
        <f>SUM(CO55:CO56)</f>
        <v>1716428935.0948741</v>
      </c>
      <c r="CP57" s="11">
        <f>SUM(CP55:CP56)</f>
        <v>0</v>
      </c>
      <c r="CQ57" s="11">
        <f>SUM(CQ55:CQ56)</f>
        <v>1716428935.0948741</v>
      </c>
    </row>
    <row r="58" spans="1:95" ht="15" customHeight="1" thickTop="1">
      <c r="G58" s="296"/>
      <c r="H58" s="204"/>
      <c r="I58" s="204"/>
      <c r="J58" s="204"/>
      <c r="K58" s="204"/>
      <c r="L58" s="1"/>
      <c r="V58" s="58"/>
      <c r="W58" s="58"/>
      <c r="X58" s="58"/>
      <c r="Y58" s="58"/>
      <c r="Z58" s="58"/>
      <c r="AA58" s="58"/>
      <c r="AB58" s="58"/>
      <c r="AC58" s="58"/>
      <c r="AK58" s="17"/>
      <c r="AL58" s="102"/>
      <c r="AM58" s="105"/>
      <c r="AN58"/>
      <c r="BM58" s="39"/>
      <c r="BN58" s="39"/>
      <c r="BO58" s="39"/>
      <c r="BP58" s="39"/>
      <c r="BQ58" s="39"/>
      <c r="CM58" s="17"/>
    </row>
    <row r="59" spans="1:95" ht="15" customHeight="1">
      <c r="A59" s="321"/>
      <c r="B59" s="321"/>
      <c r="C59" s="321"/>
      <c r="D59" s="321"/>
      <c r="E59" s="321"/>
      <c r="F59" s="321"/>
      <c r="G59" s="296"/>
      <c r="H59" s="204"/>
      <c r="I59" s="204"/>
      <c r="J59" s="204"/>
      <c r="K59" s="204"/>
      <c r="L59" s="1"/>
      <c r="V59" s="58"/>
      <c r="W59" s="58"/>
      <c r="X59" s="58"/>
      <c r="Y59" s="58"/>
      <c r="Z59" s="58"/>
      <c r="AA59" s="58"/>
      <c r="AB59" s="58"/>
      <c r="AC59" s="58"/>
      <c r="AK59" s="17"/>
      <c r="AL59" s="102"/>
      <c r="AM59" s="105"/>
      <c r="AN59"/>
      <c r="BM59" s="39"/>
      <c r="BN59" s="39"/>
      <c r="BO59" s="39"/>
      <c r="BP59" s="39"/>
      <c r="BQ59" s="39"/>
      <c r="BR59" s="41"/>
      <c r="CB59" s="27">
        <f>SUM(BV44:CB44)</f>
        <v>23467784.202849723</v>
      </c>
      <c r="CL59" s="27">
        <f>SUM(CE44:CJ44)</f>
        <v>-374605.80715652427</v>
      </c>
      <c r="CO59" s="158" t="str">
        <f>IF(CO57=CO46,"OK","ERROR")</f>
        <v>OK</v>
      </c>
      <c r="CP59" s="158" t="str">
        <f>IF(CP57=CP46,"OK","ERROR")</f>
        <v>OK</v>
      </c>
      <c r="CQ59" s="158" t="str">
        <f>IF(CQ57=CQ46,"OK","ERROR")</f>
        <v>OK</v>
      </c>
    </row>
    <row r="60" spans="1:95" ht="15" customHeight="1">
      <c r="A60" s="196"/>
      <c r="G60" s="296"/>
      <c r="H60" s="204"/>
      <c r="I60" s="204"/>
      <c r="J60" s="204"/>
      <c r="K60" s="204"/>
      <c r="L60" s="1"/>
      <c r="V60" s="58"/>
      <c r="W60" s="58"/>
      <c r="X60" s="58"/>
      <c r="Y60" s="58"/>
      <c r="Z60" s="58"/>
      <c r="AA60" s="58"/>
      <c r="AB60" s="58"/>
      <c r="AC60" s="58"/>
      <c r="AK60" s="84" t="e">
        <f ca="1">CELL("filename",#REF!)</f>
        <v>#REF!</v>
      </c>
      <c r="AL60" s="102"/>
      <c r="AM60" s="105"/>
      <c r="AN60"/>
      <c r="AY60" s="157"/>
      <c r="BM60" s="39"/>
      <c r="BN60" s="39"/>
      <c r="BO60" s="39"/>
      <c r="BP60" s="39"/>
      <c r="BQ60" s="39"/>
      <c r="BT60" s="542" t="s">
        <v>306</v>
      </c>
      <c r="BU60" s="542"/>
      <c r="BV60" s="542"/>
      <c r="BW60" s="542"/>
      <c r="BX60" s="542"/>
      <c r="BY60" s="542"/>
      <c r="BZ60" s="542"/>
      <c r="CA60" s="542"/>
      <c r="CB60" s="542"/>
      <c r="CC60" s="542"/>
      <c r="CD60" s="542" t="s">
        <v>306</v>
      </c>
      <c r="CE60" s="542"/>
      <c r="CF60" s="542"/>
      <c r="CG60" s="542"/>
      <c r="CH60" s="542"/>
      <c r="CI60" s="542"/>
      <c r="CJ60" s="542"/>
      <c r="CK60" s="542"/>
      <c r="CL60" s="542"/>
      <c r="CM60" s="542"/>
      <c r="CN60" s="542" t="s">
        <v>306</v>
      </c>
      <c r="CO60" s="542"/>
      <c r="CP60" s="542"/>
      <c r="CQ60" s="542"/>
    </row>
    <row r="61" spans="1:95" ht="15" customHeight="1">
      <c r="A61" s="196"/>
      <c r="G61" s="296"/>
      <c r="H61" s="204"/>
      <c r="I61" s="204"/>
      <c r="J61" s="204"/>
      <c r="K61" s="204"/>
      <c r="L61" s="1"/>
      <c r="V61" s="58"/>
      <c r="W61" s="58"/>
      <c r="X61" s="58"/>
      <c r="Y61" s="58"/>
      <c r="Z61" s="58"/>
      <c r="AA61" s="58"/>
      <c r="AB61" s="58"/>
      <c r="AC61" s="58"/>
      <c r="AK61" s="22"/>
      <c r="AL61" s="102"/>
      <c r="AM61" s="106"/>
      <c r="BM61" s="39"/>
      <c r="BN61" s="39"/>
      <c r="BO61" s="39"/>
      <c r="BP61" s="39"/>
      <c r="BQ61" s="39"/>
      <c r="BR61" s="72"/>
      <c r="BT61" s="18" t="s">
        <v>307</v>
      </c>
      <c r="BU61" s="13">
        <v>121795077.51367211</v>
      </c>
      <c r="BV61" s="27">
        <v>101095.83285872213</v>
      </c>
      <c r="BW61" s="27">
        <v>6467306.2191850003</v>
      </c>
      <c r="BX61" s="27">
        <v>-677868.99228526279</v>
      </c>
      <c r="BY61" s="27">
        <v>18322878.882137779</v>
      </c>
      <c r="BZ61" s="27">
        <v>-126458.63907131553</v>
      </c>
      <c r="CA61" s="27">
        <v>-282009.09997520002</v>
      </c>
      <c r="CB61" s="27">
        <v>-337160</v>
      </c>
      <c r="CC61" s="2">
        <v>0</v>
      </c>
      <c r="CD61" s="18" t="s">
        <v>307</v>
      </c>
      <c r="CE61" s="27">
        <v>-5241.0831849984943</v>
      </c>
      <c r="CF61" s="27">
        <v>-19654.357348883124</v>
      </c>
      <c r="CG61" s="27">
        <v>-98533.996367129002</v>
      </c>
      <c r="CH61" s="27">
        <v>8821.3403943706653</v>
      </c>
      <c r="CI61" s="27">
        <v>-130540.62143733332</v>
      </c>
      <c r="CJ61" s="27">
        <v>-129457.08921255104</v>
      </c>
      <c r="CK61" s="27">
        <v>23093178.395693198</v>
      </c>
      <c r="CL61" s="27">
        <v>144888255.9093653</v>
      </c>
      <c r="CM61" s="2">
        <v>0</v>
      </c>
      <c r="CN61" s="18" t="s">
        <v>307</v>
      </c>
      <c r="CO61" s="27">
        <v>121795077.51367211</v>
      </c>
      <c r="CP61" s="27">
        <v>23093178.395693183</v>
      </c>
      <c r="CQ61" s="27">
        <v>144888255.90936542</v>
      </c>
    </row>
    <row r="62" spans="1:95" ht="15" customHeight="1">
      <c r="A62" s="196"/>
      <c r="G62" s="296"/>
      <c r="H62" s="204"/>
      <c r="I62" s="204"/>
      <c r="J62" s="204"/>
      <c r="K62" s="204"/>
      <c r="L62" s="1"/>
      <c r="V62" s="58"/>
      <c r="W62" s="58"/>
      <c r="X62" s="58"/>
      <c r="Y62" s="58"/>
      <c r="Z62" s="58"/>
      <c r="AA62" s="58"/>
      <c r="AB62" s="58"/>
      <c r="AC62" s="58"/>
      <c r="AK62" s="22"/>
      <c r="AL62" s="102"/>
      <c r="AM62" s="106"/>
      <c r="BM62" s="39"/>
      <c r="BN62" s="39"/>
      <c r="BO62" s="39"/>
      <c r="BP62" s="39"/>
      <c r="BQ62" s="39"/>
      <c r="BR62" s="74"/>
      <c r="BT62" s="543" t="s">
        <v>308</v>
      </c>
      <c r="BU62" s="27">
        <v>1716428935.0948741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0</v>
      </c>
      <c r="CC62" s="2">
        <v>0</v>
      </c>
      <c r="CD62" s="556" t="s">
        <v>308</v>
      </c>
      <c r="CE62" s="27">
        <v>0</v>
      </c>
      <c r="CF62" s="27">
        <v>0</v>
      </c>
      <c r="CG62" s="27">
        <v>0</v>
      </c>
      <c r="CH62" s="27">
        <v>0</v>
      </c>
      <c r="CI62" s="27">
        <v>0</v>
      </c>
      <c r="CJ62" s="27">
        <v>0</v>
      </c>
      <c r="CK62" s="27">
        <v>0</v>
      </c>
      <c r="CL62" s="27">
        <v>1716428935.0948741</v>
      </c>
      <c r="CM62" s="2">
        <v>0</v>
      </c>
      <c r="CN62" s="556" t="s">
        <v>308</v>
      </c>
      <c r="CO62" s="27">
        <v>1716428935.0948741</v>
      </c>
      <c r="CP62" s="27">
        <v>0</v>
      </c>
      <c r="CQ62" s="27">
        <v>1716428935.0948741</v>
      </c>
    </row>
    <row r="63" spans="1:95" ht="15" customHeight="1">
      <c r="A63" s="196"/>
      <c r="G63" s="296"/>
      <c r="H63" s="204"/>
      <c r="I63" s="204"/>
      <c r="J63" s="204"/>
      <c r="K63" s="204"/>
      <c r="L63" s="321"/>
      <c r="M63" s="321"/>
      <c r="N63" s="321"/>
      <c r="O63" s="321"/>
      <c r="P63" s="321"/>
      <c r="Q63" s="321"/>
      <c r="V63" s="58"/>
      <c r="W63" s="58"/>
      <c r="X63" s="58"/>
      <c r="AK63" s="22"/>
      <c r="AL63" s="102"/>
      <c r="AM63" s="106"/>
      <c r="BM63" s="39"/>
      <c r="BN63" s="39"/>
      <c r="BO63" s="39"/>
      <c r="BP63" s="39"/>
      <c r="BQ63" s="39"/>
      <c r="BT63" s="544" t="s">
        <v>309</v>
      </c>
      <c r="BU63" s="544"/>
      <c r="BV63" s="544"/>
      <c r="BW63" s="544"/>
      <c r="BX63" s="544"/>
      <c r="BY63" s="544"/>
      <c r="BZ63" s="544"/>
      <c r="CA63" s="544"/>
      <c r="CB63" s="544"/>
      <c r="CC63" s="544"/>
      <c r="CD63" s="544" t="s">
        <v>309</v>
      </c>
      <c r="CE63" s="544"/>
      <c r="CF63" s="544"/>
      <c r="CG63" s="544"/>
      <c r="CH63" s="544"/>
      <c r="CI63" s="544"/>
      <c r="CJ63" s="544"/>
      <c r="CK63" s="544"/>
      <c r="CL63" s="544"/>
      <c r="CM63" s="544"/>
      <c r="CN63" s="544" t="s">
        <v>309</v>
      </c>
      <c r="CO63" s="544"/>
      <c r="CP63" s="544"/>
      <c r="CQ63" s="544"/>
    </row>
    <row r="64" spans="1:95" ht="15" customHeight="1">
      <c r="A64" s="196"/>
      <c r="G64" s="296"/>
      <c r="H64" s="204"/>
      <c r="I64" s="204"/>
      <c r="J64" s="204"/>
      <c r="K64" s="204"/>
      <c r="L64" s="1"/>
      <c r="V64" s="58"/>
      <c r="W64" s="58"/>
      <c r="X64" s="58"/>
      <c r="AK64" s="22"/>
      <c r="AL64" s="102"/>
      <c r="AM64" s="106"/>
      <c r="BM64" s="39"/>
      <c r="BN64" s="39"/>
      <c r="BO64" s="39"/>
      <c r="BP64" s="39"/>
      <c r="BQ64" s="39"/>
      <c r="BR64" s="24"/>
      <c r="BT64" s="545" t="s">
        <v>307</v>
      </c>
      <c r="BU64" s="546">
        <f t="shared" ref="BU64:CQ64" si="38">+BU44</f>
        <v>121795077.51367211</v>
      </c>
      <c r="BV64" s="546">
        <f t="shared" si="38"/>
        <v>101095.83285872213</v>
      </c>
      <c r="BW64" s="546">
        <f t="shared" si="38"/>
        <v>6467306.2191850003</v>
      </c>
      <c r="BX64" s="546">
        <f t="shared" si="38"/>
        <v>-677868.99228526279</v>
      </c>
      <c r="BY64" s="546">
        <f t="shared" si="38"/>
        <v>18322878.882137779</v>
      </c>
      <c r="BZ64" s="546">
        <f t="shared" si="38"/>
        <v>-126458.63907131553</v>
      </c>
      <c r="CA64" s="546">
        <f t="shared" si="38"/>
        <v>-282009.09997520002</v>
      </c>
      <c r="CB64" s="546">
        <f t="shared" si="38"/>
        <v>-337160</v>
      </c>
      <c r="CC64" s="546">
        <v>0</v>
      </c>
      <c r="CD64" s="545" t="s">
        <v>307</v>
      </c>
      <c r="CE64" s="546">
        <f t="shared" si="38"/>
        <v>-5241.0831849984943</v>
      </c>
      <c r="CF64" s="546">
        <f t="shared" si="38"/>
        <v>-19654.357348883124</v>
      </c>
      <c r="CG64" s="546">
        <f t="shared" si="38"/>
        <v>-98533.996367129002</v>
      </c>
      <c r="CH64" s="546">
        <f t="shared" si="38"/>
        <v>8821.3403943706653</v>
      </c>
      <c r="CI64" s="546">
        <f t="shared" si="38"/>
        <v>-130540.62143733332</v>
      </c>
      <c r="CJ64" s="546">
        <f t="shared" si="38"/>
        <v>-129457.08921255104</v>
      </c>
      <c r="CK64" s="546">
        <f t="shared" si="38"/>
        <v>23093178.395693198</v>
      </c>
      <c r="CL64" s="546">
        <f t="shared" si="38"/>
        <v>144888255.9093653</v>
      </c>
      <c r="CM64" s="546">
        <v>0</v>
      </c>
      <c r="CN64" s="545" t="s">
        <v>307</v>
      </c>
      <c r="CO64" s="546">
        <f t="shared" si="38"/>
        <v>121795077.51367211</v>
      </c>
      <c r="CP64" s="546">
        <f t="shared" si="38"/>
        <v>23093178.395693183</v>
      </c>
      <c r="CQ64" s="546">
        <f t="shared" si="38"/>
        <v>144888255.90936542</v>
      </c>
    </row>
    <row r="65" spans="1:95" ht="15" customHeight="1">
      <c r="A65" s="196"/>
      <c r="G65" s="296"/>
      <c r="H65" s="204"/>
      <c r="I65" s="204"/>
      <c r="J65" s="204"/>
      <c r="K65" s="204"/>
      <c r="L65" s="1"/>
      <c r="R65" s="321"/>
      <c r="S65" s="321"/>
      <c r="T65" s="321"/>
      <c r="V65" s="58"/>
      <c r="W65" s="58"/>
      <c r="X65" s="58"/>
      <c r="AK65" s="22"/>
      <c r="AL65" s="102"/>
      <c r="AM65" s="106"/>
      <c r="BM65" s="39"/>
      <c r="BN65" s="39"/>
      <c r="BO65" s="39"/>
      <c r="BP65" s="39"/>
      <c r="BQ65" s="39"/>
      <c r="BR65" s="24"/>
      <c r="BT65" s="547" t="s">
        <v>308</v>
      </c>
      <c r="BU65" s="548">
        <f t="shared" ref="BU65:CQ65" si="39">+BU46</f>
        <v>1716428935.0948741</v>
      </c>
      <c r="BV65" s="548">
        <f t="shared" si="39"/>
        <v>0</v>
      </c>
      <c r="BW65" s="548">
        <f t="shared" si="39"/>
        <v>0</v>
      </c>
      <c r="BX65" s="548">
        <f t="shared" si="39"/>
        <v>0</v>
      </c>
      <c r="BY65" s="548">
        <f t="shared" si="39"/>
        <v>0</v>
      </c>
      <c r="BZ65" s="548">
        <f t="shared" si="39"/>
        <v>0</v>
      </c>
      <c r="CA65" s="548">
        <f t="shared" si="39"/>
        <v>0</v>
      </c>
      <c r="CB65" s="548">
        <f t="shared" si="39"/>
        <v>0</v>
      </c>
      <c r="CC65" s="548">
        <v>0</v>
      </c>
      <c r="CD65" s="547" t="s">
        <v>308</v>
      </c>
      <c r="CE65" s="548">
        <f t="shared" si="39"/>
        <v>0</v>
      </c>
      <c r="CF65" s="548">
        <f t="shared" si="39"/>
        <v>0</v>
      </c>
      <c r="CG65" s="548">
        <f t="shared" si="39"/>
        <v>0</v>
      </c>
      <c r="CH65" s="548">
        <f t="shared" si="39"/>
        <v>0</v>
      </c>
      <c r="CI65" s="548">
        <f t="shared" si="39"/>
        <v>0</v>
      </c>
      <c r="CJ65" s="548">
        <f t="shared" si="39"/>
        <v>0</v>
      </c>
      <c r="CK65" s="548">
        <f t="shared" si="39"/>
        <v>0</v>
      </c>
      <c r="CL65" s="548">
        <f t="shared" si="39"/>
        <v>1716428935.0948741</v>
      </c>
      <c r="CM65" s="548">
        <v>0</v>
      </c>
      <c r="CN65" s="547" t="s">
        <v>308</v>
      </c>
      <c r="CO65" s="548">
        <f t="shared" si="39"/>
        <v>1716428935.0948741</v>
      </c>
      <c r="CP65" s="548">
        <f t="shared" si="39"/>
        <v>0</v>
      </c>
      <c r="CQ65" s="548">
        <f t="shared" si="39"/>
        <v>1716428935.0948741</v>
      </c>
    </row>
    <row r="66" spans="1:95" ht="15" customHeight="1">
      <c r="A66" s="196"/>
      <c r="G66" s="296"/>
      <c r="H66" s="204"/>
      <c r="I66" s="204"/>
      <c r="J66" s="204"/>
      <c r="K66" s="204"/>
      <c r="L66" s="1"/>
      <c r="V66" s="58"/>
      <c r="W66" s="58"/>
      <c r="X66" s="58"/>
      <c r="AK66" s="22"/>
      <c r="AL66" s="102"/>
      <c r="AM66" s="106"/>
      <c r="BM66" s="39"/>
      <c r="BN66" s="39"/>
      <c r="BO66" s="39"/>
      <c r="BP66" s="39"/>
      <c r="BQ66" s="39"/>
      <c r="BR66" s="21"/>
      <c r="BT66" s="544" t="s">
        <v>310</v>
      </c>
      <c r="BU66" s="544"/>
      <c r="BV66" s="544"/>
      <c r="BW66" s="544"/>
      <c r="BX66" s="544"/>
      <c r="BY66" s="544"/>
      <c r="BZ66" s="544"/>
      <c r="CA66" s="544"/>
      <c r="CB66" s="544"/>
      <c r="CC66" s="544"/>
      <c r="CD66" s="544" t="s">
        <v>310</v>
      </c>
      <c r="CE66" s="544"/>
      <c r="CF66" s="544"/>
      <c r="CG66" s="544"/>
      <c r="CH66" s="544"/>
      <c r="CI66" s="544"/>
      <c r="CJ66" s="544"/>
      <c r="CK66" s="544"/>
      <c r="CL66" s="544"/>
      <c r="CM66" s="544"/>
      <c r="CN66" s="544" t="s">
        <v>310</v>
      </c>
      <c r="CO66" s="544"/>
      <c r="CP66" s="544"/>
      <c r="CQ66" s="544"/>
    </row>
    <row r="67" spans="1:95" ht="15" customHeight="1">
      <c r="A67" s="196"/>
      <c r="G67" s="296"/>
      <c r="H67" s="204"/>
      <c r="I67" s="204"/>
      <c r="J67" s="204"/>
      <c r="K67" s="204"/>
      <c r="L67" s="1"/>
      <c r="V67" s="58"/>
      <c r="W67" s="58"/>
      <c r="X67" s="58"/>
      <c r="AK67" s="22"/>
      <c r="AL67" s="102"/>
      <c r="AM67" s="106"/>
      <c r="BM67" s="39"/>
      <c r="BN67" s="39"/>
      <c r="BO67" s="39"/>
      <c r="BP67" s="39"/>
      <c r="BQ67" s="39"/>
      <c r="BR67" s="24"/>
      <c r="BT67" s="549" t="s">
        <v>311</v>
      </c>
      <c r="BU67" s="550">
        <f t="shared" ref="BU67:CJ68" si="40">BU64-BU61</f>
        <v>0</v>
      </c>
      <c r="BV67" s="550">
        <f t="shared" si="40"/>
        <v>0</v>
      </c>
      <c r="BW67" s="550">
        <f t="shared" si="40"/>
        <v>0</v>
      </c>
      <c r="BX67" s="550">
        <f t="shared" si="40"/>
        <v>0</v>
      </c>
      <c r="BY67" s="550">
        <f t="shared" si="40"/>
        <v>0</v>
      </c>
      <c r="BZ67" s="550">
        <f t="shared" si="40"/>
        <v>0</v>
      </c>
      <c r="CA67" s="550">
        <f t="shared" si="40"/>
        <v>0</v>
      </c>
      <c r="CB67" s="550">
        <f t="shared" si="40"/>
        <v>0</v>
      </c>
      <c r="CC67" s="550">
        <v>0</v>
      </c>
      <c r="CD67" s="549" t="s">
        <v>311</v>
      </c>
      <c r="CE67" s="550">
        <f t="shared" si="40"/>
        <v>0</v>
      </c>
      <c r="CF67" s="550">
        <f t="shared" si="40"/>
        <v>0</v>
      </c>
      <c r="CG67" s="550">
        <f t="shared" si="40"/>
        <v>0</v>
      </c>
      <c r="CH67" s="550">
        <f t="shared" si="40"/>
        <v>0</v>
      </c>
      <c r="CI67" s="550">
        <f t="shared" si="40"/>
        <v>0</v>
      </c>
      <c r="CJ67" s="550">
        <f t="shared" si="40"/>
        <v>0</v>
      </c>
      <c r="CK67" s="550">
        <f t="shared" ref="BV67:CQ68" si="41">CK64-CK61</f>
        <v>0</v>
      </c>
      <c r="CL67" s="550">
        <f t="shared" si="41"/>
        <v>0</v>
      </c>
      <c r="CM67" s="550">
        <v>0</v>
      </c>
      <c r="CN67" s="549" t="s">
        <v>311</v>
      </c>
      <c r="CO67" s="550">
        <f t="shared" si="41"/>
        <v>0</v>
      </c>
      <c r="CP67" s="550">
        <f t="shared" si="41"/>
        <v>0</v>
      </c>
      <c r="CQ67" s="550">
        <f t="shared" si="41"/>
        <v>0</v>
      </c>
    </row>
    <row r="68" spans="1:95" ht="15" customHeight="1">
      <c r="A68" s="196"/>
      <c r="G68" s="296"/>
      <c r="H68" s="204"/>
      <c r="I68" s="204"/>
      <c r="J68" s="204"/>
      <c r="K68" s="204"/>
      <c r="L68" s="1"/>
      <c r="U68" s="321"/>
      <c r="V68" s="321"/>
      <c r="W68" s="321"/>
      <c r="X68" s="58"/>
      <c r="AK68" s="22"/>
      <c r="AL68" s="102"/>
      <c r="AM68" s="106"/>
      <c r="BM68" s="39"/>
      <c r="BN68" s="39"/>
      <c r="BO68" s="39"/>
      <c r="BP68" s="39"/>
      <c r="BQ68" s="39"/>
      <c r="BR68" s="24"/>
      <c r="BT68" s="551" t="s">
        <v>312</v>
      </c>
      <c r="BU68" s="552">
        <f t="shared" si="40"/>
        <v>0</v>
      </c>
      <c r="BV68" s="552">
        <f t="shared" si="41"/>
        <v>0</v>
      </c>
      <c r="BW68" s="552">
        <f t="shared" si="41"/>
        <v>0</v>
      </c>
      <c r="BX68" s="552">
        <f t="shared" si="41"/>
        <v>0</v>
      </c>
      <c r="BY68" s="552">
        <f t="shared" si="41"/>
        <v>0</v>
      </c>
      <c r="BZ68" s="552">
        <f t="shared" si="41"/>
        <v>0</v>
      </c>
      <c r="CA68" s="552">
        <f t="shared" si="41"/>
        <v>0</v>
      </c>
      <c r="CB68" s="552">
        <f t="shared" si="41"/>
        <v>0</v>
      </c>
      <c r="CC68" s="552">
        <v>0</v>
      </c>
      <c r="CD68" s="551" t="s">
        <v>312</v>
      </c>
      <c r="CE68" s="552">
        <f t="shared" si="41"/>
        <v>0</v>
      </c>
      <c r="CF68" s="552">
        <f t="shared" si="41"/>
        <v>0</v>
      </c>
      <c r="CG68" s="552">
        <f t="shared" si="41"/>
        <v>0</v>
      </c>
      <c r="CH68" s="552">
        <f t="shared" si="41"/>
        <v>0</v>
      </c>
      <c r="CI68" s="552">
        <f t="shared" si="41"/>
        <v>0</v>
      </c>
      <c r="CJ68" s="552">
        <f t="shared" si="41"/>
        <v>0</v>
      </c>
      <c r="CK68" s="552">
        <f t="shared" si="41"/>
        <v>0</v>
      </c>
      <c r="CL68" s="552">
        <f t="shared" si="41"/>
        <v>0</v>
      </c>
      <c r="CM68" s="552">
        <v>0</v>
      </c>
      <c r="CN68" s="551" t="s">
        <v>312</v>
      </c>
      <c r="CO68" s="552">
        <f t="shared" si="41"/>
        <v>0</v>
      </c>
      <c r="CP68" s="552">
        <f t="shared" si="41"/>
        <v>0</v>
      </c>
      <c r="CQ68" s="552">
        <f t="shared" si="41"/>
        <v>0</v>
      </c>
    </row>
    <row r="69" spans="1:95" ht="15" customHeight="1">
      <c r="A69" s="196"/>
      <c r="G69" s="296"/>
      <c r="H69" s="204"/>
      <c r="I69" s="204"/>
      <c r="J69" s="204"/>
      <c r="K69" s="204"/>
      <c r="L69" s="1"/>
      <c r="AK69" s="22"/>
      <c r="AL69" s="102"/>
      <c r="AM69" s="106"/>
      <c r="AO69" s="165"/>
      <c r="BM69" s="39"/>
      <c r="BN69" s="39"/>
      <c r="BO69" s="39"/>
      <c r="BP69" s="39"/>
      <c r="BQ69" s="39"/>
      <c r="BR69" s="76"/>
    </row>
    <row r="70" spans="1:95" ht="15" customHeight="1">
      <c r="A70" s="196"/>
      <c r="G70" s="296"/>
      <c r="H70" s="321"/>
      <c r="I70" s="321"/>
      <c r="J70" s="321"/>
      <c r="K70" s="321"/>
      <c r="L70" s="1"/>
      <c r="AK70" s="22"/>
      <c r="AL70" s="102"/>
      <c r="AM70" s="106"/>
      <c r="BM70" s="39"/>
      <c r="BN70" s="39"/>
      <c r="BO70" s="39"/>
      <c r="BP70" s="39"/>
      <c r="BQ70" s="39"/>
      <c r="BR70" s="139" t="s">
        <v>20</v>
      </c>
      <c r="BU70" s="27"/>
    </row>
    <row r="71" spans="1:95" ht="15" customHeight="1">
      <c r="A71" s="196"/>
      <c r="G71" s="296"/>
      <c r="H71" s="204"/>
      <c r="I71" s="204"/>
      <c r="J71" s="204"/>
      <c r="K71" s="204"/>
      <c r="L71" s="1"/>
      <c r="M71" s="196"/>
      <c r="AK71" s="22"/>
      <c r="AL71" s="102"/>
      <c r="AM71" s="106"/>
      <c r="BM71" s="39"/>
      <c r="BN71" s="39"/>
      <c r="BO71" s="39"/>
      <c r="BP71" s="39"/>
      <c r="BQ71" s="39"/>
      <c r="BR71" s="140" t="s">
        <v>20</v>
      </c>
      <c r="BS71" s="17"/>
    </row>
    <row r="72" spans="1:95" ht="15" customHeight="1">
      <c r="A72" s="196"/>
      <c r="G72" s="296"/>
      <c r="H72" s="204"/>
      <c r="I72" s="204"/>
      <c r="J72" s="204"/>
      <c r="K72" s="204"/>
      <c r="BM72" s="39"/>
      <c r="BN72" s="39"/>
      <c r="BO72" s="39"/>
      <c r="BP72" s="39"/>
      <c r="BQ72" s="39"/>
      <c r="BR72" s="77"/>
      <c r="BS72" s="17"/>
    </row>
    <row r="73" spans="1:95" ht="15" customHeight="1">
      <c r="A73" s="196"/>
      <c r="G73" s="296"/>
      <c r="H73" s="204"/>
      <c r="I73" s="204"/>
      <c r="J73" s="204"/>
      <c r="K73" s="204"/>
      <c r="BM73" s="39"/>
      <c r="BN73" s="39"/>
      <c r="BO73" s="39"/>
      <c r="BP73" s="39"/>
      <c r="BQ73" s="39"/>
      <c r="BR73" s="62"/>
      <c r="BS73" s="3"/>
    </row>
    <row r="74" spans="1:95" ht="15" customHeight="1">
      <c r="A74" s="196"/>
      <c r="G74" s="296"/>
      <c r="H74" s="204"/>
      <c r="I74" s="204"/>
      <c r="J74" s="204"/>
      <c r="K74" s="204"/>
      <c r="BM74" s="39"/>
      <c r="BN74" s="39"/>
      <c r="BO74" s="39"/>
      <c r="BP74" s="39"/>
      <c r="BQ74" s="39"/>
      <c r="BR74" s="78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</row>
    <row r="75" spans="1:95" ht="15" customHeight="1">
      <c r="A75" s="196"/>
      <c r="G75" s="204"/>
      <c r="H75" s="204"/>
      <c r="I75" s="204"/>
      <c r="J75" s="204"/>
      <c r="K75" s="204"/>
      <c r="BM75" s="39"/>
      <c r="BN75" s="39"/>
      <c r="BO75" s="39"/>
      <c r="BP75" s="39"/>
      <c r="BQ75" s="39"/>
      <c r="BR75" s="62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3"/>
    </row>
    <row r="76" spans="1:95" ht="15" customHeight="1">
      <c r="A76" s="196"/>
      <c r="G76" s="204"/>
      <c r="H76" s="204"/>
      <c r="I76" s="204"/>
      <c r="J76" s="204"/>
      <c r="K76" s="204"/>
      <c r="BM76" s="39"/>
      <c r="BN76" s="39"/>
      <c r="BO76" s="39"/>
      <c r="BP76" s="39"/>
      <c r="BQ76" s="39"/>
      <c r="BR76" s="6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17"/>
    </row>
    <row r="77" spans="1:95" ht="15" customHeight="1">
      <c r="A77" s="196"/>
      <c r="G77" s="321"/>
      <c r="H77" s="204"/>
      <c r="I77" s="204"/>
      <c r="J77" s="204"/>
      <c r="K77" s="204"/>
      <c r="BM77" s="39"/>
      <c r="BN77" s="39"/>
      <c r="BO77" s="39"/>
      <c r="BP77" s="39"/>
      <c r="BQ77" s="39"/>
      <c r="BR77" s="79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</row>
    <row r="78" spans="1:95" ht="15" customHeight="1">
      <c r="A78" s="196"/>
      <c r="G78" s="204"/>
      <c r="H78" s="204"/>
      <c r="I78" s="204"/>
      <c r="J78" s="204"/>
      <c r="K78" s="204"/>
      <c r="Y78" s="18"/>
      <c r="Z78" s="18"/>
      <c r="AA78" s="18"/>
      <c r="AB78" s="18"/>
      <c r="AC78" s="18"/>
      <c r="BM78" s="39"/>
      <c r="BN78" s="39"/>
      <c r="BO78" s="39"/>
      <c r="BP78" s="39"/>
      <c r="BQ78" s="39"/>
      <c r="BR78" s="78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</row>
    <row r="79" spans="1:95" ht="15" customHeight="1">
      <c r="G79" s="204"/>
      <c r="H79" s="204"/>
      <c r="I79" s="204"/>
      <c r="J79" s="204"/>
      <c r="K79" s="204"/>
      <c r="BM79" s="17"/>
      <c r="BQ79" s="137" t="s">
        <v>20</v>
      </c>
      <c r="BR79" s="65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</row>
    <row r="80" spans="1:95" ht="15" customHeight="1">
      <c r="G80" s="204"/>
      <c r="H80" s="204"/>
      <c r="I80" s="204"/>
      <c r="J80" s="204"/>
      <c r="K80" s="204"/>
      <c r="BM80" s="17"/>
      <c r="BQ80" s="141"/>
      <c r="BR80" s="80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</row>
    <row r="81" spans="7:95" ht="15" customHeight="1">
      <c r="G81" s="204"/>
      <c r="H81" s="204"/>
      <c r="I81" s="204"/>
      <c r="J81" s="204"/>
      <c r="K81" s="204"/>
      <c r="BM81" s="60"/>
      <c r="BQ81" s="62"/>
      <c r="BR81" s="80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</row>
    <row r="82" spans="7:95" ht="15" customHeight="1">
      <c r="G82" s="204"/>
      <c r="H82" s="204"/>
      <c r="I82" s="204"/>
      <c r="J82" s="204"/>
      <c r="K82" s="204"/>
      <c r="BM82" s="17"/>
      <c r="BP82" s="107"/>
      <c r="BQ82" s="141"/>
      <c r="BR82" s="80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</row>
    <row r="83" spans="7:95" ht="15" customHeight="1">
      <c r="G83" s="204"/>
      <c r="H83" s="204"/>
      <c r="I83" s="204"/>
      <c r="J83" s="204"/>
      <c r="K83" s="204"/>
      <c r="BM83" s="17"/>
      <c r="BQ83" s="79"/>
      <c r="BR83" s="80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</row>
    <row r="84" spans="7:95" ht="15" customHeight="1">
      <c r="G84" s="204"/>
      <c r="H84" s="204"/>
      <c r="I84" s="204"/>
      <c r="J84" s="204"/>
      <c r="K84" s="204"/>
      <c r="U84" s="18"/>
      <c r="V84" s="18"/>
      <c r="W84" s="18"/>
      <c r="X84" s="18"/>
      <c r="BM84" s="17"/>
      <c r="BQ84" s="62"/>
      <c r="BR84" s="80"/>
      <c r="BS84" s="63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</row>
    <row r="85" spans="7:95" ht="15" customHeight="1">
      <c r="G85" s="204"/>
      <c r="H85" s="204"/>
      <c r="I85" s="204"/>
      <c r="J85" s="204"/>
      <c r="K85" s="204"/>
      <c r="BM85" s="17"/>
      <c r="BN85" s="39"/>
      <c r="BO85" s="39"/>
      <c r="BP85" s="39"/>
      <c r="BQ85" s="39"/>
      <c r="BR85" s="39"/>
      <c r="BS85" s="75"/>
      <c r="BT85" s="63"/>
      <c r="BU85" s="63"/>
      <c r="BV85" s="63"/>
      <c r="BW85" s="63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</row>
    <row r="86" spans="7:95" ht="15" customHeight="1">
      <c r="G86" s="204"/>
      <c r="H86" s="204"/>
      <c r="I86" s="204"/>
      <c r="J86" s="204"/>
      <c r="K86" s="204"/>
      <c r="Y86" s="50"/>
      <c r="Z86" s="50"/>
      <c r="AA86" s="50"/>
      <c r="AB86" s="50"/>
      <c r="AC86" s="50"/>
      <c r="BM86" s="17"/>
      <c r="BN86" s="39"/>
      <c r="BO86" s="39"/>
      <c r="BP86" s="39"/>
      <c r="BQ86" s="39"/>
      <c r="BR86" s="39"/>
      <c r="BT86" s="75"/>
      <c r="BU86" s="75"/>
      <c r="BV86" s="75"/>
      <c r="BW86" s="75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</row>
    <row r="87" spans="7:95" ht="15" customHeight="1">
      <c r="G87" s="204"/>
      <c r="H87" s="204"/>
      <c r="I87" s="204"/>
      <c r="J87" s="204"/>
      <c r="K87" s="204"/>
      <c r="Y87" s="50"/>
      <c r="Z87" s="50"/>
      <c r="AA87" s="50"/>
      <c r="AB87" s="50"/>
      <c r="AC87" s="50"/>
      <c r="BM87" s="17"/>
      <c r="BN87" s="39"/>
      <c r="BO87" s="39"/>
      <c r="BP87" s="39"/>
      <c r="BQ87" s="39"/>
      <c r="BR87" s="39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</row>
    <row r="88" spans="7:95" ht="15" customHeight="1">
      <c r="G88" s="204"/>
      <c r="H88" s="204"/>
      <c r="I88" s="204"/>
      <c r="J88" s="204"/>
      <c r="K88" s="204"/>
      <c r="Y88" s="50"/>
      <c r="Z88" s="50"/>
      <c r="AA88" s="50"/>
      <c r="AB88" s="50"/>
      <c r="AC88" s="50"/>
      <c r="BM88" s="17"/>
      <c r="BN88" s="39"/>
      <c r="BO88" s="39"/>
      <c r="BP88" s="39"/>
      <c r="BQ88" s="39"/>
      <c r="BR88" s="39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</row>
    <row r="89" spans="7:95" ht="15" customHeight="1">
      <c r="G89" s="204"/>
      <c r="H89" s="204"/>
      <c r="I89" s="204"/>
      <c r="J89" s="204"/>
      <c r="K89" s="204"/>
      <c r="Y89" s="50"/>
      <c r="Z89" s="50"/>
      <c r="AA89" s="50"/>
      <c r="AB89" s="50"/>
      <c r="AC89" s="50"/>
      <c r="BM89" s="17"/>
      <c r="BN89" s="39"/>
      <c r="BO89" s="39"/>
      <c r="BP89" s="39"/>
      <c r="BQ89" s="39"/>
      <c r="BR89" s="39"/>
      <c r="CE89" s="17"/>
      <c r="CK89" s="17"/>
      <c r="CL89" s="17"/>
    </row>
    <row r="90" spans="7:95" ht="15" customHeight="1">
      <c r="G90" s="204"/>
      <c r="H90" s="204"/>
      <c r="I90" s="204"/>
      <c r="J90" s="204"/>
      <c r="K90" s="204"/>
      <c r="Y90" s="50"/>
      <c r="Z90" s="50"/>
      <c r="AA90" s="50"/>
      <c r="AB90" s="50"/>
      <c r="AC90" s="50"/>
      <c r="BM90" s="17"/>
      <c r="BN90" s="39"/>
      <c r="BO90" s="39"/>
      <c r="BP90" s="39"/>
      <c r="BQ90" s="39"/>
      <c r="BR90" s="39"/>
      <c r="CE90" s="17"/>
      <c r="CK90" s="17"/>
      <c r="CL90" s="17"/>
    </row>
    <row r="91" spans="7:95" ht="15" customHeight="1">
      <c r="G91" s="204"/>
      <c r="H91" s="204"/>
      <c r="I91" s="204"/>
      <c r="J91" s="204"/>
      <c r="K91" s="204"/>
      <c r="Y91" s="50"/>
      <c r="Z91" s="50"/>
      <c r="AA91" s="50"/>
      <c r="AB91" s="50"/>
      <c r="AC91" s="50"/>
      <c r="BM91" s="17"/>
      <c r="BN91" s="39"/>
      <c r="BO91" s="39"/>
      <c r="BP91" s="39"/>
      <c r="BQ91" s="39"/>
      <c r="BR91" s="39"/>
      <c r="BS91" s="17"/>
      <c r="CC91" s="17"/>
      <c r="CD91" s="17"/>
      <c r="CE91" s="17"/>
      <c r="CK91" s="17"/>
      <c r="CL91" s="17"/>
    </row>
    <row r="92" spans="7:95" ht="15" customHeight="1">
      <c r="G92" s="204"/>
      <c r="H92" s="204"/>
      <c r="I92" s="204"/>
      <c r="J92" s="204"/>
      <c r="K92" s="204"/>
      <c r="U92" s="50"/>
      <c r="V92" s="50"/>
      <c r="W92" s="50"/>
      <c r="X92" s="50"/>
      <c r="Y92" s="50"/>
      <c r="Z92" s="50"/>
      <c r="AA92" s="50"/>
      <c r="AB92" s="50"/>
      <c r="AC92" s="50"/>
      <c r="BM92" s="17"/>
      <c r="BN92" s="39"/>
      <c r="BO92" s="39"/>
      <c r="BP92" s="39"/>
      <c r="BQ92" s="39"/>
      <c r="BR92" s="39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</row>
    <row r="93" spans="7:95" ht="15" customHeight="1">
      <c r="G93" s="204"/>
      <c r="H93" s="204"/>
      <c r="I93" s="204"/>
      <c r="J93" s="204"/>
      <c r="K93" s="204"/>
      <c r="U93" s="50"/>
      <c r="V93" s="50"/>
      <c r="W93" s="50"/>
      <c r="X93" s="50"/>
      <c r="Y93" s="50"/>
      <c r="Z93" s="50"/>
      <c r="AA93" s="50"/>
      <c r="AB93" s="50"/>
      <c r="AC93" s="50"/>
      <c r="AD93" s="17"/>
      <c r="BM93" s="17"/>
      <c r="BN93" s="39"/>
      <c r="BO93" s="39"/>
      <c r="BP93" s="39"/>
      <c r="BQ93" s="39"/>
      <c r="BR93" s="39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</row>
    <row r="94" spans="7:95" ht="15" customHeight="1">
      <c r="G94" s="204"/>
      <c r="H94" s="204"/>
      <c r="I94" s="204"/>
      <c r="J94" s="204"/>
      <c r="K94" s="204"/>
      <c r="Q94" s="1"/>
      <c r="U94" s="50"/>
      <c r="V94" s="50"/>
      <c r="W94" s="50"/>
      <c r="X94" s="50"/>
      <c r="Y94" s="50"/>
      <c r="Z94" s="50"/>
      <c r="AA94" s="50"/>
      <c r="AB94" s="50"/>
      <c r="AC94" s="50"/>
      <c r="AD94" s="17"/>
      <c r="BM94" s="17"/>
      <c r="BN94" s="17"/>
      <c r="BO94" s="132"/>
      <c r="BP94" s="131"/>
      <c r="BQ94" s="133"/>
      <c r="BR94" s="133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</row>
    <row r="95" spans="7:95" ht="15" customHeight="1">
      <c r="G95" s="204"/>
      <c r="H95" s="204"/>
      <c r="I95" s="204"/>
      <c r="J95" s="204"/>
      <c r="K95" s="204"/>
      <c r="Q95" s="1"/>
      <c r="U95" s="50"/>
      <c r="V95" s="50"/>
      <c r="W95" s="50"/>
      <c r="X95" s="50"/>
      <c r="Y95" s="50"/>
      <c r="Z95" s="50"/>
      <c r="AA95" s="50"/>
      <c r="AB95" s="50"/>
      <c r="AC95" s="50"/>
      <c r="AD95" s="17"/>
      <c r="BM95" s="17"/>
      <c r="BN95" s="17"/>
      <c r="BO95" s="132"/>
      <c r="BP95" s="131"/>
      <c r="BQ95" s="133"/>
      <c r="BR95" s="133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</row>
    <row r="96" spans="7:95" ht="15" customHeight="1">
      <c r="G96" s="204"/>
      <c r="H96" s="204"/>
      <c r="I96" s="204"/>
      <c r="J96" s="204"/>
      <c r="K96" s="204"/>
      <c r="Q96" s="1"/>
      <c r="R96" s="1"/>
      <c r="S96" s="1"/>
      <c r="T96" s="1"/>
      <c r="U96" s="50"/>
      <c r="V96" s="50"/>
      <c r="W96" s="50"/>
      <c r="X96" s="50"/>
      <c r="Y96" s="50"/>
      <c r="Z96" s="50"/>
      <c r="AA96" s="50"/>
      <c r="AB96" s="50"/>
      <c r="AC96" s="50"/>
      <c r="AD96" s="17"/>
      <c r="BM96" s="17"/>
      <c r="BN96" s="17"/>
      <c r="BO96" s="132"/>
      <c r="BP96" s="131"/>
      <c r="BQ96" s="133"/>
      <c r="BR96" s="133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</row>
    <row r="97" spans="7:95" ht="15" customHeight="1">
      <c r="G97" s="204"/>
      <c r="H97" s="204"/>
      <c r="I97" s="204"/>
      <c r="J97" s="204"/>
      <c r="K97" s="204"/>
      <c r="Q97" s="1"/>
      <c r="R97" s="1"/>
      <c r="S97" s="1"/>
      <c r="T97" s="1"/>
      <c r="U97" s="50"/>
      <c r="V97" s="50"/>
      <c r="W97" s="50"/>
      <c r="X97" s="50"/>
      <c r="Y97" s="50"/>
      <c r="Z97" s="50"/>
      <c r="AA97" s="50"/>
      <c r="AB97" s="50"/>
      <c r="AC97" s="50"/>
      <c r="AD97" s="17"/>
      <c r="BM97" s="17"/>
      <c r="BN97" s="17"/>
      <c r="BO97" s="132"/>
      <c r="BP97" s="131"/>
      <c r="BQ97" s="133"/>
      <c r="BR97" s="133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</row>
    <row r="98" spans="7:95" ht="15" customHeight="1">
      <c r="G98" s="204"/>
      <c r="H98" s="204"/>
      <c r="I98" s="204"/>
      <c r="J98" s="204"/>
      <c r="K98" s="204"/>
      <c r="Q98" s="1"/>
      <c r="R98" s="1"/>
      <c r="S98" s="1"/>
      <c r="T98" s="1"/>
      <c r="U98" s="50"/>
      <c r="V98" s="50"/>
      <c r="W98" s="50"/>
      <c r="X98" s="50"/>
      <c r="BO98" s="132"/>
      <c r="BP98" s="131"/>
      <c r="BQ98" s="133"/>
      <c r="BR98" s="133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</row>
    <row r="99" spans="7:95" ht="15" customHeight="1">
      <c r="G99" s="204"/>
      <c r="H99" s="204"/>
      <c r="I99" s="204"/>
      <c r="J99" s="204"/>
      <c r="K99" s="204"/>
      <c r="Q99" s="1"/>
      <c r="R99" s="1"/>
      <c r="S99" s="1"/>
      <c r="T99" s="1"/>
      <c r="U99" s="50"/>
      <c r="V99" s="50"/>
      <c r="W99" s="50"/>
      <c r="X99" s="50"/>
      <c r="BO99" s="132"/>
      <c r="BP99" s="131"/>
      <c r="BQ99" s="133"/>
      <c r="BR99" s="133"/>
    </row>
    <row r="100" spans="7:95" ht="15" customHeight="1">
      <c r="G100" s="204"/>
      <c r="H100" s="204"/>
      <c r="I100" s="204"/>
      <c r="J100" s="204"/>
      <c r="K100" s="204"/>
      <c r="Q100" s="1"/>
      <c r="R100" s="1"/>
      <c r="S100" s="1"/>
      <c r="T100" s="1"/>
      <c r="U100" s="50"/>
      <c r="V100" s="50"/>
      <c r="W100" s="50"/>
      <c r="X100" s="50"/>
      <c r="BO100" s="132"/>
      <c r="BP100" s="131"/>
      <c r="BQ100" s="133"/>
      <c r="BR100" s="133"/>
    </row>
    <row r="101" spans="7:95" ht="15" customHeight="1">
      <c r="G101" s="204"/>
      <c r="H101" s="204"/>
      <c r="I101" s="204"/>
      <c r="J101" s="204"/>
      <c r="K101" s="204"/>
      <c r="Q101" s="1"/>
      <c r="R101" s="1"/>
      <c r="S101" s="1"/>
      <c r="T101" s="1"/>
      <c r="U101" s="50"/>
      <c r="V101" s="50"/>
      <c r="W101" s="50"/>
      <c r="X101" s="50"/>
      <c r="BO101" s="132"/>
      <c r="BP101" s="131"/>
      <c r="BQ101" s="133"/>
      <c r="BR101" s="133"/>
    </row>
    <row r="102" spans="7:95" ht="15" customHeight="1">
      <c r="G102" s="204"/>
      <c r="H102" s="204"/>
      <c r="I102" s="204"/>
      <c r="J102" s="204"/>
      <c r="K102" s="204"/>
      <c r="Q102" s="1"/>
      <c r="R102" s="1"/>
      <c r="S102" s="1"/>
      <c r="T102" s="1"/>
      <c r="U102" s="50"/>
      <c r="V102" s="50"/>
      <c r="W102" s="50"/>
      <c r="X102" s="50"/>
      <c r="BO102" s="132"/>
      <c r="BP102" s="131"/>
      <c r="BQ102" s="133"/>
      <c r="BR102" s="133"/>
    </row>
    <row r="103" spans="7:95" ht="15" customHeight="1">
      <c r="G103" s="204"/>
      <c r="H103" s="204"/>
      <c r="I103" s="204"/>
      <c r="J103" s="204"/>
      <c r="K103" s="204"/>
      <c r="Q103" s="1"/>
      <c r="R103" s="1"/>
      <c r="S103" s="1"/>
      <c r="T103" s="1"/>
      <c r="U103" s="50"/>
      <c r="V103" s="50"/>
      <c r="W103" s="50"/>
      <c r="X103" s="50"/>
      <c r="BO103" s="132"/>
      <c r="BP103" s="131"/>
      <c r="BQ103" s="133"/>
      <c r="BR103" s="133"/>
    </row>
    <row r="104" spans="7:95" ht="15" customHeight="1">
      <c r="G104" s="204"/>
      <c r="H104" s="204"/>
      <c r="I104" s="204"/>
      <c r="J104" s="204"/>
      <c r="K104" s="204"/>
      <c r="Q104" s="1"/>
      <c r="R104" s="1"/>
      <c r="S104" s="1"/>
      <c r="T104" s="1"/>
      <c r="BO104" s="132"/>
      <c r="BP104" s="131"/>
      <c r="BQ104" s="133"/>
      <c r="BR104" s="133"/>
    </row>
    <row r="105" spans="7:95" ht="15" customHeight="1">
      <c r="G105" s="204"/>
      <c r="H105" s="204"/>
      <c r="I105" s="204"/>
      <c r="J105" s="204"/>
      <c r="K105" s="204"/>
      <c r="Q105" s="1"/>
      <c r="R105" s="1"/>
      <c r="S105" s="1"/>
      <c r="T105" s="1"/>
      <c r="BO105" s="132"/>
      <c r="BP105" s="131"/>
      <c r="BQ105" s="133"/>
      <c r="BR105" s="133"/>
    </row>
    <row r="106" spans="7:95" ht="15" customHeight="1">
      <c r="G106" s="204"/>
      <c r="H106" s="204"/>
      <c r="I106" s="204"/>
      <c r="J106" s="204"/>
      <c r="K106" s="204"/>
      <c r="Q106" s="1"/>
      <c r="R106" s="1"/>
      <c r="S106" s="1"/>
      <c r="T106" s="1"/>
      <c r="BO106" s="132"/>
      <c r="BP106" s="131"/>
      <c r="BQ106" s="133"/>
      <c r="BR106" s="133"/>
    </row>
    <row r="107" spans="7:95" ht="15" customHeight="1">
      <c r="G107" s="204"/>
      <c r="H107" s="204"/>
      <c r="I107" s="204"/>
      <c r="J107" s="204"/>
      <c r="K107" s="204"/>
      <c r="Q107" s="1"/>
      <c r="R107" s="1"/>
      <c r="S107" s="1"/>
      <c r="T107" s="1"/>
      <c r="BO107" s="132"/>
      <c r="BP107" s="131"/>
      <c r="BQ107" s="133"/>
      <c r="BR107" s="133"/>
    </row>
    <row r="108" spans="7:95" ht="15" customHeight="1">
      <c r="G108" s="204"/>
      <c r="H108" s="204"/>
      <c r="I108" s="204"/>
      <c r="J108" s="204"/>
      <c r="K108" s="204"/>
      <c r="Q108" s="108"/>
      <c r="R108" s="1"/>
      <c r="S108" s="1"/>
      <c r="T108" s="1"/>
      <c r="BO108" s="132"/>
      <c r="BP108" s="131"/>
      <c r="BQ108" s="133"/>
      <c r="BR108" s="133"/>
    </row>
    <row r="109" spans="7:95" ht="12.75" customHeight="1">
      <c r="G109" s="204"/>
      <c r="H109" s="204"/>
      <c r="I109" s="204"/>
      <c r="J109" s="204"/>
      <c r="K109" s="204"/>
      <c r="Q109" s="108"/>
      <c r="R109" s="1"/>
      <c r="S109" s="1"/>
      <c r="T109" s="1"/>
      <c r="BO109" s="132"/>
      <c r="BP109" s="131"/>
      <c r="BQ109" s="133"/>
      <c r="BR109" s="133"/>
    </row>
    <row r="110" spans="7:95" ht="12.75" customHeight="1">
      <c r="G110" s="204"/>
      <c r="H110" s="204"/>
      <c r="I110" s="204"/>
      <c r="J110" s="204"/>
      <c r="K110" s="204"/>
      <c r="Q110" s="108"/>
      <c r="R110" s="1"/>
      <c r="S110" s="1"/>
      <c r="T110" s="1"/>
      <c r="BO110" s="132"/>
      <c r="BP110" s="131"/>
      <c r="BQ110" s="133"/>
      <c r="BR110" s="133"/>
    </row>
    <row r="111" spans="7:95" ht="12.75" customHeight="1">
      <c r="G111" s="204"/>
      <c r="H111" s="204"/>
      <c r="I111" s="204"/>
      <c r="J111" s="204"/>
      <c r="K111" s="204"/>
      <c r="Q111" s="1"/>
      <c r="R111" s="1"/>
      <c r="S111" s="1"/>
      <c r="T111" s="1"/>
      <c r="BO111" s="132"/>
      <c r="BP111" s="131"/>
      <c r="BQ111" s="133"/>
      <c r="BR111" s="133"/>
    </row>
    <row r="112" spans="7:95" ht="12.75" customHeight="1">
      <c r="G112" s="204"/>
      <c r="H112" s="204"/>
      <c r="I112" s="204"/>
      <c r="J112" s="204"/>
      <c r="K112" s="204"/>
      <c r="Q112" s="1"/>
      <c r="R112" s="1"/>
      <c r="S112" s="1"/>
      <c r="T112" s="1"/>
    </row>
    <row r="113" spans="7:75" ht="12.75" customHeight="1">
      <c r="G113" s="204"/>
      <c r="H113" s="204"/>
      <c r="I113" s="204"/>
      <c r="J113" s="204"/>
      <c r="K113" s="204"/>
      <c r="Q113" s="1"/>
      <c r="R113" s="1"/>
      <c r="S113" s="1"/>
      <c r="T113" s="1"/>
    </row>
    <row r="114" spans="7:75" ht="12.75" customHeight="1">
      <c r="G114" s="204"/>
      <c r="H114" s="204"/>
      <c r="I114" s="204"/>
      <c r="J114" s="204"/>
      <c r="K114" s="204"/>
      <c r="Q114" s="1"/>
      <c r="R114" s="1"/>
      <c r="S114" s="1"/>
      <c r="T114" s="1"/>
    </row>
    <row r="115" spans="7:75" ht="12.75" customHeight="1">
      <c r="G115" s="204"/>
      <c r="H115" s="204"/>
      <c r="I115" s="204"/>
      <c r="J115" s="204"/>
      <c r="K115" s="204"/>
      <c r="Q115" s="1"/>
      <c r="R115" s="1"/>
      <c r="S115" s="1"/>
      <c r="T115" s="1"/>
    </row>
    <row r="116" spans="7:75" ht="12.75" customHeight="1">
      <c r="G116" s="204"/>
      <c r="H116" s="204"/>
      <c r="I116" s="204"/>
      <c r="J116" s="204"/>
      <c r="K116" s="204"/>
      <c r="Q116" s="1"/>
      <c r="R116" s="1"/>
      <c r="S116" s="1"/>
      <c r="T116" s="1"/>
    </row>
    <row r="117" spans="7:75" ht="12.75" customHeight="1">
      <c r="G117" s="204"/>
      <c r="H117" s="204"/>
      <c r="I117" s="204"/>
      <c r="J117" s="204"/>
      <c r="K117" s="204"/>
      <c r="Q117" s="1"/>
      <c r="R117" s="1"/>
      <c r="S117" s="1"/>
      <c r="T117" s="1"/>
      <c r="BM117" s="63"/>
      <c r="BN117" s="63"/>
      <c r="BO117" s="63"/>
      <c r="BP117" s="63"/>
      <c r="BQ117" s="63"/>
      <c r="BR117" s="63"/>
      <c r="BS117" s="63"/>
    </row>
    <row r="118" spans="7:75" ht="12.75" customHeight="1">
      <c r="G118" s="204"/>
      <c r="H118" s="204"/>
      <c r="I118" s="204"/>
      <c r="J118" s="204"/>
      <c r="K118" s="204"/>
      <c r="Q118" s="1"/>
      <c r="R118" s="1"/>
      <c r="S118" s="1"/>
      <c r="T118" s="1"/>
      <c r="BM118" s="75"/>
      <c r="BN118" s="53"/>
      <c r="BO118" s="136"/>
      <c r="BP118" s="136"/>
      <c r="BQ118" s="136"/>
      <c r="BR118" s="136"/>
      <c r="BS118" s="136"/>
      <c r="BT118" s="63"/>
      <c r="BU118" s="63"/>
      <c r="BV118" s="63"/>
      <c r="BW118" s="63"/>
    </row>
    <row r="119" spans="7:75" ht="12.75" customHeight="1">
      <c r="G119" s="204"/>
      <c r="H119" s="1"/>
      <c r="I119" s="1"/>
      <c r="J119" s="1"/>
      <c r="K119" s="29"/>
      <c r="Q119" s="1"/>
      <c r="R119" s="1"/>
      <c r="S119" s="1"/>
      <c r="T119" s="1"/>
      <c r="BN119" s="12"/>
      <c r="BT119" s="136"/>
    </row>
    <row r="120" spans="7:75" ht="12.75" customHeight="1">
      <c r="G120" s="204"/>
      <c r="H120" s="1"/>
      <c r="I120" s="1"/>
      <c r="J120" s="1"/>
      <c r="K120" s="1"/>
      <c r="Q120" s="1"/>
      <c r="R120" s="1"/>
      <c r="S120" s="1"/>
      <c r="T120" s="1"/>
      <c r="BN120" s="12"/>
    </row>
    <row r="121" spans="7:75" ht="12.75" customHeight="1">
      <c r="G121" s="204"/>
      <c r="H121" s="1"/>
      <c r="I121" s="1"/>
      <c r="J121" s="1"/>
      <c r="K121" s="1"/>
      <c r="Q121" s="1"/>
      <c r="R121" s="1"/>
      <c r="S121" s="1"/>
      <c r="T121" s="1"/>
      <c r="BN121" s="12"/>
      <c r="BW121" s="18"/>
    </row>
    <row r="122" spans="7:75" ht="12.75" customHeight="1">
      <c r="G122" s="204"/>
      <c r="H122" s="1"/>
      <c r="I122" s="1"/>
      <c r="J122" s="1"/>
      <c r="K122" s="1"/>
      <c r="Q122" s="1"/>
      <c r="R122" s="1"/>
      <c r="S122" s="1"/>
      <c r="T122" s="1"/>
      <c r="BN122" s="12"/>
    </row>
    <row r="123" spans="7:75" ht="12.75" customHeight="1">
      <c r="G123" s="204"/>
      <c r="H123" s="1"/>
      <c r="I123" s="1"/>
      <c r="J123" s="1"/>
      <c r="K123" s="1"/>
      <c r="Q123" s="1"/>
      <c r="R123" s="1"/>
      <c r="S123" s="1"/>
      <c r="T123" s="1"/>
      <c r="BN123" s="12"/>
    </row>
    <row r="124" spans="7:75" ht="12.75" customHeight="1">
      <c r="G124" s="204"/>
      <c r="H124" s="1"/>
      <c r="I124" s="1"/>
      <c r="J124" s="1"/>
      <c r="K124" s="1"/>
      <c r="Q124" s="1"/>
      <c r="R124" s="1"/>
      <c r="S124" s="1"/>
      <c r="T124" s="1"/>
      <c r="BN124" s="12"/>
    </row>
    <row r="125" spans="7:75" ht="12.75" customHeight="1">
      <c r="G125" s="204"/>
      <c r="H125" s="1"/>
      <c r="I125" s="1"/>
      <c r="J125" s="1"/>
      <c r="K125" s="1"/>
      <c r="Q125" s="1"/>
      <c r="R125" s="1"/>
      <c r="S125" s="1"/>
      <c r="T125" s="1"/>
    </row>
    <row r="126" spans="7:75" ht="12.75" customHeight="1">
      <c r="G126" s="1"/>
      <c r="H126" s="1"/>
      <c r="I126" s="1"/>
      <c r="J126" s="1"/>
      <c r="K126" s="1"/>
      <c r="Q126" s="1"/>
      <c r="R126" s="1"/>
      <c r="S126" s="1"/>
      <c r="T126" s="1"/>
    </row>
    <row r="127" spans="7:75" ht="12.75" customHeight="1">
      <c r="G127" s="1"/>
      <c r="H127" s="1"/>
      <c r="I127" s="1"/>
      <c r="J127" s="1"/>
      <c r="K127" s="1"/>
      <c r="Q127" s="1"/>
      <c r="R127" s="1"/>
      <c r="S127" s="1"/>
      <c r="T127" s="1"/>
    </row>
    <row r="128" spans="7:75" ht="12.75" customHeight="1">
      <c r="G128" s="1"/>
      <c r="H128" s="1"/>
      <c r="I128" s="1"/>
      <c r="J128" s="1"/>
      <c r="K128" s="1"/>
      <c r="Q128" s="1"/>
      <c r="R128" s="1"/>
      <c r="S128" s="1"/>
      <c r="T128" s="1"/>
    </row>
    <row r="129" spans="7:20" ht="12.75" customHeight="1">
      <c r="G129" s="1"/>
      <c r="H129" s="1"/>
      <c r="I129" s="1"/>
      <c r="J129" s="1"/>
      <c r="K129" s="1"/>
      <c r="Q129" s="1"/>
      <c r="R129" s="1"/>
      <c r="S129" s="1"/>
      <c r="T129" s="1"/>
    </row>
    <row r="130" spans="7:20" ht="12.75" customHeight="1">
      <c r="H130" s="1"/>
      <c r="I130" s="1"/>
      <c r="J130" s="1"/>
      <c r="K130" s="1"/>
      <c r="Q130" s="1"/>
      <c r="R130" s="1"/>
      <c r="S130" s="1"/>
      <c r="T130" s="1"/>
    </row>
    <row r="131" spans="7:20" ht="12.75" customHeight="1">
      <c r="H131" s="1"/>
      <c r="I131" s="1"/>
      <c r="J131" s="1"/>
      <c r="K131" s="1"/>
      <c r="Q131" s="1"/>
      <c r="R131" s="1"/>
      <c r="S131" s="1"/>
      <c r="T131" s="1"/>
    </row>
    <row r="132" spans="7:20" ht="12.75" customHeight="1">
      <c r="H132" s="1"/>
      <c r="I132" s="1"/>
      <c r="J132" s="1"/>
      <c r="K132" s="1"/>
      <c r="Q132" s="1"/>
      <c r="R132" s="1"/>
      <c r="S132" s="1"/>
      <c r="T132" s="1"/>
    </row>
    <row r="133" spans="7:20" ht="12.75" customHeight="1">
      <c r="H133" s="1"/>
      <c r="I133" s="1"/>
      <c r="J133" s="1"/>
      <c r="K133" s="1"/>
      <c r="Q133" s="1"/>
      <c r="R133" s="1"/>
      <c r="S133" s="1"/>
      <c r="T133" s="1"/>
    </row>
    <row r="134" spans="7:20" ht="12.75" customHeight="1">
      <c r="H134" s="1"/>
      <c r="I134" s="1"/>
      <c r="J134" s="1"/>
      <c r="K134" s="1"/>
      <c r="Q134" s="1"/>
      <c r="R134" s="1"/>
      <c r="S134" s="1"/>
      <c r="T134" s="1"/>
    </row>
    <row r="135" spans="7:20" ht="12.75" customHeight="1">
      <c r="H135" s="1"/>
      <c r="I135" s="1"/>
      <c r="J135" s="1"/>
      <c r="K135" s="1"/>
      <c r="Q135" s="1"/>
      <c r="R135" s="1"/>
      <c r="S135" s="1"/>
      <c r="T135" s="1"/>
    </row>
    <row r="136" spans="7:20" ht="12.75" customHeight="1">
      <c r="H136" s="1"/>
      <c r="I136" s="1"/>
      <c r="J136" s="1"/>
      <c r="K136" s="1"/>
      <c r="Q136" s="1"/>
      <c r="R136" s="1"/>
      <c r="S136" s="1"/>
      <c r="T136" s="1"/>
    </row>
    <row r="137" spans="7:20" ht="12.75" customHeight="1">
      <c r="H137" s="1"/>
      <c r="I137" s="1"/>
      <c r="J137" s="1"/>
      <c r="K137" s="1"/>
      <c r="Q137" s="1"/>
      <c r="R137" s="1"/>
      <c r="S137" s="1"/>
      <c r="T137" s="1"/>
    </row>
    <row r="138" spans="7:20" ht="12.75" customHeight="1">
      <c r="H138" s="1"/>
      <c r="I138" s="1"/>
      <c r="J138" s="1"/>
      <c r="K138" s="1"/>
      <c r="Q138" s="1"/>
      <c r="R138" s="1"/>
      <c r="S138" s="1"/>
      <c r="T138" s="1"/>
    </row>
    <row r="139" spans="7:20" ht="12.75" customHeight="1">
      <c r="H139" s="1"/>
      <c r="I139" s="1"/>
      <c r="J139" s="1"/>
      <c r="K139" s="1"/>
      <c r="Q139" s="1"/>
      <c r="R139" s="1"/>
      <c r="S139" s="1"/>
      <c r="T139" s="1"/>
    </row>
    <row r="140" spans="7:20" ht="12.75" customHeight="1">
      <c r="H140" s="1"/>
      <c r="I140" s="1"/>
      <c r="J140" s="1"/>
      <c r="K140" s="1"/>
      <c r="Q140" s="1"/>
      <c r="R140" s="1"/>
      <c r="S140" s="1"/>
      <c r="T140" s="1"/>
    </row>
    <row r="141" spans="7:20" ht="12.75" customHeight="1">
      <c r="H141" s="1"/>
      <c r="I141" s="1"/>
      <c r="J141" s="1"/>
      <c r="K141" s="1"/>
      <c r="Q141" s="1"/>
      <c r="R141" s="1"/>
      <c r="S141" s="1"/>
      <c r="T141" s="1"/>
    </row>
    <row r="142" spans="7:20" ht="12.75" customHeight="1">
      <c r="H142" s="1"/>
      <c r="I142" s="1"/>
      <c r="J142" s="1"/>
      <c r="K142" s="1"/>
      <c r="Q142" s="1"/>
      <c r="R142" s="1"/>
      <c r="S142" s="1"/>
      <c r="T142" s="1"/>
    </row>
    <row r="143" spans="7:20" ht="12.75" customHeight="1">
      <c r="H143" s="1"/>
      <c r="I143" s="1"/>
      <c r="J143" s="1"/>
      <c r="K143" s="1"/>
      <c r="Q143" s="1"/>
      <c r="R143" s="1"/>
      <c r="S143" s="1"/>
      <c r="T143" s="1"/>
    </row>
    <row r="144" spans="7:20" ht="12.75" customHeight="1">
      <c r="H144" s="1"/>
      <c r="I144" s="1"/>
      <c r="J144" s="1"/>
      <c r="K144" s="1"/>
      <c r="Q144" s="1"/>
      <c r="R144" s="1"/>
      <c r="S144" s="1"/>
      <c r="T144" s="1"/>
    </row>
    <row r="145" spans="8:20" ht="12.75" customHeight="1">
      <c r="H145" s="1"/>
      <c r="I145" s="1"/>
      <c r="J145" s="1"/>
      <c r="K145" s="1"/>
      <c r="Q145" s="1"/>
      <c r="R145" s="1"/>
      <c r="S145" s="1"/>
      <c r="T145" s="1"/>
    </row>
    <row r="146" spans="8:20" ht="12.75" customHeight="1">
      <c r="H146" s="1"/>
      <c r="I146" s="1"/>
      <c r="J146" s="1"/>
      <c r="K146" s="1"/>
      <c r="Q146" s="1"/>
      <c r="R146" s="1"/>
      <c r="S146" s="1"/>
      <c r="T146" s="1"/>
    </row>
    <row r="147" spans="8:20" ht="12.75" customHeight="1">
      <c r="I147" s="1"/>
      <c r="J147" s="1"/>
      <c r="K147" s="1"/>
      <c r="Q147" s="1"/>
      <c r="R147" s="1"/>
      <c r="S147" s="1"/>
      <c r="T147" s="1"/>
    </row>
    <row r="148" spans="8:20" ht="12.75" customHeight="1">
      <c r="Q148" s="1"/>
      <c r="R148" s="1"/>
      <c r="S148" s="1"/>
      <c r="T148" s="1"/>
    </row>
    <row r="149" spans="8:20" ht="12.75" customHeight="1">
      <c r="Q149" s="1"/>
      <c r="R149" s="1"/>
      <c r="S149" s="1"/>
      <c r="T149" s="1"/>
    </row>
    <row r="150" spans="8:20" ht="12.75" customHeight="1">
      <c r="Q150" s="1"/>
      <c r="R150" s="1"/>
      <c r="S150" s="1"/>
      <c r="T150" s="1"/>
    </row>
    <row r="151" spans="8:20" ht="12.75" customHeight="1">
      <c r="Q151" s="1"/>
      <c r="R151" s="1"/>
      <c r="S151" s="1"/>
      <c r="T151" s="1"/>
    </row>
    <row r="152" spans="8:20" ht="12.75" customHeight="1">
      <c r="Q152" s="1"/>
      <c r="R152" s="1"/>
      <c r="S152" s="1"/>
      <c r="T152" s="1"/>
    </row>
    <row r="153" spans="8:20" ht="12.75" customHeight="1">
      <c r="Q153" s="1"/>
      <c r="R153" s="1"/>
      <c r="S153" s="1"/>
      <c r="T153" s="1"/>
    </row>
    <row r="154" spans="8:20" ht="12.75" customHeight="1">
      <c r="Q154" s="1"/>
      <c r="R154" s="1"/>
      <c r="S154" s="1"/>
      <c r="T154" s="1"/>
    </row>
    <row r="155" spans="8:20" ht="12.75" customHeight="1">
      <c r="Q155" s="1"/>
      <c r="R155" s="1"/>
      <c r="S155" s="1"/>
      <c r="T155" s="1"/>
    </row>
    <row r="156" spans="8:20" ht="12.75" customHeight="1">
      <c r="Q156" s="1"/>
      <c r="R156" s="1"/>
      <c r="S156" s="1"/>
      <c r="T156" s="1"/>
    </row>
    <row r="157" spans="8:20" ht="12.75" customHeight="1">
      <c r="Q157" s="1"/>
      <c r="R157" s="1"/>
      <c r="S157" s="1"/>
      <c r="T157" s="1"/>
    </row>
    <row r="158" spans="8:20" ht="12.75" customHeight="1">
      <c r="Q158" s="1"/>
      <c r="R158" s="1"/>
      <c r="S158" s="1"/>
      <c r="T158" s="1"/>
    </row>
    <row r="159" spans="8:20" ht="12.75" customHeight="1">
      <c r="Q159" s="1"/>
      <c r="R159" s="1"/>
      <c r="S159" s="1"/>
      <c r="T159" s="1"/>
    </row>
    <row r="160" spans="8:20" ht="12.75" customHeight="1">
      <c r="Q160" s="1"/>
      <c r="R160" s="1"/>
      <c r="S160" s="1"/>
      <c r="T160" s="1"/>
    </row>
    <row r="161" spans="7:20" ht="12.75" customHeight="1">
      <c r="Q161" s="1"/>
      <c r="R161" s="1"/>
      <c r="S161" s="1"/>
      <c r="T161" s="1"/>
    </row>
    <row r="162" spans="7:20" ht="12.75" customHeight="1">
      <c r="Q162" s="1"/>
      <c r="R162" s="1"/>
      <c r="S162" s="1"/>
      <c r="T162" s="1"/>
    </row>
    <row r="163" spans="7:20" ht="12.75" customHeight="1">
      <c r="Q163" s="1"/>
      <c r="R163" s="1"/>
      <c r="S163" s="1"/>
      <c r="T163" s="1"/>
    </row>
    <row r="164" spans="7:20" ht="12.75" customHeight="1">
      <c r="Q164" s="1"/>
      <c r="R164" s="1"/>
      <c r="S164" s="1"/>
      <c r="T164" s="1"/>
    </row>
    <row r="165" spans="7:20" ht="12.75" customHeight="1">
      <c r="Q165" s="1"/>
      <c r="R165" s="1"/>
      <c r="S165" s="1"/>
      <c r="T165" s="1"/>
    </row>
    <row r="166" spans="7:20" ht="12.75" customHeight="1">
      <c r="Q166" s="1"/>
      <c r="R166" s="1"/>
      <c r="S166" s="1"/>
      <c r="T166" s="1"/>
    </row>
    <row r="167" spans="7:20" ht="12.75" customHeight="1">
      <c r="Q167" s="1"/>
      <c r="R167" s="1"/>
      <c r="S167" s="1"/>
      <c r="T167" s="1"/>
    </row>
    <row r="168" spans="7:20" ht="12.75" customHeight="1">
      <c r="Q168" s="1"/>
      <c r="R168" s="1"/>
      <c r="S168" s="1"/>
      <c r="T168" s="1"/>
    </row>
    <row r="169" spans="7:20" ht="12.75" customHeight="1">
      <c r="Q169" s="1"/>
      <c r="R169" s="1"/>
      <c r="S169" s="1"/>
      <c r="T169" s="1"/>
    </row>
    <row r="170" spans="7:20" ht="12.75" customHeight="1">
      <c r="Q170" s="1"/>
      <c r="R170" s="1"/>
      <c r="S170" s="1"/>
      <c r="T170" s="1"/>
    </row>
    <row r="171" spans="7:20" ht="12.75" customHeight="1">
      <c r="Q171" s="1"/>
      <c r="R171" s="1"/>
      <c r="S171" s="1"/>
      <c r="T171" s="1"/>
    </row>
    <row r="172" spans="7:20" ht="12.75" customHeight="1">
      <c r="Q172" s="1"/>
      <c r="R172" s="1"/>
      <c r="S172" s="1"/>
      <c r="T172" s="1"/>
    </row>
    <row r="173" spans="7:20" ht="12.75" customHeight="1">
      <c r="G173" s="109"/>
      <c r="Q173" s="1"/>
      <c r="R173" s="1"/>
      <c r="S173" s="1"/>
      <c r="T173" s="1"/>
    </row>
    <row r="174" spans="7:20" ht="12.75" customHeight="1">
      <c r="G174" s="109"/>
      <c r="Q174" s="1"/>
      <c r="R174" s="1"/>
      <c r="S174" s="1"/>
      <c r="T174" s="1"/>
    </row>
    <row r="175" spans="7:20" ht="12.75" customHeight="1">
      <c r="G175" s="109"/>
      <c r="Q175" s="1"/>
      <c r="R175" s="1"/>
      <c r="S175" s="1"/>
      <c r="T175" s="1"/>
    </row>
    <row r="176" spans="7:20" ht="12.75" customHeight="1">
      <c r="G176" s="109"/>
      <c r="Q176" s="1"/>
      <c r="R176" s="1"/>
      <c r="S176" s="1"/>
      <c r="T176" s="1"/>
    </row>
    <row r="177" spans="7:20" ht="12.75" customHeight="1">
      <c r="G177" s="111"/>
      <c r="Q177" s="1"/>
      <c r="R177" s="1"/>
      <c r="S177" s="1"/>
      <c r="T177" s="1"/>
    </row>
    <row r="178" spans="7:20" ht="12.75" customHeight="1">
      <c r="G178" s="111"/>
      <c r="Q178" s="1"/>
      <c r="R178" s="1"/>
      <c r="S178" s="1"/>
      <c r="T178" s="1"/>
    </row>
    <row r="179" spans="7:20" ht="12.75" customHeight="1">
      <c r="G179" s="113"/>
      <c r="Q179" s="1"/>
      <c r="R179" s="1"/>
      <c r="S179" s="1"/>
      <c r="T179" s="1"/>
    </row>
    <row r="180" spans="7:20" ht="12.75" customHeight="1">
      <c r="G180" s="116"/>
      <c r="Q180" s="1"/>
      <c r="R180" s="1"/>
      <c r="S180" s="1"/>
      <c r="T180" s="1"/>
    </row>
    <row r="181" spans="7:20" ht="12.75" customHeight="1">
      <c r="G181" s="116"/>
      <c r="Q181" s="1"/>
      <c r="R181" s="1"/>
      <c r="S181" s="1"/>
      <c r="T181" s="1"/>
    </row>
    <row r="182" spans="7:20" ht="12.75" customHeight="1">
      <c r="G182" s="116"/>
      <c r="Q182" s="1"/>
      <c r="R182" s="1"/>
      <c r="S182" s="1"/>
      <c r="T182" s="1"/>
    </row>
    <row r="183" spans="7:20" ht="12.75" customHeight="1">
      <c r="G183" s="116"/>
      <c r="Q183" s="1"/>
      <c r="R183" s="1"/>
      <c r="S183" s="1"/>
      <c r="T183" s="1"/>
    </row>
    <row r="184" spans="7:20" ht="12.75" customHeight="1">
      <c r="G184" s="116"/>
      <c r="Q184" s="1"/>
      <c r="R184" s="1"/>
      <c r="S184" s="1"/>
      <c r="T184" s="1"/>
    </row>
    <row r="185" spans="7:20" ht="12.75" customHeight="1">
      <c r="G185" s="116"/>
      <c r="Q185" s="1"/>
      <c r="R185" s="1"/>
      <c r="S185" s="1"/>
      <c r="T185" s="1"/>
    </row>
    <row r="186" spans="7:20" ht="12.75" customHeight="1">
      <c r="G186" s="116"/>
      <c r="Q186" s="1"/>
      <c r="R186" s="1"/>
      <c r="S186" s="1"/>
      <c r="T186" s="1"/>
    </row>
    <row r="187" spans="7:20" ht="12.75" customHeight="1">
      <c r="G187" s="116"/>
      <c r="Q187" s="1"/>
      <c r="R187" s="1"/>
      <c r="S187" s="1"/>
      <c r="T187" s="1"/>
    </row>
    <row r="188" spans="7:20" ht="12.75" customHeight="1">
      <c r="G188" s="116"/>
      <c r="Q188" s="1"/>
      <c r="R188" s="1"/>
      <c r="S188" s="1"/>
      <c r="T188" s="1"/>
    </row>
    <row r="189" spans="7:20" ht="12.75" customHeight="1">
      <c r="G189" s="116"/>
      <c r="Q189" s="1"/>
      <c r="R189" s="1"/>
      <c r="S189" s="1"/>
      <c r="T189" s="1"/>
    </row>
    <row r="190" spans="7:20" ht="12.75" customHeight="1">
      <c r="G190" s="116"/>
      <c r="Q190" s="1"/>
      <c r="R190" s="1"/>
      <c r="S190" s="1"/>
      <c r="T190" s="1"/>
    </row>
    <row r="191" spans="7:20" ht="12.75" customHeight="1">
      <c r="G191" s="116"/>
      <c r="K191" s="110"/>
      <c r="Q191" s="1"/>
      <c r="R191" s="1"/>
      <c r="S191" s="1"/>
      <c r="T191" s="1"/>
    </row>
    <row r="192" spans="7:20" ht="12.75" customHeight="1">
      <c r="G192" s="116"/>
      <c r="K192" s="110"/>
      <c r="Q192" s="1"/>
      <c r="R192" s="1"/>
      <c r="S192" s="1"/>
      <c r="T192" s="1"/>
    </row>
    <row r="193" spans="7:20" ht="12.75" customHeight="1">
      <c r="G193" s="113"/>
      <c r="K193" s="110"/>
      <c r="Q193" s="1"/>
      <c r="R193" s="1"/>
      <c r="S193" s="1"/>
      <c r="T193" s="1"/>
    </row>
    <row r="194" spans="7:20" ht="12.75" customHeight="1">
      <c r="G194" s="116"/>
      <c r="H194" s="109"/>
      <c r="K194" s="110"/>
      <c r="Q194" s="1"/>
      <c r="R194" s="1"/>
      <c r="S194" s="1"/>
      <c r="T194" s="1"/>
    </row>
    <row r="195" spans="7:20" ht="12.75" customHeight="1">
      <c r="G195" s="116"/>
      <c r="H195" s="112"/>
      <c r="I195" s="109"/>
      <c r="J195" s="109"/>
      <c r="K195" s="109"/>
      <c r="Q195" s="1"/>
      <c r="R195" s="1"/>
      <c r="S195" s="1"/>
      <c r="T195" s="1"/>
    </row>
    <row r="196" spans="7:20" ht="12.75" customHeight="1">
      <c r="G196" s="113"/>
      <c r="H196" s="114"/>
      <c r="I196" s="112"/>
      <c r="J196" s="112"/>
      <c r="K196" s="112"/>
      <c r="Q196" s="1"/>
      <c r="R196" s="1"/>
      <c r="S196" s="1"/>
      <c r="T196" s="1"/>
    </row>
    <row r="197" spans="7:20" ht="12.75" customHeight="1">
      <c r="G197" s="113"/>
      <c r="H197" s="115"/>
      <c r="I197" s="114"/>
      <c r="J197" s="114"/>
      <c r="K197" s="114"/>
      <c r="Q197" s="1"/>
      <c r="R197" s="1"/>
      <c r="S197" s="1"/>
      <c r="T197" s="1"/>
    </row>
    <row r="198" spans="7:20" ht="12.75" customHeight="1">
      <c r="G198" s="116"/>
      <c r="H198" s="115"/>
      <c r="I198" s="115"/>
      <c r="J198" s="115"/>
      <c r="K198" s="115"/>
      <c r="Q198" s="1"/>
      <c r="R198" s="1"/>
      <c r="S198" s="1"/>
      <c r="T198" s="1"/>
    </row>
    <row r="199" spans="7:20" ht="12.75" customHeight="1">
      <c r="G199" s="116"/>
      <c r="H199" s="115"/>
      <c r="I199" s="115"/>
      <c r="J199" s="115"/>
      <c r="K199" s="115"/>
      <c r="Q199" s="1"/>
      <c r="R199" s="1"/>
      <c r="S199" s="1"/>
      <c r="T199" s="1"/>
    </row>
    <row r="200" spans="7:20" ht="12.75" customHeight="1">
      <c r="G200" s="116"/>
      <c r="H200" s="115"/>
      <c r="I200" s="115"/>
      <c r="J200" s="115"/>
      <c r="K200" s="115"/>
      <c r="Q200" s="1"/>
      <c r="R200" s="1"/>
      <c r="S200" s="1"/>
      <c r="T200" s="1"/>
    </row>
    <row r="201" spans="7:20" ht="12.75" customHeight="1">
      <c r="G201" s="116"/>
      <c r="H201" s="115"/>
      <c r="I201" s="115"/>
      <c r="J201" s="115"/>
      <c r="K201" s="115"/>
      <c r="Q201" s="1"/>
      <c r="R201" s="1"/>
      <c r="S201" s="1"/>
      <c r="T201" s="1"/>
    </row>
    <row r="202" spans="7:20" ht="12.75" customHeight="1">
      <c r="G202" s="116"/>
      <c r="H202" s="115"/>
      <c r="I202" s="115"/>
      <c r="J202" s="115"/>
      <c r="K202" s="115"/>
      <c r="Q202" s="1"/>
      <c r="R202" s="1"/>
      <c r="S202" s="1"/>
      <c r="T202" s="1"/>
    </row>
    <row r="203" spans="7:20" ht="12.75" customHeight="1">
      <c r="G203" s="116"/>
      <c r="H203" s="115"/>
      <c r="I203" s="115"/>
      <c r="J203" s="115"/>
      <c r="K203" s="115"/>
      <c r="Q203" s="1"/>
      <c r="R203" s="1"/>
      <c r="S203" s="1"/>
      <c r="T203" s="1"/>
    </row>
    <row r="204" spans="7:20" ht="12.75" customHeight="1">
      <c r="G204" s="116"/>
      <c r="H204" s="115"/>
      <c r="I204" s="115"/>
      <c r="J204" s="115"/>
      <c r="K204" s="115"/>
      <c r="Q204" s="1"/>
      <c r="R204" s="1"/>
      <c r="S204" s="1"/>
      <c r="T204" s="1"/>
    </row>
    <row r="205" spans="7:20" ht="12.75" customHeight="1">
      <c r="G205" s="116"/>
      <c r="H205" s="115"/>
      <c r="I205" s="115"/>
      <c r="J205" s="115"/>
      <c r="K205" s="115"/>
      <c r="Q205" s="1"/>
      <c r="R205" s="1"/>
      <c r="S205" s="1"/>
      <c r="T205" s="1"/>
    </row>
    <row r="206" spans="7:20" ht="12.75" customHeight="1">
      <c r="G206" s="116"/>
      <c r="H206" s="115"/>
      <c r="I206" s="115"/>
      <c r="J206" s="115"/>
      <c r="K206" s="115"/>
      <c r="Q206" s="1"/>
      <c r="R206" s="1"/>
      <c r="S206" s="1"/>
      <c r="T206" s="1"/>
    </row>
    <row r="207" spans="7:20" ht="12.75" customHeight="1">
      <c r="G207" s="116"/>
      <c r="H207" s="117"/>
      <c r="I207" s="115"/>
      <c r="J207" s="115"/>
      <c r="K207" s="115"/>
      <c r="Q207" s="1"/>
      <c r="R207" s="1"/>
      <c r="S207" s="1"/>
      <c r="T207" s="1"/>
    </row>
    <row r="208" spans="7:20" ht="12.75" customHeight="1">
      <c r="G208" s="116"/>
      <c r="H208" s="117"/>
      <c r="I208" s="117"/>
      <c r="J208" s="117"/>
      <c r="K208" s="118"/>
      <c r="Q208" s="1"/>
      <c r="R208" s="1"/>
      <c r="S208" s="1"/>
      <c r="T208" s="1"/>
    </row>
    <row r="209" spans="7:20" ht="12.75" customHeight="1">
      <c r="G209" s="116"/>
      <c r="H209" s="117"/>
      <c r="I209" s="117"/>
      <c r="J209" s="117"/>
      <c r="K209" s="118"/>
      <c r="Q209" s="1"/>
      <c r="R209" s="1"/>
      <c r="S209" s="1"/>
      <c r="T209" s="1"/>
    </row>
    <row r="210" spans="7:20" ht="12.75" customHeight="1">
      <c r="G210" s="116"/>
      <c r="H210" s="117"/>
      <c r="I210" s="117"/>
      <c r="J210" s="117"/>
      <c r="K210" s="118"/>
      <c r="Q210" s="1"/>
      <c r="R210" s="1"/>
      <c r="S210" s="1"/>
      <c r="T210" s="1"/>
    </row>
    <row r="211" spans="7:20" ht="12.75" customHeight="1">
      <c r="G211" s="116"/>
      <c r="H211" s="118"/>
      <c r="I211" s="117"/>
      <c r="J211" s="117"/>
      <c r="K211" s="118"/>
      <c r="Q211" s="1"/>
      <c r="R211" s="1"/>
      <c r="S211" s="1"/>
      <c r="T211" s="1"/>
    </row>
    <row r="212" spans="7:20" ht="12.75" customHeight="1">
      <c r="G212" s="116"/>
      <c r="H212" s="115"/>
      <c r="I212" s="118"/>
      <c r="J212" s="118"/>
      <c r="K212" s="118"/>
      <c r="Q212" s="1"/>
      <c r="R212" s="1"/>
      <c r="S212" s="1"/>
      <c r="T212" s="1"/>
    </row>
    <row r="213" spans="7:20" ht="12.75" customHeight="1">
      <c r="G213" s="116"/>
      <c r="H213" s="114"/>
      <c r="I213" s="115"/>
      <c r="J213" s="115"/>
      <c r="K213" s="115"/>
      <c r="Q213" s="1"/>
      <c r="R213" s="1"/>
      <c r="S213" s="1"/>
      <c r="T213" s="1"/>
    </row>
    <row r="214" spans="7:20" ht="12.75" customHeight="1">
      <c r="G214" s="116"/>
      <c r="H214" s="114"/>
      <c r="I214" s="114"/>
      <c r="J214" s="114"/>
      <c r="K214" s="114"/>
      <c r="Q214" s="1"/>
      <c r="R214" s="1"/>
      <c r="S214" s="1"/>
      <c r="T214" s="1"/>
    </row>
    <row r="215" spans="7:20" ht="12.75" customHeight="1">
      <c r="G215" s="113"/>
      <c r="H215" s="115"/>
      <c r="I215" s="114"/>
      <c r="J215" s="114"/>
      <c r="K215" s="114"/>
      <c r="Q215" s="1"/>
      <c r="R215" s="1"/>
      <c r="S215" s="1"/>
      <c r="T215" s="1"/>
    </row>
    <row r="216" spans="7:20" ht="12.75" customHeight="1">
      <c r="G216" s="113"/>
      <c r="H216" s="115"/>
      <c r="I216" s="115"/>
      <c r="J216" s="115"/>
      <c r="K216" s="115"/>
      <c r="Q216" s="1"/>
      <c r="R216" s="1"/>
      <c r="S216" s="1"/>
      <c r="T216" s="1"/>
    </row>
    <row r="217" spans="7:20" ht="12.75" customHeight="1">
      <c r="G217" s="1"/>
      <c r="H217" s="115"/>
      <c r="I217" s="115"/>
      <c r="J217" s="115"/>
      <c r="K217" s="115"/>
      <c r="Q217" s="1"/>
      <c r="R217" s="1"/>
      <c r="S217" s="1"/>
      <c r="T217" s="1"/>
    </row>
    <row r="218" spans="7:20" ht="12.75" customHeight="1">
      <c r="G218" s="1"/>
      <c r="H218" s="115"/>
      <c r="I218" s="115"/>
      <c r="J218" s="115"/>
      <c r="K218" s="115"/>
      <c r="Q218" s="1"/>
      <c r="R218" s="1"/>
      <c r="S218" s="1"/>
      <c r="T218" s="1"/>
    </row>
    <row r="219" spans="7:20" ht="12.75" customHeight="1">
      <c r="G219" s="1"/>
      <c r="H219" s="115"/>
      <c r="I219" s="115"/>
      <c r="J219" s="115"/>
      <c r="K219" s="115"/>
      <c r="Q219" s="1"/>
      <c r="R219" s="1"/>
      <c r="S219" s="1"/>
      <c r="T219" s="1"/>
    </row>
    <row r="220" spans="7:20" ht="12.75" customHeight="1">
      <c r="G220" s="1"/>
      <c r="H220" s="115"/>
      <c r="I220" s="115"/>
      <c r="J220" s="115"/>
      <c r="K220" s="115"/>
      <c r="Q220" s="1"/>
      <c r="R220" s="1"/>
      <c r="S220" s="1"/>
      <c r="T220" s="1"/>
    </row>
    <row r="221" spans="7:20" ht="12.75" customHeight="1">
      <c r="G221" s="1"/>
      <c r="H221" s="115"/>
      <c r="I221" s="115"/>
      <c r="J221" s="115"/>
      <c r="K221" s="115"/>
      <c r="Q221" s="1"/>
      <c r="R221" s="1"/>
      <c r="S221" s="1"/>
      <c r="T221" s="1"/>
    </row>
    <row r="222" spans="7:20" ht="12.75" customHeight="1">
      <c r="G222" s="1"/>
      <c r="H222" s="115"/>
      <c r="I222" s="115"/>
      <c r="J222" s="115"/>
      <c r="K222" s="115"/>
      <c r="Q222" s="1"/>
      <c r="R222" s="1"/>
      <c r="S222" s="1"/>
      <c r="T222" s="1"/>
    </row>
    <row r="223" spans="7:20" ht="12.75" customHeight="1">
      <c r="G223" s="120"/>
      <c r="H223" s="115"/>
      <c r="I223" s="115"/>
      <c r="J223" s="115"/>
      <c r="K223" s="115"/>
      <c r="Q223" s="1"/>
      <c r="R223" s="1"/>
      <c r="S223" s="1"/>
      <c r="T223" s="1"/>
    </row>
    <row r="224" spans="7:20" ht="12.75" customHeight="1">
      <c r="G224" s="120"/>
      <c r="H224" s="115"/>
      <c r="I224" s="115"/>
      <c r="J224" s="115"/>
      <c r="K224" s="115"/>
      <c r="Q224" s="1"/>
      <c r="R224" s="1"/>
      <c r="S224" s="1"/>
      <c r="T224" s="1"/>
    </row>
    <row r="225" spans="7:20" ht="12.75" customHeight="1">
      <c r="G225" s="120"/>
      <c r="H225" s="115"/>
      <c r="I225" s="115"/>
      <c r="J225" s="115"/>
      <c r="K225" s="115"/>
      <c r="Q225" s="1"/>
      <c r="R225" s="1"/>
      <c r="S225" s="1"/>
      <c r="T225" s="1"/>
    </row>
    <row r="226" spans="7:20" ht="12.75" customHeight="1">
      <c r="G226" s="120"/>
      <c r="H226" s="115"/>
      <c r="I226" s="115"/>
      <c r="J226" s="115"/>
      <c r="K226" s="115"/>
      <c r="Q226" s="1"/>
      <c r="R226" s="1"/>
      <c r="S226" s="1"/>
      <c r="T226" s="1"/>
    </row>
    <row r="227" spans="7:20" ht="12.75" customHeight="1">
      <c r="G227" s="123"/>
      <c r="H227" s="115"/>
      <c r="I227" s="115"/>
      <c r="J227" s="115"/>
      <c r="K227" s="115"/>
      <c r="Q227" s="1"/>
      <c r="R227" s="1"/>
      <c r="S227" s="1"/>
      <c r="T227" s="1"/>
    </row>
    <row r="228" spans="7:20" ht="12.75" customHeight="1">
      <c r="G228" s="123"/>
      <c r="H228" s="115"/>
      <c r="I228" s="115"/>
      <c r="J228" s="115"/>
      <c r="K228" s="115"/>
      <c r="Q228" s="1"/>
      <c r="R228" s="1"/>
      <c r="S228" s="1"/>
      <c r="T228" s="1"/>
    </row>
    <row r="229" spans="7:20" ht="12.75" customHeight="1">
      <c r="G229" s="113"/>
      <c r="H229" s="115"/>
      <c r="I229" s="115"/>
      <c r="J229" s="115"/>
      <c r="K229" s="115"/>
      <c r="Q229" s="1"/>
      <c r="R229" s="1"/>
      <c r="S229" s="1"/>
      <c r="T229" s="1"/>
    </row>
    <row r="230" spans="7:20" ht="12.75" customHeight="1">
      <c r="G230" s="125"/>
      <c r="H230" s="115"/>
      <c r="I230" s="115"/>
      <c r="J230" s="115"/>
      <c r="K230" s="119"/>
      <c r="Q230" s="1"/>
      <c r="R230" s="1"/>
      <c r="S230" s="1"/>
      <c r="T230" s="1"/>
    </row>
    <row r="231" spans="7:20" ht="12.75" customHeight="1">
      <c r="G231" s="125"/>
      <c r="H231" s="115"/>
      <c r="I231" s="115"/>
      <c r="J231" s="115"/>
      <c r="K231" s="115"/>
      <c r="Q231" s="1"/>
      <c r="R231" s="1"/>
      <c r="S231" s="1"/>
      <c r="T231" s="1"/>
    </row>
    <row r="232" spans="7:20" ht="12.75" customHeight="1">
      <c r="G232" s="125"/>
      <c r="H232" s="115"/>
      <c r="I232" s="115"/>
      <c r="J232" s="115"/>
      <c r="K232" s="115"/>
      <c r="Q232" s="1"/>
      <c r="R232" s="1"/>
      <c r="S232" s="1"/>
      <c r="T232" s="1"/>
    </row>
    <row r="233" spans="7:20" ht="12.75" customHeight="1">
      <c r="G233" s="1"/>
      <c r="H233" s="115"/>
      <c r="I233" s="115"/>
      <c r="J233" s="115"/>
      <c r="K233" s="115"/>
      <c r="Q233" s="1"/>
      <c r="R233" s="1"/>
      <c r="S233" s="1"/>
      <c r="T233" s="1"/>
    </row>
    <row r="234" spans="7:20" ht="12.75" customHeight="1">
      <c r="G234" s="125"/>
      <c r="H234" s="1"/>
      <c r="I234" s="115"/>
      <c r="J234" s="115"/>
      <c r="K234" s="115"/>
      <c r="Q234" s="1"/>
      <c r="R234" s="1"/>
      <c r="S234" s="1"/>
      <c r="T234" s="1"/>
    </row>
    <row r="235" spans="7:20" ht="12.75" customHeight="1">
      <c r="G235" s="125"/>
      <c r="H235" s="1"/>
      <c r="I235" s="1"/>
      <c r="J235" s="1"/>
      <c r="K235" s="1"/>
      <c r="Q235" s="1"/>
      <c r="R235" s="1"/>
      <c r="S235" s="1"/>
      <c r="T235" s="1"/>
    </row>
    <row r="236" spans="7:20" ht="12.75" customHeight="1">
      <c r="G236" s="125"/>
      <c r="H236" s="1"/>
      <c r="I236" s="1"/>
      <c r="J236" s="1"/>
      <c r="K236" s="1"/>
      <c r="Q236" s="1"/>
      <c r="R236" s="1"/>
      <c r="S236" s="1"/>
      <c r="T236" s="1"/>
    </row>
    <row r="237" spans="7:20" ht="12.75" customHeight="1">
      <c r="G237" s="125"/>
      <c r="H237" s="1"/>
      <c r="I237" s="1"/>
      <c r="J237" s="1"/>
      <c r="K237" s="1"/>
      <c r="Q237" s="1"/>
      <c r="R237" s="1"/>
      <c r="S237" s="1"/>
      <c r="T237" s="1"/>
    </row>
    <row r="238" spans="7:20" ht="12.75" customHeight="1">
      <c r="G238" s="125"/>
      <c r="H238" s="1"/>
      <c r="I238" s="1"/>
      <c r="J238" s="1"/>
      <c r="K238" s="1"/>
      <c r="Q238" s="1"/>
      <c r="R238" s="1"/>
      <c r="S238" s="1"/>
      <c r="T238" s="1"/>
    </row>
    <row r="239" spans="7:20" ht="12.75" customHeight="1">
      <c r="G239" s="125"/>
      <c r="H239" s="1"/>
      <c r="I239" s="1"/>
      <c r="J239" s="1"/>
      <c r="K239" s="1"/>
      <c r="Q239" s="1"/>
      <c r="R239" s="1"/>
      <c r="S239" s="1"/>
      <c r="T239" s="1"/>
    </row>
    <row r="240" spans="7:20" ht="12.75" customHeight="1">
      <c r="G240" s="125"/>
      <c r="H240" s="121"/>
      <c r="I240" s="1"/>
      <c r="J240" s="1"/>
      <c r="K240" s="1"/>
      <c r="Q240" s="1"/>
      <c r="R240" s="1"/>
      <c r="S240" s="1"/>
      <c r="T240" s="1"/>
    </row>
    <row r="241" spans="7:20" ht="12.75" customHeight="1">
      <c r="G241" s="125"/>
      <c r="H241" s="121"/>
      <c r="I241" s="121"/>
      <c r="J241" s="121"/>
      <c r="K241" s="120"/>
      <c r="Q241" s="1"/>
      <c r="R241" s="1"/>
      <c r="S241" s="1"/>
      <c r="T241" s="1"/>
    </row>
    <row r="242" spans="7:20" ht="12.75" customHeight="1">
      <c r="G242" s="125"/>
      <c r="H242" s="122"/>
      <c r="I242" s="121"/>
      <c r="J242" s="121"/>
      <c r="K242" s="120"/>
      <c r="Q242" s="1"/>
      <c r="R242" s="1"/>
      <c r="S242" s="1"/>
      <c r="T242" s="1"/>
    </row>
    <row r="243" spans="7:20" ht="12.75" customHeight="1">
      <c r="G243" s="125"/>
      <c r="H243" s="122"/>
      <c r="I243" s="122"/>
      <c r="J243" s="122"/>
      <c r="K243" s="120"/>
      <c r="Q243" s="1"/>
      <c r="R243" s="1"/>
      <c r="S243" s="1"/>
      <c r="T243" s="1"/>
    </row>
    <row r="244" spans="7:20" ht="12.75" customHeight="1">
      <c r="G244" s="125"/>
      <c r="H244" s="124"/>
      <c r="I244" s="122"/>
      <c r="J244" s="122"/>
      <c r="K244" s="120"/>
      <c r="Q244" s="1"/>
      <c r="R244" s="1"/>
      <c r="S244" s="1"/>
      <c r="T244" s="1"/>
    </row>
    <row r="245" spans="7:20" ht="12.75" customHeight="1">
      <c r="G245" s="123"/>
      <c r="H245" s="114"/>
      <c r="I245" s="124"/>
      <c r="J245" s="124"/>
      <c r="K245" s="124"/>
      <c r="Q245" s="1"/>
      <c r="R245" s="1"/>
      <c r="S245" s="1"/>
      <c r="T245" s="1"/>
    </row>
    <row r="246" spans="7:20" ht="12.75" customHeight="1">
      <c r="G246" s="1"/>
      <c r="H246" s="114"/>
      <c r="I246" s="114"/>
      <c r="J246" s="114"/>
      <c r="K246" s="124"/>
      <c r="Q246" s="1"/>
      <c r="R246" s="1"/>
      <c r="S246" s="1"/>
      <c r="T246" s="1"/>
    </row>
    <row r="247" spans="7:20" ht="12.75" customHeight="1">
      <c r="G247" s="1"/>
      <c r="H247" s="124"/>
      <c r="I247" s="114"/>
      <c r="J247" s="114"/>
      <c r="K247" s="114"/>
      <c r="Q247" s="1"/>
      <c r="R247" s="1"/>
      <c r="S247" s="1"/>
      <c r="T247" s="1"/>
    </row>
    <row r="248" spans="7:20" ht="12.75" customHeight="1">
      <c r="G248" s="1"/>
      <c r="H248" s="124"/>
      <c r="I248" s="124"/>
      <c r="J248" s="124"/>
      <c r="K248" s="126"/>
      <c r="Q248" s="1"/>
      <c r="R248" s="1"/>
      <c r="S248" s="1"/>
      <c r="T248" s="1"/>
    </row>
    <row r="249" spans="7:20" ht="12.75" customHeight="1">
      <c r="G249" s="1"/>
      <c r="H249" s="124"/>
      <c r="I249" s="124"/>
      <c r="J249" s="124"/>
      <c r="K249" s="124"/>
      <c r="Q249" s="1"/>
      <c r="R249" s="1"/>
      <c r="S249" s="1"/>
      <c r="T249" s="1"/>
    </row>
    <row r="250" spans="7:20" ht="12.75" customHeight="1">
      <c r="G250" s="1"/>
      <c r="H250" s="124"/>
      <c r="I250" s="124"/>
      <c r="J250" s="124"/>
      <c r="K250" s="127"/>
      <c r="Q250" s="1"/>
      <c r="R250" s="1"/>
      <c r="S250" s="1"/>
      <c r="T250" s="1"/>
    </row>
    <row r="251" spans="7:20" ht="12.75" customHeight="1">
      <c r="G251" s="1"/>
      <c r="H251" s="124"/>
      <c r="I251" s="124"/>
      <c r="J251" s="124"/>
      <c r="K251" s="124"/>
      <c r="Q251" s="1"/>
      <c r="R251" s="1"/>
      <c r="S251" s="1"/>
      <c r="T251" s="1"/>
    </row>
    <row r="252" spans="7:20" ht="12.75" customHeight="1">
      <c r="G252" s="1"/>
      <c r="H252" s="124"/>
      <c r="I252" s="124"/>
      <c r="J252" s="124"/>
      <c r="K252" s="127"/>
      <c r="Q252" s="1"/>
      <c r="R252" s="1"/>
      <c r="S252" s="1"/>
      <c r="T252" s="1"/>
    </row>
    <row r="253" spans="7:20" ht="12.75" customHeight="1">
      <c r="G253" s="1"/>
      <c r="H253" s="124"/>
      <c r="I253" s="124"/>
      <c r="J253" s="124"/>
      <c r="K253" s="127"/>
      <c r="Q253" s="1"/>
      <c r="R253" s="1"/>
      <c r="S253" s="1"/>
      <c r="T253" s="1"/>
    </row>
    <row r="254" spans="7:20" ht="12.75" customHeight="1">
      <c r="G254" s="1"/>
      <c r="H254" s="124"/>
      <c r="I254" s="124"/>
      <c r="J254" s="124"/>
      <c r="K254" s="127"/>
      <c r="Q254" s="1"/>
      <c r="R254" s="1"/>
      <c r="S254" s="1"/>
      <c r="T254" s="1"/>
    </row>
    <row r="255" spans="7:20" ht="12.75" customHeight="1">
      <c r="G255" s="1"/>
      <c r="H255" s="124"/>
      <c r="I255" s="124"/>
      <c r="J255" s="124"/>
      <c r="K255" s="124"/>
      <c r="Q255" s="1"/>
      <c r="R255" s="1"/>
      <c r="S255" s="1"/>
      <c r="T255" s="1"/>
    </row>
    <row r="256" spans="7:20" ht="12.75" customHeight="1">
      <c r="G256" s="1"/>
      <c r="H256" s="124"/>
      <c r="I256" s="124"/>
      <c r="J256" s="124"/>
      <c r="K256" s="126"/>
      <c r="Q256" s="1"/>
      <c r="R256" s="1"/>
      <c r="S256" s="1"/>
      <c r="T256" s="1"/>
    </row>
    <row r="257" spans="7:20" ht="12.75" customHeight="1">
      <c r="G257" s="1"/>
      <c r="H257" s="124"/>
      <c r="I257" s="124"/>
      <c r="J257" s="124"/>
      <c r="K257" s="124"/>
      <c r="Q257" s="1"/>
      <c r="R257" s="1"/>
      <c r="S257" s="1"/>
      <c r="T257" s="1"/>
    </row>
    <row r="258" spans="7:20" ht="12.75" customHeight="1">
      <c r="G258" s="1"/>
      <c r="H258" s="124"/>
      <c r="I258" s="124"/>
      <c r="J258" s="124"/>
      <c r="K258" s="128"/>
      <c r="Q258" s="1"/>
      <c r="R258" s="1"/>
      <c r="S258" s="1"/>
      <c r="T258" s="1"/>
    </row>
    <row r="259" spans="7:20" ht="12.75" customHeight="1">
      <c r="G259" s="1"/>
      <c r="H259" s="124"/>
      <c r="I259" s="124"/>
      <c r="J259" s="124"/>
      <c r="K259" s="124"/>
      <c r="Q259" s="1"/>
      <c r="R259" s="1"/>
      <c r="S259" s="1"/>
      <c r="T259" s="1"/>
    </row>
    <row r="260" spans="7:20" ht="12.75" customHeight="1">
      <c r="G260" s="1"/>
      <c r="H260" s="124"/>
      <c r="I260" s="124"/>
      <c r="J260" s="124"/>
      <c r="K260" s="126"/>
      <c r="Q260" s="1"/>
      <c r="R260" s="1"/>
      <c r="S260" s="1"/>
      <c r="T260" s="1"/>
    </row>
    <row r="261" spans="7:20" ht="12.75" customHeight="1">
      <c r="G261" s="1"/>
      <c r="H261" s="124"/>
      <c r="I261" s="124"/>
      <c r="J261" s="124"/>
      <c r="K261" s="124"/>
      <c r="Q261" s="1"/>
      <c r="R261" s="1"/>
      <c r="S261" s="1"/>
      <c r="T261" s="1"/>
    </row>
    <row r="262" spans="7:20" ht="12.75" customHeight="1">
      <c r="G262" s="1"/>
      <c r="H262" s="124"/>
      <c r="I262" s="124"/>
      <c r="J262" s="124"/>
      <c r="K262" s="129"/>
      <c r="Q262" s="1"/>
      <c r="R262" s="1"/>
      <c r="S262" s="1"/>
      <c r="T262" s="1"/>
    </row>
    <row r="263" spans="7:20" ht="12.75" customHeight="1">
      <c r="G263" s="1"/>
      <c r="H263" s="1"/>
      <c r="I263" s="124"/>
      <c r="J263" s="124"/>
      <c r="K263" s="124"/>
      <c r="Q263" s="1"/>
      <c r="R263" s="1"/>
      <c r="S263" s="1"/>
      <c r="T263" s="1"/>
    </row>
    <row r="264" spans="7:20" ht="12.75" customHeight="1">
      <c r="G264" s="1"/>
      <c r="H264" s="1"/>
      <c r="I264" s="1"/>
      <c r="J264" s="1"/>
      <c r="K264" s="1"/>
      <c r="Q264" s="1"/>
      <c r="R264" s="1"/>
      <c r="S264" s="1"/>
      <c r="T264" s="1"/>
    </row>
    <row r="265" spans="7:20" ht="12.75" customHeight="1">
      <c r="G265" s="1"/>
      <c r="H265" s="1"/>
      <c r="I265" s="1"/>
      <c r="J265" s="1"/>
      <c r="K265" s="1"/>
      <c r="Q265" s="1"/>
      <c r="R265" s="1"/>
      <c r="S265" s="1"/>
      <c r="T265" s="1"/>
    </row>
    <row r="266" spans="7:20" ht="12.75" customHeight="1">
      <c r="G266" s="1"/>
      <c r="H266" s="1"/>
      <c r="I266" s="1"/>
      <c r="J266" s="1"/>
      <c r="K266" s="1"/>
      <c r="Q266" s="1"/>
      <c r="R266" s="1"/>
      <c r="S266" s="1"/>
      <c r="T266" s="1"/>
    </row>
    <row r="267" spans="7:20" ht="12.75" customHeight="1">
      <c r="G267" s="1"/>
      <c r="H267" s="1"/>
      <c r="I267" s="1"/>
      <c r="J267" s="1"/>
      <c r="K267" s="1"/>
      <c r="Q267" s="1"/>
      <c r="R267" s="1"/>
      <c r="S267" s="1"/>
      <c r="T267" s="1"/>
    </row>
    <row r="268" spans="7:20" ht="12.75" customHeight="1">
      <c r="G268" s="1"/>
      <c r="H268" s="1"/>
      <c r="I268" s="1"/>
      <c r="J268" s="1"/>
      <c r="K268" s="1"/>
      <c r="Q268" s="1"/>
      <c r="R268" s="1"/>
      <c r="S268" s="1"/>
      <c r="T268" s="1"/>
    </row>
    <row r="269" spans="7:20" ht="12.75" customHeight="1">
      <c r="G269" s="1"/>
      <c r="H269" s="1"/>
      <c r="I269" s="1"/>
      <c r="J269" s="1"/>
      <c r="K269" s="1"/>
      <c r="Q269" s="1"/>
      <c r="R269" s="1"/>
      <c r="S269" s="1"/>
      <c r="T269" s="1"/>
    </row>
    <row r="270" spans="7:20" ht="12.75" customHeight="1">
      <c r="G270" s="1"/>
      <c r="H270" s="1"/>
      <c r="I270" s="1"/>
      <c r="J270" s="1"/>
      <c r="K270" s="1"/>
      <c r="Q270" s="1"/>
      <c r="R270" s="1"/>
      <c r="S270" s="1"/>
      <c r="T270" s="1"/>
    </row>
    <row r="271" spans="7:20" ht="12.75" customHeight="1">
      <c r="G271" s="1"/>
      <c r="H271" s="1"/>
      <c r="I271" s="1"/>
      <c r="J271" s="1"/>
      <c r="K271" s="1"/>
      <c r="Q271" s="1"/>
      <c r="R271" s="1"/>
      <c r="S271" s="1"/>
      <c r="T271" s="1"/>
    </row>
    <row r="272" spans="7:20" ht="12.75" customHeight="1">
      <c r="G272" s="1"/>
      <c r="H272" s="1"/>
      <c r="I272" s="1"/>
      <c r="J272" s="1"/>
      <c r="K272" s="1"/>
      <c r="Q272" s="1"/>
      <c r="R272" s="1"/>
      <c r="S272" s="1"/>
      <c r="T272" s="1"/>
    </row>
    <row r="273" spans="7:20" ht="12.75" customHeight="1">
      <c r="G273" s="1"/>
      <c r="H273" s="1"/>
      <c r="I273" s="1"/>
      <c r="J273" s="1"/>
      <c r="K273" s="1"/>
      <c r="Q273" s="1"/>
      <c r="R273" s="1"/>
      <c r="S273" s="1"/>
      <c r="T273" s="1"/>
    </row>
    <row r="274" spans="7:20" ht="12.75" customHeight="1">
      <c r="G274" s="1"/>
      <c r="H274" s="1"/>
      <c r="I274" s="1"/>
      <c r="J274" s="1"/>
      <c r="K274" s="1"/>
      <c r="Q274" s="1"/>
      <c r="R274" s="1"/>
      <c r="S274" s="1"/>
      <c r="T274" s="1"/>
    </row>
    <row r="275" spans="7:20" ht="12.75" customHeight="1">
      <c r="G275" s="1"/>
      <c r="H275" s="1"/>
      <c r="I275" s="1"/>
      <c r="J275" s="1"/>
      <c r="K275" s="1"/>
      <c r="Q275" s="1"/>
      <c r="R275" s="1"/>
      <c r="S275" s="1"/>
      <c r="T275" s="1"/>
    </row>
    <row r="276" spans="7:20" ht="12.75" customHeight="1">
      <c r="G276" s="1"/>
      <c r="H276" s="1"/>
      <c r="I276" s="1"/>
      <c r="J276" s="1"/>
      <c r="K276" s="1"/>
      <c r="Q276" s="1"/>
      <c r="R276" s="1"/>
      <c r="S276" s="1"/>
      <c r="T276" s="1"/>
    </row>
    <row r="277" spans="7:20" ht="12.75" customHeight="1">
      <c r="G277" s="1"/>
      <c r="H277" s="1"/>
      <c r="I277" s="1"/>
      <c r="J277" s="1"/>
      <c r="K277" s="1"/>
      <c r="Q277" s="1"/>
      <c r="R277" s="1"/>
      <c r="S277" s="1"/>
      <c r="T277" s="1"/>
    </row>
    <row r="278" spans="7:20" ht="12.75" customHeight="1">
      <c r="G278" s="1"/>
      <c r="H278" s="1"/>
      <c r="I278" s="1"/>
      <c r="J278" s="1"/>
      <c r="K278" s="1"/>
      <c r="Q278" s="1"/>
      <c r="R278" s="1"/>
      <c r="S278" s="1"/>
      <c r="T278" s="1"/>
    </row>
    <row r="279" spans="7:20" ht="12.75" customHeight="1">
      <c r="G279" s="1"/>
      <c r="H279" s="1"/>
      <c r="I279" s="1"/>
      <c r="J279" s="1"/>
      <c r="K279" s="1"/>
      <c r="Q279" s="1"/>
      <c r="R279" s="1"/>
      <c r="S279" s="1"/>
      <c r="T279" s="1"/>
    </row>
    <row r="280" spans="7:20" ht="12.75" customHeight="1">
      <c r="H280" s="1"/>
      <c r="I280" s="1"/>
      <c r="J280" s="1"/>
      <c r="K280" s="1"/>
      <c r="Q280" s="1"/>
      <c r="R280" s="1"/>
      <c r="S280" s="1"/>
      <c r="T280" s="1"/>
    </row>
    <row r="281" spans="7:20" ht="12.75" customHeight="1">
      <c r="H281" s="1"/>
      <c r="I281" s="1"/>
      <c r="J281" s="1"/>
      <c r="K281" s="1"/>
      <c r="Q281" s="1"/>
      <c r="R281" s="1"/>
      <c r="S281" s="1"/>
      <c r="T281" s="1"/>
    </row>
    <row r="282" spans="7:20" ht="12.75" customHeight="1">
      <c r="H282" s="1"/>
      <c r="I282" s="1"/>
      <c r="J282" s="1"/>
      <c r="K282" s="1"/>
      <c r="Q282" s="1"/>
      <c r="R282" s="1"/>
      <c r="S282" s="1"/>
      <c r="T282" s="1"/>
    </row>
    <row r="283" spans="7:20" ht="12.75" customHeight="1">
      <c r="H283" s="1"/>
      <c r="I283" s="1"/>
      <c r="J283" s="1"/>
      <c r="K283" s="1"/>
      <c r="Q283" s="1"/>
      <c r="R283" s="1"/>
      <c r="S283" s="1"/>
      <c r="T283" s="1"/>
    </row>
    <row r="284" spans="7:20" ht="12.75" customHeight="1">
      <c r="H284" s="1"/>
      <c r="I284" s="1"/>
      <c r="J284" s="1"/>
      <c r="K284" s="1"/>
      <c r="Q284" s="1"/>
      <c r="R284" s="1"/>
      <c r="S284" s="1"/>
      <c r="T284" s="1"/>
    </row>
    <row r="285" spans="7:20" ht="12.75" customHeight="1">
      <c r="H285" s="1"/>
      <c r="I285" s="1"/>
      <c r="J285" s="1"/>
      <c r="K285" s="1"/>
      <c r="Q285" s="1"/>
      <c r="R285" s="1"/>
      <c r="S285" s="1"/>
      <c r="T285" s="1"/>
    </row>
    <row r="286" spans="7:20" ht="12.75" customHeight="1">
      <c r="H286" s="1"/>
      <c r="I286" s="1"/>
      <c r="J286" s="1"/>
      <c r="K286" s="1"/>
      <c r="Q286" s="1"/>
      <c r="R286" s="1"/>
      <c r="S286" s="1"/>
      <c r="T286" s="1"/>
    </row>
    <row r="287" spans="7:20" ht="12.75" customHeight="1">
      <c r="H287" s="1"/>
      <c r="I287" s="1"/>
      <c r="J287" s="1"/>
      <c r="K287" s="1"/>
      <c r="Q287" s="1"/>
      <c r="R287" s="1"/>
      <c r="S287" s="1"/>
      <c r="T287" s="1"/>
    </row>
    <row r="288" spans="7:20" ht="12.75" customHeight="1">
      <c r="H288" s="1"/>
      <c r="I288" s="1"/>
      <c r="J288" s="1"/>
      <c r="K288" s="1"/>
      <c r="Q288" s="1"/>
      <c r="R288" s="1"/>
      <c r="S288" s="1"/>
      <c r="T288" s="1"/>
    </row>
    <row r="289" spans="8:20" ht="12.75" customHeight="1">
      <c r="H289" s="1"/>
      <c r="I289" s="1"/>
      <c r="J289" s="1"/>
      <c r="K289" s="1"/>
      <c r="Q289" s="1"/>
      <c r="R289" s="1"/>
      <c r="S289" s="1"/>
      <c r="T289" s="1"/>
    </row>
    <row r="290" spans="8:20" ht="12.75" customHeight="1">
      <c r="H290" s="1"/>
      <c r="I290" s="1"/>
      <c r="J290" s="1"/>
      <c r="K290" s="1"/>
      <c r="Q290" s="1"/>
      <c r="R290" s="1"/>
      <c r="S290" s="1"/>
      <c r="T290" s="1"/>
    </row>
    <row r="291" spans="8:20" ht="12.75" customHeight="1">
      <c r="H291" s="1"/>
      <c r="I291" s="1"/>
      <c r="J291" s="1"/>
      <c r="K291" s="1"/>
      <c r="Q291" s="1"/>
      <c r="R291" s="1"/>
      <c r="S291" s="1"/>
      <c r="T291" s="1"/>
    </row>
    <row r="292" spans="8:20" ht="12.75" customHeight="1">
      <c r="H292" s="1"/>
      <c r="I292" s="1"/>
      <c r="J292" s="1"/>
      <c r="K292" s="1"/>
      <c r="Q292" s="1"/>
      <c r="R292" s="1"/>
      <c r="S292" s="1"/>
      <c r="T292" s="1"/>
    </row>
    <row r="293" spans="8:20" ht="12.75" customHeight="1">
      <c r="H293" s="1"/>
      <c r="I293" s="1"/>
      <c r="J293" s="1"/>
      <c r="K293" s="1"/>
      <c r="Q293" s="1"/>
      <c r="R293" s="1"/>
      <c r="S293" s="1"/>
      <c r="T293" s="1"/>
    </row>
    <row r="294" spans="8:20" ht="12.75" customHeight="1">
      <c r="H294" s="1"/>
      <c r="I294" s="1"/>
      <c r="J294" s="1"/>
      <c r="K294" s="1"/>
      <c r="Q294" s="1"/>
      <c r="R294" s="1"/>
      <c r="S294" s="1"/>
      <c r="T294" s="1"/>
    </row>
    <row r="295" spans="8:20" ht="12.75" customHeight="1">
      <c r="H295" s="1"/>
      <c r="I295" s="1"/>
      <c r="J295" s="1"/>
      <c r="K295" s="1"/>
      <c r="Q295" s="1"/>
      <c r="R295" s="1"/>
      <c r="S295" s="1"/>
      <c r="T295" s="1"/>
    </row>
    <row r="296" spans="8:20" ht="12.75" customHeight="1">
      <c r="H296" s="1"/>
      <c r="I296" s="1"/>
      <c r="J296" s="1"/>
      <c r="K296" s="1"/>
      <c r="Q296" s="1"/>
      <c r="R296" s="1"/>
      <c r="S296" s="1"/>
      <c r="T296" s="1"/>
    </row>
    <row r="297" spans="8:20" ht="12.75" customHeight="1">
      <c r="I297" s="1"/>
      <c r="J297" s="1"/>
      <c r="K297" s="1"/>
      <c r="Q297" s="1"/>
      <c r="R297" s="1"/>
      <c r="S297" s="1"/>
      <c r="T297" s="1"/>
    </row>
    <row r="298" spans="8:20" ht="12.75" customHeight="1">
      <c r="Q298" s="1"/>
      <c r="R298" s="1"/>
      <c r="S298" s="1"/>
      <c r="T298" s="1"/>
    </row>
    <row r="299" spans="8:20" ht="12.75" customHeight="1">
      <c r="Q299" s="1"/>
      <c r="R299" s="1"/>
      <c r="S299" s="1"/>
      <c r="T299" s="1"/>
    </row>
    <row r="300" spans="8:20" ht="12.75" customHeight="1">
      <c r="Q300" s="1"/>
      <c r="R300" s="1"/>
      <c r="S300" s="1"/>
      <c r="T300" s="1"/>
    </row>
    <row r="301" spans="8:20" ht="12.75" customHeight="1">
      <c r="Q301" s="1"/>
      <c r="R301" s="1"/>
      <c r="S301" s="1"/>
      <c r="T301" s="1"/>
    </row>
    <row r="302" spans="8:20" ht="12.75" customHeight="1">
      <c r="Q302" s="1"/>
      <c r="R302" s="1"/>
      <c r="S302" s="1"/>
      <c r="T302" s="1"/>
    </row>
    <row r="303" spans="8:20" ht="12.75" customHeight="1">
      <c r="Q303" s="1"/>
      <c r="R303" s="1"/>
      <c r="S303" s="1"/>
      <c r="T303" s="1"/>
    </row>
    <row r="304" spans="8:20" ht="12.75" customHeight="1">
      <c r="Q304" s="1"/>
      <c r="R304" s="1"/>
      <c r="S304" s="1"/>
      <c r="T304" s="1"/>
    </row>
    <row r="305" spans="17:20" ht="12.75" customHeight="1">
      <c r="Q305" s="1"/>
      <c r="R305" s="1"/>
      <c r="S305" s="1"/>
      <c r="T305" s="1"/>
    </row>
    <row r="306" spans="17:20" ht="12.75" customHeight="1">
      <c r="Q306" s="1"/>
      <c r="R306" s="1"/>
      <c r="S306" s="1"/>
      <c r="T306" s="1"/>
    </row>
    <row r="307" spans="17:20" ht="12.75" customHeight="1">
      <c r="Q307" s="1"/>
      <c r="R307" s="1"/>
      <c r="S307" s="1"/>
      <c r="T307" s="1"/>
    </row>
    <row r="308" spans="17:20" ht="12.75" customHeight="1">
      <c r="Q308" s="1"/>
      <c r="R308" s="1"/>
      <c r="S308" s="1"/>
      <c r="T308" s="1"/>
    </row>
    <row r="309" spans="17:20" ht="12.75" customHeight="1">
      <c r="Q309" s="1"/>
      <c r="R309" s="1"/>
      <c r="S309" s="1"/>
      <c r="T309" s="1"/>
    </row>
    <row r="310" spans="17:20" ht="12.75" customHeight="1">
      <c r="Q310" s="1"/>
      <c r="R310" s="1"/>
      <c r="S310" s="1"/>
      <c r="T310" s="1"/>
    </row>
    <row r="311" spans="17:20" ht="12.75" customHeight="1">
      <c r="Q311" s="1"/>
      <c r="R311" s="1"/>
      <c r="S311" s="1"/>
      <c r="T311" s="1"/>
    </row>
    <row r="312" spans="17:20" ht="12.75" customHeight="1">
      <c r="Q312" s="1"/>
      <c r="R312" s="1"/>
      <c r="S312" s="1"/>
      <c r="T312" s="1"/>
    </row>
    <row r="313" spans="17:20" ht="12.75" customHeight="1">
      <c r="Q313" s="1"/>
      <c r="R313" s="1"/>
      <c r="S313" s="1"/>
      <c r="T313" s="1"/>
    </row>
    <row r="314" spans="17:20" ht="12.75" customHeight="1">
      <c r="Q314" s="1"/>
      <c r="R314" s="1"/>
      <c r="S314" s="1"/>
      <c r="T314" s="1"/>
    </row>
    <row r="315" spans="17:20" ht="12.75" customHeight="1">
      <c r="Q315" s="1"/>
      <c r="R315" s="1"/>
      <c r="S315" s="1"/>
      <c r="T315" s="1"/>
    </row>
    <row r="316" spans="17:20" ht="12.75" customHeight="1">
      <c r="Q316" s="1"/>
      <c r="R316" s="1"/>
      <c r="S316" s="1"/>
      <c r="T316" s="1"/>
    </row>
    <row r="317" spans="17:20" ht="12.75" customHeight="1">
      <c r="Q317" s="1"/>
      <c r="R317" s="1"/>
      <c r="S317" s="1"/>
      <c r="T317" s="1"/>
    </row>
    <row r="318" spans="17:20" ht="12.75" customHeight="1">
      <c r="Q318" s="1"/>
      <c r="R318" s="1"/>
      <c r="S318" s="1"/>
      <c r="T318" s="1"/>
    </row>
    <row r="319" spans="17:20" ht="12.75" customHeight="1">
      <c r="Q319" s="1"/>
      <c r="R319" s="1"/>
      <c r="S319" s="1"/>
      <c r="T319" s="1"/>
    </row>
    <row r="320" spans="17:20" ht="12.75" customHeight="1">
      <c r="Q320" s="1"/>
      <c r="R320" s="1"/>
      <c r="S320" s="1"/>
      <c r="T320" s="1"/>
    </row>
    <row r="321" spans="17:20" ht="12.75" customHeight="1">
      <c r="Q321" s="1"/>
      <c r="R321" s="1"/>
      <c r="S321" s="1"/>
      <c r="T321" s="1"/>
    </row>
    <row r="322" spans="17:20" ht="12.75" customHeight="1">
      <c r="Q322" s="1"/>
      <c r="R322" s="1"/>
      <c r="S322" s="1"/>
      <c r="T322" s="1"/>
    </row>
    <row r="323" spans="17:20" ht="12.75" customHeight="1">
      <c r="Q323" s="1"/>
      <c r="R323" s="1"/>
      <c r="S323" s="1"/>
      <c r="T323" s="1"/>
    </row>
    <row r="324" spans="17:20" ht="12.75" customHeight="1">
      <c r="Q324" s="1"/>
      <c r="R324" s="1"/>
      <c r="S324" s="1"/>
      <c r="T324" s="1"/>
    </row>
    <row r="325" spans="17:20" ht="12.75" customHeight="1">
      <c r="Q325" s="1"/>
      <c r="R325" s="1"/>
      <c r="S325" s="1"/>
      <c r="T325" s="1"/>
    </row>
    <row r="326" spans="17:20" ht="12.75" customHeight="1">
      <c r="Q326" s="1"/>
      <c r="R326" s="1"/>
      <c r="S326" s="1"/>
      <c r="T326" s="1"/>
    </row>
    <row r="327" spans="17:20" ht="12.75" customHeight="1">
      <c r="Q327" s="1"/>
      <c r="R327" s="1"/>
      <c r="S327" s="1"/>
      <c r="T327" s="1"/>
    </row>
    <row r="328" spans="17:20" ht="12.75" customHeight="1">
      <c r="Q328" s="1"/>
      <c r="R328" s="1"/>
      <c r="S328" s="1"/>
      <c r="T328" s="1"/>
    </row>
    <row r="329" spans="17:20" ht="12.75" customHeight="1">
      <c r="Q329" s="1"/>
      <c r="R329" s="1"/>
      <c r="S329" s="1"/>
      <c r="T329" s="1"/>
    </row>
    <row r="330" spans="17:20" ht="12.75" customHeight="1">
      <c r="Q330" s="1"/>
      <c r="R330" s="1"/>
      <c r="S330" s="1"/>
      <c r="T330" s="1"/>
    </row>
    <row r="331" spans="17:20" ht="12.75" customHeight="1">
      <c r="Q331" s="1"/>
      <c r="R331" s="1"/>
      <c r="S331" s="1"/>
      <c r="T331" s="1"/>
    </row>
    <row r="332" spans="17:20" ht="12.75" customHeight="1">
      <c r="Q332" s="1"/>
      <c r="R332" s="1"/>
      <c r="S332" s="1"/>
      <c r="T332" s="1"/>
    </row>
    <row r="333" spans="17:20" ht="12.75" customHeight="1">
      <c r="Q333" s="1"/>
      <c r="R333" s="1"/>
      <c r="S333" s="1"/>
      <c r="T333" s="1"/>
    </row>
    <row r="334" spans="17:20" ht="12.75" customHeight="1">
      <c r="Q334" s="1"/>
      <c r="R334" s="1"/>
      <c r="S334" s="1"/>
      <c r="T334" s="1"/>
    </row>
    <row r="335" spans="17:20" ht="12.75" customHeight="1">
      <c r="Q335" s="1"/>
      <c r="R335" s="1"/>
      <c r="S335" s="1"/>
      <c r="T335" s="1"/>
    </row>
    <row r="336" spans="17:20" ht="12.75" customHeight="1">
      <c r="Q336" s="1"/>
      <c r="R336" s="1"/>
      <c r="S336" s="1"/>
      <c r="T336" s="1"/>
    </row>
    <row r="337" spans="17:20" ht="12.75" customHeight="1">
      <c r="Q337" s="1"/>
      <c r="R337" s="1"/>
      <c r="S337" s="1"/>
      <c r="T337" s="1"/>
    </row>
    <row r="338" spans="17:20" ht="12.75" customHeight="1">
      <c r="Q338" s="1"/>
      <c r="R338" s="1"/>
      <c r="S338" s="1"/>
      <c r="T338" s="1"/>
    </row>
    <row r="339" spans="17:20" ht="12.75" customHeight="1">
      <c r="Q339" s="1"/>
      <c r="R339" s="1"/>
      <c r="S339" s="1"/>
      <c r="T339" s="1"/>
    </row>
    <row r="340" spans="17:20" ht="12.75" customHeight="1">
      <c r="Q340" s="1"/>
      <c r="R340" s="1"/>
      <c r="S340" s="1"/>
      <c r="T340" s="1"/>
    </row>
    <row r="341" spans="17:20" ht="12.75" customHeight="1">
      <c r="Q341" s="1"/>
      <c r="R341" s="1"/>
      <c r="S341" s="1"/>
      <c r="T341" s="1"/>
    </row>
    <row r="342" spans="17:20" ht="12.75" customHeight="1">
      <c r="Q342" s="1"/>
      <c r="R342" s="1"/>
      <c r="S342" s="1"/>
      <c r="T342" s="1"/>
    </row>
    <row r="343" spans="17:20" ht="12.75" customHeight="1">
      <c r="Q343" s="1"/>
      <c r="R343" s="1"/>
      <c r="S343" s="1"/>
      <c r="T343" s="1"/>
    </row>
    <row r="344" spans="17:20" ht="12.75" customHeight="1">
      <c r="Q344" s="1"/>
      <c r="R344" s="1"/>
      <c r="S344" s="1"/>
      <c r="T344" s="1"/>
    </row>
    <row r="345" spans="17:20" ht="12.75" customHeight="1">
      <c r="Q345" s="1"/>
      <c r="R345" s="1"/>
      <c r="S345" s="1"/>
      <c r="T345" s="1"/>
    </row>
    <row r="346" spans="17:20" ht="12.75" customHeight="1">
      <c r="Q346" s="1"/>
      <c r="R346" s="1"/>
      <c r="S346" s="1"/>
      <c r="T346" s="1"/>
    </row>
    <row r="347" spans="17:20" ht="12.75" customHeight="1">
      <c r="Q347" s="1"/>
      <c r="R347" s="1"/>
      <c r="S347" s="1"/>
      <c r="T347" s="1"/>
    </row>
    <row r="348" spans="17:20" ht="12.75" customHeight="1">
      <c r="Q348" s="1"/>
      <c r="R348" s="1"/>
      <c r="S348" s="1"/>
      <c r="T348" s="1"/>
    </row>
    <row r="349" spans="17:20" ht="12.75" customHeight="1">
      <c r="Q349" s="1"/>
      <c r="R349" s="1"/>
      <c r="S349" s="1"/>
      <c r="T349" s="1"/>
    </row>
    <row r="350" spans="17:20" ht="12.75" customHeight="1">
      <c r="Q350" s="1"/>
      <c r="R350" s="1"/>
      <c r="S350" s="1"/>
      <c r="T350" s="1"/>
    </row>
    <row r="351" spans="17:20" ht="12.75" customHeight="1">
      <c r="Q351" s="1"/>
      <c r="R351" s="1"/>
      <c r="S351" s="1"/>
      <c r="T351" s="1"/>
    </row>
    <row r="352" spans="17:20" ht="12.75" customHeight="1">
      <c r="R352" s="1"/>
      <c r="S352" s="1"/>
      <c r="T352" s="1"/>
    </row>
    <row r="353" spans="18:20" ht="12.75" customHeight="1">
      <c r="R353" s="1"/>
      <c r="S353" s="1"/>
      <c r="T353" s="1"/>
    </row>
  </sheetData>
  <customSheetViews>
    <customSheetView guid="{9180F71E-9CF3-48FD-9127-9BC9888EC40C}" scale="75" printArea="1" hiddenColumns="1" showRuler="0" topLeftCell="AJ1">
      <selection activeCell="AQ6" sqref="AQ6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1"/>
      <headerFooter alignWithMargins="0"/>
    </customSheetView>
    <customSheetView guid="{6734E4FA-60B7-471C-AEFF-A65F9BB053D8}" scale="60" showPageBreaks="1" printArea="1" hiddenColumns="1" view="pageBreakPreview" showRuler="0" topLeftCell="DL1">
      <selection activeCell="DR1" sqref="DR1"/>
      <colBreaks count="4" manualBreakCount="4">
        <brk id="92" max="55" man="1"/>
        <brk id="102" max="57" man="1"/>
        <brk id="112" max="57" man="1"/>
        <brk id="121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"/>
      <headerFooter alignWithMargins="0"/>
    </customSheetView>
    <customSheetView guid="{E75FE358-FE2D-4487-BA5A-B5AB72EE82DF}" showPageBreaks="1" fitToPage="1" printArea="1" showRuler="0" topLeftCell="BY1">
      <selection activeCell="BZ1" sqref="BZ1:CC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3"/>
      <headerFooter alignWithMargins="0"/>
    </customSheetView>
    <customSheetView guid="{416960AD-1B0E-43B1-BBE2-4C2BAE619099}" showPageBreaks="1" fitToPage="1" printArea="1" showRuler="0" topLeftCell="BP1">
      <selection activeCell="BR1" sqref="BR1:BU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4"/>
      <headerFooter alignWithMargins="0"/>
    </customSheetView>
    <customSheetView guid="{9BA720D1-BA25-4C52-A40B-874BAF7D1762}" showPageBreaks="1" fitToPage="1" printArea="1" showRuler="0" topLeftCell="BJ1">
      <selection activeCell="BK1" sqref="BK1:BQ3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5"/>
      <headerFooter alignWithMargins="0"/>
    </customSheetView>
    <customSheetView guid="{1C1C43A1-DC1D-4B83-8878-3010F6B52F39}" showPageBreaks="1" fitToPage="1" printArea="1" showRuler="0" topLeftCell="BF1">
      <selection activeCell="BF1" sqref="BF1:BJ2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6"/>
      <headerFooter alignWithMargins="0"/>
    </customSheetView>
    <customSheetView guid="{1B900283-A429-4403-A9D8-C71CBE042C5B}" showPageBreaks="1" fitToPage="1" printArea="1" showRuler="0" topLeftCell="AZ1">
      <selection activeCell="BA1" sqref="BA1:BE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7"/>
      <headerFooter alignWithMargins="0"/>
    </customSheetView>
    <customSheetView guid="{4D415296-881A-4775-98CD-22EFE3033486}" showPageBreaks="1" fitToPage="1" printArea="1" showRuler="0" topLeftCell="AR1">
      <selection activeCell="AT1" sqref="AT1:AW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8"/>
      <headerFooter alignWithMargins="0"/>
    </customSheetView>
    <customSheetView guid="{363BCC7B-365C-4862-8308-FD01127C4AC4}" showPageBreaks="1" fitToPage="1" printArea="1" showRuler="0" topLeftCell="AN1">
      <selection activeCell="AP1" sqref="AP1:AS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9"/>
      <headerFooter alignWithMargins="0"/>
    </customSheetView>
    <customSheetView guid="{31DFCE0A-9DA6-4A87-B609-465F85B537E0}" showPageBreaks="1" fitToPage="1" printArea="1" showRuler="0" topLeftCell="A34">
      <selection activeCell="F50" sqref="A1:F5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0"/>
      <headerFooter alignWithMargins="0"/>
    </customSheetView>
    <customSheetView guid="{3CBED636-2D45-404E-AAC8-3EE8AD1E87DC}" showPageBreaks="1" fitToPage="1" printArea="1" showRuler="0" topLeftCell="CH1">
      <selection activeCell="CJ1" sqref="CJ1:CN3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1"/>
      <headerFooter alignWithMargins="0"/>
    </customSheetView>
    <customSheetView guid="{5528C217-5C85-409E-BEF2-118EFA30D59F}" showPageBreaks="1" fitToPage="1" printArea="1" showRuler="0" topLeftCell="CH33">
      <selection activeCell="CJ34" sqref="CJ34:CN5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2"/>
      <headerFooter alignWithMargins="0"/>
    </customSheetView>
    <customSheetView guid="{F0C9B202-A28C-4D84-9483-9F8FC93D796D}" showPageBreaks="1" fitToPage="1" printArea="1" showRuler="0" topLeftCell="CH54">
      <selection activeCell="CJ56" sqref="CJ56:CN79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3"/>
      <headerFooter alignWithMargins="0"/>
    </customSheetView>
    <customSheetView guid="{BEBB2007-766E-4870-AB0B-58E56CB3F651}" scale="75" printArea="1" showRuler="0" topLeftCell="CA2">
      <selection activeCell="CD2" sqref="CD2:CI33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14"/>
      <headerFooter alignWithMargins="0"/>
    </customSheetView>
    <customSheetView guid="{368BDFFC-8B6F-4E1E-88F3-F226428845CF}" showPageBreaks="1" fitToPage="1" printArea="1" showRuler="0" topLeftCell="BJ1">
      <selection activeCell="BK1" sqref="BK1:BQ3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5"/>
      <headerFooter alignWithMargins="0"/>
    </customSheetView>
    <customSheetView guid="{57344CAB-EDB4-4D23-8F83-6632FA133D6F}" showPageBreaks="1" fitToPage="1" printArea="1" showRuler="0" topLeftCell="AF1">
      <selection activeCell="AG1" sqref="AG1:AK2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6"/>
      <headerFooter alignWithMargins="0"/>
    </customSheetView>
    <customSheetView guid="{2C3700F5-7337-49E6-9C17-9B49CE910373}" showPageBreaks="1" fitToPage="1" printArea="1" showRuler="0" topLeftCell="AA1">
      <selection activeCell="AB1" sqref="AB1:AF5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7"/>
      <headerFooter alignWithMargins="0"/>
    </customSheetView>
    <customSheetView guid="{833E8250-6973-4555-A9B1-5ACEC89F3481}" showPageBreaks="1" fitToPage="1" printArea="1" showRuler="0" topLeftCell="X1">
      <selection activeCell="X1" sqref="X1:AA25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8"/>
      <headerFooter alignWithMargins="0"/>
    </customSheetView>
    <customSheetView guid="{70410578-0BAB-407F-B45A-A1FD00E78914}" showPageBreaks="1" fitToPage="1" printArea="1" showRuler="0" topLeftCell="R1">
      <selection activeCell="T1" sqref="T1:W48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9"/>
      <headerFooter alignWithMargins="0"/>
    </customSheetView>
    <customSheetView guid="{114781A2-0298-429A-B53B-CCDE7FC07C8A}" showPageBreaks="1" fitToPage="1" printArea="1" showRuler="0" topLeftCell="O1">
      <selection activeCell="P1" sqref="P1:S2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0"/>
      <headerFooter alignWithMargins="0"/>
    </customSheetView>
    <customSheetView guid="{1E45DDAB-A557-4269-B1F7-CCA75743796E}" showPageBreaks="1" fitToPage="1" printArea="1" showRuler="0" topLeftCell="J1">
      <selection activeCell="L1" sqref="L1:O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1"/>
      <headerFooter alignWithMargins="0"/>
    </customSheetView>
    <customSheetView guid="{DF51FD8A-8BA9-46B7-B455-DFD0D532E42D}" showPageBreaks="1" fitToPage="1" printArea="1" showRuler="0" topLeftCell="E1">
      <selection activeCell="G1" sqref="G1:K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2"/>
      <headerFooter alignWithMargins="0"/>
    </customSheetView>
  </customSheetViews>
  <mergeCells count="1">
    <mergeCell ref="H41:J41"/>
  </mergeCells>
  <phoneticPr fontId="23" type="noConversion"/>
  <conditionalFormatting sqref="CO59:CQ59">
    <cfRule type="cellIs" dxfId="2" priority="18" stopIfTrue="1" operator="equal">
      <formula>"OK"</formula>
    </cfRule>
    <cfRule type="cellIs" dxfId="1" priority="19" stopIfTrue="1" operator="equal">
      <formula>"ERROR"</formula>
    </cfRule>
  </conditionalFormatting>
  <conditionalFormatting sqref="F1 K1 P1 T1 X1 AC1 AJ1 AN1 AR1 AW1 BB1 BG1 BL1 BQ1 A1">
    <cfRule type="cellIs" dxfId="0" priority="17" stopIfTrue="1" operator="notEqual">
      <formula>0</formula>
    </cfRule>
  </conditionalFormatting>
  <printOptions horizontalCentered="1"/>
  <pageMargins left="0.5" right="0.25" top="0.78" bottom="0.45" header="0.5" footer="0.5"/>
  <pageSetup orientation="portrait" r:id="rId23"/>
  <headerFooter alignWithMargins="0"/>
  <colBreaks count="2" manualBreakCount="2">
    <brk id="80" max="57" man="1"/>
    <brk id="90" max="5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2016-10-31T07:00:00+00:00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5D26E77-D4FE-4F46-B97E-85250A560348}"/>
</file>

<file path=customXml/itemProps2.xml><?xml version="1.0" encoding="utf-8"?>
<ds:datastoreItem xmlns:ds="http://schemas.openxmlformats.org/officeDocument/2006/customXml" ds:itemID="{235FCA92-1571-4712-A4F9-7FDFCCCCDFA7}"/>
</file>

<file path=customXml/itemProps3.xml><?xml version="1.0" encoding="utf-8"?>
<ds:datastoreItem xmlns:ds="http://schemas.openxmlformats.org/officeDocument/2006/customXml" ds:itemID="{84A32203-C528-412B-88E8-5453F3E9EAE0}"/>
</file>

<file path=customXml/itemProps4.xml><?xml version="1.0" encoding="utf-8"?>
<ds:datastoreItem xmlns:ds="http://schemas.openxmlformats.org/officeDocument/2006/customXml" ds:itemID="{FBFA436D-DA37-482F-9623-3A056590A2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28</vt:i4>
      </vt:variant>
    </vt:vector>
  </HeadingPairs>
  <TitlesOfParts>
    <vt:vector size="32" baseType="lpstr">
      <vt:lpstr>1.01 ROR ROE</vt:lpstr>
      <vt:lpstr>1.02 COC</vt:lpstr>
      <vt:lpstr>GRB</vt:lpstr>
      <vt:lpstr>model</vt:lpstr>
      <vt:lpstr>_3.01</vt:lpstr>
      <vt:lpstr>_3.02</vt:lpstr>
      <vt:lpstr>_3.03</vt:lpstr>
      <vt:lpstr>_3.04</vt:lpstr>
      <vt:lpstr>_3.05</vt:lpstr>
      <vt:lpstr>_3.06</vt:lpstr>
      <vt:lpstr>_3.07</vt:lpstr>
      <vt:lpstr>_3.08</vt:lpstr>
      <vt:lpstr>_3.09</vt:lpstr>
      <vt:lpstr>_3.10</vt:lpstr>
      <vt:lpstr>_3.11</vt:lpstr>
      <vt:lpstr>_3.12</vt:lpstr>
      <vt:lpstr>_3.13</vt:lpstr>
      <vt:lpstr>_3.A</vt:lpstr>
      <vt:lpstr>_3.B</vt:lpstr>
      <vt:lpstr>_4.01</vt:lpstr>
      <vt:lpstr>_FEDERAL_INCOME_TAX</vt:lpstr>
      <vt:lpstr>DOCKET</vt:lpstr>
      <vt:lpstr>FEDERAL_INCOME_TAX</vt:lpstr>
      <vt:lpstr>FIT</vt:lpstr>
      <vt:lpstr>INCSTMNT</vt:lpstr>
      <vt:lpstr>model!Print_Area</vt:lpstr>
      <vt:lpstr>PSPL</vt:lpstr>
      <vt:lpstr>RESULTS_OF_OPERATIONS</vt:lpstr>
      <vt:lpstr>STATE_UTILITY_TAX</vt:lpstr>
      <vt:lpstr>SUMMARY</vt:lpstr>
      <vt:lpstr>TESTYEAR</vt:lpstr>
      <vt:lpstr>UTG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Neal Edward Pedersen</cp:lastModifiedBy>
  <cp:lastPrinted>2016-10-03T15:57:37Z</cp:lastPrinted>
  <dcterms:created xsi:type="dcterms:W3CDTF">1997-10-13T22:59:17Z</dcterms:created>
  <dcterms:modified xsi:type="dcterms:W3CDTF">2016-10-24T16:08:53Z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