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8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 activeTab="1"/>
  </bookViews>
  <sheets>
    <sheet name="UE-19____ Prop Base prelim" sheetId="2" r:id="rId1"/>
    <sheet name="Compare to UE-170485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Dec03">[2]BS!$T$7:$T$3582</definedName>
    <definedName name="__Dec04">[3]BS!$AC$7:$AC$3580</definedName>
    <definedName name="__Feb04">[4]BS!#REF!</definedName>
    <definedName name="__Jan04">[4]BS!#REF!</definedName>
    <definedName name="__Jul04">[3]BS!$X$7:$X$3582</definedName>
    <definedName name="__Jun04">[3]BS!$W$7:$W$3582</definedName>
    <definedName name="__Mar04">[4]BS!#REF!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_six6" hidden="1">{#N/A,#N/A,FALSE,"CRPT";#N/A,#N/A,FALSE,"TREND";#N/A,#N/A,FALSE,"%Curve"}</definedName>
    <definedName name="__www1" hidden="1">{#N/A,#N/A,FALSE,"schA"}</definedName>
    <definedName name="_1_94_12_94">[5]DT_A_DOL93!#REF!</definedName>
    <definedName name="_1_95_12_95">[5]DT_A_DOL93!#REF!</definedName>
    <definedName name="_1_96_12_96">[5]DT_A_DOL93!#REF!</definedName>
    <definedName name="_1_97_12_97">[5]DT_A_DOL93!#REF!</definedName>
    <definedName name="_1_98_12_98">[5]DT_A_DOL93!#REF!</definedName>
    <definedName name="_Apr04">[3]BS!$U$7:$U$3582</definedName>
    <definedName name="_Apr05">[6]BS!#REF!</definedName>
    <definedName name="_Aug04">[3]BS!$Y$7:$Y$3582</definedName>
    <definedName name="_Aug05">[6]BS!#REF!</definedName>
    <definedName name="_Dec03">[2]BS!$T$7:$T$3582</definedName>
    <definedName name="_Dec04">[3]BS!$AC$7:$AC$3580</definedName>
    <definedName name="_End">[6]BS!#REF!</definedName>
    <definedName name="_ex1" hidden="1">{#N/A,#N/A,FALSE,"Summ";#N/A,#N/A,FALSE,"General"}</definedName>
    <definedName name="_Feb04">[3]BS!$S$7:$S$3582</definedName>
    <definedName name="_Feb05">[6]BS!#REF!</definedName>
    <definedName name="_Fill">[7]model!#REF!</definedName>
    <definedName name="_Jan04">[3]BS!$R$7:$R$3582</definedName>
    <definedName name="_Jan05">[6]BS!#REF!</definedName>
    <definedName name="_Jul04">[3]BS!$X$7:$X$3582</definedName>
    <definedName name="_Jul05">[6]BS!#REF!</definedName>
    <definedName name="_Jun04">[3]BS!$W$7:$W$3582</definedName>
    <definedName name="_Jun05">[6]BS!#REF!</definedName>
    <definedName name="_Key1" hidden="1">#REF!</definedName>
    <definedName name="_Key2" hidden="1">#REF!</definedName>
    <definedName name="_Mar04">[3]BS!$T$7:$T$3582</definedName>
    <definedName name="_Mar05">[6]BS!#REF!</definedName>
    <definedName name="_May04">[3]BS!$V$7:$V$3582</definedName>
    <definedName name="_May05">[6]BS!#REF!</definedName>
    <definedName name="_new1" hidden="1">{#N/A,#N/A,FALSE,"Summ";#N/A,#N/A,FALSE,"General"}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 hidden="1">255</definedName>
    <definedName name="_Order2" hidden="1">255</definedName>
    <definedName name="_Regression_Int" hidden="1">1</definedName>
    <definedName name="_Sep03">[2]BS!$Q$7:$Q$3582</definedName>
    <definedName name="_Sep04">[3]BS!$Z$7:$Z$3582</definedName>
    <definedName name="_Sep05">[6]BS!#REF!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cq1Plant">'[8]Acquisition Inputs'!$C$8</definedName>
    <definedName name="Acq2Plant">'[8]Acquisition Inputs'!$C$70</definedName>
    <definedName name="apeek">#REF!</definedName>
    <definedName name="Apr03AMA">[4]BS!#REF!</definedName>
    <definedName name="Apr04AMA">[3]BS!$AG$7:$AG$3582</definedName>
    <definedName name="Apr05AMA">[6]BS!#REF!</definedName>
    <definedName name="AS2DocOpenMode" hidden="1">"AS2DocumentEdit"</definedName>
    <definedName name="Aug03AMA">[4]BS!#REF!</definedName>
    <definedName name="Aug04AMA">[3]BS!$AK$7:$AK$3582</definedName>
    <definedName name="Aug05AMA">[6]BS!#REF!</definedName>
    <definedName name="Aurora_Prices">"Monthly Price Summary'!$C$4:$H$63"</definedName>
    <definedName name="b" hidden="1">{#N/A,#N/A,FALSE,"Coversheet";#N/A,#N/A,FALSE,"QA"}</definedName>
    <definedName name="BADDEBT">[7]model!#REF!</definedName>
    <definedName name="Base1_Billing2">'[9]2013'!$N$8</definedName>
    <definedName name="BD">[10]model!#REF!</definedName>
    <definedName name="BEP">[7]model!#REF!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ottomRight">#REF!</definedName>
    <definedName name="Capacity">#REF!</definedName>
    <definedName name="CaseDescription">'[8]Dispatch Cases'!$C$11</definedName>
    <definedName name="CBWorkbookPriority" hidden="1">-2060790043</definedName>
    <definedName name="CCGT_HeatRate">[8]Assumptions!$H$23</definedName>
    <definedName name="CCGTPrice">[8]Assumptions!$H$22</definedName>
    <definedName name="CL_RT">#REF!</definedName>
    <definedName name="CL_RT2">'[11]Transp Data'!$A$6:$C$81</definedName>
    <definedName name="COLHOUSE">[7]model!#REF!</definedName>
    <definedName name="COLXFER">[7]model!#REF!</definedName>
    <definedName name="CombWC_LineItem">[6]BS!#REF!</definedName>
    <definedName name="COMMON_ADMIN_ALLOCATED">#REF!</definedName>
    <definedName name="COMPINSR">#REF!</definedName>
    <definedName name="CONSERV">#REF!</definedName>
    <definedName name="Consv_Rdr_Rt">[12]Sch_120!#REF!</definedName>
    <definedName name="ContractDate">'[13]Dispatch Cases'!#REF!</definedName>
    <definedName name="Conv_Factor">[12]Sch_120!#REF!</definedName>
    <definedName name="ConversionFactor">[8]Assumptions!$I$65</definedName>
    <definedName name="CONVFACT">#REF!</definedName>
    <definedName name="CurrQtr">'[14]Inc Stmt'!$AJ$222</definedName>
    <definedName name="cust">#REF!</definedName>
    <definedName name="CUSTDEP">#REF!</definedName>
    <definedName name="Data">#REF!</definedName>
    <definedName name="Data.Avg">'[14]Avg Amts'!$A$5:$BP$34</definedName>
    <definedName name="Data.Qtrs.Avg">'[14]Avg Amts'!$A$5:$IV$5</definedName>
    <definedName name="DebtPerc">[8]Assumptions!$I$58</definedName>
    <definedName name="Dec02AMA">[4]BS!#REF!</definedName>
    <definedName name="Dec03AMA">[2]BS!$AJ$7:$AJ$3582</definedName>
    <definedName name="Dec04AMA">[3]BS!$AO$7:$AO$3582</definedName>
    <definedName name="Degree_Days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>#REF!</definedName>
    <definedName name="DF_HeatRate">[8]Assumptions!$L$23</definedName>
    <definedName name="DFIT" hidden="1">{#N/A,#N/A,FALSE,"Coversheet";#N/A,#N/A,FALSE,"QA"}</definedName>
    <definedName name="Disc">'[13]Debt Amortization'!#REF!</definedName>
    <definedName name="DOCKET">#REF!</definedName>
    <definedName name="ee" hidden="1">{#N/A,#N/A,FALSE,"Month ";#N/A,#N/A,FALSE,"YTD";#N/A,#N/A,FALSE,"12 mo ended"}</definedName>
    <definedName name="Electp1">#REF!</definedName>
    <definedName name="Electp2">#REF!</definedName>
    <definedName name="Electric_Prices">'[15]Monthly Price Summary'!$B$4:$E$27</definedName>
    <definedName name="ElecWC_LineItems">[6]BS!#REF!</definedName>
    <definedName name="ElRBLine">[3]BS!$AQ$7:$AQ$3303</definedName>
    <definedName name="EMPLBENE">#REF!</definedName>
    <definedName name="EndDate">[8]Assumptions!$C$11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ACTORS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3AMA">[4]BS!#REF!</definedName>
    <definedName name="Feb04AMA">[3]BS!$AE$7:$AE$3582</definedName>
    <definedName name="Feb05AMA">[6]BS!#REF!</definedName>
    <definedName name="Fed_Cap_Tax">[16]Inputs!$E$112</definedName>
    <definedName name="FEDERAL_INCOME_TAX">#REF!</definedName>
    <definedName name="FedTaxRate">[8]Assumptions!$C$33</definedName>
    <definedName name="FF">#REF!</definedName>
    <definedName name="ffff" hidden="1">{#N/A,#N/A,FALSE,"Coversheet";#N/A,#N/A,FALSE,"QA"}</definedName>
    <definedName name="fffgf" hidden="1">{#N/A,#N/A,FALSE,"Coversheet";#N/A,#N/A,FALSE,"QA"}</definedName>
    <definedName name="FIELDCHRG">#REF!</definedName>
    <definedName name="Final">#REF!</definedName>
    <definedName name="FIT">'[17]2.29'!#REF!</definedName>
    <definedName name="Fuel">#REF!</definedName>
    <definedName name="GasRBLine">[3]BS!$AS$7:$AS$3631</definedName>
    <definedName name="GasWC_LineItem">[3]BS!$AR$7:$AR$3631</definedName>
    <definedName name="GeoDate">'[13]Dispatch Cases'!#REF!</definedName>
    <definedName name="graph">#REF!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HydroCap">#REF!</definedName>
    <definedName name="HydroGen">[13]Dispatch!#REF!</definedName>
    <definedName name="inact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NT">#REF!</definedName>
    <definedName name="INCSTMT">#REF!</definedName>
    <definedName name="Inputs">'[18]Daily Calc'!#REF!</definedName>
    <definedName name="INTRESEXCH">#REF!</definedName>
    <definedName name="INVPLAN">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>[4]BS!#REF!</definedName>
    <definedName name="Jan04AMA">[3]BS!$AD$7:$AD$3582</definedName>
    <definedName name="Jan05AMA">[6]BS!#REF!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l03AMA">[4]BS!#REF!</definedName>
    <definedName name="Jul04AMA">[3]BS!$AJ$7:$AJ$3582</definedName>
    <definedName name="Jul05AMA">[6]BS!#REF!</definedName>
    <definedName name="Jun03AMA">[4]BS!#REF!</definedName>
    <definedName name="Jun04AMA">[3]BS!$AI$7:$AI$3582</definedName>
    <definedName name="Jun05AMA">[6]BS!#REF!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TEPAY">#REF!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oadArray">'[19]Load Source Data'!$C$78:$X$89</definedName>
    <definedName name="LoadGrowthAdder">#REF!</definedName>
    <definedName name="lookup" hidden="1">{#N/A,#N/A,FALSE,"Coversheet";#N/A,#N/A,FALSE,"QA"}</definedName>
    <definedName name="Mar03AMA">[4]BS!#REF!</definedName>
    <definedName name="Mar04AMA">[3]BS!$AF$7:$AF$3582</definedName>
    <definedName name="Mar05AMA">[6]BS!#REF!</definedName>
    <definedName name="May03AMA">[4]BS!#REF!</definedName>
    <definedName name="May04AMA">[3]BS!$AH$7:$AH$3582</definedName>
    <definedName name="May05AMA">[6]BS!#REF!</definedName>
    <definedName name="MERGER_COST">[20]Sheet1!$AF$3:$AJ$28</definedName>
    <definedName name="MERGERCOSTS">[21]model!#REF!</definedName>
    <definedName name="Miller" hidden="1">{#N/A,#N/A,FALSE,"Expenditures";#N/A,#N/A,FALSE,"Property Placed In-Service";#N/A,#N/A,FALSE,"CWIP Balances"}</definedName>
    <definedName name="MISCELLANEOUS">#REF!</definedName>
    <definedName name="MonTotalDispatch">[13]Dispatch!#REF!</definedName>
    <definedName name="MT">#REF!</definedName>
    <definedName name="MTD_Format">[22]Mthly!$B$11:$D$11,[22]Mthly!$B$32:$D$32</definedName>
    <definedName name="MustRunGen">[13]Dispatch!#REF!</definedName>
    <definedName name="new" hidden="1">{#N/A,#N/A,FALSE,"Summ";#N/A,#N/A,FALSE,"General"}</definedName>
    <definedName name="Nov03AMA">[2]BS!$AI$7:$AI$3582</definedName>
    <definedName name="Nov04AMA">[3]BS!$AN$7:$AN$3582</definedName>
    <definedName name="NWSales_MWH">[5]DT_A_AMW93!#REF!</definedName>
    <definedName name="OBCLEASE">#REF!</definedName>
    <definedName name="Oct03AMA">[2]BS!$AH$7:$AH$3582</definedName>
    <definedName name="Oct04AMA">[3]BS!$AM$7:$AM$3582</definedName>
    <definedName name="OPEXPPF">#REF!</definedName>
    <definedName name="OPEXPRS">#REF!</definedName>
    <definedName name="outlookdata">'[23]pivoted data'!$D$3:$Q$90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EBBLE">#REF!</definedName>
    <definedName name="Percent_debt">[16]Inputs!$E$129</definedName>
    <definedName name="PERCENTAGES_CALCULATED">#REF!</definedName>
    <definedName name="PreTaxDebtCost">[8]Assumptions!$I$56</definedName>
    <definedName name="PreTaxWACC">[8]Assumptions!$I$62</definedName>
    <definedName name="PriceCaseTable">#REF!</definedName>
    <definedName name="Prices_Aurora">'[15]Monthly Price Summary'!$C$4:$H$63</definedName>
    <definedName name="_xlnm.Print_Area" localSheetId="0">'UE-19____ Prop Base prelim'!$A$1:$K$36,'UE-19____ Prop Base prelim'!$D$45:$I$69,'UE-19____ Prop Base prelim'!$A$71:$Q$107,'UE-19____ Prop Base prelim'!$L$37:$Q$69,'UE-19____ Prop Base prelim'!$A$109:$R$165</definedName>
    <definedName name="_xlnm.Print_Titles" localSheetId="0">'UE-19____ Prop Base prelim'!$A:$C</definedName>
    <definedName name="PRO_FORMA">#REF!</definedName>
    <definedName name="PRODADJ">#REF!</definedName>
    <definedName name="Prodprop">#REF!</definedName>
    <definedName name="Production_Factor">#REF!</definedName>
    <definedName name="PROPSALES">#REF!</definedName>
    <definedName name="Prov_Cap_Tax">[16]Inputs!$E$111</definedName>
    <definedName name="PSPL">#REF!</definedName>
    <definedName name="PWRCSTPF">#REF!</definedName>
    <definedName name="PWRCSTRS">#REF!</definedName>
    <definedName name="PWRCSTWP">#REF!</definedName>
    <definedName name="PWRCSTWR">#REF!</definedName>
    <definedName name="PXPACC1_ALL_MERGE">#REF!</definedName>
    <definedName name="q" hidden="1">{#N/A,#N/A,FALSE,"Coversheet";#N/A,#N/A,FALSE,"QA"}</definedName>
    <definedName name="QA">[24]IPOA2002!#REF!</definedName>
    <definedName name="qqq" hidden="1">{#N/A,#N/A,FALSE,"schA"}</definedName>
    <definedName name="RATE">#REF!</definedName>
    <definedName name="RATE2">'[11]Transp Data'!$A$8:$I$112</definedName>
    <definedName name="RATEBASE">#REF!</definedName>
    <definedName name="RATEBASE_U95">#REF!</definedName>
    <definedName name="RATECASE">#REF!</definedName>
    <definedName name="regasset">#REF!</definedName>
    <definedName name="resource_lookup">'[25]#REF'!$B$3:$C$112</definedName>
    <definedName name="RESTATING">#REF!</definedName>
    <definedName name="Results">#REF!</definedName>
    <definedName name="RETIREPLAN">#REF!</definedName>
    <definedName name="REV">#REF!</definedName>
    <definedName name="REVADJ">#REF!</definedName>
    <definedName name="REVREQ">#REF!</definedName>
    <definedName name="ROE">#REF!</definedName>
    <definedName name="ROR">#REF!</definedName>
    <definedName name="SALESRESALEP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cSSW_MWH">[5]DT_A_AMW93!#REF!</definedName>
    <definedName name="Sep03AMA">[2]BS!$AG$7:$AG$3582</definedName>
    <definedName name="Sep04AMA">[3]BS!$AL$7:$AL$3582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KAGIT">#REF!</definedName>
    <definedName name="SLFINSURANCE">#REF!</definedName>
    <definedName name="SolarDate">'[13]Dispatch Cases'!#REF!</definedName>
    <definedName name="STAFFREDUC">#REF!</definedName>
    <definedName name="StartDate">[8]Assumptions!$C$9</definedName>
    <definedName name="STORM">#REF!</definedName>
    <definedName name="SUMMARY">#REF!</definedName>
    <definedName name="SWSales_MWH">[5]DT_A_AMW93!#REF!</definedName>
    <definedName name="t" hidden="1">{#N/A,#N/A,FALSE,"CESTSUM";#N/A,#N/A,FALSE,"est sum A";#N/A,#N/A,FALSE,"est detail A"}</definedName>
    <definedName name="TAXCORPLIC">#REF!</definedName>
    <definedName name="TAXENERGYP">#REF!</definedName>
    <definedName name="TAXENERGYR">#REF!</definedName>
    <definedName name="TAXEXCISE">#REF!</definedName>
    <definedName name="TAXFICA">#REF!</definedName>
    <definedName name="TAXFUT">#REF!</definedName>
    <definedName name="TAXINCOME">#REF!</definedName>
    <definedName name="TAXMEDICARE">#REF!</definedName>
    <definedName name="TAXPFINT">#REF!</definedName>
    <definedName name="TAXPROPERTY">#REF!</definedName>
    <definedName name="TAXSUT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#REF!</definedName>
    <definedName name="TenaskaShare">[13]Dispatch!#REF!</definedName>
    <definedName name="Test">[6]BS!#REF!</definedName>
    <definedName name="TESTYEAR">#REF!</definedName>
    <definedName name="Therm_upload">#REF!</definedName>
    <definedName name="ThermalBookLife">[8]Assumptions!$C$25</definedName>
    <definedName name="therms">#REF!</definedName>
    <definedName name="THM_ALL_YEARS">#REF!</definedName>
    <definedName name="Title">[8]Assumptions!$A$1</definedName>
    <definedName name="TopLeft">#REF!</definedName>
    <definedName name="tr" hidden="1">{#N/A,#N/A,FALSE,"CESTSUM";#N/A,#N/A,FALSE,"est sum A";#N/A,#N/A,FALSE,"est detail A"}</definedName>
    <definedName name="TRADING_NET">[5]DT_A_DOL93!#REF!</definedName>
    <definedName name="tran_revenue">#REF!</definedName>
    <definedName name="Transfer" hidden="1">#REF!</definedName>
    <definedName name="Transfers" hidden="1">#REF!</definedName>
    <definedName name="u" hidden="1">{#N/A,#N/A,FALSE,"Summ";#N/A,#N/A,FALSE,"General"}</definedName>
    <definedName name="UBakerAvail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TG">#REF!</definedName>
    <definedName name="UTN">#REF!</definedName>
    <definedName name="v" hidden="1">{#N/A,#N/A,FALSE,"Coversheet";#N/A,#N/A,FALSE,"QA"}</definedName>
    <definedName name="Value" hidden="1">{#N/A,#N/A,FALSE,"Summ";#N/A,#N/A,FALSE,"General"}</definedName>
    <definedName name="VOMEsc">[8]Assumptions!$C$21</definedName>
    <definedName name="w" hidden="1">{#N/A,#N/A,FALSE,"Schedule F";#N/A,#N/A,FALSE,"Schedule G"}</definedName>
    <definedName name="WACC">[8]Assumptions!$I$61</definedName>
    <definedName name="WAGES">[7]model!#REF!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indDate">'[26]Dispatch Cases'!#REF!</definedName>
    <definedName name="WRKCAP">[7]model!#REF!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'[27]Revison Inputs'!$B$6</definedName>
    <definedName name="yuf" hidden="1">{#N/A,#N/A,FALSE,"Summ";#N/A,#N/A,FALSE,"General"}</definedName>
    <definedName name="z" hidden="1">{#N/A,#N/A,FALSE,"Coversheet";#N/A,#N/A,FALSE,"QA"}</definedName>
  </definedNames>
  <calcPr calcId="152511"/>
</workbook>
</file>

<file path=xl/calcChain.xml><?xml version="1.0" encoding="utf-8"?>
<calcChain xmlns="http://schemas.openxmlformats.org/spreadsheetml/2006/main">
  <c r="E40" i="3" l="1"/>
  <c r="L43" i="3"/>
  <c r="C33" i="3"/>
  <c r="I33" i="3" s="1"/>
  <c r="G45" i="3" s="1"/>
  <c r="F31" i="3"/>
  <c r="G31" i="3"/>
  <c r="G34" i="3" s="1"/>
  <c r="H31" i="3"/>
  <c r="E31" i="3"/>
  <c r="J39" i="3" s="1"/>
  <c r="K39" i="3" s="1"/>
  <c r="L39" i="3" s="1"/>
  <c r="J30" i="3"/>
  <c r="I30" i="3"/>
  <c r="F30" i="3"/>
  <c r="G30" i="3"/>
  <c r="H30" i="3"/>
  <c r="E30" i="3"/>
  <c r="J29" i="3"/>
  <c r="I29" i="3"/>
  <c r="F29" i="3"/>
  <c r="G29" i="3"/>
  <c r="H29" i="3"/>
  <c r="E29" i="3"/>
  <c r="I45" i="3"/>
  <c r="J43" i="3"/>
  <c r="I43" i="3"/>
  <c r="I42" i="3"/>
  <c r="I40" i="3"/>
  <c r="I39" i="3"/>
  <c r="F39" i="3"/>
  <c r="F47" i="3" s="1"/>
  <c r="E39" i="3"/>
  <c r="F38" i="3"/>
  <c r="E38" i="3"/>
  <c r="H34" i="3"/>
  <c r="F34" i="3"/>
  <c r="J33" i="3"/>
  <c r="J35" i="3" s="1"/>
  <c r="J36" i="3" s="1"/>
  <c r="F33" i="3"/>
  <c r="D31" i="3"/>
  <c r="D30" i="3"/>
  <c r="E22" i="3"/>
  <c r="J21" i="3"/>
  <c r="J20" i="3"/>
  <c r="J18" i="3"/>
  <c r="I18" i="3"/>
  <c r="I46" i="3" s="1"/>
  <c r="J17" i="3"/>
  <c r="I17" i="3"/>
  <c r="F17" i="3"/>
  <c r="E17" i="3"/>
  <c r="D17" i="3"/>
  <c r="J14" i="3"/>
  <c r="I14" i="3"/>
  <c r="H14" i="3"/>
  <c r="F22" i="3" s="1"/>
  <c r="G14" i="3"/>
  <c r="F14" i="3"/>
  <c r="F18" i="3" s="1"/>
  <c r="E14" i="3"/>
  <c r="E18" i="3" s="1"/>
  <c r="D18" i="3" s="1"/>
  <c r="D20" i="3" s="1"/>
  <c r="D14" i="3"/>
  <c r="J13" i="3"/>
  <c r="I13" i="3"/>
  <c r="D13" i="3"/>
  <c r="H12" i="3"/>
  <c r="G12" i="3"/>
  <c r="F12" i="3"/>
  <c r="E12" i="3"/>
  <c r="D12" i="3"/>
  <c r="J11" i="3"/>
  <c r="I11" i="3"/>
  <c r="H11" i="3"/>
  <c r="G11" i="3"/>
  <c r="F11" i="3"/>
  <c r="E11" i="3"/>
  <c r="D11" i="3"/>
  <c r="D9" i="3"/>
  <c r="D8" i="3"/>
  <c r="J7" i="3"/>
  <c r="I7" i="3"/>
  <c r="H7" i="3"/>
  <c r="G7" i="3"/>
  <c r="F7" i="3"/>
  <c r="E7" i="3"/>
  <c r="D7" i="3"/>
  <c r="G33" i="3" l="1"/>
  <c r="G36" i="3" s="1"/>
  <c r="E33" i="3"/>
  <c r="E45" i="3" s="1"/>
  <c r="F46" i="3"/>
  <c r="D39" i="3"/>
  <c r="J40" i="3"/>
  <c r="K40" i="3" s="1"/>
  <c r="L40" i="3" s="1"/>
  <c r="E34" i="3"/>
  <c r="J42" i="3"/>
  <c r="E47" i="3"/>
  <c r="D47" i="3" s="1"/>
  <c r="H33" i="3"/>
  <c r="H36" i="3" s="1"/>
  <c r="D29" i="3"/>
  <c r="L42" i="3"/>
  <c r="I35" i="3"/>
  <c r="F36" i="3"/>
  <c r="E36" i="3" l="1"/>
  <c r="E46" i="3"/>
  <c r="D34" i="3"/>
  <c r="F45" i="3"/>
  <c r="F49" i="3" s="1"/>
  <c r="D33" i="3"/>
  <c r="E44" i="3"/>
  <c r="J45" i="3" s="1"/>
  <c r="K45" i="3" s="1"/>
  <c r="L45" i="3" s="1"/>
  <c r="G48" i="3"/>
  <c r="I36" i="3"/>
  <c r="D36" i="3" s="1"/>
  <c r="D35" i="3"/>
  <c r="D45" i="3"/>
  <c r="F44" i="3"/>
  <c r="J46" i="3" s="1"/>
  <c r="K46" i="3" s="1"/>
  <c r="L46" i="3" s="1"/>
  <c r="F40" i="3"/>
  <c r="E49" i="3" l="1"/>
  <c r="D46" i="3"/>
  <c r="D40" i="3"/>
  <c r="D42" i="3" s="1"/>
  <c r="D48" i="3"/>
  <c r="G49" i="3"/>
  <c r="D49" i="3" l="1"/>
  <c r="P54" i="2"/>
  <c r="P52" i="2"/>
  <c r="P50" i="2"/>
  <c r="R162" i="2" l="1"/>
  <c r="Q162" i="2" l="1"/>
  <c r="Q159" i="2"/>
  <c r="R156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P154" i="2"/>
  <c r="O154" i="2"/>
  <c r="N154" i="2"/>
  <c r="M154" i="2"/>
  <c r="L154" i="2"/>
  <c r="K154" i="2"/>
  <c r="J154" i="2"/>
  <c r="I154" i="2"/>
  <c r="H154" i="2"/>
  <c r="G154" i="2"/>
  <c r="F154" i="2"/>
  <c r="E154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P151" i="2"/>
  <c r="P161" i="2" s="1"/>
  <c r="O151" i="2"/>
  <c r="O161" i="2" s="1"/>
  <c r="N151" i="2"/>
  <c r="M151" i="2"/>
  <c r="L151" i="2"/>
  <c r="K151" i="2"/>
  <c r="K161" i="2" s="1"/>
  <c r="K163" i="2" s="1"/>
  <c r="J151" i="2"/>
  <c r="I151" i="2"/>
  <c r="H151" i="2"/>
  <c r="H161" i="2" s="1"/>
  <c r="G151" i="2"/>
  <c r="G161" i="2" s="1"/>
  <c r="F151" i="2"/>
  <c r="E151" i="2"/>
  <c r="P150" i="2"/>
  <c r="P158" i="2" s="1"/>
  <c r="P160" i="2" s="1"/>
  <c r="O150" i="2"/>
  <c r="O156" i="2" s="1"/>
  <c r="N150" i="2"/>
  <c r="N158" i="2" s="1"/>
  <c r="N160" i="2" s="1"/>
  <c r="M150" i="2"/>
  <c r="M158" i="2" s="1"/>
  <c r="M160" i="2" s="1"/>
  <c r="L150" i="2"/>
  <c r="L158" i="2" s="1"/>
  <c r="L160" i="2" s="1"/>
  <c r="K150" i="2"/>
  <c r="K156" i="2" s="1"/>
  <c r="J150" i="2"/>
  <c r="I150" i="2"/>
  <c r="I158" i="2" s="1"/>
  <c r="I160" i="2" s="1"/>
  <c r="H150" i="2"/>
  <c r="H158" i="2" s="1"/>
  <c r="H80" i="2" s="1"/>
  <c r="G150" i="2"/>
  <c r="G156" i="2" s="1"/>
  <c r="F150" i="2"/>
  <c r="F158" i="2" s="1"/>
  <c r="E150" i="2"/>
  <c r="E158" i="2" s="1"/>
  <c r="E160" i="2" s="1"/>
  <c r="P147" i="2"/>
  <c r="O147" i="2"/>
  <c r="N147" i="2"/>
  <c r="M147" i="2"/>
  <c r="L147" i="2"/>
  <c r="K147" i="2"/>
  <c r="J147" i="2"/>
  <c r="I147" i="2"/>
  <c r="H147" i="2"/>
  <c r="G147" i="2"/>
  <c r="F147" i="2"/>
  <c r="E147" i="2"/>
  <c r="Q146" i="2"/>
  <c r="Q145" i="2"/>
  <c r="Q144" i="2"/>
  <c r="Q143" i="2"/>
  <c r="Q142" i="2"/>
  <c r="Q141" i="2"/>
  <c r="Q138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Q134" i="2"/>
  <c r="Q133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Q129" i="2"/>
  <c r="Q128" i="2"/>
  <c r="Q127" i="2"/>
  <c r="Q126" i="2"/>
  <c r="Q125" i="2"/>
  <c r="Q124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Q120" i="2"/>
  <c r="Q119" i="2"/>
  <c r="Q118" i="2"/>
  <c r="Q117" i="2"/>
  <c r="Q116" i="2"/>
  <c r="Q115" i="2"/>
  <c r="A92" i="2"/>
  <c r="A93" i="2" s="1"/>
  <c r="A94" i="2" s="1"/>
  <c r="A96" i="2" s="1"/>
  <c r="A97" i="2" s="1"/>
  <c r="A80" i="2"/>
  <c r="A81" i="2" s="1"/>
  <c r="D94" i="2" s="1"/>
  <c r="A79" i="2"/>
  <c r="B74" i="2"/>
  <c r="B72" i="2"/>
  <c r="G57" i="2"/>
  <c r="D48" i="2"/>
  <c r="G33" i="2"/>
  <c r="F33" i="2"/>
  <c r="G31" i="2"/>
  <c r="F31" i="2"/>
  <c r="G30" i="2"/>
  <c r="I55" i="2" s="1"/>
  <c r="F30" i="2"/>
  <c r="H55" i="2" s="1"/>
  <c r="I21" i="2"/>
  <c r="H21" i="2"/>
  <c r="G21" i="2"/>
  <c r="G32" i="2" s="1"/>
  <c r="F21" i="2"/>
  <c r="F32" i="2" s="1"/>
  <c r="P56" i="2"/>
  <c r="P58" i="2" s="1"/>
  <c r="E19" i="2"/>
  <c r="E13" i="2"/>
  <c r="K11" i="2"/>
  <c r="J11" i="2"/>
  <c r="I11" i="2"/>
  <c r="H11" i="2"/>
  <c r="G11" i="2"/>
  <c r="F11" i="2"/>
  <c r="E10" i="2"/>
  <c r="E9" i="2"/>
  <c r="L41" i="2"/>
  <c r="M80" i="2" l="1"/>
  <c r="Q147" i="2"/>
  <c r="P60" i="2"/>
  <c r="P62" i="2" s="1"/>
  <c r="E26" i="2"/>
  <c r="E27" i="2" s="1"/>
  <c r="E14" i="2" s="1"/>
  <c r="E21" i="2"/>
  <c r="G163" i="2"/>
  <c r="G84" i="2"/>
  <c r="Q130" i="2"/>
  <c r="E80" i="2"/>
  <c r="I80" i="2"/>
  <c r="O163" i="2"/>
  <c r="O84" i="2"/>
  <c r="F160" i="2"/>
  <c r="F80" i="2"/>
  <c r="Q121" i="2"/>
  <c r="P80" i="2"/>
  <c r="H156" i="2"/>
  <c r="L161" i="2"/>
  <c r="L163" i="2" s="1"/>
  <c r="P156" i="2"/>
  <c r="L80" i="2"/>
  <c r="K84" i="2"/>
  <c r="Q152" i="2"/>
  <c r="I156" i="2"/>
  <c r="Q153" i="2"/>
  <c r="Q154" i="2"/>
  <c r="Q155" i="2"/>
  <c r="M156" i="2"/>
  <c r="L156" i="2"/>
  <c r="I65" i="2"/>
  <c r="G34" i="2"/>
  <c r="A98" i="2"/>
  <c r="D98" i="2"/>
  <c r="H163" i="2"/>
  <c r="H84" i="2"/>
  <c r="P163" i="2"/>
  <c r="P84" i="2"/>
  <c r="E156" i="2"/>
  <c r="H160" i="2"/>
  <c r="E11" i="2"/>
  <c r="H65" i="2"/>
  <c r="F34" i="2"/>
  <c r="E161" i="2"/>
  <c r="I161" i="2"/>
  <c r="M161" i="2"/>
  <c r="Q151" i="2"/>
  <c r="G158" i="2"/>
  <c r="O158" i="2"/>
  <c r="K158" i="2"/>
  <c r="N80" i="2"/>
  <c r="Q135" i="2"/>
  <c r="F156" i="2"/>
  <c r="J156" i="2"/>
  <c r="N156" i="2"/>
  <c r="F161" i="2"/>
  <c r="J161" i="2"/>
  <c r="N161" i="2"/>
  <c r="J158" i="2"/>
  <c r="Q150" i="2"/>
  <c r="I14" i="2" l="1"/>
  <c r="I15" i="2" s="1"/>
  <c r="I17" i="2" s="1"/>
  <c r="I23" i="2" s="1"/>
  <c r="I39" i="2" s="1"/>
  <c r="I40" i="2" s="1"/>
  <c r="H14" i="2"/>
  <c r="H15" i="2" s="1"/>
  <c r="H17" i="2" s="1"/>
  <c r="H23" i="2" s="1"/>
  <c r="H39" i="2" s="1"/>
  <c r="H40" i="2" s="1"/>
  <c r="G14" i="2"/>
  <c r="G15" i="2" s="1"/>
  <c r="K14" i="2"/>
  <c r="K15" i="2" s="1"/>
  <c r="J14" i="2"/>
  <c r="J15" i="2" s="1"/>
  <c r="F14" i="2"/>
  <c r="F15" i="2" s="1"/>
  <c r="L84" i="2"/>
  <c r="Q156" i="2"/>
  <c r="E165" i="2" s="1"/>
  <c r="N163" i="2"/>
  <c r="N84" i="2"/>
  <c r="K160" i="2"/>
  <c r="K80" i="2"/>
  <c r="O160" i="2"/>
  <c r="O80" i="2"/>
  <c r="I84" i="2"/>
  <c r="I163" i="2"/>
  <c r="J163" i="2"/>
  <c r="J84" i="2"/>
  <c r="G160" i="2"/>
  <c r="G80" i="2"/>
  <c r="Q161" i="2"/>
  <c r="Q163" i="2" s="1"/>
  <c r="E84" i="2"/>
  <c r="E163" i="2"/>
  <c r="F163" i="2"/>
  <c r="F84" i="2"/>
  <c r="Q158" i="2"/>
  <c r="Q160" i="2" s="1"/>
  <c r="J160" i="2"/>
  <c r="J80" i="2"/>
  <c r="M163" i="2"/>
  <c r="M84" i="2"/>
  <c r="I66" i="2" l="1"/>
  <c r="F165" i="2"/>
  <c r="O165" i="2"/>
  <c r="G165" i="2"/>
  <c r="K165" i="2"/>
  <c r="P165" i="2"/>
  <c r="L165" i="2"/>
  <c r="N165" i="2"/>
  <c r="I165" i="2"/>
  <c r="J165" i="2"/>
  <c r="M165" i="2"/>
  <c r="H165" i="2"/>
  <c r="G17" i="2"/>
  <c r="G23" i="2" s="1"/>
  <c r="E15" i="2"/>
  <c r="H66" i="2"/>
  <c r="F17" i="2"/>
  <c r="F23" i="2" s="1"/>
  <c r="Q84" i="2"/>
  <c r="M85" i="2" s="1"/>
  <c r="Q80" i="2"/>
  <c r="O81" i="2" s="1"/>
  <c r="E17" i="2" l="1"/>
  <c r="Q165" i="2"/>
  <c r="F39" i="2"/>
  <c r="F40" i="2" s="1"/>
  <c r="H53" i="2"/>
  <c r="H57" i="2" s="1"/>
  <c r="N85" i="2"/>
  <c r="J85" i="2"/>
  <c r="I53" i="2"/>
  <c r="I57" i="2" s="1"/>
  <c r="G39" i="2"/>
  <c r="G40" i="2" s="1"/>
  <c r="E23" i="2"/>
  <c r="G85" i="2"/>
  <c r="O85" i="2"/>
  <c r="K85" i="2"/>
  <c r="H85" i="2"/>
  <c r="L85" i="2"/>
  <c r="P85" i="2"/>
  <c r="L81" i="2"/>
  <c r="F81" i="2"/>
  <c r="E81" i="2"/>
  <c r="P81" i="2"/>
  <c r="H81" i="2"/>
  <c r="M81" i="2"/>
  <c r="I81" i="2"/>
  <c r="N81" i="2"/>
  <c r="I85" i="2"/>
  <c r="E85" i="2"/>
  <c r="F85" i="2"/>
  <c r="G81" i="2"/>
  <c r="K81" i="2"/>
  <c r="J81" i="2"/>
  <c r="Q93" i="2" l="1"/>
  <c r="O94" i="2" s="1"/>
  <c r="H64" i="2"/>
  <c r="H67" i="2" s="1"/>
  <c r="Q85" i="2"/>
  <c r="Q81" i="2"/>
  <c r="Q97" i="2"/>
  <c r="I64" i="2"/>
  <c r="I67" i="2" s="1"/>
  <c r="I94" i="2" l="1"/>
  <c r="G94" i="2"/>
  <c r="F94" i="2"/>
  <c r="E94" i="2"/>
  <c r="L94" i="2"/>
  <c r="M94" i="2"/>
  <c r="H94" i="2"/>
  <c r="J94" i="2"/>
  <c r="P94" i="2"/>
  <c r="K94" i="2"/>
  <c r="N94" i="2"/>
  <c r="O98" i="2"/>
  <c r="K98" i="2"/>
  <c r="G98" i="2"/>
  <c r="N98" i="2"/>
  <c r="J98" i="2"/>
  <c r="F98" i="2"/>
  <c r="I98" i="2"/>
  <c r="P98" i="2"/>
  <c r="H98" i="2"/>
  <c r="M98" i="2"/>
  <c r="E98" i="2"/>
  <c r="L98" i="2"/>
  <c r="Q94" i="2" l="1"/>
  <c r="Q98" i="2"/>
</calcChain>
</file>

<file path=xl/comments1.xml><?xml version="1.0" encoding="utf-8"?>
<comments xmlns="http://schemas.openxmlformats.org/spreadsheetml/2006/main">
  <authors>
    <author>Author</author>
  </authors>
  <commentList>
    <comment ref="C13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Unbilled true-ups, and large customer abnormal usage adjustments if any</t>
        </r>
      </text>
    </comment>
  </commentList>
</comments>
</file>

<file path=xl/sharedStrings.xml><?xml version="1.0" encoding="utf-8"?>
<sst xmlns="http://schemas.openxmlformats.org/spreadsheetml/2006/main" count="283" uniqueCount="186">
  <si>
    <t>Avista Utilities</t>
  </si>
  <si>
    <t>AVISTA UTILITIES</t>
  </si>
  <si>
    <t xml:space="preserve"> Electric Decoupling Mechanism</t>
  </si>
  <si>
    <t>REVENUE CONVERSION FACTOR</t>
  </si>
  <si>
    <t>Development of Decoupled Revenue by Rate Schedule - Electric</t>
  </si>
  <si>
    <t>WASHINGTON ELECTRIC</t>
  </si>
  <si>
    <t xml:space="preserve"> </t>
  </si>
  <si>
    <t>RESIDENTIAL</t>
  </si>
  <si>
    <t xml:space="preserve">GENERAL SVC. </t>
  </si>
  <si>
    <t>LG. GEN. SVC.</t>
  </si>
  <si>
    <t>PUMPING</t>
  </si>
  <si>
    <t>EX LG GEN SVC</t>
  </si>
  <si>
    <t>ST &amp; AREA LTG</t>
  </si>
  <si>
    <t>TOTAL</t>
  </si>
  <si>
    <t>SCHEDULE 1,2</t>
  </si>
  <si>
    <t>SCH. 11,12</t>
  </si>
  <si>
    <t>SCH. 21,22</t>
  </si>
  <si>
    <t>SCH. 30, 31, 32</t>
  </si>
  <si>
    <t>SCHEDULE 25</t>
  </si>
  <si>
    <t>SCH. 41-48</t>
  </si>
  <si>
    <t xml:space="preserve">Line </t>
  </si>
  <si>
    <t>No.</t>
  </si>
  <si>
    <t>Description</t>
  </si>
  <si>
    <t>Factor</t>
  </si>
  <si>
    <t>Revenues</t>
  </si>
  <si>
    <t>Expense:</t>
  </si>
  <si>
    <t>Retail Revenue Adjustment (line 14)</t>
  </si>
  <si>
    <t xml:space="preserve">  Uncollectibles</t>
  </si>
  <si>
    <t>Variable Power Supply Revenue (L4 * L5)</t>
  </si>
  <si>
    <t xml:space="preserve">  Commission Fees</t>
  </si>
  <si>
    <t>Delivery &amp; Power Plant Revenue (L3 - L6)</t>
  </si>
  <si>
    <t xml:space="preserve">  Washington Excise Tax</t>
  </si>
  <si>
    <t>Allowed Basic Charges</t>
  </si>
  <si>
    <t xml:space="preserve">    Total Expense</t>
  </si>
  <si>
    <t>Basic Charge Revenue (Ln 8 * Ln 9)</t>
  </si>
  <si>
    <t>Excluded From Decoupling</t>
  </si>
  <si>
    <t>Net Operating Income Before FIT</t>
  </si>
  <si>
    <t>Decoupled Revenue</t>
  </si>
  <si>
    <t xml:space="preserve">  Federal Income Tax @ 21%</t>
  </si>
  <si>
    <t>Retail Revenue Adjustment - (Attachment 3)</t>
  </si>
  <si>
    <t>Gross Up Factor for Revenue Related Exp</t>
  </si>
  <si>
    <t>Grossed Up Retail Revenue Adjustment</t>
  </si>
  <si>
    <t>Residential</t>
  </si>
  <si>
    <t>Non-Residential Group</t>
  </si>
  <si>
    <t>(Per Order No. 6; UE-120436, dated 6/20/2012 - "hard" CF rounded to 6 digits)</t>
  </si>
  <si>
    <t>Average Number of Customers (Line 8 / 12)</t>
  </si>
  <si>
    <t>Annual kWh</t>
  </si>
  <si>
    <t>Basic Charge Revenues</t>
  </si>
  <si>
    <t>Customer Bills</t>
  </si>
  <si>
    <t>Attachment 4, Page 4</t>
  </si>
  <si>
    <t>Average Basic Charge</t>
  </si>
  <si>
    <t>Attachment 4, Page 1</t>
  </si>
  <si>
    <t>check calculations - DO NOT PRINT</t>
  </si>
  <si>
    <t>avg decoupled rev/kwh</t>
  </si>
  <si>
    <t>check to avg rate</t>
  </si>
  <si>
    <t>Development of Annual Decoupled Revenue Per Customer - Electric</t>
  </si>
  <si>
    <t>Line No.</t>
  </si>
  <si>
    <t>Source</t>
  </si>
  <si>
    <t>Non-Residential Schedules*</t>
  </si>
  <si>
    <t>(a)</t>
  </si>
  <si>
    <t>(b)</t>
  </si>
  <si>
    <t>(c)</t>
  </si>
  <si>
    <t>(d)</t>
  </si>
  <si>
    <t>Decoupled Revenues</t>
  </si>
  <si>
    <t>Revenue Data</t>
  </si>
  <si>
    <t>Decoupled Revenue per Customer</t>
  </si>
  <si>
    <t>* Schedules 11, 12, 21, 22, 31, 32.</t>
  </si>
  <si>
    <t>Attachment 4, Page 2</t>
  </si>
  <si>
    <t>From revenue per customer</t>
  </si>
  <si>
    <t>From basic charge</t>
  </si>
  <si>
    <t>From power supply</t>
  </si>
  <si>
    <t>Total</t>
  </si>
  <si>
    <t>Development of Monthly Decoupled Revenue Per Customer - Electric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</si>
  <si>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</si>
  <si>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</si>
  <si>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</si>
  <si>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</si>
  <si>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</si>
  <si>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</si>
  <si>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</si>
  <si>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</si>
  <si>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</si>
  <si>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</si>
  <si>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</si>
  <si>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</si>
  <si>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</si>
  <si>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</si>
  <si>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</si>
  <si>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</si>
  <si>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</si>
  <si>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</si>
  <si>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</si>
  <si>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</si>
  <si>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</si>
  <si>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</si>
  <si>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</si>
  <si>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Electric Sales</t>
  </si>
  <si>
    <t xml:space="preserve"> - Weather-Normalized kWh Sales</t>
  </si>
  <si>
    <t>Monthly Test Year</t>
  </si>
  <si>
    <t xml:space="preserve">  - % of Annual Total</t>
  </si>
  <si>
    <t>% of Total</t>
  </si>
  <si>
    <t>Non-Residential*</t>
  </si>
  <si>
    <t>Monthly Decoupled Revenue Per Customer ("RPC")</t>
  </si>
  <si>
    <t>Attachment 4, P. 2 L. 3</t>
  </si>
  <si>
    <t xml:space="preserve">  - Monthly Decoupled RPC</t>
  </si>
  <si>
    <t xml:space="preserve">* Schedules 11, 12, 21, 22, 31, 32.  </t>
  </si>
  <si>
    <t>Attachment 4, Page 3</t>
  </si>
  <si>
    <t>Normalized Usage by Month</t>
  </si>
  <si>
    <t>WASHINGTON ELECTRIC SYSTEM</t>
  </si>
  <si>
    <t>Annual Total</t>
  </si>
  <si>
    <t>Revenue Run Billed Usage</t>
  </si>
  <si>
    <t>Residential Schedule 001/002</t>
  </si>
  <si>
    <t>General Svc Schedule 011/012</t>
  </si>
  <si>
    <t>Large Gen Svc Schedule 021/022</t>
  </si>
  <si>
    <t>Extra Large Gen Schedule 025</t>
  </si>
  <si>
    <t>Pumping Schedule 031/032</t>
  </si>
  <si>
    <t>Street and Area Lights</t>
  </si>
  <si>
    <t>Total Revenue Run Billed Usage</t>
  </si>
  <si>
    <t xml:space="preserve">Net Unbilled Usage </t>
  </si>
  <si>
    <t>Net Unbilled Usage</t>
  </si>
  <si>
    <t>Schedule Shifting Adjustment</t>
  </si>
  <si>
    <t>Other Usage Adjustments</t>
  </si>
  <si>
    <t>Weather Adjustment</t>
  </si>
  <si>
    <t>Total Weather Adjustment</t>
  </si>
  <si>
    <t>Normalized Test Year Usage</t>
  </si>
  <si>
    <t>Total Normalized Test Year Usage</t>
  </si>
  <si>
    <t>Residential Usage</t>
  </si>
  <si>
    <t>Non-Residential Group Usage</t>
  </si>
  <si>
    <t>Non-Residential Group Customers</t>
  </si>
  <si>
    <t>Non-Residential Group Norm Use/Customer</t>
  </si>
  <si>
    <t>WA Jurisdiction % of Annual Usage</t>
  </si>
  <si>
    <t>Washington Docket No. UE-19____  2018 Test Year At Present Rates</t>
  </si>
  <si>
    <t>Total Normalized 12ME Dec 2018 Revenue</t>
  </si>
  <si>
    <t>Normalized kWhs (12ME Dec 2018 Test Year)</t>
  </si>
  <si>
    <t>Customer Bills (12ME Dec 2018 Test Year)</t>
  </si>
  <si>
    <t>Test Year # of Customers 12 ME 12.2018</t>
  </si>
  <si>
    <t>WUTC Docket No. UE-19____</t>
  </si>
  <si>
    <t>Twelve Months Ended December 31, 2018</t>
  </si>
  <si>
    <t>Miller wp</t>
  </si>
  <si>
    <t>Pumping Schedule 030/031/032</t>
  </si>
  <si>
    <t>Schedule 001/002 Customers</t>
  </si>
  <si>
    <t>Schedule 001/002 Norm Use/Customer</t>
  </si>
  <si>
    <t>TWELVE MONTHS ENDED DECEMBER 31, 2018</t>
  </si>
  <si>
    <t>Proposed Revenue Increase (Attachment 1)</t>
  </si>
  <si>
    <t xml:space="preserve">  -UE-19____ Decoupled RPC</t>
  </si>
  <si>
    <t xml:space="preserve">Decoupled Revenue Comparison </t>
  </si>
  <si>
    <t>12 ME December 2016 Test Year</t>
  </si>
  <si>
    <t>UE-170485 Allowed Base</t>
  </si>
  <si>
    <t>Electric Service</t>
  </si>
  <si>
    <t>SCHEDULE 1</t>
  </si>
  <si>
    <t>Revenue at Approved Rates</t>
  </si>
  <si>
    <t>Usage</t>
  </si>
  <si>
    <t>Fixed Charge per Bill</t>
  </si>
  <si>
    <t>Decoupled Power Cost Revenue</t>
  </si>
  <si>
    <t>Decoupled Fixed Charge Revenue</t>
  </si>
  <si>
    <t>Revenue Not Subject to Decoupling</t>
  </si>
  <si>
    <t>Decoupled Revenues from Rates</t>
  </si>
  <si>
    <t>Allowed Annual Decoupled Revenue per Customer</t>
  </si>
  <si>
    <t>Usage Per Customer</t>
  </si>
  <si>
    <t>average $/kWh</t>
  </si>
  <si>
    <t>UE-170485 Base</t>
  </si>
  <si>
    <t>Allowed Decoupled Revenues</t>
  </si>
  <si>
    <t>Decoupling Revenue Adjustment</t>
  </si>
  <si>
    <t>Non-Residential</t>
  </si>
  <si>
    <t>Average Customers</t>
  </si>
  <si>
    <t>Total Revenue with Decoupling</t>
  </si>
  <si>
    <t>Test Year Annual Decoupled Revenue per Customer</t>
  </si>
  <si>
    <t>Base Rate Revenue</t>
  </si>
  <si>
    <t>change</t>
  </si>
  <si>
    <t>$ per cust</t>
  </si>
  <si>
    <t>est decoupled revenue impact</t>
  </si>
  <si>
    <t>Not Decoupled</t>
  </si>
  <si>
    <t>Average Rate per kWh</t>
  </si>
  <si>
    <t>Change in Power Cost Revenue</t>
  </si>
  <si>
    <t>Change in Fixed Cost Revenue</t>
  </si>
  <si>
    <t>Change in Allowed Decoupled Revenue</t>
  </si>
  <si>
    <t>Change in Revenue Not Subject to Decoupling</t>
  </si>
  <si>
    <t xml:space="preserve">     Total Change in Base Rate Revenue</t>
  </si>
  <si>
    <t>12 ME December 2018 Test Year</t>
  </si>
  <si>
    <t>UE-19_____ Proposed Base at Present Rates</t>
  </si>
  <si>
    <t xml:space="preserve">Prresent Base Rate Revenue </t>
  </si>
  <si>
    <t>UE-19____ Base</t>
  </si>
  <si>
    <t>UE-170485 Allowed Annual Decoupled Revenue per Customer</t>
  </si>
  <si>
    <t>UE-170485 Allowed Decoupled Revenues</t>
  </si>
  <si>
    <t>Revenue Requirement Otherwise Decoupled</t>
  </si>
  <si>
    <t>UE-170485 Decoupled 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</si>
</sst>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&quot;$&quot;* #,##0.00000_);_(&quot;$&quot;* \(#,##0.00000\);_(&quot;$&quot;* &quot;-&quot;??_);_(@_)"/>
    <numFmt numFmtId="168" formatCode="&quot;$&quot;#,##0.00000"/>
    <numFmt numFmtId="169" formatCode="_(&quot;$&quot;* #,##0.0000_);_(&quot;$&quot;* \(#,##0.0000\);_(&quot;$&quot;* &quot;-&quot;??_);_(@_)"/>
    <numFmt numFmtId="170" formatCode="[$-409]mmm\-yy;@"/>
    <numFmt numFmtId="171" formatCode="0.0%"/>
    <numFmt numFmtId="172" formatCode="&quot;$&quot;#,##0.00"/>
    <numFmt numFmtId="173" formatCode="_(&quot;$&quot;* #,##0.000000_);_(&quot;$&quot;* \(#,##0.0000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b/>
      <sz val="10"/>
      <name val="Arial"/>
      <family val="2"/>
    </font>
    <font>
      <b/>
      <i/>
      <u/>
      <sz val="12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i/>
      <u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2" fillId="3" borderId="2" applyNumberFormat="0">
      <alignment horizontal="center" vertical="center" wrapText="1"/>
    </xf>
    <xf numFmtId="4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3" borderId="2" applyNumberFormat="0">
      <alignment horizontal="center" vertical="center" wrapText="1"/>
    </xf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4">
    <xf numFmtId="0" fontId="0" fillId="0" borderId="0" xfId="0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7" fillId="2" borderId="1" xfId="0" applyFont="1" applyFill="1" applyBorder="1"/>
    <xf numFmtId="0" fontId="7" fillId="2" borderId="0" xfId="0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165" fontId="7" fillId="2" borderId="0" xfId="2" applyNumberFormat="1" applyFont="1" applyFill="1"/>
    <xf numFmtId="165" fontId="7" fillId="0" borderId="0" xfId="2" applyNumberFormat="1" applyFont="1" applyFill="1"/>
    <xf numFmtId="165" fontId="7" fillId="0" borderId="1" xfId="2" applyNumberFormat="1" applyFont="1" applyFill="1" applyBorder="1"/>
    <xf numFmtId="165" fontId="7" fillId="0" borderId="0" xfId="2" applyNumberFormat="1" applyFont="1" applyFill="1" applyBorder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2" borderId="0" xfId="0" applyFont="1" applyFill="1"/>
    <xf numFmtId="165" fontId="7" fillId="2" borderId="1" xfId="2" applyNumberFormat="1" applyFont="1" applyFill="1" applyBorder="1"/>
    <xf numFmtId="165" fontId="7" fillId="2" borderId="0" xfId="2" applyNumberFormat="1" applyFont="1" applyFill="1" applyBorder="1"/>
    <xf numFmtId="0" fontId="9" fillId="0" borderId="0" xfId="0" applyFont="1" applyAlignment="1">
      <alignment horizontal="center"/>
    </xf>
    <xf numFmtId="0" fontId="4" fillId="0" borderId="0" xfId="0" applyFont="1"/>
    <xf numFmtId="164" fontId="10" fillId="0" borderId="0" xfId="0" applyNumberFormat="1" applyFont="1"/>
    <xf numFmtId="166" fontId="7" fillId="2" borderId="0" xfId="0" applyNumberFormat="1" applyFont="1" applyFill="1"/>
    <xf numFmtId="166" fontId="7" fillId="2" borderId="0" xfId="1" applyNumberFormat="1" applyFont="1" applyFill="1"/>
    <xf numFmtId="166" fontId="7" fillId="2" borderId="1" xfId="1" applyNumberFormat="1" applyFont="1" applyFill="1" applyBorder="1"/>
    <xf numFmtId="166" fontId="7" fillId="2" borderId="0" xfId="1" applyNumberFormat="1" applyFont="1" applyFill="1" applyBorder="1"/>
    <xf numFmtId="164" fontId="4" fillId="0" borderId="0" xfId="0" applyNumberFormat="1" applyFont="1"/>
    <xf numFmtId="164" fontId="9" fillId="0" borderId="0" xfId="0" applyNumberFormat="1" applyFont="1"/>
    <xf numFmtId="167" fontId="7" fillId="2" borderId="0" xfId="0" applyNumberFormat="1" applyFont="1" applyFill="1"/>
    <xf numFmtId="167" fontId="7" fillId="2" borderId="1" xfId="0" applyNumberFormat="1" applyFont="1" applyFill="1" applyBorder="1"/>
    <xf numFmtId="167" fontId="7" fillId="2" borderId="0" xfId="0" applyNumberFormat="1" applyFont="1" applyFill="1" applyBorder="1"/>
    <xf numFmtId="165" fontId="7" fillId="2" borderId="0" xfId="0" applyNumberFormat="1" applyFont="1" applyFill="1"/>
    <xf numFmtId="37" fontId="7" fillId="2" borderId="0" xfId="0" applyNumberFormat="1" applyFont="1" applyFill="1"/>
    <xf numFmtId="44" fontId="7" fillId="0" borderId="0" xfId="2" applyNumberFormat="1" applyFont="1" applyFill="1" applyAlignment="1">
      <alignment horizontal="center"/>
    </xf>
    <xf numFmtId="164" fontId="10" fillId="0" borderId="4" xfId="0" applyNumberFormat="1" applyFont="1" applyBorder="1"/>
    <xf numFmtId="165" fontId="7" fillId="2" borderId="0" xfId="2" applyNumberFormat="1" applyFont="1" applyFill="1" applyAlignment="1">
      <alignment horizontal="center"/>
    </xf>
    <xf numFmtId="164" fontId="10" fillId="0" borderId="0" xfId="0" applyNumberFormat="1" applyFont="1" applyBorder="1"/>
    <xf numFmtId="10" fontId="11" fillId="0" borderId="0" xfId="0" applyNumberFormat="1" applyFont="1"/>
    <xf numFmtId="164" fontId="10" fillId="0" borderId="2" xfId="0" applyNumberFormat="1" applyFont="1" applyBorder="1"/>
    <xf numFmtId="168" fontId="7" fillId="0" borderId="0" xfId="0" applyNumberFormat="1" applyFont="1" applyFill="1"/>
    <xf numFmtId="10" fontId="7" fillId="0" borderId="0" xfId="3" applyNumberFormat="1" applyFont="1" applyFill="1"/>
    <xf numFmtId="44" fontId="7" fillId="2" borderId="0" xfId="0" applyNumberFormat="1" applyFont="1" applyFill="1"/>
    <xf numFmtId="164" fontId="10" fillId="0" borderId="5" xfId="0" applyNumberFormat="1" applyFont="1" applyBorder="1"/>
    <xf numFmtId="168" fontId="7" fillId="2" borderId="0" xfId="0" applyNumberFormat="1" applyFont="1" applyFill="1"/>
    <xf numFmtId="0" fontId="7" fillId="0" borderId="0" xfId="0" applyFont="1" applyAlignment="1">
      <alignment horizontal="center"/>
    </xf>
    <xf numFmtId="0" fontId="7" fillId="0" borderId="0" xfId="0" applyFont="1"/>
    <xf numFmtId="165" fontId="7" fillId="0" borderId="0" xfId="0" applyNumberFormat="1" applyFont="1"/>
    <xf numFmtId="44" fontId="7" fillId="0" borderId="0" xfId="0" applyNumberFormat="1" applyFont="1"/>
    <xf numFmtId="166" fontId="7" fillId="0" borderId="0" xfId="1" applyNumberFormat="1" applyFont="1"/>
    <xf numFmtId="0" fontId="10" fillId="0" borderId="0" xfId="0" applyFont="1" applyAlignment="1">
      <alignment horizontal="left" vertical="top" wrapText="1"/>
    </xf>
    <xf numFmtId="166" fontId="7" fillId="0" borderId="0" xfId="0" applyNumberFormat="1" applyFont="1"/>
    <xf numFmtId="0" fontId="9" fillId="0" borderId="0" xfId="0" applyFont="1" applyAlignment="1">
      <alignment vertical="top" wrapText="1"/>
    </xf>
    <xf numFmtId="37" fontId="7" fillId="0" borderId="0" xfId="0" applyNumberFormat="1" applyFont="1"/>
    <xf numFmtId="7" fontId="7" fillId="0" borderId="0" xfId="2" applyNumberFormat="1" applyFont="1"/>
    <xf numFmtId="169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7" fillId="2" borderId="0" xfId="4" applyFont="1" applyFill="1"/>
    <xf numFmtId="41" fontId="3" fillId="2" borderId="2" xfId="5" applyNumberFormat="1" applyFont="1" applyFill="1" applyBorder="1">
      <alignment horizontal="center" vertical="center" wrapText="1"/>
    </xf>
    <xf numFmtId="0" fontId="7" fillId="2" borderId="2" xfId="4" applyFont="1" applyFill="1" applyBorder="1"/>
    <xf numFmtId="0" fontId="7" fillId="2" borderId="0" xfId="4" applyFont="1" applyFill="1" applyAlignment="1">
      <alignment horizontal="center"/>
    </xf>
    <xf numFmtId="0" fontId="13" fillId="2" borderId="0" xfId="4" applyFont="1" applyFill="1" applyAlignment="1">
      <alignment horizontal="left"/>
    </xf>
    <xf numFmtId="165" fontId="7" fillId="2" borderId="0" xfId="6" applyNumberFormat="1" applyFont="1" applyFill="1"/>
    <xf numFmtId="166" fontId="7" fillId="2" borderId="0" xfId="7" applyNumberFormat="1" applyFont="1" applyFill="1" applyBorder="1"/>
    <xf numFmtId="44" fontId="7" fillId="2" borderId="0" xfId="6" applyNumberFormat="1" applyFont="1" applyFill="1" applyBorder="1"/>
    <xf numFmtId="165" fontId="7" fillId="2" borderId="0" xfId="4" applyNumberFormat="1" applyFont="1" applyFill="1"/>
    <xf numFmtId="0" fontId="7" fillId="2" borderId="0" xfId="4" quotePrefix="1" applyFont="1" applyFill="1" applyAlignment="1">
      <alignment horizontal="left"/>
    </xf>
    <xf numFmtId="0" fontId="7" fillId="0" borderId="0" xfId="0" applyFont="1" applyAlignment="1">
      <alignment horizontal="right"/>
    </xf>
    <xf numFmtId="165" fontId="7" fillId="2" borderId="6" xfId="6" applyNumberFormat="1" applyFont="1" applyFill="1" applyBorder="1"/>
    <xf numFmtId="41" fontId="4" fillId="2" borderId="2" xfId="8" applyNumberFormat="1" applyFont="1" applyFill="1" applyBorder="1">
      <alignment horizontal="center" vertical="center" wrapText="1"/>
    </xf>
    <xf numFmtId="0" fontId="16" fillId="2" borderId="2" xfId="4" applyFont="1" applyFill="1" applyBorder="1"/>
    <xf numFmtId="41" fontId="4" fillId="2" borderId="2" xfId="8" applyNumberFormat="1" applyFont="1" applyFill="1" applyBorder="1" applyAlignment="1">
      <alignment horizontal="center" vertical="center" wrapText="1"/>
    </xf>
    <xf numFmtId="170" fontId="4" fillId="2" borderId="2" xfId="8" applyNumberFormat="1" applyFont="1" applyFill="1" applyBorder="1">
      <alignment horizontal="center" vertical="center" wrapText="1"/>
    </xf>
    <xf numFmtId="0" fontId="16" fillId="2" borderId="0" xfId="4" applyFont="1" applyFill="1"/>
    <xf numFmtId="0" fontId="16" fillId="2" borderId="0" xfId="4" applyFont="1" applyFill="1" applyAlignment="1">
      <alignment horizontal="center"/>
    </xf>
    <xf numFmtId="0" fontId="17" fillId="2" borderId="0" xfId="4" applyFont="1" applyFill="1"/>
    <xf numFmtId="165" fontId="16" fillId="2" borderId="0" xfId="6" applyNumberFormat="1" applyFont="1" applyFill="1"/>
    <xf numFmtId="3" fontId="16" fillId="2" borderId="0" xfId="4" applyNumberFormat="1" applyFont="1" applyFill="1"/>
    <xf numFmtId="0" fontId="18" fillId="2" borderId="0" xfId="4" applyFont="1" applyFill="1"/>
    <xf numFmtId="0" fontId="16" fillId="2" borderId="0" xfId="4" quotePrefix="1" applyFont="1" applyFill="1" applyAlignment="1">
      <alignment horizontal="left"/>
    </xf>
    <xf numFmtId="166" fontId="16" fillId="0" borderId="0" xfId="0" applyNumberFormat="1" applyFont="1"/>
    <xf numFmtId="3" fontId="9" fillId="2" borderId="0" xfId="4" applyNumberFormat="1" applyFont="1" applyFill="1"/>
    <xf numFmtId="0" fontId="9" fillId="2" borderId="0" xfId="4" quotePrefix="1" applyFont="1" applyFill="1" applyAlignment="1">
      <alignment horizontal="center"/>
    </xf>
    <xf numFmtId="10" fontId="9" fillId="2" borderId="0" xfId="9" applyNumberFormat="1" applyFont="1" applyFill="1"/>
    <xf numFmtId="0" fontId="9" fillId="2" borderId="0" xfId="4" applyFont="1" applyFill="1" applyAlignment="1">
      <alignment horizontal="center"/>
    </xf>
    <xf numFmtId="0" fontId="9" fillId="2" borderId="0" xfId="4" applyFont="1" applyFill="1"/>
    <xf numFmtId="10" fontId="16" fillId="2" borderId="0" xfId="9" applyNumberFormat="1" applyFont="1" applyFill="1"/>
    <xf numFmtId="0" fontId="16" fillId="2" borderId="0" xfId="4" quotePrefix="1" applyFont="1" applyFill="1" applyAlignment="1">
      <alignment horizontal="center"/>
    </xf>
    <xf numFmtId="44" fontId="16" fillId="2" borderId="0" xfId="10" applyFont="1" applyFill="1" applyAlignment="1">
      <alignment horizontal="center"/>
    </xf>
    <xf numFmtId="44" fontId="16" fillId="2" borderId="0" xfId="4" applyNumberFormat="1" applyFont="1" applyFill="1"/>
    <xf numFmtId="166" fontId="16" fillId="2" borderId="0" xfId="7" applyNumberFormat="1" applyFont="1" applyFill="1" applyAlignment="1">
      <alignment horizontal="center"/>
    </xf>
    <xf numFmtId="0" fontId="19" fillId="0" borderId="0" xfId="0" applyFont="1"/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0" fillId="0" borderId="0" xfId="1" applyNumberFormat="1" applyFont="1"/>
    <xf numFmtId="166" fontId="0" fillId="0" borderId="0" xfId="0" applyNumberFormat="1"/>
    <xf numFmtId="166" fontId="0" fillId="0" borderId="6" xfId="1" applyNumberFormat="1" applyFont="1" applyBorder="1"/>
    <xf numFmtId="166" fontId="0" fillId="0" borderId="0" xfId="1" applyNumberFormat="1" applyFont="1" applyBorder="1"/>
    <xf numFmtId="166" fontId="0" fillId="0" borderId="2" xfId="1" applyNumberFormat="1" applyFont="1" applyBorder="1"/>
    <xf numFmtId="166" fontId="0" fillId="0" borderId="6" xfId="0" applyNumberFormat="1" applyBorder="1"/>
    <xf numFmtId="166" fontId="0" fillId="0" borderId="0" xfId="0" applyNumberFormat="1" applyFill="1"/>
    <xf numFmtId="166" fontId="0" fillId="0" borderId="0" xfId="0" applyNumberFormat="1" applyBorder="1"/>
    <xf numFmtId="171" fontId="0" fillId="0" borderId="0" xfId="3" applyNumberFormat="1" applyFont="1"/>
    <xf numFmtId="165" fontId="7" fillId="2" borderId="0" xfId="6" applyNumberFormat="1" applyFont="1" applyFill="1" applyBorder="1"/>
    <xf numFmtId="0" fontId="7" fillId="2" borderId="0" xfId="4" applyFont="1" applyFill="1" applyAlignment="1">
      <alignment horizontal="center" wrapText="1"/>
    </xf>
    <xf numFmtId="0" fontId="7" fillId="2" borderId="6" xfId="4" applyFont="1" applyFill="1" applyBorder="1" applyAlignment="1">
      <alignment horizontal="center"/>
    </xf>
    <xf numFmtId="0" fontId="7" fillId="2" borderId="0" xfId="4" applyFont="1" applyFill="1" applyAlignment="1">
      <alignment horizontal="right"/>
    </xf>
    <xf numFmtId="0" fontId="15" fillId="2" borderId="0" xfId="4" applyFont="1" applyFill="1" applyAlignment="1"/>
    <xf numFmtId="0" fontId="15" fillId="2" borderId="0" xfId="4" quotePrefix="1" applyFont="1" applyFill="1" applyAlignment="1"/>
    <xf numFmtId="0" fontId="7" fillId="0" borderId="1" xfId="0" applyFont="1" applyBorder="1"/>
    <xf numFmtId="5" fontId="7" fillId="0" borderId="0" xfId="0" applyNumberFormat="1" applyFont="1"/>
    <xf numFmtId="166" fontId="7" fillId="0" borderId="1" xfId="1" applyNumberFormat="1" applyFont="1" applyBorder="1"/>
    <xf numFmtId="172" fontId="7" fillId="0" borderId="0" xfId="2" applyNumberFormat="1" applyFont="1"/>
    <xf numFmtId="5" fontId="7" fillId="0" borderId="0" xfId="1" applyNumberFormat="1" applyFont="1"/>
    <xf numFmtId="5" fontId="7" fillId="0" borderId="1" xfId="1" applyNumberFormat="1" applyFont="1" applyBorder="1"/>
    <xf numFmtId="165" fontId="7" fillId="0" borderId="1" xfId="1" applyNumberFormat="1" applyFont="1" applyBorder="1"/>
    <xf numFmtId="165" fontId="7" fillId="0" borderId="0" xfId="1" applyNumberFormat="1" applyFont="1"/>
    <xf numFmtId="5" fontId="7" fillId="0" borderId="6" xfId="0" applyNumberFormat="1" applyFont="1" applyBorder="1"/>
    <xf numFmtId="165" fontId="7" fillId="0" borderId="6" xfId="1" applyNumberFormat="1" applyFont="1" applyBorder="1"/>
    <xf numFmtId="5" fontId="7" fillId="0" borderId="6" xfId="1" applyNumberFormat="1" applyFont="1" applyBorder="1"/>
    <xf numFmtId="5" fontId="7" fillId="0" borderId="7" xfId="1" applyNumberFormat="1" applyFont="1" applyBorder="1"/>
    <xf numFmtId="5" fontId="7" fillId="0" borderId="0" xfId="0" applyNumberFormat="1" applyFont="1" applyBorder="1"/>
    <xf numFmtId="5" fontId="7" fillId="0" borderId="0" xfId="1" applyNumberFormat="1" applyFont="1" applyBorder="1"/>
    <xf numFmtId="7" fontId="7" fillId="0" borderId="0" xfId="1" applyNumberFormat="1" applyFont="1"/>
    <xf numFmtId="5" fontId="6" fillId="0" borderId="0" xfId="1" applyNumberFormat="1" applyFont="1" applyAlignment="1">
      <alignment horizontal="right"/>
    </xf>
    <xf numFmtId="5" fontId="7" fillId="0" borderId="0" xfId="1" applyNumberFormat="1" applyFont="1" applyAlignment="1">
      <alignment horizontal="center"/>
    </xf>
    <xf numFmtId="5" fontId="6" fillId="0" borderId="0" xfId="1" applyNumberFormat="1" applyFont="1" applyAlignment="1">
      <alignment horizontal="center"/>
    </xf>
    <xf numFmtId="173" fontId="7" fillId="0" borderId="0" xfId="2" applyNumberFormat="1" applyFont="1"/>
    <xf numFmtId="43" fontId="7" fillId="0" borderId="0" xfId="1" applyNumberFormat="1" applyFont="1"/>
    <xf numFmtId="0" fontId="6" fillId="0" borderId="0" xfId="0" applyFont="1"/>
    <xf numFmtId="166" fontId="7" fillId="0" borderId="0" xfId="1" applyNumberFormat="1" applyFont="1" applyFill="1"/>
    <xf numFmtId="166" fontId="7" fillId="0" borderId="1" xfId="1" applyNumberFormat="1" applyFont="1" applyFill="1" applyBorder="1"/>
    <xf numFmtId="37" fontId="7" fillId="0" borderId="0" xfId="0" applyNumberFormat="1" applyFont="1" applyFill="1"/>
    <xf numFmtId="0" fontId="7" fillId="0" borderId="0" xfId="0" applyFont="1" applyFill="1" applyAlignment="1">
      <alignment horizontal="center"/>
    </xf>
    <xf numFmtId="44" fontId="7" fillId="0" borderId="0" xfId="2" applyFont="1"/>
    <xf numFmtId="165" fontId="7" fillId="0" borderId="0" xfId="2" applyNumberFormat="1" applyFont="1"/>
    <xf numFmtId="0" fontId="6" fillId="0" borderId="0" xfId="0" applyFont="1" applyAlignment="1">
      <alignment horizontal="center"/>
    </xf>
    <xf numFmtId="173" fontId="7" fillId="0" borderId="0" xfId="0" applyNumberFormat="1" applyFont="1"/>
    <xf numFmtId="0" fontId="4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3" fillId="2" borderId="0" xfId="4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2" borderId="0" xfId="4" quotePrefix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4" applyFont="1" applyFill="1" applyAlignment="1">
      <alignment horizontal="left" wrapText="1"/>
    </xf>
    <xf numFmtId="0" fontId="6" fillId="2" borderId="0" xfId="4" applyFont="1" applyFill="1" applyAlignment="1">
      <alignment horizontal="center"/>
    </xf>
  </cellXfs>
  <cellStyles count="11">
    <cellStyle name="Comma" xfId="1" builtinId="3"/>
    <cellStyle name="Comma 2" xfId="7"/>
    <cellStyle name="Currency" xfId="2" builtinId="4"/>
    <cellStyle name="Currency 2" xfId="10"/>
    <cellStyle name="Currency 2 2" xfId="6"/>
    <cellStyle name="Normal" xfId="0" builtinId="0"/>
    <cellStyle name="Normal 2" xfId="4"/>
    <cellStyle name="Percent" xfId="3" builtinId="5"/>
    <cellStyle name="Percent 2" xfId="9"/>
    <cellStyle name="Report Heading 2" xfId="5"/>
    <cellStyle name="Report Heading 3 2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customXml" Target="../customXml/item2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ustomXml" Target="../customXml/item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GS%201204%20(CB%20Report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GRC\New%20Plant-093003\FredDispatch%209.3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veal\My%20Documents\2006GRC\Incentive%20Pay\2.29E%20Incentive%20Pa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5\2.01E%20Temperature%20Normalization_12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2\Gas\semi1202.rev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GRC\LaborInctvOH%200903%20G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PCA\New%20Plant-093003\FredDispatch%209.3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2019_%20WA%20Elec%20and%20Gas%20General%20Rate%20Case/Adjustments/2018%20WA%20Electric%20RR%20Model%20AMA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3%20CommBasisRp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6%20GRC\2006%20GRC%20Original%20Filing\Models&amp;Adjs\3.05E%20&amp;%203.05G%20ALLOC%20METHOD%20working%20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EL%201204%20(CB%20Report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2014%20WA_ELEC_&amp;_GAS_GRC/Settlement%20Documents%20-%20August%202014/Settlement%20Decoupling%20Base%20files/Forecast%20Extrac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 Explanation"/>
      <sheetName val="model"/>
      <sheetName val="Gas Unit cost"/>
      <sheetName val="Restating Print Macros"/>
      <sheetName val="Module13"/>
      <sheetName val="Module14"/>
      <sheetName val="Module15"/>
      <sheetName val="Module1"/>
      <sheetName val="actual"/>
      <sheetName val="GRB"/>
      <sheetName val="Rollforward"/>
      <sheetName val="PREVIOUS"/>
      <sheetName val="CHANGES"/>
      <sheetName val="Gas Unit Cost Summary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29"/>
      <sheetName val="Incent &amp; Related PR Tax"/>
      <sheetName val="2004-2005"/>
      <sheetName val="2004"/>
      <sheetName val="2005"/>
      <sheetName val="2.29  (4 yr Avg)"/>
      <sheetName val="4 yr avg 2005"/>
      <sheetName val="4 yr avg 2003"/>
      <sheetName val="12 mth ending 09 2005"/>
      <sheetName val="SLIP"/>
      <sheetName val="4 yr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Sum to C. Pricing"/>
      <sheetName val="Summary"/>
      <sheetName val="Daily Calc"/>
      <sheetName val="Data"/>
      <sheetName val="Coeff"/>
      <sheetName val="HDD"/>
      <sheetName val="CDD"/>
      <sheetName val="Loads"/>
      <sheetName val="30-Y Norm Calc"/>
      <sheetName val="Hourly Temps"/>
      <sheetName val="Loss Factor99-05"/>
      <sheetName val="New C Count"/>
      <sheetName val="How to Calc Norm Load"/>
      <sheetName val="Actual Load E.Acctg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Plant"/>
      <sheetName val="Adjust Explanation"/>
      <sheetName val="model"/>
      <sheetName val="Restating Print Macros"/>
      <sheetName val="Module13"/>
      <sheetName val="Module14"/>
      <sheetName val="Module15"/>
      <sheetName val="Module1"/>
      <sheetName val=" mode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cerno_Cache_XXXXX"/>
      <sheetName val="ADJ DETAIL-INPUT"/>
      <sheetName val="ADJ SUMMARY"/>
      <sheetName val="LEAD SHEETS-DO NOT ENTER"/>
      <sheetName val="ROO INPUT"/>
      <sheetName val="DEBT CALC"/>
      <sheetName val="COMPARISON"/>
      <sheetName val="Normalized ROE - Elec&amp;Gas"/>
    </sheetNames>
    <sheetDataSet>
      <sheetData sheetId="0"/>
      <sheetData sheetId="1"/>
      <sheetData sheetId="2">
        <row r="12">
          <cell r="E12">
            <v>3.7820000000000002E-3</v>
          </cell>
        </row>
        <row r="14">
          <cell r="E14">
            <v>2E-3</v>
          </cell>
        </row>
        <row r="16">
          <cell r="E16">
            <v>3.8587000000000003E-2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BS"/>
      <sheetName val="CWC"/>
      <sheetName val="Extrac1"/>
      <sheetName val="Cube.SAP Recon"/>
      <sheetName val="Dec03"/>
      <sheetName val="Nov03"/>
      <sheetName val="Oct03"/>
      <sheetName val="Sep03"/>
      <sheetName val="JulAug03"/>
      <sheetName val="Jun03"/>
      <sheetName val="AprMay03"/>
      <sheetName val="FebMar03"/>
      <sheetName val="Jan03"/>
      <sheetName val="Dec02"/>
      <sheetName val="Procedur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>
        <row r="10">
          <cell r="R10">
            <v>3906774146.0166669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 Explanation"/>
      <sheetName val="model"/>
      <sheetName val="Unit Cost"/>
      <sheetName val="Combined ROE Matrix"/>
      <sheetName val="ROE matrix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>
        <row r="4">
          <cell r="A4" t="str">
            <v>PUGET SOUND ENERGY-ELECTRIC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ill Determinants"/>
      <sheetName val="2013"/>
      <sheetName val="201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65"/>
  <sheetViews>
    <sheetView view="pageBreakPreview" zoomScale="60" zoomScaleNormal="100" workbookViewId="0">
      <selection activeCell="T159" sqref="T159"/>
    </sheetView>
  </sheetViews>
  <sheetFormatPr defaultRowHeight="14.4" x14ac:dyDescent="0.3"/>
  <cols>
    <col min="1" max="1" width="5.33203125" customWidth="1"/>
    <col min="2" max="2" width="6" customWidth="1"/>
    <col min="3" max="3" width="22.109375" customWidth="1"/>
    <col min="4" max="4" width="18.77734375" customWidth="1"/>
    <col min="5" max="5" width="18.33203125" customWidth="1"/>
    <col min="6" max="6" width="19.33203125" customWidth="1"/>
    <col min="7" max="7" width="15.88671875" customWidth="1"/>
    <col min="8" max="8" width="16.33203125" customWidth="1"/>
    <col min="9" max="10" width="17.33203125" customWidth="1"/>
    <col min="11" max="11" width="16.5546875" customWidth="1"/>
    <col min="12" max="12" width="14.5546875" customWidth="1"/>
    <col min="13" max="13" width="14.33203125" customWidth="1"/>
    <col min="14" max="14" width="14.88671875" customWidth="1"/>
    <col min="15" max="15" width="14.5546875" customWidth="1"/>
    <col min="16" max="16" width="17.44140625" customWidth="1"/>
    <col min="17" max="17" width="16.109375" customWidth="1"/>
    <col min="18" max="18" width="17.33203125" customWidth="1"/>
  </cols>
  <sheetData>
    <row r="1" spans="1:11" ht="15.6" x14ac:dyDescent="0.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15.6" x14ac:dyDescent="0.3">
      <c r="A2" s="148" t="s">
        <v>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15.6" x14ac:dyDescent="0.3">
      <c r="A3" s="150" t="s">
        <v>4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ht="15.6" x14ac:dyDescent="0.3">
      <c r="A4" s="151" t="s">
        <v>131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ht="15.6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5.6" x14ac:dyDescent="0.3">
      <c r="A6" s="3"/>
      <c r="B6" s="4"/>
      <c r="C6" s="4"/>
      <c r="D6" s="4"/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5" t="s">
        <v>12</v>
      </c>
    </row>
    <row r="7" spans="1:11" ht="15.6" x14ac:dyDescent="0.3">
      <c r="A7" s="3"/>
      <c r="B7" s="4"/>
      <c r="C7" s="4"/>
      <c r="D7" s="4"/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  <c r="J7" s="8" t="s">
        <v>18</v>
      </c>
      <c r="K7" s="7" t="s">
        <v>19</v>
      </c>
    </row>
    <row r="8" spans="1:11" ht="15.6" x14ac:dyDescent="0.3">
      <c r="A8" s="3"/>
      <c r="B8" s="4"/>
      <c r="C8" s="4"/>
      <c r="D8" s="4"/>
      <c r="E8" s="4"/>
      <c r="F8" s="4"/>
      <c r="G8" s="4"/>
      <c r="H8" s="4"/>
      <c r="I8" s="4"/>
      <c r="J8" s="11"/>
      <c r="K8" s="12"/>
    </row>
    <row r="9" spans="1:11" ht="15.6" x14ac:dyDescent="0.3">
      <c r="A9" s="3">
        <v>1</v>
      </c>
      <c r="B9" s="4" t="s">
        <v>132</v>
      </c>
      <c r="C9" s="4"/>
      <c r="D9" s="4"/>
      <c r="E9" s="15">
        <f>SUM(F9:K9)</f>
        <v>502300000</v>
      </c>
      <c r="F9" s="16">
        <v>216075000</v>
      </c>
      <c r="G9" s="16">
        <v>75061000</v>
      </c>
      <c r="H9" s="16">
        <v>125677000</v>
      </c>
      <c r="I9" s="16">
        <v>12039000</v>
      </c>
      <c r="J9" s="17">
        <v>66744000</v>
      </c>
      <c r="K9" s="18">
        <v>6704000</v>
      </c>
    </row>
    <row r="10" spans="1:11" ht="15.6" x14ac:dyDescent="0.3">
      <c r="A10" s="3">
        <v>2</v>
      </c>
      <c r="B10" s="22" t="s">
        <v>143</v>
      </c>
      <c r="C10" s="4"/>
      <c r="D10" s="4"/>
      <c r="E10" s="15">
        <f>SUM(F10:K10)</f>
        <v>0</v>
      </c>
      <c r="F10" s="16">
        <v>0</v>
      </c>
      <c r="G10" s="16">
        <v>0</v>
      </c>
      <c r="H10" s="16">
        <v>0</v>
      </c>
      <c r="I10" s="16">
        <v>0</v>
      </c>
      <c r="J10" s="17">
        <v>0</v>
      </c>
      <c r="K10" s="18">
        <v>0</v>
      </c>
    </row>
    <row r="11" spans="1:11" ht="15.6" x14ac:dyDescent="0.3">
      <c r="A11" s="3">
        <v>3</v>
      </c>
      <c r="B11" s="4" t="s">
        <v>180</v>
      </c>
      <c r="C11" s="4"/>
      <c r="D11" s="4"/>
      <c r="E11" s="15">
        <f>SUM(F11:K11)</f>
        <v>502300000</v>
      </c>
      <c r="F11" s="15">
        <f t="shared" ref="F11:K11" si="0">F9+F10</f>
        <v>216075000</v>
      </c>
      <c r="G11" s="15">
        <f t="shared" si="0"/>
        <v>75061000</v>
      </c>
      <c r="H11" s="15">
        <f t="shared" si="0"/>
        <v>125677000</v>
      </c>
      <c r="I11" s="15">
        <f t="shared" si="0"/>
        <v>12039000</v>
      </c>
      <c r="J11" s="23">
        <f>J9+J10</f>
        <v>66744000</v>
      </c>
      <c r="K11" s="24">
        <f t="shared" si="0"/>
        <v>6704000</v>
      </c>
    </row>
    <row r="12" spans="1:11" ht="15.6" x14ac:dyDescent="0.3">
      <c r="A12" s="3"/>
      <c r="B12" s="4"/>
      <c r="C12" s="4"/>
      <c r="D12" s="4"/>
      <c r="E12" s="15"/>
      <c r="F12" s="15"/>
      <c r="G12" s="15"/>
      <c r="H12" s="15"/>
      <c r="I12" s="15"/>
      <c r="J12" s="23"/>
      <c r="K12" s="24"/>
    </row>
    <row r="13" spans="1:11" ht="15.6" x14ac:dyDescent="0.3">
      <c r="A13" s="3">
        <v>4</v>
      </c>
      <c r="B13" s="4" t="s">
        <v>133</v>
      </c>
      <c r="C13" s="4"/>
      <c r="D13" s="4"/>
      <c r="E13" s="28">
        <f>SUM(F13:K13)</f>
        <v>5637842826</v>
      </c>
      <c r="F13" s="29">
        <v>2374703689</v>
      </c>
      <c r="G13" s="29">
        <v>619305952</v>
      </c>
      <c r="H13" s="29">
        <v>1365904624</v>
      </c>
      <c r="I13" s="29">
        <v>145822517</v>
      </c>
      <c r="J13" s="30">
        <v>1113564012</v>
      </c>
      <c r="K13" s="31">
        <v>18542032</v>
      </c>
    </row>
    <row r="14" spans="1:11" ht="15.6" x14ac:dyDescent="0.3">
      <c r="A14" s="3">
        <v>5</v>
      </c>
      <c r="B14" s="4" t="s">
        <v>26</v>
      </c>
      <c r="C14" s="4"/>
      <c r="D14" s="34"/>
      <c r="E14" s="34">
        <f t="shared" ref="E14:K14" si="1">$E$27</f>
        <v>1.8950000000000002E-2</v>
      </c>
      <c r="F14" s="34">
        <f t="shared" si="1"/>
        <v>1.8950000000000002E-2</v>
      </c>
      <c r="G14" s="34">
        <f t="shared" si="1"/>
        <v>1.8950000000000002E-2</v>
      </c>
      <c r="H14" s="34">
        <f t="shared" si="1"/>
        <v>1.8950000000000002E-2</v>
      </c>
      <c r="I14" s="34">
        <f t="shared" si="1"/>
        <v>1.8950000000000002E-2</v>
      </c>
      <c r="J14" s="35">
        <f t="shared" si="1"/>
        <v>1.8950000000000002E-2</v>
      </c>
      <c r="K14" s="36">
        <f t="shared" si="1"/>
        <v>1.8950000000000002E-2</v>
      </c>
    </row>
    <row r="15" spans="1:11" ht="15.6" x14ac:dyDescent="0.3">
      <c r="A15" s="3">
        <v>6</v>
      </c>
      <c r="B15" s="4" t="s">
        <v>28</v>
      </c>
      <c r="C15" s="4"/>
      <c r="D15" s="34"/>
      <c r="E15" s="15">
        <f>SUM(F15:K15)</f>
        <v>106837121.55270001</v>
      </c>
      <c r="F15" s="15">
        <f t="shared" ref="F15:K15" si="2">F14*F13</f>
        <v>45000634.906550005</v>
      </c>
      <c r="G15" s="15">
        <f t="shared" si="2"/>
        <v>11735847.7904</v>
      </c>
      <c r="H15" s="15">
        <f t="shared" si="2"/>
        <v>25883892.6248</v>
      </c>
      <c r="I15" s="15">
        <f t="shared" si="2"/>
        <v>2763336.6971500004</v>
      </c>
      <c r="J15" s="23">
        <f t="shared" si="2"/>
        <v>21102038.027400002</v>
      </c>
      <c r="K15" s="24">
        <f t="shared" si="2"/>
        <v>351371.50640000001</v>
      </c>
    </row>
    <row r="16" spans="1:11" ht="15.6" x14ac:dyDescent="0.3">
      <c r="A16" s="3"/>
      <c r="B16" s="4"/>
      <c r="C16" s="4"/>
      <c r="D16" s="4"/>
      <c r="E16" s="15"/>
      <c r="F16" s="15"/>
      <c r="G16" s="15"/>
      <c r="H16" s="15"/>
      <c r="I16" s="15"/>
      <c r="J16" s="23"/>
      <c r="K16" s="24"/>
    </row>
    <row r="17" spans="1:11" ht="15.6" x14ac:dyDescent="0.3">
      <c r="A17" s="3">
        <v>7</v>
      </c>
      <c r="B17" s="4" t="s">
        <v>30</v>
      </c>
      <c r="C17" s="4"/>
      <c r="D17" s="4"/>
      <c r="E17" s="15">
        <f>SUM(F17:K17)</f>
        <v>343468287.98110002</v>
      </c>
      <c r="F17" s="37">
        <f>F11-F15</f>
        <v>171074365.09345001</v>
      </c>
      <c r="G17" s="37">
        <f>G11-G15</f>
        <v>63325152.209600002</v>
      </c>
      <c r="H17" s="37">
        <f>H11-H15</f>
        <v>99793107.375200003</v>
      </c>
      <c r="I17" s="37">
        <f>I11-I15</f>
        <v>9275663.3028500006</v>
      </c>
      <c r="J17" s="11"/>
      <c r="K17" s="12"/>
    </row>
    <row r="18" spans="1:11" ht="15.6" x14ac:dyDescent="0.3">
      <c r="A18" s="3"/>
      <c r="B18" s="4"/>
      <c r="C18" s="4"/>
      <c r="D18" s="4"/>
      <c r="E18" s="4"/>
      <c r="F18" s="4"/>
      <c r="G18" s="4"/>
      <c r="H18" s="4"/>
      <c r="I18" s="4"/>
      <c r="J18" s="11"/>
      <c r="K18" s="12"/>
    </row>
    <row r="19" spans="1:11" ht="15.6" x14ac:dyDescent="0.3">
      <c r="A19" s="3">
        <v>8</v>
      </c>
      <c r="B19" s="4" t="s">
        <v>134</v>
      </c>
      <c r="C19" s="4"/>
      <c r="D19" s="4"/>
      <c r="E19" s="28">
        <f>SUM(F19:K19)</f>
        <v>3027008</v>
      </c>
      <c r="F19" s="38">
        <v>2587975</v>
      </c>
      <c r="G19" s="38">
        <v>386800</v>
      </c>
      <c r="H19" s="38">
        <v>22787</v>
      </c>
      <c r="I19" s="38">
        <v>29446</v>
      </c>
      <c r="J19" s="11"/>
      <c r="K19" s="12"/>
    </row>
    <row r="20" spans="1:11" ht="15.6" x14ac:dyDescent="0.3">
      <c r="A20" s="3">
        <v>9</v>
      </c>
      <c r="B20" s="4" t="s">
        <v>32</v>
      </c>
      <c r="C20" s="4"/>
      <c r="D20" s="4"/>
      <c r="E20" s="15"/>
      <c r="F20" s="39">
        <v>9</v>
      </c>
      <c r="G20" s="39">
        <v>20</v>
      </c>
      <c r="H20" s="39">
        <v>500</v>
      </c>
      <c r="I20" s="39">
        <v>20</v>
      </c>
      <c r="J20" s="11"/>
      <c r="K20" s="12"/>
    </row>
    <row r="21" spans="1:11" ht="15.6" x14ac:dyDescent="0.3">
      <c r="A21" s="3">
        <v>10</v>
      </c>
      <c r="B21" s="4" t="s">
        <v>34</v>
      </c>
      <c r="C21" s="4"/>
      <c r="D21" s="4"/>
      <c r="E21" s="15">
        <f>SUM(F21:K21)</f>
        <v>43010195</v>
      </c>
      <c r="F21" s="41">
        <f>F20*F19</f>
        <v>23291775</v>
      </c>
      <c r="G21" s="41">
        <f>G20*G19</f>
        <v>7736000</v>
      </c>
      <c r="H21" s="41">
        <f>H20*H19</f>
        <v>11393500</v>
      </c>
      <c r="I21" s="41">
        <f>I20*I19</f>
        <v>588920</v>
      </c>
      <c r="J21" s="11"/>
      <c r="K21" s="12"/>
    </row>
    <row r="22" spans="1:11" ht="15.6" x14ac:dyDescent="0.3">
      <c r="A22" s="3"/>
      <c r="B22" s="4"/>
      <c r="C22" s="4"/>
      <c r="D22" s="4"/>
      <c r="E22" s="15"/>
      <c r="F22" s="41"/>
      <c r="G22" s="41"/>
      <c r="H22" s="41"/>
      <c r="I22" s="41"/>
      <c r="J22" s="145" t="s">
        <v>35</v>
      </c>
      <c r="K22" s="146"/>
    </row>
    <row r="23" spans="1:11" ht="15.6" x14ac:dyDescent="0.3">
      <c r="A23" s="3">
        <v>11</v>
      </c>
      <c r="B23" s="4" t="s">
        <v>37</v>
      </c>
      <c r="C23" s="4"/>
      <c r="D23" s="4"/>
      <c r="E23" s="15">
        <f>SUM(F23:K23)</f>
        <v>300458092.98110002</v>
      </c>
      <c r="F23" s="37">
        <f>F17-F21</f>
        <v>147782590.09345001</v>
      </c>
      <c r="G23" s="37">
        <f>G17-G21</f>
        <v>55589152.209600002</v>
      </c>
      <c r="H23" s="37">
        <f>H17-H21</f>
        <v>88399607.375200003</v>
      </c>
      <c r="I23" s="37">
        <f>I17-I21</f>
        <v>8686743.3028500006</v>
      </c>
      <c r="J23" s="145"/>
      <c r="K23" s="146"/>
    </row>
    <row r="24" spans="1:11" ht="15.6" x14ac:dyDescent="0.3">
      <c r="A24" s="3"/>
      <c r="B24" s="4"/>
      <c r="C24" s="4"/>
      <c r="D24" s="4"/>
      <c r="E24" s="4"/>
      <c r="F24" s="28"/>
      <c r="G24" s="4"/>
      <c r="H24" s="4"/>
      <c r="I24" s="4"/>
      <c r="J24" s="4"/>
      <c r="K24" s="4"/>
    </row>
    <row r="25" spans="1:11" ht="15.6" x14ac:dyDescent="0.3">
      <c r="A25" s="3">
        <v>12</v>
      </c>
      <c r="B25" s="4" t="s">
        <v>39</v>
      </c>
      <c r="C25" s="4"/>
      <c r="D25" s="4"/>
      <c r="E25" s="45">
        <v>1.8110000000000001E-2</v>
      </c>
      <c r="F25" s="4"/>
      <c r="G25" s="4"/>
      <c r="H25" s="4"/>
      <c r="I25" s="4"/>
      <c r="J25" s="4"/>
      <c r="K25" s="4"/>
    </row>
    <row r="26" spans="1:11" ht="15.6" x14ac:dyDescent="0.3">
      <c r="A26" s="3">
        <v>13</v>
      </c>
      <c r="B26" s="4" t="s">
        <v>40</v>
      </c>
      <c r="C26" s="4"/>
      <c r="D26" s="4"/>
      <c r="E26" s="46">
        <f>1/P58</f>
        <v>1.0464290086864072</v>
      </c>
      <c r="F26" s="47"/>
      <c r="G26" s="4"/>
      <c r="H26" s="47"/>
      <c r="I26" s="4"/>
      <c r="J26" s="4"/>
      <c r="K26" s="4"/>
    </row>
    <row r="27" spans="1:11" ht="15.6" x14ac:dyDescent="0.3">
      <c r="A27" s="3">
        <v>14</v>
      </c>
      <c r="B27" s="4" t="s">
        <v>41</v>
      </c>
      <c r="C27" s="4"/>
      <c r="D27" s="4"/>
      <c r="E27" s="49">
        <f>ROUND(E25*E26,5)</f>
        <v>1.8950000000000002E-2</v>
      </c>
      <c r="F27" s="47"/>
      <c r="G27" s="4"/>
      <c r="H27" s="47"/>
      <c r="I27" s="4"/>
      <c r="J27" s="4"/>
      <c r="K27" s="4"/>
    </row>
    <row r="28" spans="1:11" ht="15.6" x14ac:dyDescent="0.3">
      <c r="A28" s="50"/>
      <c r="B28" s="51"/>
      <c r="C28" s="51"/>
      <c r="D28" s="51"/>
      <c r="E28" s="51"/>
      <c r="F28" s="52"/>
      <c r="G28" s="51"/>
      <c r="H28" s="51"/>
      <c r="I28" s="51"/>
      <c r="J28" s="51"/>
      <c r="K28" s="51"/>
    </row>
    <row r="29" spans="1:11" ht="15.6" customHeight="1" x14ac:dyDescent="0.3">
      <c r="A29" s="50"/>
      <c r="B29" s="51"/>
      <c r="C29" s="51"/>
      <c r="D29" s="51"/>
      <c r="E29" s="51"/>
      <c r="F29" s="53" t="s">
        <v>42</v>
      </c>
      <c r="G29" s="51" t="s">
        <v>43</v>
      </c>
      <c r="H29" s="53"/>
      <c r="I29" s="51"/>
      <c r="J29" s="51"/>
      <c r="K29" s="51"/>
    </row>
    <row r="30" spans="1:11" ht="15.6" x14ac:dyDescent="0.3">
      <c r="A30" s="50">
        <v>15</v>
      </c>
      <c r="B30" s="51" t="s">
        <v>45</v>
      </c>
      <c r="C30" s="51"/>
      <c r="D30" s="51"/>
      <c r="E30" s="51"/>
      <c r="F30" s="54">
        <f>ROUND(F19/12,0)</f>
        <v>215665</v>
      </c>
      <c r="G30" s="54">
        <f>ROUND((G19+H19+I19)/12,0)</f>
        <v>36586</v>
      </c>
      <c r="H30" s="51"/>
      <c r="I30" s="51"/>
      <c r="J30" s="51"/>
      <c r="K30" s="51"/>
    </row>
    <row r="31" spans="1:11" ht="15.6" x14ac:dyDescent="0.3">
      <c r="A31" s="50">
        <v>16</v>
      </c>
      <c r="B31" s="51" t="s">
        <v>46</v>
      </c>
      <c r="C31" s="51"/>
      <c r="D31" s="51"/>
      <c r="E31" s="51"/>
      <c r="F31" s="56">
        <f>F13</f>
        <v>2374703689</v>
      </c>
      <c r="G31" s="56">
        <f>G13+H13+I13</f>
        <v>2131033093</v>
      </c>
      <c r="H31" s="51"/>
      <c r="I31" s="51"/>
      <c r="J31" s="51"/>
      <c r="K31" s="51"/>
    </row>
    <row r="32" spans="1:11" ht="15.6" x14ac:dyDescent="0.3">
      <c r="A32" s="50">
        <v>17</v>
      </c>
      <c r="B32" s="51" t="s">
        <v>47</v>
      </c>
      <c r="C32" s="51"/>
      <c r="D32" s="51"/>
      <c r="E32" s="51"/>
      <c r="F32" s="56">
        <f>F21</f>
        <v>23291775</v>
      </c>
      <c r="G32" s="56">
        <f>G21+H21+I21</f>
        <v>19718420</v>
      </c>
      <c r="H32" s="51"/>
      <c r="I32" s="51"/>
      <c r="J32" s="51"/>
      <c r="K32" s="51"/>
    </row>
    <row r="33" spans="1:16" ht="15.6" x14ac:dyDescent="0.3">
      <c r="A33" s="50">
        <v>18</v>
      </c>
      <c r="B33" s="51" t="s">
        <v>48</v>
      </c>
      <c r="C33" s="51"/>
      <c r="D33" s="51"/>
      <c r="E33" s="51"/>
      <c r="F33" s="58">
        <f>F19</f>
        <v>2587975</v>
      </c>
      <c r="G33" s="58">
        <f>G19+H19+I19</f>
        <v>439033</v>
      </c>
      <c r="H33" s="51"/>
      <c r="I33" s="51"/>
      <c r="J33" s="51"/>
      <c r="K33" s="51"/>
    </row>
    <row r="34" spans="1:16" ht="15.6" x14ac:dyDescent="0.3">
      <c r="A34" s="50">
        <v>19</v>
      </c>
      <c r="B34" s="51" t="s">
        <v>50</v>
      </c>
      <c r="C34" s="51"/>
      <c r="D34" s="51"/>
      <c r="E34" s="51"/>
      <c r="F34" s="59">
        <f>F32/F33</f>
        <v>9</v>
      </c>
      <c r="G34" s="59">
        <f>G32/G33</f>
        <v>44.913298089209697</v>
      </c>
      <c r="H34" s="51"/>
      <c r="I34" s="51"/>
      <c r="J34" s="51"/>
      <c r="K34" s="51"/>
    </row>
    <row r="35" spans="1:16" ht="15.6" x14ac:dyDescent="0.3">
      <c r="A35" s="50"/>
      <c r="B35" s="51"/>
      <c r="C35" s="51"/>
      <c r="D35" s="51"/>
      <c r="E35" s="51"/>
      <c r="F35" s="51"/>
      <c r="G35" s="60"/>
      <c r="H35" s="52"/>
      <c r="I35" s="51"/>
      <c r="J35" s="51"/>
      <c r="K35" s="51"/>
    </row>
    <row r="36" spans="1:16" ht="15.6" x14ac:dyDescent="0.3">
      <c r="A36" s="51" t="s">
        <v>51</v>
      </c>
      <c r="B36" s="51"/>
      <c r="C36" s="51"/>
      <c r="D36" s="51"/>
      <c r="E36" s="51"/>
      <c r="F36" s="51"/>
      <c r="G36" s="60"/>
      <c r="H36" s="52"/>
      <c r="I36" s="51"/>
      <c r="J36" s="51"/>
      <c r="K36" s="51"/>
    </row>
    <row r="37" spans="1:16" ht="15.6" x14ac:dyDescent="0.3">
      <c r="A37" s="50"/>
      <c r="B37" s="51"/>
      <c r="C37" s="51"/>
      <c r="D37" s="51"/>
      <c r="E37" s="51"/>
      <c r="F37" s="51"/>
      <c r="G37" s="60"/>
      <c r="H37" s="52"/>
      <c r="I37" s="51"/>
      <c r="J37" s="51"/>
      <c r="K37" s="51"/>
      <c r="L37" s="1" t="s">
        <v>1</v>
      </c>
      <c r="M37" s="1"/>
      <c r="N37" s="1"/>
      <c r="O37" s="1"/>
      <c r="P37" s="2"/>
    </row>
    <row r="38" spans="1:16" ht="15.6" x14ac:dyDescent="0.3">
      <c r="A38" s="50"/>
      <c r="B38" s="51"/>
      <c r="C38" s="51"/>
      <c r="D38" s="51" t="s">
        <v>52</v>
      </c>
      <c r="E38" s="51"/>
      <c r="F38" s="51"/>
      <c r="G38" s="51"/>
      <c r="H38" s="51"/>
      <c r="I38" s="51"/>
      <c r="J38" s="51"/>
      <c r="K38" s="51"/>
      <c r="L38" s="149" t="s">
        <v>3</v>
      </c>
      <c r="M38" s="149"/>
      <c r="N38" s="149"/>
      <c r="O38" s="149"/>
      <c r="P38" s="149"/>
    </row>
    <row r="39" spans="1:16" ht="15.6" x14ac:dyDescent="0.3">
      <c r="A39" s="50"/>
      <c r="B39" s="51"/>
      <c r="C39" s="51"/>
      <c r="D39" s="51" t="s">
        <v>53</v>
      </c>
      <c r="E39" s="51"/>
      <c r="F39" s="61">
        <f>F23/F13</f>
        <v>6.2232012683520119E-2</v>
      </c>
      <c r="G39" s="61">
        <f>G23/G13</f>
        <v>8.9760403610007616E-2</v>
      </c>
      <c r="H39" s="61">
        <f>H23/H13</f>
        <v>6.4718726199436305E-2</v>
      </c>
      <c r="I39" s="61">
        <f>I23/I13</f>
        <v>5.9570658095621822E-2</v>
      </c>
      <c r="J39" s="51"/>
      <c r="K39" s="51"/>
      <c r="L39" s="144" t="s">
        <v>5</v>
      </c>
      <c r="M39" s="144"/>
      <c r="N39" s="144"/>
      <c r="O39" s="144"/>
      <c r="P39" s="144"/>
    </row>
    <row r="40" spans="1:16" ht="15.6" x14ac:dyDescent="0.3">
      <c r="A40" s="50"/>
      <c r="B40" s="51"/>
      <c r="C40" s="51"/>
      <c r="D40" s="51" t="s">
        <v>54</v>
      </c>
      <c r="E40" s="51"/>
      <c r="F40" s="62">
        <f>F39+F14</f>
        <v>8.1182012683520127E-2</v>
      </c>
      <c r="G40" s="62">
        <f>G39+G14</f>
        <v>0.10871040361000761</v>
      </c>
      <c r="H40" s="62">
        <f>H39+H14</f>
        <v>8.36687261994363E-2</v>
      </c>
      <c r="I40" s="62">
        <f>I39+I14</f>
        <v>7.8520658095621823E-2</v>
      </c>
      <c r="J40" s="51"/>
      <c r="K40" s="51"/>
      <c r="L40" s="1" t="s">
        <v>142</v>
      </c>
      <c r="M40" s="1"/>
      <c r="N40" s="1"/>
      <c r="O40" s="1"/>
      <c r="P40" s="2"/>
    </row>
    <row r="41" spans="1:16" x14ac:dyDescent="0.3">
      <c r="L41" s="144" t="str">
        <f>A4</f>
        <v>Washington Docket No. UE-19____  2018 Test Year At Present Rates</v>
      </c>
      <c r="M41" s="144"/>
      <c r="N41" s="144"/>
      <c r="O41" s="144"/>
      <c r="P41" s="144"/>
    </row>
    <row r="43" spans="1:16" x14ac:dyDescent="0.3">
      <c r="L43" s="9"/>
      <c r="M43" s="9"/>
      <c r="N43" s="9"/>
      <c r="O43" s="9"/>
      <c r="P43" s="10"/>
    </row>
    <row r="44" spans="1:16" x14ac:dyDescent="0.3">
      <c r="L44" s="13" t="s">
        <v>20</v>
      </c>
      <c r="M44" s="13"/>
      <c r="N44" s="13"/>
      <c r="O44" s="13"/>
      <c r="P44" s="14"/>
    </row>
    <row r="45" spans="1:16" ht="15.6" x14ac:dyDescent="0.3">
      <c r="D45" s="148" t="s">
        <v>0</v>
      </c>
      <c r="E45" s="148"/>
      <c r="F45" s="148"/>
      <c r="G45" s="148"/>
      <c r="H45" s="148"/>
      <c r="I45" s="148"/>
      <c r="L45" s="19" t="s">
        <v>21</v>
      </c>
      <c r="M45" s="13"/>
      <c r="N45" s="19" t="s">
        <v>22</v>
      </c>
      <c r="O45" s="20"/>
      <c r="P45" s="21" t="s">
        <v>23</v>
      </c>
    </row>
    <row r="46" spans="1:16" ht="15.6" x14ac:dyDescent="0.3">
      <c r="D46" s="148" t="s">
        <v>2</v>
      </c>
      <c r="E46" s="148"/>
      <c r="F46" s="148"/>
      <c r="G46" s="148"/>
      <c r="H46" s="148"/>
      <c r="I46" s="148"/>
      <c r="L46" s="9"/>
      <c r="M46" s="9"/>
      <c r="N46" s="9"/>
      <c r="O46" s="9"/>
      <c r="P46" s="10"/>
    </row>
    <row r="47" spans="1:16" ht="15.6" x14ac:dyDescent="0.3">
      <c r="D47" s="150" t="s">
        <v>55</v>
      </c>
      <c r="E47" s="150"/>
      <c r="F47" s="150"/>
      <c r="G47" s="150"/>
      <c r="H47" s="150"/>
      <c r="I47" s="150"/>
      <c r="L47" s="25">
        <v>1</v>
      </c>
      <c r="M47" s="9"/>
      <c r="N47" s="26" t="s">
        <v>24</v>
      </c>
      <c r="O47" s="9"/>
      <c r="P47" s="27">
        <v>1</v>
      </c>
    </row>
    <row r="48" spans="1:16" ht="15.6" x14ac:dyDescent="0.3">
      <c r="D48" s="153" t="str">
        <f>A4</f>
        <v>Washington Docket No. UE-19____  2018 Test Year At Present Rates</v>
      </c>
      <c r="E48" s="153"/>
      <c r="F48" s="153"/>
      <c r="G48" s="153"/>
      <c r="H48" s="153"/>
      <c r="I48" s="153"/>
      <c r="L48" s="25"/>
      <c r="M48" s="9"/>
      <c r="N48" s="9"/>
      <c r="O48" s="9"/>
      <c r="P48" s="27"/>
    </row>
    <row r="49" spans="4:16" ht="15.6" x14ac:dyDescent="0.3">
      <c r="D49" s="63"/>
      <c r="F49" s="63"/>
      <c r="G49" s="63"/>
      <c r="H49" s="63"/>
      <c r="I49" s="63"/>
      <c r="L49" s="25"/>
      <c r="M49" s="9"/>
      <c r="N49" s="32" t="s">
        <v>25</v>
      </c>
      <c r="O49" s="33"/>
      <c r="P49" s="27"/>
    </row>
    <row r="50" spans="4:16" ht="31.2" x14ac:dyDescent="0.3">
      <c r="D50" s="64" t="s">
        <v>56</v>
      </c>
      <c r="F50" s="65"/>
      <c r="G50" s="64" t="s">
        <v>57</v>
      </c>
      <c r="H50" s="64" t="s">
        <v>42</v>
      </c>
      <c r="I50" s="64" t="s">
        <v>58</v>
      </c>
      <c r="L50" s="25">
        <v>2</v>
      </c>
      <c r="M50" s="9"/>
      <c r="N50" s="33" t="s">
        <v>27</v>
      </c>
      <c r="O50" s="33"/>
      <c r="P50" s="33">
        <f>'[28]CF '!$E$12</f>
        <v>3.7820000000000002E-3</v>
      </c>
    </row>
    <row r="51" spans="4:16" ht="15.6" x14ac:dyDescent="0.3">
      <c r="D51" s="63"/>
      <c r="E51" s="111" t="s">
        <v>59</v>
      </c>
      <c r="G51" s="66" t="s">
        <v>60</v>
      </c>
      <c r="H51" s="66" t="s">
        <v>61</v>
      </c>
      <c r="I51" s="66" t="s">
        <v>62</v>
      </c>
      <c r="L51" s="25"/>
      <c r="M51" s="9"/>
      <c r="N51" s="33"/>
      <c r="O51" s="33"/>
      <c r="P51" s="33"/>
    </row>
    <row r="52" spans="4:16" ht="16.2" x14ac:dyDescent="0.35">
      <c r="D52" s="66"/>
      <c r="E52" s="67"/>
      <c r="G52" s="66"/>
      <c r="H52" s="66"/>
      <c r="I52" s="66"/>
      <c r="L52" s="25">
        <v>3</v>
      </c>
      <c r="M52" s="9"/>
      <c r="N52" s="33" t="s">
        <v>29</v>
      </c>
      <c r="O52" s="33"/>
      <c r="P52" s="33">
        <f>'[28]CF '!$E$14</f>
        <v>2E-3</v>
      </c>
    </row>
    <row r="53" spans="4:16" ht="15.6" x14ac:dyDescent="0.3">
      <c r="D53" s="66">
        <v>1</v>
      </c>
      <c r="E53" s="63" t="s">
        <v>63</v>
      </c>
      <c r="G53" s="112" t="s">
        <v>51</v>
      </c>
      <c r="H53" s="68">
        <f>F23</f>
        <v>147782590.09345001</v>
      </c>
      <c r="I53" s="68">
        <f>SUM(G23:I23)</f>
        <v>152675502.88765001</v>
      </c>
      <c r="L53" s="25"/>
      <c r="M53" s="9"/>
      <c r="N53" s="33"/>
      <c r="O53" s="33"/>
      <c r="P53" s="33"/>
    </row>
    <row r="54" spans="4:16" ht="15.6" x14ac:dyDescent="0.3">
      <c r="D54" s="66"/>
      <c r="E54" s="63"/>
      <c r="G54" s="63"/>
      <c r="H54" s="63"/>
      <c r="I54" s="63"/>
      <c r="L54" s="25">
        <v>4</v>
      </c>
      <c r="M54" s="9"/>
      <c r="N54" s="33" t="s">
        <v>31</v>
      </c>
      <c r="O54" s="33"/>
      <c r="P54" s="33">
        <f>'[28]CF '!$E$16</f>
        <v>3.8587000000000003E-2</v>
      </c>
    </row>
    <row r="55" spans="4:16" ht="15.6" customHeight="1" x14ac:dyDescent="0.3">
      <c r="D55" s="66">
        <v>2</v>
      </c>
      <c r="E55" s="152" t="s">
        <v>135</v>
      </c>
      <c r="F55" s="152"/>
      <c r="G55" s="66" t="s">
        <v>64</v>
      </c>
      <c r="H55" s="69">
        <f>F30</f>
        <v>215665</v>
      </c>
      <c r="I55" s="69">
        <f>G30</f>
        <v>36586</v>
      </c>
      <c r="L55" s="25"/>
      <c r="M55" s="9"/>
      <c r="N55" s="33"/>
      <c r="O55" s="33"/>
      <c r="P55" s="33"/>
    </row>
    <row r="56" spans="4:16" ht="15.6" x14ac:dyDescent="0.3">
      <c r="D56" s="66"/>
      <c r="E56" s="110"/>
      <c r="F56" s="110"/>
      <c r="G56" s="63"/>
      <c r="H56" s="69"/>
      <c r="I56" s="69"/>
      <c r="L56" s="25">
        <v>6</v>
      </c>
      <c r="M56" s="9"/>
      <c r="N56" s="33" t="s">
        <v>33</v>
      </c>
      <c r="O56" s="33"/>
      <c r="P56" s="40">
        <f>SUM(P50:P54)</f>
        <v>4.4369000000000006E-2</v>
      </c>
    </row>
    <row r="57" spans="4:16" ht="15.6" customHeight="1" x14ac:dyDescent="0.3">
      <c r="D57" s="66">
        <v>3</v>
      </c>
      <c r="E57" s="110" t="s">
        <v>65</v>
      </c>
      <c r="F57" s="110"/>
      <c r="G57" s="66" t="str">
        <f>"("&amp;D53&amp;") / ("&amp;D55&amp;")"</f>
        <v>(1) / (2)</v>
      </c>
      <c r="H57" s="70">
        <f>ROUND(H53/H55,2)</f>
        <v>685.24</v>
      </c>
      <c r="I57" s="70">
        <f>ROUND(I53/I55,2)</f>
        <v>4173.0600000000004</v>
      </c>
      <c r="L57" s="9"/>
      <c r="M57" s="9"/>
      <c r="N57" s="33"/>
      <c r="O57" s="33"/>
      <c r="P57" s="42"/>
    </row>
    <row r="58" spans="4:16" ht="15.6" x14ac:dyDescent="0.3">
      <c r="D58" s="66"/>
      <c r="E58" s="110"/>
      <c r="F58" s="110"/>
      <c r="G58" s="63"/>
      <c r="H58" s="71"/>
      <c r="I58" s="71"/>
      <c r="L58" s="25">
        <v>7</v>
      </c>
      <c r="M58" s="9"/>
      <c r="N58" s="33" t="s">
        <v>36</v>
      </c>
      <c r="O58" s="33"/>
      <c r="P58" s="42">
        <f>P47-P56</f>
        <v>0.95563100000000001</v>
      </c>
    </row>
    <row r="59" spans="4:16" ht="24.6" customHeight="1" x14ac:dyDescent="0.3">
      <c r="D59" s="66"/>
      <c r="E59" s="72" t="s">
        <v>66</v>
      </c>
      <c r="G59" s="63"/>
      <c r="H59" s="63"/>
      <c r="I59" s="63"/>
      <c r="L59" s="9"/>
      <c r="M59" s="9"/>
      <c r="N59" s="33"/>
      <c r="O59" s="33"/>
      <c r="P59" s="42"/>
    </row>
    <row r="60" spans="4:16" ht="15.6" x14ac:dyDescent="0.3">
      <c r="D60" s="51"/>
      <c r="F60" s="51"/>
      <c r="G60" s="51"/>
      <c r="H60" s="51"/>
      <c r="I60" s="51"/>
      <c r="L60" s="25">
        <v>8</v>
      </c>
      <c r="M60" s="9"/>
      <c r="N60" s="33" t="s">
        <v>38</v>
      </c>
      <c r="O60" s="43"/>
      <c r="P60" s="44">
        <f>ROUND(P58*0.21,6)</f>
        <v>0.200683</v>
      </c>
    </row>
    <row r="61" spans="4:16" ht="15.6" x14ac:dyDescent="0.3">
      <c r="E61" s="51"/>
      <c r="F61" s="51"/>
      <c r="G61" s="51"/>
      <c r="H61" s="51"/>
      <c r="I61" s="51"/>
      <c r="L61" s="9"/>
      <c r="M61" s="9"/>
      <c r="N61" s="33"/>
      <c r="O61" s="33"/>
      <c r="P61" s="42"/>
    </row>
    <row r="62" spans="4:16" ht="16.2" thickBot="1" x14ac:dyDescent="0.35">
      <c r="E62" s="51" t="s">
        <v>67</v>
      </c>
      <c r="F62" s="51"/>
      <c r="G62" s="51"/>
      <c r="H62" s="51"/>
      <c r="I62" s="51"/>
      <c r="L62" s="25">
        <v>9</v>
      </c>
      <c r="M62" s="9"/>
      <c r="N62" s="32" t="s">
        <v>3</v>
      </c>
      <c r="O62" s="33"/>
      <c r="P62" s="48">
        <f>ROUND(P58-P60,6)</f>
        <v>0.75494799999999995</v>
      </c>
    </row>
    <row r="63" spans="4:16" ht="16.2" thickTop="1" x14ac:dyDescent="0.3">
      <c r="E63" s="51"/>
      <c r="F63" s="73" t="s">
        <v>24</v>
      </c>
      <c r="G63" s="51"/>
      <c r="H63" s="51"/>
      <c r="I63" s="51"/>
      <c r="L63" s="9"/>
      <c r="M63" s="9"/>
      <c r="N63" s="9"/>
      <c r="O63" s="9"/>
      <c r="P63" s="10"/>
    </row>
    <row r="64" spans="4:16" ht="15.6" x14ac:dyDescent="0.3">
      <c r="E64" s="51"/>
      <c r="F64" s="73" t="s">
        <v>68</v>
      </c>
      <c r="G64" s="51"/>
      <c r="H64" s="68">
        <f>H55*H57</f>
        <v>147782284.59999999</v>
      </c>
      <c r="I64" s="68">
        <f>I55*I57</f>
        <v>152675573.16000003</v>
      </c>
      <c r="L64" s="9"/>
      <c r="M64" s="9"/>
      <c r="N64" s="9"/>
      <c r="O64" s="9"/>
      <c r="P64" s="10"/>
    </row>
    <row r="65" spans="1:17" ht="15.6" x14ac:dyDescent="0.3">
      <c r="E65" s="51"/>
      <c r="F65" s="73" t="s">
        <v>69</v>
      </c>
      <c r="G65" s="51"/>
      <c r="H65" s="68">
        <f>F32</f>
        <v>23291775</v>
      </c>
      <c r="I65" s="68">
        <f>G32</f>
        <v>19718420</v>
      </c>
      <c r="L65" s="9"/>
      <c r="M65" s="9"/>
      <c r="N65" s="147" t="s">
        <v>44</v>
      </c>
      <c r="O65" s="147"/>
      <c r="P65" s="147"/>
    </row>
    <row r="66" spans="1:17" ht="15.6" x14ac:dyDescent="0.3">
      <c r="E66" s="51"/>
      <c r="F66" s="73" t="s">
        <v>70</v>
      </c>
      <c r="G66" s="51"/>
      <c r="H66" s="68">
        <f>F15</f>
        <v>45000634.906550005</v>
      </c>
      <c r="I66" s="68">
        <f>SUM(G15:I15)</f>
        <v>40383077.112350002</v>
      </c>
      <c r="L66" s="9"/>
      <c r="M66" s="9"/>
      <c r="N66" s="55"/>
      <c r="O66" s="55"/>
      <c r="P66" s="55"/>
    </row>
    <row r="67" spans="1:17" ht="15.6" x14ac:dyDescent="0.3">
      <c r="E67" s="51"/>
      <c r="F67" s="73" t="s">
        <v>71</v>
      </c>
      <c r="G67" s="51"/>
      <c r="H67" s="74">
        <f>SUM(H64:H66)</f>
        <v>216074694.50655001</v>
      </c>
      <c r="I67" s="74">
        <f>SUM(I64:I66)</f>
        <v>212777070.27235001</v>
      </c>
      <c r="L67" s="9"/>
      <c r="M67" s="9"/>
      <c r="N67" s="57"/>
      <c r="O67" s="57"/>
      <c r="P67" s="57"/>
    </row>
    <row r="68" spans="1:17" ht="15.6" x14ac:dyDescent="0.3">
      <c r="E68" s="51"/>
      <c r="F68" s="73"/>
      <c r="G68" s="51"/>
      <c r="H68" s="109"/>
      <c r="I68" s="109"/>
    </row>
    <row r="69" spans="1:17" ht="15.6" x14ac:dyDescent="0.3">
      <c r="D69" s="51" t="s">
        <v>67</v>
      </c>
      <c r="L69" s="51" t="s">
        <v>49</v>
      </c>
    </row>
    <row r="71" spans="1:17" ht="17.399999999999999" x14ac:dyDescent="0.3">
      <c r="B71" s="113" t="s">
        <v>0</v>
      </c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</row>
    <row r="72" spans="1:17" ht="17.399999999999999" x14ac:dyDescent="0.3">
      <c r="B72" s="113" t="str">
        <f>A2</f>
        <v xml:space="preserve"> Electric Decoupling Mechanism</v>
      </c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</row>
    <row r="73" spans="1:17" ht="17.399999999999999" x14ac:dyDescent="0.3">
      <c r="B73" s="114" t="s">
        <v>72</v>
      </c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</row>
    <row r="74" spans="1:17" ht="17.399999999999999" x14ac:dyDescent="0.3">
      <c r="B74" s="114" t="str">
        <f>A4</f>
        <v>Washington Docket No. UE-19____  2018 Test Year At Present Rates</v>
      </c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</row>
    <row r="75" spans="1:17" ht="15.6" x14ac:dyDescent="0.3">
      <c r="B75" s="148"/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</row>
    <row r="76" spans="1:17" ht="26.4" x14ac:dyDescent="0.3">
      <c r="A76" s="75" t="s">
        <v>56</v>
      </c>
      <c r="B76" s="76"/>
      <c r="D76" s="77" t="s">
        <v>57</v>
      </c>
      <c r="E76" s="78" t="s">
        <v>73</v>
      </c>
      <c r="F76" s="78" t="s">
        <v>74</v>
      </c>
      <c r="G76" s="78" t="s">
        <v>75</v>
      </c>
      <c r="H76" s="78" t="s">
        <v>76</v>
      </c>
      <c r="I76" s="78" t="s">
        <v>77</v>
      </c>
      <c r="J76" s="78" t="s">
        <v>78</v>
      </c>
      <c r="K76" s="78" t="s">
        <v>79</v>
      </c>
      <c r="L76" s="78" t="s">
        <v>80</v>
      </c>
      <c r="M76" s="78" t="s">
        <v>81</v>
      </c>
      <c r="N76" s="78" t="s">
        <v>82</v>
      </c>
      <c r="O76" s="78" t="s">
        <v>83</v>
      </c>
      <c r="P76" s="78" t="s">
        <v>84</v>
      </c>
      <c r="Q76" s="75" t="s">
        <v>13</v>
      </c>
    </row>
    <row r="77" spans="1:17" x14ac:dyDescent="0.3">
      <c r="A77" s="79"/>
      <c r="B77" s="80" t="s">
        <v>59</v>
      </c>
      <c r="D77" s="80" t="s">
        <v>60</v>
      </c>
      <c r="E77" s="80" t="s">
        <v>61</v>
      </c>
      <c r="F77" s="80" t="s">
        <v>62</v>
      </c>
      <c r="G77" s="80" t="s">
        <v>85</v>
      </c>
      <c r="H77" s="80" t="s">
        <v>86</v>
      </c>
      <c r="I77" s="80" t="s">
        <v>87</v>
      </c>
      <c r="J77" s="80" t="s">
        <v>88</v>
      </c>
      <c r="K77" s="80" t="s">
        <v>89</v>
      </c>
      <c r="L77" s="80" t="s">
        <v>90</v>
      </c>
      <c r="M77" s="80" t="s">
        <v>91</v>
      </c>
      <c r="N77" s="80" t="s">
        <v>92</v>
      </c>
      <c r="O77" s="80" t="s">
        <v>93</v>
      </c>
      <c r="P77" s="80" t="s">
        <v>94</v>
      </c>
      <c r="Q77" s="80" t="s">
        <v>95</v>
      </c>
    </row>
    <row r="78" spans="1:17" x14ac:dyDescent="0.3">
      <c r="A78" s="80">
        <v>1</v>
      </c>
      <c r="B78" s="81" t="s">
        <v>96</v>
      </c>
      <c r="D78" s="80"/>
      <c r="E78" s="79"/>
      <c r="F78" s="79"/>
      <c r="G78" s="79"/>
      <c r="H78" s="79"/>
      <c r="I78" s="82"/>
      <c r="J78" s="82"/>
      <c r="K78" s="79"/>
      <c r="L78" s="79"/>
      <c r="M78" s="79"/>
      <c r="N78" s="79"/>
      <c r="O78" s="79"/>
      <c r="P78" s="79"/>
      <c r="Q78" s="83"/>
    </row>
    <row r="79" spans="1:17" x14ac:dyDescent="0.3">
      <c r="A79" s="80">
        <f>A78+1</f>
        <v>2</v>
      </c>
      <c r="B79" s="84" t="s">
        <v>42</v>
      </c>
      <c r="D79" s="80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83"/>
    </row>
    <row r="80" spans="1:17" x14ac:dyDescent="0.3">
      <c r="A80" s="80">
        <f>A79+1</f>
        <v>3</v>
      </c>
      <c r="B80" s="85" t="s">
        <v>97</v>
      </c>
      <c r="D80" s="80" t="s">
        <v>98</v>
      </c>
      <c r="E80" s="86">
        <f>E158</f>
        <v>292945712.06200004</v>
      </c>
      <c r="F80" s="86">
        <f t="shared" ref="F80:P80" si="3">F158</f>
        <v>209125084.00199997</v>
      </c>
      <c r="G80" s="86">
        <f t="shared" si="3"/>
        <v>229152606.20699999</v>
      </c>
      <c r="H80" s="86">
        <f t="shared" si="3"/>
        <v>174130864.29800999</v>
      </c>
      <c r="I80" s="86">
        <f t="shared" si="3"/>
        <v>159047392.68922001</v>
      </c>
      <c r="J80" s="86">
        <f t="shared" si="3"/>
        <v>151500181.59101999</v>
      </c>
      <c r="K80" s="86">
        <f t="shared" si="3"/>
        <v>166667942.63099</v>
      </c>
      <c r="L80" s="86">
        <f t="shared" si="3"/>
        <v>194633616.92300999</v>
      </c>
      <c r="M80" s="86">
        <f t="shared" si="3"/>
        <v>145837333.60800001</v>
      </c>
      <c r="N80" s="86">
        <f t="shared" si="3"/>
        <v>161623305.058</v>
      </c>
      <c r="O80" s="86">
        <f t="shared" si="3"/>
        <v>216281572.46800002</v>
      </c>
      <c r="P80" s="86">
        <f t="shared" si="3"/>
        <v>273758077.04299998</v>
      </c>
      <c r="Q80" s="87">
        <f>SUM(E80:P80)</f>
        <v>2374703688.5802498</v>
      </c>
    </row>
    <row r="81" spans="1:17" x14ac:dyDescent="0.3">
      <c r="A81" s="80">
        <f>A80+1</f>
        <v>4</v>
      </c>
      <c r="B81" s="79" t="s">
        <v>99</v>
      </c>
      <c r="D81" s="88" t="s">
        <v>100</v>
      </c>
      <c r="E81" s="89">
        <f>E80/$Q80</f>
        <v>0.12336095381952339</v>
      </c>
      <c r="F81" s="89">
        <f t="shared" ref="F81:P81" si="4">F80/$Q80</f>
        <v>8.8063654007725214E-2</v>
      </c>
      <c r="G81" s="89">
        <f t="shared" si="4"/>
        <v>9.6497347146498991E-2</v>
      </c>
      <c r="H81" s="89">
        <f t="shared" si="4"/>
        <v>7.3327407177320975E-2</v>
      </c>
      <c r="I81" s="89">
        <f t="shared" si="4"/>
        <v>6.6975679304355121E-2</v>
      </c>
      <c r="J81" s="89">
        <f t="shared" si="4"/>
        <v>6.3797509693344731E-2</v>
      </c>
      <c r="K81" s="89">
        <f t="shared" si="4"/>
        <v>7.0184732281539847E-2</v>
      </c>
      <c r="L81" s="89">
        <f t="shared" si="4"/>
        <v>8.1961222302802103E-2</v>
      </c>
      <c r="M81" s="89">
        <f t="shared" si="4"/>
        <v>6.1412855131913711E-2</v>
      </c>
      <c r="N81" s="89">
        <f t="shared" si="4"/>
        <v>6.8060409319795512E-2</v>
      </c>
      <c r="O81" s="89">
        <f t="shared" si="4"/>
        <v>9.1077288298359038E-2</v>
      </c>
      <c r="P81" s="89">
        <f t="shared" si="4"/>
        <v>0.11528094151682146</v>
      </c>
      <c r="Q81" s="89">
        <f>SUM(E81:P81)</f>
        <v>1.0000000000000002</v>
      </c>
    </row>
    <row r="82" spans="1:17" x14ac:dyDescent="0.3">
      <c r="A82" s="80"/>
      <c r="B82" s="79"/>
      <c r="D82" s="90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</row>
    <row r="83" spans="1:17" x14ac:dyDescent="0.3">
      <c r="A83" s="80">
        <v>5</v>
      </c>
      <c r="B83" s="84" t="s">
        <v>101</v>
      </c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</row>
    <row r="84" spans="1:17" x14ac:dyDescent="0.3">
      <c r="A84" s="80">
        <v>6</v>
      </c>
      <c r="B84" s="85" t="s">
        <v>97</v>
      </c>
      <c r="D84" s="80" t="s">
        <v>98</v>
      </c>
      <c r="E84" s="86">
        <f>E161</f>
        <v>176964440.734</v>
      </c>
      <c r="F84" s="86">
        <f t="shared" ref="F84:P84" si="5">F161</f>
        <v>175619316.72100002</v>
      </c>
      <c r="G84" s="86">
        <f t="shared" si="5"/>
        <v>167056292.088</v>
      </c>
      <c r="H84" s="86">
        <f t="shared" si="5"/>
        <v>162007859.72499999</v>
      </c>
      <c r="I84" s="86">
        <f t="shared" si="5"/>
        <v>174616872.97705001</v>
      </c>
      <c r="J84" s="86">
        <f t="shared" si="5"/>
        <v>181537286.56</v>
      </c>
      <c r="K84" s="86">
        <f t="shared" si="5"/>
        <v>199722134.123</v>
      </c>
      <c r="L84" s="86">
        <f t="shared" si="5"/>
        <v>191613197.248</v>
      </c>
      <c r="M84" s="86">
        <f t="shared" si="5"/>
        <v>170241283.23899999</v>
      </c>
      <c r="N84" s="86">
        <f t="shared" si="5"/>
        <v>183287816.55399999</v>
      </c>
      <c r="O84" s="86">
        <f t="shared" si="5"/>
        <v>175272144.72799999</v>
      </c>
      <c r="P84" s="86">
        <f t="shared" si="5"/>
        <v>173094448.984</v>
      </c>
      <c r="Q84" s="87">
        <f>SUM(E84:P84)</f>
        <v>2131033093.6810496</v>
      </c>
    </row>
    <row r="85" spans="1:17" x14ac:dyDescent="0.3">
      <c r="A85" s="80">
        <v>7</v>
      </c>
      <c r="B85" s="79" t="s">
        <v>99</v>
      </c>
      <c r="D85" s="88" t="s">
        <v>100</v>
      </c>
      <c r="E85" s="92">
        <f>E84/$Q84</f>
        <v>8.3041620169454836E-2</v>
      </c>
      <c r="F85" s="92">
        <f t="shared" ref="F85:P85" si="6">F84/$Q84</f>
        <v>8.2410412696896793E-2</v>
      </c>
      <c r="G85" s="92">
        <f t="shared" si="6"/>
        <v>7.8392162272541047E-2</v>
      </c>
      <c r="H85" s="92">
        <f t="shared" si="6"/>
        <v>7.6023155250562066E-2</v>
      </c>
      <c r="I85" s="92">
        <f t="shared" si="6"/>
        <v>8.1940009986154069E-2</v>
      </c>
      <c r="J85" s="92">
        <f t="shared" si="6"/>
        <v>8.5187455370024659E-2</v>
      </c>
      <c r="K85" s="92">
        <f t="shared" si="6"/>
        <v>9.3720803639895184E-2</v>
      </c>
      <c r="L85" s="92">
        <f t="shared" si="6"/>
        <v>8.9915636606570051E-2</v>
      </c>
      <c r="M85" s="92">
        <f t="shared" si="6"/>
        <v>7.9886738382336869E-2</v>
      </c>
      <c r="N85" s="92">
        <f t="shared" si="6"/>
        <v>8.6008902019159617E-2</v>
      </c>
      <c r="O85" s="92">
        <f t="shared" si="6"/>
        <v>8.2247500166805418E-2</v>
      </c>
      <c r="P85" s="92">
        <f t="shared" si="6"/>
        <v>8.1225603439599586E-2</v>
      </c>
      <c r="Q85" s="92">
        <f>SUM(E85:P85)</f>
        <v>1.0000000000000002</v>
      </c>
    </row>
    <row r="86" spans="1:17" x14ac:dyDescent="0.3">
      <c r="A86" s="80"/>
      <c r="B86" s="79"/>
      <c r="D86" s="93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</row>
    <row r="87" spans="1:17" x14ac:dyDescent="0.3">
      <c r="A87" s="80"/>
      <c r="B87" s="84"/>
      <c r="D87" s="80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83"/>
    </row>
    <row r="88" spans="1:17" x14ac:dyDescent="0.3">
      <c r="A88" s="80"/>
      <c r="B88" s="85"/>
      <c r="D88" s="80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7"/>
    </row>
    <row r="89" spans="1:17" x14ac:dyDescent="0.3">
      <c r="A89" s="80"/>
      <c r="B89" s="79"/>
      <c r="D89" s="88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</row>
    <row r="90" spans="1:17" x14ac:dyDescent="0.3">
      <c r="A90" s="80"/>
      <c r="B90" s="79"/>
      <c r="D90" s="80"/>
      <c r="E90" s="92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</row>
    <row r="91" spans="1:17" x14ac:dyDescent="0.3">
      <c r="A91" s="80">
        <v>8</v>
      </c>
      <c r="B91" s="81" t="s">
        <v>102</v>
      </c>
      <c r="D91" s="80"/>
      <c r="E91" s="92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</row>
    <row r="92" spans="1:17" x14ac:dyDescent="0.3">
      <c r="A92" s="80">
        <f>A91+1</f>
        <v>9</v>
      </c>
      <c r="B92" s="84" t="s">
        <v>42</v>
      </c>
      <c r="D92" s="80"/>
      <c r="E92" s="92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</row>
    <row r="93" spans="1:17" x14ac:dyDescent="0.3">
      <c r="A93" s="80">
        <f>A92+1</f>
        <v>10</v>
      </c>
      <c r="B93" s="79" t="s">
        <v>144</v>
      </c>
      <c r="D93" s="80" t="s">
        <v>103</v>
      </c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94">
        <f>H57</f>
        <v>685.24</v>
      </c>
    </row>
    <row r="94" spans="1:17" x14ac:dyDescent="0.3">
      <c r="A94" s="80">
        <f>A93+1</f>
        <v>11</v>
      </c>
      <c r="B94" s="79" t="s">
        <v>104</v>
      </c>
      <c r="D94" s="80" t="str">
        <f>"("&amp;A81&amp;") x ("&amp;A93&amp;")"</f>
        <v>(4) x (10)</v>
      </c>
      <c r="E94" s="95">
        <f>$Q93*E$81</f>
        <v>84.531859995290205</v>
      </c>
      <c r="F94" s="95">
        <f t="shared" ref="F94:P94" si="7">$Q93*F$81</f>
        <v>60.344738272253629</v>
      </c>
      <c r="G94" s="95">
        <f t="shared" si="7"/>
        <v>66.123842158666974</v>
      </c>
      <c r="H94" s="95">
        <f t="shared" si="7"/>
        <v>50.246872494187429</v>
      </c>
      <c r="I94" s="95">
        <f t="shared" si="7"/>
        <v>45.894414486516304</v>
      </c>
      <c r="J94" s="95">
        <f t="shared" si="7"/>
        <v>43.716605542267544</v>
      </c>
      <c r="K94" s="95">
        <f t="shared" si="7"/>
        <v>48.093385948602368</v>
      </c>
      <c r="L94" s="95">
        <f t="shared" si="7"/>
        <v>56.163107970772117</v>
      </c>
      <c r="M94" s="95">
        <f t="shared" si="7"/>
        <v>42.082544850592555</v>
      </c>
      <c r="N94" s="95">
        <f t="shared" si="7"/>
        <v>46.637714882296677</v>
      </c>
      <c r="O94" s="95">
        <f t="shared" si="7"/>
        <v>62.409801033567547</v>
      </c>
      <c r="P94" s="95">
        <f t="shared" si="7"/>
        <v>78.995112364986738</v>
      </c>
      <c r="Q94" s="94">
        <f>SUM(E94:P94)</f>
        <v>685.24000000000012</v>
      </c>
    </row>
    <row r="95" spans="1:17" x14ac:dyDescent="0.3">
      <c r="A95" s="80"/>
      <c r="B95" s="79"/>
      <c r="D95" s="80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4"/>
    </row>
    <row r="96" spans="1:17" x14ac:dyDescent="0.3">
      <c r="A96" s="80">
        <f>A94+1</f>
        <v>12</v>
      </c>
      <c r="B96" s="84" t="s">
        <v>101</v>
      </c>
      <c r="D96" s="96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94"/>
    </row>
    <row r="97" spans="1:17" x14ac:dyDescent="0.3">
      <c r="A97" s="80">
        <f>A96+1</f>
        <v>13</v>
      </c>
      <c r="B97" s="79" t="s">
        <v>144</v>
      </c>
      <c r="D97" s="80" t="s">
        <v>103</v>
      </c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94">
        <f>I57</f>
        <v>4173.0600000000004</v>
      </c>
    </row>
    <row r="98" spans="1:17" x14ac:dyDescent="0.3">
      <c r="A98" s="80">
        <f>A97+1</f>
        <v>14</v>
      </c>
      <c r="B98" s="79" t="s">
        <v>104</v>
      </c>
      <c r="D98" s="80" t="str">
        <f>"("&amp;A85&amp;") x ("&amp;A97&amp;")"</f>
        <v>(7) x (13)</v>
      </c>
      <c r="E98" s="95">
        <f>$Q97*E$85</f>
        <v>346.53766346434526</v>
      </c>
      <c r="F98" s="95">
        <f t="shared" ref="F98:P98" si="8">$Q97*F$85</f>
        <v>343.90359680891214</v>
      </c>
      <c r="G98" s="95">
        <f t="shared" si="8"/>
        <v>327.13519669305015</v>
      </c>
      <c r="H98" s="95">
        <f t="shared" si="8"/>
        <v>317.24918824991056</v>
      </c>
      <c r="I98" s="95">
        <f t="shared" si="8"/>
        <v>341.94057807282013</v>
      </c>
      <c r="J98" s="95">
        <f t="shared" si="8"/>
        <v>355.49236250643514</v>
      </c>
      <c r="K98" s="95">
        <f t="shared" si="8"/>
        <v>391.10253683750102</v>
      </c>
      <c r="L98" s="95">
        <f t="shared" si="8"/>
        <v>375.22334649741327</v>
      </c>
      <c r="M98" s="95">
        <f t="shared" si="8"/>
        <v>333.37215247379476</v>
      </c>
      <c r="N98" s="95">
        <f t="shared" si="8"/>
        <v>358.92030866007428</v>
      </c>
      <c r="O98" s="95">
        <f t="shared" si="8"/>
        <v>343.22375304608903</v>
      </c>
      <c r="P98" s="95">
        <f t="shared" si="8"/>
        <v>338.95931668965551</v>
      </c>
      <c r="Q98" s="94">
        <f>SUM(E98:P98)</f>
        <v>4173.0600000000013</v>
      </c>
    </row>
    <row r="99" spans="1:17" x14ac:dyDescent="0.3">
      <c r="B99" s="80"/>
      <c r="C99" s="79"/>
      <c r="D99" s="80"/>
      <c r="E99" s="95"/>
      <c r="F99" s="95"/>
      <c r="G99" s="95"/>
      <c r="H99" s="95"/>
      <c r="I99" s="97"/>
      <c r="J99" s="95"/>
      <c r="K99" s="95"/>
      <c r="L99" s="95"/>
      <c r="M99" s="95"/>
      <c r="N99" s="95"/>
      <c r="O99" s="95"/>
      <c r="P99" s="95"/>
      <c r="Q99" s="94"/>
    </row>
    <row r="100" spans="1:17" x14ac:dyDescent="0.3">
      <c r="B100" s="80"/>
      <c r="C100" s="84"/>
      <c r="D100" s="96"/>
      <c r="E100" s="79"/>
      <c r="F100" s="79"/>
      <c r="G100" s="79"/>
      <c r="H100" s="79"/>
      <c r="I100" s="79"/>
      <c r="J100" s="95"/>
      <c r="K100" s="79"/>
      <c r="L100" s="95"/>
      <c r="M100" s="79"/>
      <c r="N100" s="79"/>
      <c r="O100" s="79"/>
      <c r="P100" s="79"/>
      <c r="Q100" s="94"/>
    </row>
    <row r="101" spans="1:17" x14ac:dyDescent="0.3">
      <c r="B101" s="80"/>
      <c r="C101" s="79"/>
      <c r="D101" s="80"/>
      <c r="E101" s="79"/>
      <c r="F101" s="79"/>
      <c r="G101" s="79"/>
      <c r="H101" s="79"/>
      <c r="I101" s="79"/>
      <c r="J101" s="95"/>
      <c r="K101" s="79"/>
      <c r="L101" s="95"/>
      <c r="M101" s="79"/>
      <c r="N101" s="79"/>
      <c r="O101" s="79"/>
      <c r="P101" s="79"/>
      <c r="Q101" s="94"/>
    </row>
    <row r="102" spans="1:17" x14ac:dyDescent="0.3">
      <c r="B102" s="80"/>
      <c r="C102" s="79"/>
      <c r="D102" s="80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4"/>
    </row>
    <row r="103" spans="1:17" x14ac:dyDescent="0.3">
      <c r="B103" s="80"/>
      <c r="C103" s="79"/>
      <c r="D103" s="96"/>
      <c r="E103" s="80"/>
      <c r="F103" s="80"/>
      <c r="G103" s="80"/>
      <c r="H103" s="80"/>
      <c r="I103" s="79"/>
      <c r="J103" s="95"/>
      <c r="K103" s="79"/>
      <c r="L103" s="95"/>
      <c r="M103" s="79"/>
      <c r="N103" s="79"/>
      <c r="O103" s="79"/>
      <c r="P103" s="79"/>
      <c r="Q103" s="94"/>
    </row>
    <row r="104" spans="1:17" x14ac:dyDescent="0.3">
      <c r="B104" s="80"/>
      <c r="C104" s="85" t="s">
        <v>105</v>
      </c>
      <c r="D104" s="80"/>
      <c r="E104" s="80"/>
      <c r="F104" s="80"/>
      <c r="G104" s="80"/>
      <c r="H104" s="80"/>
      <c r="I104" s="79"/>
      <c r="J104" s="95"/>
      <c r="K104" s="79"/>
      <c r="L104" s="95"/>
      <c r="M104" s="79"/>
      <c r="N104" s="79"/>
      <c r="O104" s="79"/>
      <c r="P104" s="79"/>
      <c r="Q104" s="79"/>
    </row>
    <row r="105" spans="1:17" x14ac:dyDescent="0.3">
      <c r="B105" s="97"/>
      <c r="C105" s="97"/>
      <c r="D105" s="97"/>
      <c r="E105" s="97"/>
      <c r="F105" s="97"/>
      <c r="G105" s="97"/>
      <c r="H105" s="97"/>
      <c r="I105" s="97"/>
      <c r="J105" s="95"/>
      <c r="K105" s="97"/>
      <c r="L105" s="97"/>
      <c r="M105" s="97"/>
      <c r="N105" s="97"/>
      <c r="O105" s="97"/>
      <c r="P105" s="97"/>
      <c r="Q105" s="97"/>
    </row>
    <row r="106" spans="1:17" x14ac:dyDescent="0.3">
      <c r="B106" s="97"/>
      <c r="C106" s="97"/>
      <c r="D106" s="97"/>
      <c r="E106" s="97"/>
      <c r="F106" s="97"/>
      <c r="G106" s="97"/>
      <c r="H106" s="97"/>
      <c r="I106" s="95"/>
      <c r="J106" s="97"/>
      <c r="K106" s="97"/>
      <c r="L106" s="97"/>
      <c r="M106" s="97"/>
      <c r="N106" s="97"/>
      <c r="O106" s="97"/>
      <c r="P106" s="97"/>
      <c r="Q106" s="97"/>
    </row>
    <row r="107" spans="1:17" ht="15.6" x14ac:dyDescent="0.3">
      <c r="B107" s="51" t="s">
        <v>106</v>
      </c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</row>
    <row r="109" spans="1:17" x14ac:dyDescent="0.3">
      <c r="B109" t="s">
        <v>136</v>
      </c>
    </row>
    <row r="110" spans="1:17" x14ac:dyDescent="0.3">
      <c r="B110" t="s">
        <v>107</v>
      </c>
    </row>
    <row r="111" spans="1:17" x14ac:dyDescent="0.3">
      <c r="B111" t="s">
        <v>137</v>
      </c>
    </row>
    <row r="112" spans="1:17" x14ac:dyDescent="0.3">
      <c r="B112" t="s">
        <v>108</v>
      </c>
    </row>
    <row r="113" spans="2:18" x14ac:dyDescent="0.3">
      <c r="E113" s="98">
        <v>43101</v>
      </c>
      <c r="F113" s="98">
        <v>43132</v>
      </c>
      <c r="G113" s="98">
        <v>43160</v>
      </c>
      <c r="H113" s="98">
        <v>43191</v>
      </c>
      <c r="I113" s="98">
        <v>43221</v>
      </c>
      <c r="J113" s="98">
        <v>43252</v>
      </c>
      <c r="K113" s="98">
        <v>43282</v>
      </c>
      <c r="L113" s="98">
        <v>43313</v>
      </c>
      <c r="M113" s="98">
        <v>43344</v>
      </c>
      <c r="N113" s="98">
        <v>43374</v>
      </c>
      <c r="O113" s="98">
        <v>43405</v>
      </c>
      <c r="P113" s="98">
        <v>43435</v>
      </c>
      <c r="Q113" s="99" t="s">
        <v>109</v>
      </c>
    </row>
    <row r="114" spans="2:18" x14ac:dyDescent="0.3">
      <c r="B114" t="s">
        <v>110</v>
      </c>
    </row>
    <row r="115" spans="2:18" x14ac:dyDescent="0.3">
      <c r="C115" t="s">
        <v>111</v>
      </c>
      <c r="E115" s="100">
        <v>290781554.06200004</v>
      </c>
      <c r="F115" s="100">
        <v>227575425.00199997</v>
      </c>
      <c r="G115" s="100">
        <v>233136064.20699999</v>
      </c>
      <c r="H115" s="100">
        <v>195827349.29800999</v>
      </c>
      <c r="I115" s="100">
        <v>159686942.68922001</v>
      </c>
      <c r="J115" s="100">
        <v>149276244.59101999</v>
      </c>
      <c r="K115" s="100">
        <v>162965398.63099</v>
      </c>
      <c r="L115" s="100">
        <v>205105319.92300999</v>
      </c>
      <c r="M115" s="100">
        <v>165901549.60800001</v>
      </c>
      <c r="N115" s="100">
        <v>149412587.058</v>
      </c>
      <c r="O115" s="100">
        <v>181215231.46800002</v>
      </c>
      <c r="P115" s="100">
        <v>245751615.04300001</v>
      </c>
      <c r="Q115" s="101">
        <f t="shared" ref="Q115:Q120" si="9">SUM(E115:P115)</f>
        <v>2366635281.5802498</v>
      </c>
    </row>
    <row r="116" spans="2:18" x14ac:dyDescent="0.3">
      <c r="C116" t="s">
        <v>112</v>
      </c>
      <c r="E116" s="100">
        <v>64968017.218999997</v>
      </c>
      <c r="F116" s="100">
        <v>55958109.224000007</v>
      </c>
      <c r="G116" s="100">
        <v>55740105.916000001</v>
      </c>
      <c r="H116" s="100">
        <v>50692240.114</v>
      </c>
      <c r="I116" s="100">
        <v>46948189.068040006</v>
      </c>
      <c r="J116" s="100">
        <v>46100696.828000002</v>
      </c>
      <c r="K116" s="100">
        <v>48168343.664999999</v>
      </c>
      <c r="L116" s="100">
        <v>55210418.299999997</v>
      </c>
      <c r="M116" s="100">
        <v>48512488.306999996</v>
      </c>
      <c r="N116" s="100">
        <v>45641900.678999998</v>
      </c>
      <c r="O116" s="100">
        <v>47727635.006999999</v>
      </c>
      <c r="P116" s="100">
        <v>57034428.782000005</v>
      </c>
      <c r="Q116" s="101">
        <f t="shared" si="9"/>
        <v>622702573.10904002</v>
      </c>
    </row>
    <row r="117" spans="2:18" x14ac:dyDescent="0.3">
      <c r="C117" t="s">
        <v>113</v>
      </c>
      <c r="E117" s="100">
        <v>125937052.837</v>
      </c>
      <c r="F117" s="100">
        <v>113399610.21799999</v>
      </c>
      <c r="G117" s="100">
        <v>112223930.37199999</v>
      </c>
      <c r="H117" s="100">
        <v>111090733.608</v>
      </c>
      <c r="I117" s="100">
        <v>112273215.22399999</v>
      </c>
      <c r="J117" s="100">
        <v>113413112.17999999</v>
      </c>
      <c r="K117" s="100">
        <v>114915539.823</v>
      </c>
      <c r="L117" s="100">
        <v>124759437.27500001</v>
      </c>
      <c r="M117" s="100">
        <v>113710882.943</v>
      </c>
      <c r="N117" s="100">
        <v>110448175.94400001</v>
      </c>
      <c r="O117" s="100">
        <v>109051287.447</v>
      </c>
      <c r="P117" s="100">
        <v>119116948.25899999</v>
      </c>
      <c r="Q117" s="101">
        <f t="shared" si="9"/>
        <v>1380339926.1299999</v>
      </c>
    </row>
    <row r="118" spans="2:18" x14ac:dyDescent="0.3">
      <c r="C118" t="s">
        <v>114</v>
      </c>
      <c r="E118" s="100">
        <v>85895739.5</v>
      </c>
      <c r="F118" s="100">
        <v>82389792.700000003</v>
      </c>
      <c r="G118" s="100">
        <v>59452404.5</v>
      </c>
      <c r="H118" s="100">
        <v>91719050</v>
      </c>
      <c r="I118" s="100">
        <v>50375927.600000001</v>
      </c>
      <c r="J118" s="100">
        <v>94067376.900000006</v>
      </c>
      <c r="K118" s="100">
        <v>91430986</v>
      </c>
      <c r="L118" s="100">
        <v>95462593.189999998</v>
      </c>
      <c r="M118" s="100">
        <v>98727948.689999998</v>
      </c>
      <c r="N118" s="100">
        <v>89411353.701000005</v>
      </c>
      <c r="O118" s="100">
        <v>95120660.879999995</v>
      </c>
      <c r="P118" s="100">
        <v>88922599.900000006</v>
      </c>
      <c r="Q118" s="101">
        <f t="shared" si="9"/>
        <v>1022976433.5610001</v>
      </c>
    </row>
    <row r="119" spans="2:18" x14ac:dyDescent="0.3">
      <c r="C119" t="s">
        <v>139</v>
      </c>
      <c r="E119" s="100">
        <v>5199805.6780000003</v>
      </c>
      <c r="F119" s="100">
        <v>4295325.2790000001</v>
      </c>
      <c r="G119" s="100">
        <v>4226647.8</v>
      </c>
      <c r="H119" s="100">
        <v>5323831.0029999996</v>
      </c>
      <c r="I119" s="100">
        <v>10126135.685010001</v>
      </c>
      <c r="J119" s="100">
        <v>18516636.552000001</v>
      </c>
      <c r="K119" s="100">
        <v>23083952.635000002</v>
      </c>
      <c r="L119" s="100">
        <v>28015837.673000004</v>
      </c>
      <c r="M119" s="100">
        <v>23798947.989000004</v>
      </c>
      <c r="N119" s="100">
        <v>12939703.931</v>
      </c>
      <c r="O119" s="100">
        <v>6282585.2740000002</v>
      </c>
      <c r="P119" s="100">
        <v>3998282.9430000004</v>
      </c>
      <c r="Q119" s="101">
        <f t="shared" si="9"/>
        <v>145807692.44200999</v>
      </c>
    </row>
    <row r="120" spans="2:18" x14ac:dyDescent="0.3">
      <c r="C120" t="s">
        <v>116</v>
      </c>
      <c r="E120" s="100">
        <v>1677509.9980299999</v>
      </c>
      <c r="F120" s="100">
        <v>1505148.60812</v>
      </c>
      <c r="G120" s="100">
        <v>1474261.9374699998</v>
      </c>
      <c r="H120" s="100">
        <v>1503568.73648</v>
      </c>
      <c r="I120" s="100">
        <v>1565521.43</v>
      </c>
      <c r="J120" s="100">
        <v>1544276.2680000002</v>
      </c>
      <c r="K120" s="100">
        <v>1517440.93136</v>
      </c>
      <c r="L120" s="100">
        <v>1578869.159</v>
      </c>
      <c r="M120" s="100">
        <v>1535455.0220000001</v>
      </c>
      <c r="N120" s="100">
        <v>1534835.862</v>
      </c>
      <c r="O120" s="100">
        <v>1517745.8010000002</v>
      </c>
      <c r="P120" s="100">
        <v>1587397.7870499999</v>
      </c>
      <c r="Q120" s="101">
        <f t="shared" si="9"/>
        <v>18542031.540509999</v>
      </c>
    </row>
    <row r="121" spans="2:18" x14ac:dyDescent="0.3">
      <c r="B121" t="s">
        <v>117</v>
      </c>
      <c r="E121" s="102">
        <f t="shared" ref="E121:M121" si="10">SUM(E115:E120)</f>
        <v>574459679.29402995</v>
      </c>
      <c r="F121" s="102">
        <f t="shared" si="10"/>
        <v>485123411.03111994</v>
      </c>
      <c r="G121" s="102">
        <f t="shared" si="10"/>
        <v>466253414.73246998</v>
      </c>
      <c r="H121" s="102">
        <f t="shared" si="10"/>
        <v>456156772.75949001</v>
      </c>
      <c r="I121" s="102">
        <f t="shared" si="10"/>
        <v>380975931.69627005</v>
      </c>
      <c r="J121" s="102">
        <f t="shared" si="10"/>
        <v>422918343.31901997</v>
      </c>
      <c r="K121" s="102">
        <f t="shared" si="10"/>
        <v>442081661.68535</v>
      </c>
      <c r="L121" s="102">
        <f t="shared" si="10"/>
        <v>510132475.52000999</v>
      </c>
      <c r="M121" s="102">
        <f t="shared" si="10"/>
        <v>452187272.55900007</v>
      </c>
      <c r="N121" s="102">
        <f>SUM(N115:N120)</f>
        <v>409388557.17499995</v>
      </c>
      <c r="O121" s="102">
        <f>SUM(O115:O120)</f>
        <v>440915145.87700003</v>
      </c>
      <c r="P121" s="102">
        <f>SUM(P115:P120)</f>
        <v>516411272.71405011</v>
      </c>
      <c r="Q121" s="102">
        <f>SUM(Q115:Q120)</f>
        <v>5557003938.3628101</v>
      </c>
    </row>
    <row r="122" spans="2:18" ht="9.6" customHeight="1" x14ac:dyDescent="0.3"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</row>
    <row r="123" spans="2:18" x14ac:dyDescent="0.3">
      <c r="B123" t="s">
        <v>118</v>
      </c>
    </row>
    <row r="124" spans="2:18" x14ac:dyDescent="0.3">
      <c r="C124" t="s">
        <v>111</v>
      </c>
      <c r="E124" s="100">
        <v>-16807345</v>
      </c>
      <c r="F124" s="100">
        <v>-11417924</v>
      </c>
      <c r="G124" s="100">
        <v>-2538576</v>
      </c>
      <c r="H124" s="100">
        <v>-21339210</v>
      </c>
      <c r="I124" s="100">
        <v>-11882566</v>
      </c>
      <c r="J124" s="100">
        <v>-6167987</v>
      </c>
      <c r="K124" s="100">
        <v>22269076</v>
      </c>
      <c r="L124" s="100">
        <v>-2879705</v>
      </c>
      <c r="M124" s="100">
        <v>-26562728</v>
      </c>
      <c r="N124" s="100">
        <v>10771561</v>
      </c>
      <c r="O124" s="100">
        <v>32345083</v>
      </c>
      <c r="P124" s="100">
        <v>12693423</v>
      </c>
      <c r="Q124" s="101">
        <f t="shared" ref="Q124:Q129" si="11">SUM(E124:P124)</f>
        <v>-21516898</v>
      </c>
      <c r="R124" s="101">
        <v>-21516898</v>
      </c>
    </row>
    <row r="125" spans="2:18" x14ac:dyDescent="0.3">
      <c r="C125" t="s">
        <v>112</v>
      </c>
      <c r="E125" s="100">
        <v>-5056613</v>
      </c>
      <c r="F125" s="100">
        <v>226900</v>
      </c>
      <c r="G125" s="100">
        <v>-1492318</v>
      </c>
      <c r="H125" s="100">
        <v>-3135024</v>
      </c>
      <c r="I125" s="100">
        <v>-94436</v>
      </c>
      <c r="J125" s="100">
        <v>-612520</v>
      </c>
      <c r="K125" s="100">
        <v>5513065</v>
      </c>
      <c r="L125" s="100">
        <v>-3427114</v>
      </c>
      <c r="M125" s="100">
        <v>-5492340</v>
      </c>
      <c r="N125" s="100">
        <v>4178114</v>
      </c>
      <c r="O125" s="100">
        <v>5066221</v>
      </c>
      <c r="P125" s="100">
        <v>-648853</v>
      </c>
      <c r="Q125" s="101">
        <f t="shared" si="11"/>
        <v>-4974918</v>
      </c>
      <c r="R125" s="101">
        <v>-4974918</v>
      </c>
    </row>
    <row r="126" spans="2:18" x14ac:dyDescent="0.3">
      <c r="C126" t="s">
        <v>113</v>
      </c>
      <c r="E126" s="100">
        <v>-17335146</v>
      </c>
      <c r="F126" s="100">
        <v>2932085</v>
      </c>
      <c r="G126" s="100">
        <v>-3284636</v>
      </c>
      <c r="H126" s="100">
        <v>-1903474</v>
      </c>
      <c r="I126" s="100">
        <v>4768104</v>
      </c>
      <c r="J126" s="100">
        <v>131589</v>
      </c>
      <c r="K126" s="100">
        <v>11356739</v>
      </c>
      <c r="L126" s="100">
        <v>-11474036</v>
      </c>
      <c r="M126" s="100">
        <v>-10604470</v>
      </c>
      <c r="N126" s="100">
        <v>11698081</v>
      </c>
      <c r="O126" s="100">
        <v>8235200</v>
      </c>
      <c r="P126" s="100">
        <v>-7362830</v>
      </c>
      <c r="Q126" s="101">
        <f t="shared" si="11"/>
        <v>-12842794</v>
      </c>
      <c r="R126" s="101">
        <v>-12842794</v>
      </c>
    </row>
    <row r="127" spans="2:18" x14ac:dyDescent="0.3">
      <c r="C127" t="s">
        <v>114</v>
      </c>
      <c r="E127" s="100">
        <v>9694517</v>
      </c>
      <c r="F127" s="100">
        <v>4244920</v>
      </c>
      <c r="G127" s="100">
        <v>29856455</v>
      </c>
      <c r="H127" s="100">
        <v>3968084</v>
      </c>
      <c r="I127" s="100">
        <v>42504574</v>
      </c>
      <c r="J127" s="100">
        <v>1641436</v>
      </c>
      <c r="K127" s="100">
        <v>1095411</v>
      </c>
      <c r="L127" s="100">
        <v>3752803</v>
      </c>
      <c r="M127" s="100">
        <v>-8960868</v>
      </c>
      <c r="N127" s="100">
        <v>5368369</v>
      </c>
      <c r="O127" s="100">
        <v>-7500338</v>
      </c>
      <c r="P127" s="100">
        <v>4713680</v>
      </c>
      <c r="Q127" s="101">
        <f t="shared" si="11"/>
        <v>90379043</v>
      </c>
    </row>
    <row r="128" spans="2:18" x14ac:dyDescent="0.3">
      <c r="C128" t="s">
        <v>139</v>
      </c>
      <c r="E128" s="100">
        <v>329032</v>
      </c>
      <c r="F128" s="100">
        <v>-115788</v>
      </c>
      <c r="G128" s="100">
        <v>-137275</v>
      </c>
      <c r="H128" s="100">
        <v>22402</v>
      </c>
      <c r="I128" s="100">
        <v>930226</v>
      </c>
      <c r="J128" s="100">
        <v>2217873</v>
      </c>
      <c r="K128" s="100">
        <v>2033088</v>
      </c>
      <c r="L128" s="100">
        <v>726896</v>
      </c>
      <c r="M128" s="100">
        <v>-1530437</v>
      </c>
      <c r="N128" s="100">
        <v>-1792052</v>
      </c>
      <c r="O128" s="100">
        <v>-1310272</v>
      </c>
      <c r="P128" s="100">
        <v>-1358868</v>
      </c>
      <c r="Q128" s="101">
        <f t="shared" si="11"/>
        <v>14825</v>
      </c>
      <c r="R128" s="101">
        <v>14825</v>
      </c>
    </row>
    <row r="129" spans="2:18" x14ac:dyDescent="0.3">
      <c r="C129" t="s">
        <v>116</v>
      </c>
      <c r="E129" s="100">
        <v>0</v>
      </c>
      <c r="F129" s="100">
        <v>0</v>
      </c>
      <c r="G129" s="100">
        <v>0</v>
      </c>
      <c r="H129" s="100">
        <v>0</v>
      </c>
      <c r="I129" s="100">
        <v>0</v>
      </c>
      <c r="J129" s="100">
        <v>0</v>
      </c>
      <c r="K129" s="100">
        <v>0</v>
      </c>
      <c r="L129" s="100">
        <v>0</v>
      </c>
      <c r="M129" s="100">
        <v>0</v>
      </c>
      <c r="N129" s="100">
        <v>0</v>
      </c>
      <c r="O129" s="100">
        <v>0</v>
      </c>
      <c r="P129" s="100">
        <v>0</v>
      </c>
      <c r="Q129" s="101">
        <f t="shared" si="11"/>
        <v>0</v>
      </c>
    </row>
    <row r="130" spans="2:18" x14ac:dyDescent="0.3">
      <c r="B130" t="s">
        <v>119</v>
      </c>
      <c r="E130" s="102">
        <f t="shared" ref="E130:M130" si="12">SUM(E124:E129)</f>
        <v>-29175555</v>
      </c>
      <c r="F130" s="102">
        <f t="shared" si="12"/>
        <v>-4129807</v>
      </c>
      <c r="G130" s="102">
        <f t="shared" si="12"/>
        <v>22403650</v>
      </c>
      <c r="H130" s="102">
        <f t="shared" si="12"/>
        <v>-22387222</v>
      </c>
      <c r="I130" s="102">
        <f t="shared" si="12"/>
        <v>36225902</v>
      </c>
      <c r="J130" s="102">
        <f t="shared" si="12"/>
        <v>-2789609</v>
      </c>
      <c r="K130" s="102">
        <f t="shared" si="12"/>
        <v>42267379</v>
      </c>
      <c r="L130" s="102">
        <f t="shared" si="12"/>
        <v>-13301156</v>
      </c>
      <c r="M130" s="102">
        <f t="shared" si="12"/>
        <v>-53150843</v>
      </c>
      <c r="N130" s="102">
        <f>SUM(N124:N129)</f>
        <v>30224073</v>
      </c>
      <c r="O130" s="102">
        <f>SUM(O124:O129)</f>
        <v>36835894</v>
      </c>
      <c r="P130" s="102">
        <f>SUM(P124:P129)</f>
        <v>8036552</v>
      </c>
      <c r="Q130" s="102">
        <f>SUM(Q124:Q129)</f>
        <v>51059258</v>
      </c>
    </row>
    <row r="131" spans="2:18" ht="8.4" customHeight="1" x14ac:dyDescent="0.3"/>
    <row r="132" spans="2:18" hidden="1" x14ac:dyDescent="0.3">
      <c r="B132" t="s">
        <v>120</v>
      </c>
    </row>
    <row r="133" spans="2:18" hidden="1" x14ac:dyDescent="0.3">
      <c r="C133" t="s">
        <v>112</v>
      </c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>
        <f>SUM(E133:P133)</f>
        <v>0</v>
      </c>
    </row>
    <row r="134" spans="2:18" hidden="1" x14ac:dyDescent="0.3">
      <c r="C134" t="s">
        <v>113</v>
      </c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>
        <f>SUM(E134:P134)</f>
        <v>0</v>
      </c>
    </row>
    <row r="135" spans="2:18" hidden="1" x14ac:dyDescent="0.3">
      <c r="B135" t="s">
        <v>120</v>
      </c>
      <c r="E135" s="100">
        <f t="shared" ref="E135:M135" si="13">SUM(E133:E134)</f>
        <v>0</v>
      </c>
      <c r="F135" s="100">
        <f t="shared" si="13"/>
        <v>0</v>
      </c>
      <c r="G135" s="100">
        <f t="shared" si="13"/>
        <v>0</v>
      </c>
      <c r="H135" s="100">
        <f t="shared" si="13"/>
        <v>0</v>
      </c>
      <c r="I135" s="100">
        <f t="shared" si="13"/>
        <v>0</v>
      </c>
      <c r="J135" s="100">
        <f t="shared" si="13"/>
        <v>0</v>
      </c>
      <c r="K135" s="100">
        <f t="shared" si="13"/>
        <v>0</v>
      </c>
      <c r="L135" s="100">
        <f t="shared" si="13"/>
        <v>0</v>
      </c>
      <c r="M135" s="100">
        <f t="shared" si="13"/>
        <v>0</v>
      </c>
      <c r="N135" s="100">
        <f>SUM(N133:N134)</f>
        <v>0</v>
      </c>
      <c r="O135" s="100">
        <f>SUM(O133:O134)</f>
        <v>0</v>
      </c>
      <c r="P135" s="100">
        <f>SUM(P133:P134)</f>
        <v>0</v>
      </c>
      <c r="Q135" s="100">
        <f>SUM(E135:P135)</f>
        <v>0</v>
      </c>
    </row>
    <row r="136" spans="2:18" hidden="1" x14ac:dyDescent="0.3"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</row>
    <row r="137" spans="2:18" x14ac:dyDescent="0.3">
      <c r="B137" t="s">
        <v>121</v>
      </c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</row>
    <row r="138" spans="2:18" x14ac:dyDescent="0.3">
      <c r="C138" t="s">
        <v>114</v>
      </c>
      <c r="E138" s="100">
        <v>-2351888</v>
      </c>
      <c r="F138" s="100">
        <v>424875</v>
      </c>
      <c r="G138" s="100">
        <v>5841699</v>
      </c>
      <c r="H138" s="100">
        <v>-3190697</v>
      </c>
      <c r="I138" s="100">
        <v>1186875</v>
      </c>
      <c r="J138" s="100">
        <v>-4277827</v>
      </c>
      <c r="K138" s="100">
        <v>2936196</v>
      </c>
      <c r="L138" s="100">
        <v>-487447</v>
      </c>
      <c r="M138" s="100">
        <v>-355727</v>
      </c>
      <c r="N138" s="100">
        <v>340938</v>
      </c>
      <c r="O138" s="100">
        <v>1302277</v>
      </c>
      <c r="P138" s="100">
        <v>-1160739</v>
      </c>
      <c r="Q138" s="100">
        <f>SUM(E138:P138)</f>
        <v>208535</v>
      </c>
    </row>
    <row r="139" spans="2:18" ht="9" customHeight="1" x14ac:dyDescent="0.3"/>
    <row r="140" spans="2:18" x14ac:dyDescent="0.3">
      <c r="B140" t="s">
        <v>122</v>
      </c>
    </row>
    <row r="141" spans="2:18" x14ac:dyDescent="0.3">
      <c r="C141" t="s">
        <v>111</v>
      </c>
      <c r="E141" s="100">
        <v>18971503</v>
      </c>
      <c r="F141" s="100">
        <v>-7032417</v>
      </c>
      <c r="G141" s="100">
        <v>-1444882</v>
      </c>
      <c r="H141" s="100">
        <v>-357275</v>
      </c>
      <c r="I141" s="100">
        <v>11243016</v>
      </c>
      <c r="J141" s="100">
        <v>8391924</v>
      </c>
      <c r="K141" s="100">
        <v>-18566532</v>
      </c>
      <c r="L141" s="100">
        <v>-7591998</v>
      </c>
      <c r="M141" s="100">
        <v>6498512</v>
      </c>
      <c r="N141" s="100">
        <v>1439157</v>
      </c>
      <c r="O141" s="100">
        <v>2721258</v>
      </c>
      <c r="P141" s="100">
        <v>15313039</v>
      </c>
      <c r="Q141" s="101">
        <f t="shared" ref="Q141:Q146" si="14">SUM(E141:P141)</f>
        <v>29585305</v>
      </c>
      <c r="R141" s="101">
        <v>29585305</v>
      </c>
    </row>
    <row r="142" spans="2:18" x14ac:dyDescent="0.3">
      <c r="C142" t="s">
        <v>112</v>
      </c>
      <c r="E142" s="100">
        <v>1930773</v>
      </c>
      <c r="F142" s="100">
        <v>-710823</v>
      </c>
      <c r="G142" s="100">
        <v>-145200</v>
      </c>
      <c r="H142" s="100">
        <v>-42341</v>
      </c>
      <c r="I142" s="100">
        <v>444874</v>
      </c>
      <c r="J142" s="100">
        <v>944145</v>
      </c>
      <c r="K142" s="100">
        <v>-2529540</v>
      </c>
      <c r="L142" s="100">
        <v>-1038088</v>
      </c>
      <c r="M142" s="100">
        <v>865276</v>
      </c>
      <c r="N142" s="100">
        <v>123714</v>
      </c>
      <c r="O142" s="100">
        <v>198669</v>
      </c>
      <c r="P142" s="100">
        <v>1536838</v>
      </c>
      <c r="Q142" s="101">
        <f t="shared" si="14"/>
        <v>1578297</v>
      </c>
      <c r="R142" s="101">
        <v>1578297</v>
      </c>
    </row>
    <row r="143" spans="2:18" x14ac:dyDescent="0.3">
      <c r="C143" t="s">
        <v>113</v>
      </c>
      <c r="E143" s="100">
        <v>991519</v>
      </c>
      <c r="F143" s="100">
        <v>-366102</v>
      </c>
      <c r="G143" s="100">
        <v>-74963</v>
      </c>
      <c r="H143" s="100">
        <v>-40508</v>
      </c>
      <c r="I143" s="100">
        <v>-779435</v>
      </c>
      <c r="J143" s="100">
        <v>825754</v>
      </c>
      <c r="K143" s="100">
        <v>-2819054</v>
      </c>
      <c r="L143" s="100">
        <v>-1160154</v>
      </c>
      <c r="M143" s="100">
        <v>980935</v>
      </c>
      <c r="N143" s="100">
        <v>50179</v>
      </c>
      <c r="O143" s="100">
        <v>20819</v>
      </c>
      <c r="P143" s="100">
        <v>778502</v>
      </c>
      <c r="Q143" s="101">
        <f t="shared" si="14"/>
        <v>-1592508</v>
      </c>
      <c r="R143" s="101">
        <v>-1592508</v>
      </c>
    </row>
    <row r="144" spans="2:18" hidden="1" x14ac:dyDescent="0.3">
      <c r="C144" t="s">
        <v>114</v>
      </c>
      <c r="E144" s="100">
        <v>0</v>
      </c>
      <c r="F144" s="100">
        <v>0</v>
      </c>
      <c r="G144" s="100">
        <v>0</v>
      </c>
      <c r="H144" s="100">
        <v>0</v>
      </c>
      <c r="I144" s="100">
        <v>0</v>
      </c>
      <c r="J144" s="100">
        <v>0</v>
      </c>
      <c r="K144" s="100">
        <v>0</v>
      </c>
      <c r="L144" s="100">
        <v>0</v>
      </c>
      <c r="M144" s="100">
        <v>0</v>
      </c>
      <c r="N144" s="100">
        <v>0</v>
      </c>
      <c r="O144" s="100">
        <v>0</v>
      </c>
      <c r="P144" s="100">
        <v>0</v>
      </c>
      <c r="Q144" s="101">
        <f t="shared" si="14"/>
        <v>0</v>
      </c>
    </row>
    <row r="145" spans="2:18" hidden="1" x14ac:dyDescent="0.3">
      <c r="C145" t="s">
        <v>139</v>
      </c>
      <c r="E145" s="100">
        <v>0</v>
      </c>
      <c r="F145" s="100">
        <v>0</v>
      </c>
      <c r="G145" s="100">
        <v>0</v>
      </c>
      <c r="H145" s="100">
        <v>0</v>
      </c>
      <c r="I145" s="100">
        <v>0</v>
      </c>
      <c r="J145" s="100">
        <v>0</v>
      </c>
      <c r="K145" s="100">
        <v>0</v>
      </c>
      <c r="L145" s="100">
        <v>0</v>
      </c>
      <c r="M145" s="100">
        <v>0</v>
      </c>
      <c r="N145" s="100">
        <v>0</v>
      </c>
      <c r="O145" s="100">
        <v>0</v>
      </c>
      <c r="P145" s="100">
        <v>0</v>
      </c>
      <c r="Q145" s="101">
        <f t="shared" si="14"/>
        <v>0</v>
      </c>
    </row>
    <row r="146" spans="2:18" hidden="1" x14ac:dyDescent="0.3">
      <c r="C146" t="s">
        <v>116</v>
      </c>
      <c r="E146" s="100">
        <v>0</v>
      </c>
      <c r="F146" s="100">
        <v>0</v>
      </c>
      <c r="G146" s="100">
        <v>0</v>
      </c>
      <c r="H146" s="100">
        <v>0</v>
      </c>
      <c r="I146" s="100">
        <v>0</v>
      </c>
      <c r="J146" s="100">
        <v>0</v>
      </c>
      <c r="K146" s="100">
        <v>0</v>
      </c>
      <c r="L146" s="100">
        <v>0</v>
      </c>
      <c r="M146" s="100">
        <v>0</v>
      </c>
      <c r="N146" s="100">
        <v>0</v>
      </c>
      <c r="O146" s="100">
        <v>0</v>
      </c>
      <c r="P146" s="100">
        <v>0</v>
      </c>
      <c r="Q146" s="101">
        <f t="shared" si="14"/>
        <v>0</v>
      </c>
    </row>
    <row r="147" spans="2:18" x14ac:dyDescent="0.3">
      <c r="B147" t="s">
        <v>123</v>
      </c>
      <c r="E147" s="102">
        <f t="shared" ref="E147:M147" si="15">SUM(E141:E146)</f>
        <v>21893795</v>
      </c>
      <c r="F147" s="102">
        <f t="shared" si="15"/>
        <v>-8109342</v>
      </c>
      <c r="G147" s="102">
        <f t="shared" si="15"/>
        <v>-1665045</v>
      </c>
      <c r="H147" s="102">
        <f t="shared" si="15"/>
        <v>-440124</v>
      </c>
      <c r="I147" s="102">
        <f t="shared" si="15"/>
        <v>10908455</v>
      </c>
      <c r="J147" s="102">
        <f t="shared" si="15"/>
        <v>10161823</v>
      </c>
      <c r="K147" s="102">
        <f t="shared" si="15"/>
        <v>-23915126</v>
      </c>
      <c r="L147" s="102">
        <f t="shared" si="15"/>
        <v>-9790240</v>
      </c>
      <c r="M147" s="102">
        <f t="shared" si="15"/>
        <v>8344723</v>
      </c>
      <c r="N147" s="102">
        <f>SUM(N141:N146)</f>
        <v>1613050</v>
      </c>
      <c r="O147" s="102">
        <f>SUM(O141:O146)</f>
        <v>2940746</v>
      </c>
      <c r="P147" s="102">
        <f>SUM(P141:P146)</f>
        <v>17628379</v>
      </c>
      <c r="Q147" s="102">
        <f>SUM(Q141:Q146)</f>
        <v>29571094</v>
      </c>
    </row>
    <row r="148" spans="2:18" ht="8.4" customHeight="1" x14ac:dyDescent="0.3"/>
    <row r="149" spans="2:18" x14ac:dyDescent="0.3">
      <c r="B149" t="s">
        <v>124</v>
      </c>
      <c r="R149" s="99" t="s">
        <v>138</v>
      </c>
    </row>
    <row r="150" spans="2:18" x14ac:dyDescent="0.3">
      <c r="C150" t="s">
        <v>111</v>
      </c>
      <c r="E150" s="101">
        <f t="shared" ref="E150:P150" si="16">E115+E124+E141</f>
        <v>292945712.06200004</v>
      </c>
      <c r="F150" s="101">
        <f t="shared" si="16"/>
        <v>209125084.00199997</v>
      </c>
      <c r="G150" s="101">
        <f t="shared" si="16"/>
        <v>229152606.20699999</v>
      </c>
      <c r="H150" s="101">
        <f t="shared" si="16"/>
        <v>174130864.29800999</v>
      </c>
      <c r="I150" s="101">
        <f t="shared" si="16"/>
        <v>159047392.68922001</v>
      </c>
      <c r="J150" s="101">
        <f t="shared" si="16"/>
        <v>151500181.59101999</v>
      </c>
      <c r="K150" s="101">
        <f t="shared" si="16"/>
        <v>166667942.63099</v>
      </c>
      <c r="L150" s="101">
        <f t="shared" si="16"/>
        <v>194633616.92300999</v>
      </c>
      <c r="M150" s="101">
        <f t="shared" si="16"/>
        <v>145837333.60800001</v>
      </c>
      <c r="N150" s="101">
        <f t="shared" si="16"/>
        <v>161623305.058</v>
      </c>
      <c r="O150" s="101">
        <f t="shared" si="16"/>
        <v>216281572.46800002</v>
      </c>
      <c r="P150" s="101">
        <f t="shared" si="16"/>
        <v>273758077.04299998</v>
      </c>
      <c r="Q150" s="101">
        <f t="shared" ref="Q150:Q155" si="17">SUM(E150:P150)</f>
        <v>2374703688.5802498</v>
      </c>
      <c r="R150" s="100">
        <v>2374703688.5802503</v>
      </c>
    </row>
    <row r="151" spans="2:18" x14ac:dyDescent="0.3">
      <c r="C151" t="s">
        <v>112</v>
      </c>
      <c r="E151" s="101">
        <f t="shared" ref="E151:P152" si="18">E116+E125+E142+E133</f>
        <v>61842177.218999997</v>
      </c>
      <c r="F151" s="101">
        <f t="shared" si="18"/>
        <v>55474186.224000007</v>
      </c>
      <c r="G151" s="101">
        <f t="shared" si="18"/>
        <v>54102587.916000001</v>
      </c>
      <c r="H151" s="101">
        <f t="shared" si="18"/>
        <v>47514875.114</v>
      </c>
      <c r="I151" s="101">
        <f t="shared" si="18"/>
        <v>47298627.068040006</v>
      </c>
      <c r="J151" s="101">
        <f t="shared" si="18"/>
        <v>46432321.828000002</v>
      </c>
      <c r="K151" s="101">
        <f t="shared" si="18"/>
        <v>51151868.664999999</v>
      </c>
      <c r="L151" s="101">
        <f t="shared" si="18"/>
        <v>50745216.299999997</v>
      </c>
      <c r="M151" s="101">
        <f t="shared" si="18"/>
        <v>43885424.306999996</v>
      </c>
      <c r="N151" s="101">
        <f t="shared" si="18"/>
        <v>49943728.678999998</v>
      </c>
      <c r="O151" s="101">
        <f t="shared" si="18"/>
        <v>52992525.006999999</v>
      </c>
      <c r="P151" s="101">
        <f t="shared" si="18"/>
        <v>57922413.782000005</v>
      </c>
      <c r="Q151" s="101">
        <f t="shared" si="17"/>
        <v>619305952.10904002</v>
      </c>
      <c r="R151" s="100">
        <v>619305952.10904014</v>
      </c>
    </row>
    <row r="152" spans="2:18" x14ac:dyDescent="0.3">
      <c r="C152" t="s">
        <v>113</v>
      </c>
      <c r="E152" s="101">
        <f t="shared" si="18"/>
        <v>109593425.837</v>
      </c>
      <c r="F152" s="101">
        <f t="shared" si="18"/>
        <v>115965593.21799999</v>
      </c>
      <c r="G152" s="101">
        <f t="shared" si="18"/>
        <v>108864331.37199999</v>
      </c>
      <c r="H152" s="101">
        <f t="shared" si="18"/>
        <v>109146751.608</v>
      </c>
      <c r="I152" s="101">
        <f t="shared" si="18"/>
        <v>116261884.22399999</v>
      </c>
      <c r="J152" s="101">
        <f t="shared" si="18"/>
        <v>114370455.17999999</v>
      </c>
      <c r="K152" s="101">
        <f t="shared" si="18"/>
        <v>123453224.823</v>
      </c>
      <c r="L152" s="101">
        <f t="shared" si="18"/>
        <v>112125247.27500001</v>
      </c>
      <c r="M152" s="101">
        <f t="shared" si="18"/>
        <v>104087347.943</v>
      </c>
      <c r="N152" s="101">
        <f t="shared" si="18"/>
        <v>122196435.94400001</v>
      </c>
      <c r="O152" s="101">
        <f t="shared" si="18"/>
        <v>117307306.447</v>
      </c>
      <c r="P152" s="101">
        <f t="shared" si="18"/>
        <v>112532620.25899999</v>
      </c>
      <c r="Q152" s="101">
        <f t="shared" si="17"/>
        <v>1365904624.1299999</v>
      </c>
      <c r="R152" s="100">
        <v>1365904624.1300001</v>
      </c>
    </row>
    <row r="153" spans="2:18" x14ac:dyDescent="0.3">
      <c r="C153" t="s">
        <v>114</v>
      </c>
      <c r="E153" s="101">
        <f t="shared" ref="E153:M153" si="19">E118+E127+E138+E144</f>
        <v>93238368.5</v>
      </c>
      <c r="F153" s="101">
        <f t="shared" si="19"/>
        <v>87059587.700000003</v>
      </c>
      <c r="G153" s="101">
        <f t="shared" si="19"/>
        <v>95150558.5</v>
      </c>
      <c r="H153" s="101">
        <f t="shared" si="19"/>
        <v>92496437</v>
      </c>
      <c r="I153" s="101">
        <f t="shared" si="19"/>
        <v>94067376.599999994</v>
      </c>
      <c r="J153" s="101">
        <f t="shared" si="19"/>
        <v>91430985.900000006</v>
      </c>
      <c r="K153" s="101">
        <f t="shared" si="19"/>
        <v>95462593</v>
      </c>
      <c r="L153" s="101">
        <f t="shared" si="19"/>
        <v>98727949.189999998</v>
      </c>
      <c r="M153" s="101">
        <f t="shared" si="19"/>
        <v>89411353.689999998</v>
      </c>
      <c r="N153" s="101">
        <f>N118+N127+N138+N144</f>
        <v>95120660.701000005</v>
      </c>
      <c r="O153" s="101">
        <f>O118+O127+O138+O144</f>
        <v>88922599.879999995</v>
      </c>
      <c r="P153" s="101">
        <f>P118+P127+P138+P144</f>
        <v>92475540.900000006</v>
      </c>
      <c r="Q153" s="101">
        <f t="shared" si="17"/>
        <v>1113564011.5609999</v>
      </c>
      <c r="R153" s="100">
        <v>1113564011.698</v>
      </c>
    </row>
    <row r="154" spans="2:18" x14ac:dyDescent="0.3">
      <c r="C154" t="s">
        <v>115</v>
      </c>
      <c r="E154" s="101">
        <f t="shared" ref="E154:P155" si="20">E119+E128+E145</f>
        <v>5528837.6780000003</v>
      </c>
      <c r="F154" s="101">
        <f t="shared" si="20"/>
        <v>4179537.2790000001</v>
      </c>
      <c r="G154" s="101">
        <f t="shared" si="20"/>
        <v>4089372.8</v>
      </c>
      <c r="H154" s="101">
        <f t="shared" si="20"/>
        <v>5346233.0029999996</v>
      </c>
      <c r="I154" s="101">
        <f t="shared" si="20"/>
        <v>11056361.685010001</v>
      </c>
      <c r="J154" s="101">
        <f t="shared" si="20"/>
        <v>20734509.552000001</v>
      </c>
      <c r="K154" s="101">
        <f t="shared" si="20"/>
        <v>25117040.635000002</v>
      </c>
      <c r="L154" s="101">
        <f t="shared" si="20"/>
        <v>28742733.673000004</v>
      </c>
      <c r="M154" s="101">
        <f t="shared" si="20"/>
        <v>22268510.989000004</v>
      </c>
      <c r="N154" s="101">
        <f t="shared" si="20"/>
        <v>11147651.931</v>
      </c>
      <c r="O154" s="101">
        <f t="shared" si="20"/>
        <v>4972313.2740000002</v>
      </c>
      <c r="P154" s="101">
        <f t="shared" si="20"/>
        <v>2639414.9430000004</v>
      </c>
      <c r="Q154" s="101">
        <f t="shared" si="17"/>
        <v>145822517.44200999</v>
      </c>
      <c r="R154" s="100">
        <v>145822517.44201002</v>
      </c>
    </row>
    <row r="155" spans="2:18" x14ac:dyDescent="0.3">
      <c r="C155" t="s">
        <v>116</v>
      </c>
      <c r="E155" s="101">
        <f t="shared" si="20"/>
        <v>1677509.9980299999</v>
      </c>
      <c r="F155" s="101">
        <f t="shared" si="20"/>
        <v>1505148.60812</v>
      </c>
      <c r="G155" s="101">
        <f t="shared" si="20"/>
        <v>1474261.9374699998</v>
      </c>
      <c r="H155" s="101">
        <f t="shared" si="20"/>
        <v>1503568.73648</v>
      </c>
      <c r="I155" s="101">
        <f t="shared" si="20"/>
        <v>1565521.43</v>
      </c>
      <c r="J155" s="101">
        <f t="shared" si="20"/>
        <v>1544276.2680000002</v>
      </c>
      <c r="K155" s="101">
        <f t="shared" si="20"/>
        <v>1517440.93136</v>
      </c>
      <c r="L155" s="101">
        <f t="shared" si="20"/>
        <v>1578869.159</v>
      </c>
      <c r="M155" s="101">
        <f t="shared" si="20"/>
        <v>1535455.0220000001</v>
      </c>
      <c r="N155" s="101">
        <f t="shared" si="20"/>
        <v>1534835.862</v>
      </c>
      <c r="O155" s="101">
        <f t="shared" si="20"/>
        <v>1517745.8010000002</v>
      </c>
      <c r="P155" s="101">
        <f>P120+P129+P146</f>
        <v>1587397.7870499999</v>
      </c>
      <c r="Q155" s="101">
        <f t="shared" si="17"/>
        <v>18542031.540509999</v>
      </c>
      <c r="R155" s="100">
        <v>18542031.540509999</v>
      </c>
    </row>
    <row r="156" spans="2:18" x14ac:dyDescent="0.3">
      <c r="B156" t="s">
        <v>125</v>
      </c>
      <c r="E156" s="105">
        <f t="shared" ref="E156:M156" si="21">SUM(E150:E155)</f>
        <v>564826031.29402995</v>
      </c>
      <c r="F156" s="105">
        <f t="shared" si="21"/>
        <v>473309137.03112</v>
      </c>
      <c r="G156" s="105">
        <f t="shared" si="21"/>
        <v>492833718.73246998</v>
      </c>
      <c r="H156" s="105">
        <f t="shared" si="21"/>
        <v>430138729.75949001</v>
      </c>
      <c r="I156" s="105">
        <f t="shared" si="21"/>
        <v>429297163.69626999</v>
      </c>
      <c r="J156" s="105">
        <f t="shared" si="21"/>
        <v>426012730.31901997</v>
      </c>
      <c r="K156" s="105">
        <f t="shared" si="21"/>
        <v>463370110.68535</v>
      </c>
      <c r="L156" s="105">
        <f t="shared" si="21"/>
        <v>486553632.52000999</v>
      </c>
      <c r="M156" s="105">
        <f t="shared" si="21"/>
        <v>407025425.55900007</v>
      </c>
      <c r="N156" s="105">
        <f>SUM(N150:N155)</f>
        <v>441566618.17499995</v>
      </c>
      <c r="O156" s="105">
        <f>SUM(O150:O155)</f>
        <v>481994062.87700003</v>
      </c>
      <c r="P156" s="105">
        <f>SUM(P150:P155)</f>
        <v>540915464.71404994</v>
      </c>
      <c r="Q156" s="105">
        <f>SUM(Q150:Q155)</f>
        <v>5637842825.3628101</v>
      </c>
      <c r="R156" s="105">
        <f>SUM(R150:R155)</f>
        <v>5637842825.4998102</v>
      </c>
    </row>
    <row r="157" spans="2:18" ht="9" customHeight="1" x14ac:dyDescent="0.3"/>
    <row r="158" spans="2:18" x14ac:dyDescent="0.3">
      <c r="C158" t="s">
        <v>126</v>
      </c>
      <c r="E158" s="101">
        <f t="shared" ref="E158:M158" si="22">E150</f>
        <v>292945712.06200004</v>
      </c>
      <c r="F158" s="101">
        <f t="shared" si="22"/>
        <v>209125084.00199997</v>
      </c>
      <c r="G158" s="101">
        <f t="shared" si="22"/>
        <v>229152606.20699999</v>
      </c>
      <c r="H158" s="101">
        <f t="shared" si="22"/>
        <v>174130864.29800999</v>
      </c>
      <c r="I158" s="101">
        <f t="shared" si="22"/>
        <v>159047392.68922001</v>
      </c>
      <c r="J158" s="101">
        <f t="shared" si="22"/>
        <v>151500181.59101999</v>
      </c>
      <c r="K158" s="101">
        <f t="shared" si="22"/>
        <v>166667942.63099</v>
      </c>
      <c r="L158" s="101">
        <f t="shared" si="22"/>
        <v>194633616.92300999</v>
      </c>
      <c r="M158" s="101">
        <f t="shared" si="22"/>
        <v>145837333.60800001</v>
      </c>
      <c r="N158" s="101">
        <f>N150</f>
        <v>161623305.058</v>
      </c>
      <c r="O158" s="101">
        <f>O150</f>
        <v>216281572.46800002</v>
      </c>
      <c r="P158" s="101">
        <f>P150</f>
        <v>273758077.04299998</v>
      </c>
      <c r="Q158" s="101">
        <f>SUM(E158:P158)</f>
        <v>2374703688.5802498</v>
      </c>
    </row>
    <row r="159" spans="2:18" x14ac:dyDescent="0.3">
      <c r="C159" t="s">
        <v>140</v>
      </c>
      <c r="E159" s="101">
        <v>215198</v>
      </c>
      <c r="F159" s="106">
        <v>214198</v>
      </c>
      <c r="G159" s="101">
        <v>216045</v>
      </c>
      <c r="H159" s="101">
        <v>214971</v>
      </c>
      <c r="I159" s="101">
        <v>215099</v>
      </c>
      <c r="J159" s="101">
        <v>214829</v>
      </c>
      <c r="K159" s="101">
        <v>215408</v>
      </c>
      <c r="L159" s="101">
        <v>215648</v>
      </c>
      <c r="M159" s="101">
        <v>214122</v>
      </c>
      <c r="N159" s="101">
        <v>218388</v>
      </c>
      <c r="O159" s="101">
        <v>216943</v>
      </c>
      <c r="P159" s="101">
        <v>217126</v>
      </c>
      <c r="Q159" s="101">
        <f>SUM(E159:P159)</f>
        <v>2587975</v>
      </c>
      <c r="R159" s="101">
        <v>2587975</v>
      </c>
    </row>
    <row r="160" spans="2:18" x14ac:dyDescent="0.3">
      <c r="C160" t="s">
        <v>141</v>
      </c>
      <c r="E160" s="107">
        <f t="shared" ref="E160:M160" si="23">E158/E159</f>
        <v>1361.2845475422637</v>
      </c>
      <c r="F160" s="107">
        <f t="shared" si="23"/>
        <v>976.31669764423555</v>
      </c>
      <c r="G160" s="107">
        <f t="shared" si="23"/>
        <v>1060.6707223356245</v>
      </c>
      <c r="H160" s="107">
        <f t="shared" si="23"/>
        <v>810.02025528099136</v>
      </c>
      <c r="I160" s="107">
        <f t="shared" si="23"/>
        <v>739.41484009325939</v>
      </c>
      <c r="J160" s="107">
        <f t="shared" si="23"/>
        <v>705.21289765823042</v>
      </c>
      <c r="K160" s="107">
        <f t="shared" si="23"/>
        <v>773.73144280152087</v>
      </c>
      <c r="L160" s="107">
        <f t="shared" si="23"/>
        <v>902.55238593916931</v>
      </c>
      <c r="M160" s="107">
        <f t="shared" si="23"/>
        <v>681.09457976293891</v>
      </c>
      <c r="N160" s="107">
        <f>N158/N159</f>
        <v>740.07411148048425</v>
      </c>
      <c r="O160" s="107">
        <f>O158/O159</f>
        <v>996.95114600609384</v>
      </c>
      <c r="P160" s="107">
        <f>P158/P159</f>
        <v>1260.8258662850142</v>
      </c>
      <c r="Q160" s="107">
        <f>Q158/Q159</f>
        <v>917.59143290806514</v>
      </c>
    </row>
    <row r="161" spans="3:18" x14ac:dyDescent="0.3">
      <c r="C161" t="s">
        <v>127</v>
      </c>
      <c r="E161" s="101">
        <f t="shared" ref="E161:M161" si="24">E151+E152+E154</f>
        <v>176964440.734</v>
      </c>
      <c r="F161" s="101">
        <f t="shared" si="24"/>
        <v>175619316.72100002</v>
      </c>
      <c r="G161" s="101">
        <f t="shared" si="24"/>
        <v>167056292.088</v>
      </c>
      <c r="H161" s="101">
        <f t="shared" si="24"/>
        <v>162007859.72499999</v>
      </c>
      <c r="I161" s="101">
        <f t="shared" si="24"/>
        <v>174616872.97705001</v>
      </c>
      <c r="J161" s="101">
        <f t="shared" si="24"/>
        <v>181537286.56</v>
      </c>
      <c r="K161" s="101">
        <f t="shared" si="24"/>
        <v>199722134.123</v>
      </c>
      <c r="L161" s="101">
        <f t="shared" si="24"/>
        <v>191613197.248</v>
      </c>
      <c r="M161" s="101">
        <f t="shared" si="24"/>
        <v>170241283.23899999</v>
      </c>
      <c r="N161" s="101">
        <f>N151+N152+N154</f>
        <v>183287816.55399999</v>
      </c>
      <c r="O161" s="101">
        <f>O151+O152+O154</f>
        <v>175272144.72799999</v>
      </c>
      <c r="P161" s="101">
        <f>P151+P152+P154</f>
        <v>173094448.984</v>
      </c>
      <c r="Q161" s="101">
        <f>SUM(E161:P161)</f>
        <v>2131033093.6810496</v>
      </c>
    </row>
    <row r="162" spans="3:18" x14ac:dyDescent="0.3">
      <c r="C162" t="s">
        <v>128</v>
      </c>
      <c r="E162" s="101">
        <v>36868</v>
      </c>
      <c r="F162" s="106">
        <v>36445</v>
      </c>
      <c r="G162" s="101">
        <v>36552</v>
      </c>
      <c r="H162" s="101">
        <v>36255</v>
      </c>
      <c r="I162" s="101">
        <v>36544</v>
      </c>
      <c r="J162" s="101">
        <v>36486</v>
      </c>
      <c r="K162" s="101">
        <v>36644</v>
      </c>
      <c r="L162" s="101">
        <v>36729</v>
      </c>
      <c r="M162" s="101">
        <v>35718</v>
      </c>
      <c r="N162" s="101">
        <v>37528</v>
      </c>
      <c r="O162" s="101">
        <v>36613</v>
      </c>
      <c r="P162" s="101">
        <v>36651</v>
      </c>
      <c r="Q162" s="101">
        <f>SUM(E162:P162)</f>
        <v>439033</v>
      </c>
      <c r="R162" s="100">
        <f>386800+22787+29446</f>
        <v>439033</v>
      </c>
    </row>
    <row r="163" spans="3:18" x14ac:dyDescent="0.3">
      <c r="C163" t="s">
        <v>129</v>
      </c>
      <c r="E163" s="101">
        <f t="shared" ref="E163:M163" si="25">E161/E162</f>
        <v>4799.9468572746009</v>
      </c>
      <c r="F163" s="101">
        <f t="shared" si="25"/>
        <v>4818.749258361916</v>
      </c>
      <c r="G163" s="101">
        <f t="shared" si="25"/>
        <v>4570.3734977019039</v>
      </c>
      <c r="H163" s="101">
        <f t="shared" si="25"/>
        <v>4468.5659833126465</v>
      </c>
      <c r="I163" s="101">
        <f t="shared" si="25"/>
        <v>4778.2638183299587</v>
      </c>
      <c r="J163" s="101">
        <f t="shared" si="25"/>
        <v>4975.5327128213567</v>
      </c>
      <c r="K163" s="101">
        <f t="shared" si="25"/>
        <v>5450.336593248554</v>
      </c>
      <c r="L163" s="101">
        <f t="shared" si="25"/>
        <v>5216.9456627732852</v>
      </c>
      <c r="M163" s="101">
        <f t="shared" si="25"/>
        <v>4766.2602396270786</v>
      </c>
      <c r="N163" s="101">
        <f>N161/N162</f>
        <v>4884.028366926028</v>
      </c>
      <c r="O163" s="101">
        <f>O161/O162</f>
        <v>4787.1560573566758</v>
      </c>
      <c r="P163" s="101">
        <f>P161/P162</f>
        <v>4722.7756127800058</v>
      </c>
      <c r="Q163" s="101">
        <f>Q161/Q162</f>
        <v>4853.9246336404085</v>
      </c>
    </row>
    <row r="164" spans="3:18" ht="9" customHeight="1" x14ac:dyDescent="0.3"/>
    <row r="165" spans="3:18" x14ac:dyDescent="0.3">
      <c r="C165" t="s">
        <v>130</v>
      </c>
      <c r="E165" s="108">
        <f>E156/$Q156</f>
        <v>0.10018477789999083</v>
      </c>
      <c r="F165" s="108">
        <f t="shared" ref="F165:P165" si="26">F156/$Q156</f>
        <v>8.3952169596118759E-2</v>
      </c>
      <c r="G165" s="108">
        <f t="shared" si="26"/>
        <v>8.7415299432501439E-2</v>
      </c>
      <c r="H165" s="108">
        <f t="shared" si="26"/>
        <v>7.6294913335369446E-2</v>
      </c>
      <c r="I165" s="108">
        <f t="shared" si="26"/>
        <v>7.6145642401558716E-2</v>
      </c>
      <c r="J165" s="108">
        <f t="shared" si="26"/>
        <v>7.5563073238318762E-2</v>
      </c>
      <c r="K165" s="108">
        <f t="shared" si="26"/>
        <v>8.218925660729659E-2</v>
      </c>
      <c r="L165" s="108">
        <f t="shared" si="26"/>
        <v>8.630138292099318E-2</v>
      </c>
      <c r="M165" s="108">
        <f t="shared" si="26"/>
        <v>7.2195241720454828E-2</v>
      </c>
      <c r="N165" s="108">
        <f t="shared" si="26"/>
        <v>7.8321909966793724E-2</v>
      </c>
      <c r="O165" s="108">
        <f t="shared" si="26"/>
        <v>8.5492639260652398E-2</v>
      </c>
      <c r="P165" s="108">
        <f t="shared" si="26"/>
        <v>9.5943693619951281E-2</v>
      </c>
      <c r="Q165" s="108">
        <f>SUM(E165:P165)</f>
        <v>1</v>
      </c>
    </row>
  </sheetData>
  <mergeCells count="15">
    <mergeCell ref="B75:Q75"/>
    <mergeCell ref="D45:I45"/>
    <mergeCell ref="D46:I46"/>
    <mergeCell ref="D47:I47"/>
    <mergeCell ref="D48:I48"/>
    <mergeCell ref="L41:P41"/>
    <mergeCell ref="J22:K23"/>
    <mergeCell ref="N65:P65"/>
    <mergeCell ref="A1:K1"/>
    <mergeCell ref="A2:K2"/>
    <mergeCell ref="L38:P38"/>
    <mergeCell ref="A3:K3"/>
    <mergeCell ref="L39:P39"/>
    <mergeCell ref="A4:K4"/>
    <mergeCell ref="E55:F55"/>
  </mergeCells>
  <printOptions horizontalCentered="1"/>
  <pageMargins left="0.45" right="0.45" top="0.75" bottom="0.5" header="0.3" footer="0.3"/>
  <pageSetup scale="74" orientation="landscape" r:id="rId1"/>
  <headerFooter scaleWithDoc="0">
    <oddFooter>&amp;L&amp;F / &amp;A</oddFooter>
  </headerFooter>
  <colBreaks count="2" manualBreakCount="2">
    <brk id="10" min="70" max="106" man="1"/>
    <brk id="10" min="108" max="164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topLeftCell="A18" workbookViewId="0">
      <selection activeCell="A45" sqref="A45"/>
    </sheetView>
  </sheetViews>
  <sheetFormatPr defaultRowHeight="14.4" x14ac:dyDescent="0.3"/>
  <cols>
    <col min="1" max="1" width="21.5546875" customWidth="1"/>
    <col min="2" max="2" width="11" bestFit="1" customWidth="1"/>
    <col min="3" max="3" width="11.44140625" customWidth="1"/>
    <col min="4" max="4" width="16.33203125" customWidth="1"/>
    <col min="5" max="5" width="16.44140625" customWidth="1"/>
    <col min="6" max="6" width="18.33203125" customWidth="1"/>
    <col min="7" max="7" width="19.6640625" customWidth="1"/>
    <col min="8" max="8" width="16.6640625" customWidth="1"/>
    <col min="9" max="9" width="19.33203125" customWidth="1"/>
    <col min="10" max="10" width="23.6640625" customWidth="1"/>
    <col min="11" max="11" width="11.33203125" customWidth="1"/>
    <col min="12" max="12" width="13.33203125" customWidth="1"/>
  </cols>
  <sheetData>
    <row r="1" spans="1:12" ht="15.6" x14ac:dyDescent="0.3">
      <c r="A1" s="51" t="s">
        <v>145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15.6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5.6" x14ac:dyDescent="0.3">
      <c r="A3" s="135" t="s">
        <v>146</v>
      </c>
      <c r="B3" s="135"/>
      <c r="C3" s="135"/>
      <c r="D3" s="135" t="s">
        <v>147</v>
      </c>
      <c r="E3" s="135"/>
      <c r="F3" s="51"/>
      <c r="G3" s="51"/>
      <c r="H3" s="51"/>
      <c r="I3" s="51"/>
      <c r="J3" s="51"/>
      <c r="K3" s="51"/>
      <c r="L3" s="51"/>
    </row>
    <row r="4" spans="1:12" ht="15.6" x14ac:dyDescent="0.3">
      <c r="A4" s="51" t="s">
        <v>148</v>
      </c>
      <c r="B4" s="51"/>
      <c r="C4" s="51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5" t="s">
        <v>12</v>
      </c>
      <c r="K4" s="51"/>
      <c r="L4" s="51"/>
    </row>
    <row r="5" spans="1:12" ht="15.6" x14ac:dyDescent="0.3">
      <c r="A5" s="51"/>
      <c r="B5" s="51"/>
      <c r="C5" s="51"/>
      <c r="D5" s="7" t="s">
        <v>13</v>
      </c>
      <c r="E5" s="7" t="s">
        <v>149</v>
      </c>
      <c r="F5" s="7" t="s">
        <v>15</v>
      </c>
      <c r="G5" s="7" t="s">
        <v>16</v>
      </c>
      <c r="H5" s="7" t="s">
        <v>17</v>
      </c>
      <c r="I5" s="8" t="s">
        <v>18</v>
      </c>
      <c r="J5" s="7" t="s">
        <v>19</v>
      </c>
      <c r="K5" s="51"/>
      <c r="L5" s="51"/>
    </row>
    <row r="6" spans="1:12" ht="15.6" x14ac:dyDescent="0.3">
      <c r="A6" s="51"/>
      <c r="B6" s="51"/>
      <c r="C6" s="51"/>
      <c r="D6" s="51"/>
      <c r="E6" s="51"/>
      <c r="F6" s="51"/>
      <c r="G6" s="51"/>
      <c r="H6" s="51"/>
      <c r="I6" s="115"/>
      <c r="J6" s="51"/>
      <c r="K6" s="51"/>
      <c r="L6" s="51"/>
    </row>
    <row r="7" spans="1:12" ht="15.6" x14ac:dyDescent="0.3">
      <c r="A7" s="51" t="s">
        <v>150</v>
      </c>
      <c r="B7" s="51"/>
      <c r="C7" s="51"/>
      <c r="D7" s="116">
        <f>SUM(E7:J7)</f>
        <v>502897000</v>
      </c>
      <c r="E7" s="16">
        <f>209489000+4904000</f>
        <v>214393000</v>
      </c>
      <c r="F7" s="16">
        <f>73766000+1291000</f>
        <v>75057000</v>
      </c>
      <c r="G7" s="16">
        <f>126766000+2775000</f>
        <v>129541000</v>
      </c>
      <c r="H7" s="16">
        <f>10894000+238000</f>
        <v>11132000</v>
      </c>
      <c r="I7" s="17">
        <f>64348000+1405000</f>
        <v>65753000</v>
      </c>
      <c r="J7" s="18">
        <f>6871000+150000</f>
        <v>7021000</v>
      </c>
      <c r="K7" s="51"/>
      <c r="L7" s="51"/>
    </row>
    <row r="8" spans="1:12" ht="15.6" x14ac:dyDescent="0.3">
      <c r="A8" s="51" t="s">
        <v>151</v>
      </c>
      <c r="B8" s="51"/>
      <c r="C8" s="51"/>
      <c r="D8" s="56">
        <f>SUM(E8:J8)</f>
        <v>5658613712</v>
      </c>
      <c r="E8" s="29">
        <v>2361885989</v>
      </c>
      <c r="F8" s="29">
        <v>623243883</v>
      </c>
      <c r="G8" s="29">
        <v>1409459201</v>
      </c>
      <c r="H8" s="29">
        <v>133495310</v>
      </c>
      <c r="I8" s="30">
        <v>1107408158</v>
      </c>
      <c r="J8" s="31">
        <v>23121171</v>
      </c>
      <c r="K8" s="51"/>
      <c r="L8" s="51"/>
    </row>
    <row r="9" spans="1:12" ht="15.6" x14ac:dyDescent="0.3">
      <c r="A9" s="51" t="s">
        <v>48</v>
      </c>
      <c r="B9" s="51"/>
      <c r="C9" s="51"/>
      <c r="D9" s="56">
        <f>SUM(E9:J9)</f>
        <v>2945836</v>
      </c>
      <c r="E9" s="38">
        <v>2518371</v>
      </c>
      <c r="F9" s="38">
        <v>375436</v>
      </c>
      <c r="G9" s="38">
        <v>22836</v>
      </c>
      <c r="H9" s="38">
        <v>29193</v>
      </c>
      <c r="I9" s="117"/>
      <c r="J9" s="50"/>
      <c r="K9" s="51"/>
      <c r="L9" s="51"/>
    </row>
    <row r="10" spans="1:12" ht="15.6" x14ac:dyDescent="0.3">
      <c r="A10" s="73" t="s">
        <v>152</v>
      </c>
      <c r="B10" s="51"/>
      <c r="C10" s="51"/>
      <c r="D10" s="51"/>
      <c r="E10" s="118">
        <v>9</v>
      </c>
      <c r="F10" s="118">
        <v>20</v>
      </c>
      <c r="G10" s="118">
        <v>500</v>
      </c>
      <c r="H10" s="118">
        <v>20</v>
      </c>
      <c r="I10" s="115"/>
      <c r="J10" s="51"/>
      <c r="K10" s="51"/>
      <c r="L10" s="51"/>
    </row>
    <row r="11" spans="1:12" ht="15.6" x14ac:dyDescent="0.3">
      <c r="A11" s="51" t="s">
        <v>153</v>
      </c>
      <c r="B11" s="51"/>
      <c r="C11" s="49">
        <v>1.9E-2</v>
      </c>
      <c r="D11" s="116">
        <f>SUM(E11:J11)</f>
        <v>107513660.528</v>
      </c>
      <c r="E11" s="119">
        <f>E8*$C$11</f>
        <v>44875833.791000001</v>
      </c>
      <c r="F11" s="119">
        <f t="shared" ref="F11:J11" si="0">F8*$C$11</f>
        <v>11841633.776999999</v>
      </c>
      <c r="G11" s="119">
        <f t="shared" si="0"/>
        <v>26779724.818999998</v>
      </c>
      <c r="H11" s="119">
        <f t="shared" si="0"/>
        <v>2536410.89</v>
      </c>
      <c r="I11" s="120">
        <f t="shared" si="0"/>
        <v>21040755.002</v>
      </c>
      <c r="J11" s="119">
        <f t="shared" si="0"/>
        <v>439302.24900000001</v>
      </c>
      <c r="K11" s="51"/>
      <c r="L11" s="51"/>
    </row>
    <row r="12" spans="1:12" ht="15.6" x14ac:dyDescent="0.3">
      <c r="A12" s="51" t="s">
        <v>154</v>
      </c>
      <c r="B12" s="51"/>
      <c r="C12" s="51"/>
      <c r="D12" s="116">
        <f>SUM(E12:J12)</f>
        <v>42175919</v>
      </c>
      <c r="E12" s="119">
        <f>E9*E10</f>
        <v>22665339</v>
      </c>
      <c r="F12" s="119">
        <f t="shared" ref="F12:H12" si="1">F9*F10</f>
        <v>7508720</v>
      </c>
      <c r="G12" s="119">
        <f t="shared" si="1"/>
        <v>11418000</v>
      </c>
      <c r="H12" s="119">
        <f t="shared" si="1"/>
        <v>583860</v>
      </c>
      <c r="I12" s="120"/>
      <c r="J12" s="119"/>
      <c r="K12" s="51"/>
      <c r="L12" s="51"/>
    </row>
    <row r="13" spans="1:12" ht="15.6" x14ac:dyDescent="0.3">
      <c r="A13" s="51" t="s">
        <v>155</v>
      </c>
      <c r="B13" s="51"/>
      <c r="C13" s="51"/>
      <c r="D13" s="116">
        <f>SUM(E13:J13)</f>
        <v>51293942.748999998</v>
      </c>
      <c r="E13" s="119"/>
      <c r="F13" s="119"/>
      <c r="G13" s="119"/>
      <c r="H13" s="119"/>
      <c r="I13" s="121">
        <f>I7-I11</f>
        <v>44712244.997999996</v>
      </c>
      <c r="J13" s="122">
        <f>J7-J11</f>
        <v>6581697.7510000002</v>
      </c>
      <c r="K13" s="51"/>
      <c r="L13" s="51"/>
    </row>
    <row r="14" spans="1:12" ht="15.6" x14ac:dyDescent="0.3">
      <c r="A14" s="51" t="s">
        <v>156</v>
      </c>
      <c r="B14" s="51"/>
      <c r="C14" s="51"/>
      <c r="D14" s="123">
        <f>SUM(E14:J14)</f>
        <v>301913477.72299999</v>
      </c>
      <c r="E14" s="124">
        <f>E7-SUM(E11:E13)</f>
        <v>146851827.20899999</v>
      </c>
      <c r="F14" s="125">
        <f t="shared" ref="F14:J14" si="2">F7-SUM(F11:F13)</f>
        <v>55706646.223000005</v>
      </c>
      <c r="G14" s="125">
        <f t="shared" si="2"/>
        <v>91343275.180999994</v>
      </c>
      <c r="H14" s="125">
        <f t="shared" si="2"/>
        <v>8011729.1099999994</v>
      </c>
      <c r="I14" s="126">
        <f t="shared" si="2"/>
        <v>0</v>
      </c>
      <c r="J14" s="125">
        <f t="shared" si="2"/>
        <v>0</v>
      </c>
      <c r="K14" s="51"/>
      <c r="L14" s="51"/>
    </row>
    <row r="15" spans="1:12" ht="15.6" x14ac:dyDescent="0.3">
      <c r="A15" s="51"/>
      <c r="B15" s="51"/>
      <c r="C15" s="51"/>
      <c r="D15" s="127"/>
      <c r="E15" s="128"/>
      <c r="F15" s="128"/>
      <c r="G15" s="128"/>
      <c r="H15" s="128"/>
      <c r="I15" s="128"/>
      <c r="J15" s="128"/>
      <c r="K15" s="51"/>
      <c r="L15" s="51"/>
    </row>
    <row r="16" spans="1:12" ht="15.6" x14ac:dyDescent="0.3">
      <c r="A16" s="51" t="s">
        <v>157</v>
      </c>
      <c r="B16" s="51"/>
      <c r="C16" s="51"/>
      <c r="D16" s="116"/>
      <c r="E16" s="129">
        <v>699.75</v>
      </c>
      <c r="F16" s="129">
        <v>4352.96</v>
      </c>
      <c r="G16" s="119"/>
      <c r="H16" s="130" t="s">
        <v>158</v>
      </c>
      <c r="I16" s="131" t="s">
        <v>159</v>
      </c>
      <c r="J16" s="132" t="s">
        <v>160</v>
      </c>
      <c r="K16" s="51"/>
      <c r="L16" s="51"/>
    </row>
    <row r="17" spans="1:12" ht="15.6" x14ac:dyDescent="0.3">
      <c r="A17" s="51" t="s">
        <v>161</v>
      </c>
      <c r="B17" s="51"/>
      <c r="C17" s="51"/>
      <c r="D17" s="116">
        <f>SUM(E17:F17)</f>
        <v>301914012.80416667</v>
      </c>
      <c r="E17" s="119">
        <f>E16*E9/12</f>
        <v>146852508.9375</v>
      </c>
      <c r="F17" s="119">
        <f>F16*SUM(F9:H9)/12</f>
        <v>155061503.86666667</v>
      </c>
      <c r="G17" s="51"/>
      <c r="H17" s="51" t="s">
        <v>42</v>
      </c>
      <c r="I17" s="133">
        <f>E16/J17</f>
        <v>6.2175877533435002E-2</v>
      </c>
      <c r="J17" s="134">
        <f>E8/ROUND(E9/12,0)</f>
        <v>11254.364679030228</v>
      </c>
      <c r="K17" s="51"/>
      <c r="L17" s="51"/>
    </row>
    <row r="18" spans="1:12" ht="15.6" x14ac:dyDescent="0.3">
      <c r="A18" s="51" t="s">
        <v>162</v>
      </c>
      <c r="B18" s="51"/>
      <c r="C18" s="51"/>
      <c r="D18" s="116">
        <f>SUM(E18:F18)</f>
        <v>535.08116668462753</v>
      </c>
      <c r="E18" s="116">
        <f>E17-E14</f>
        <v>681.72850000858307</v>
      </c>
      <c r="F18" s="116">
        <f>F17-SUM(F14:H14)</f>
        <v>-146.64733332395554</v>
      </c>
      <c r="G18" s="51"/>
      <c r="H18" s="51" t="s">
        <v>163</v>
      </c>
      <c r="I18" s="133">
        <f>F16/J18</f>
        <v>7.1582151269935806E-2</v>
      </c>
      <c r="J18" s="54">
        <f>SUM(F8:H8)/ROUND(SUM(F9:H9)/12,0)</f>
        <v>60810.689854584249</v>
      </c>
      <c r="K18" s="51"/>
      <c r="L18" s="51"/>
    </row>
    <row r="19" spans="1:12" ht="15.6" x14ac:dyDescent="0.3">
      <c r="A19" s="51"/>
      <c r="B19" s="51"/>
      <c r="C19" s="51"/>
      <c r="D19" s="51"/>
      <c r="E19" s="119"/>
      <c r="F19" s="119"/>
      <c r="G19" s="119"/>
      <c r="H19" s="132" t="s">
        <v>164</v>
      </c>
      <c r="I19" s="51"/>
      <c r="J19" s="51"/>
      <c r="K19" s="51"/>
      <c r="L19" s="51"/>
    </row>
    <row r="20" spans="1:12" ht="15.6" x14ac:dyDescent="0.3">
      <c r="A20" s="51" t="s">
        <v>165</v>
      </c>
      <c r="B20" s="51"/>
      <c r="C20" s="51"/>
      <c r="D20" s="116">
        <f>D7+D18</f>
        <v>502897535.08116668</v>
      </c>
      <c r="E20" s="51"/>
      <c r="F20" s="51"/>
      <c r="G20" s="51"/>
      <c r="H20" s="51" t="s">
        <v>42</v>
      </c>
      <c r="I20" s="51"/>
      <c r="J20" s="54">
        <f>E9/12</f>
        <v>209864.25</v>
      </c>
      <c r="K20" s="51"/>
      <c r="L20" s="51"/>
    </row>
    <row r="21" spans="1:12" ht="15.6" x14ac:dyDescent="0.3">
      <c r="A21" s="51"/>
      <c r="B21" s="51"/>
      <c r="C21" s="51"/>
      <c r="D21" s="116"/>
      <c r="E21" s="51"/>
      <c r="F21" s="51"/>
      <c r="G21" s="51"/>
      <c r="H21" s="51" t="s">
        <v>163</v>
      </c>
      <c r="I21" s="51"/>
      <c r="J21" s="54">
        <f>SUM(F9:H9)/12</f>
        <v>35622.083333333336</v>
      </c>
      <c r="K21" s="51"/>
      <c r="L21" s="51"/>
    </row>
    <row r="22" spans="1:12" ht="15.6" x14ac:dyDescent="0.3">
      <c r="A22" s="51" t="s">
        <v>166</v>
      </c>
      <c r="B22" s="51"/>
      <c r="C22" s="51"/>
      <c r="D22" s="116"/>
      <c r="E22" s="129">
        <f>E14/(E9/12)</f>
        <v>699.74675157393403</v>
      </c>
      <c r="F22" s="129">
        <f>SUM(F14:H14)/(SUM(F9:H9)/12)</f>
        <v>4352.9641167534182</v>
      </c>
      <c r="G22" s="51"/>
      <c r="H22" s="51"/>
      <c r="I22" s="51"/>
      <c r="J22" s="51"/>
      <c r="K22" s="51"/>
      <c r="L22" s="51"/>
    </row>
    <row r="23" spans="1:12" ht="15.6" x14ac:dyDescent="0.3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ht="15.6" x14ac:dyDescent="0.3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ht="15.6" x14ac:dyDescent="0.3">
      <c r="A25" s="135" t="s">
        <v>178</v>
      </c>
      <c r="B25" s="51"/>
      <c r="C25" s="51"/>
      <c r="D25" s="135" t="s">
        <v>179</v>
      </c>
      <c r="E25" s="51"/>
      <c r="F25" s="51"/>
      <c r="G25" s="51"/>
      <c r="H25" s="51"/>
      <c r="I25" s="51"/>
      <c r="J25" s="51"/>
      <c r="K25" s="51"/>
      <c r="L25" s="51"/>
    </row>
    <row r="26" spans="1:12" ht="15.6" x14ac:dyDescent="0.3">
      <c r="A26" s="51" t="s">
        <v>148</v>
      </c>
      <c r="B26" s="51"/>
      <c r="C26" s="51"/>
      <c r="D26" s="5" t="s">
        <v>6</v>
      </c>
      <c r="E26" s="5" t="s">
        <v>7</v>
      </c>
      <c r="F26" s="5" t="s">
        <v>8</v>
      </c>
      <c r="G26" s="5" t="s">
        <v>9</v>
      </c>
      <c r="H26" s="5" t="s">
        <v>10</v>
      </c>
      <c r="I26" s="6" t="s">
        <v>11</v>
      </c>
      <c r="J26" s="5" t="s">
        <v>12</v>
      </c>
      <c r="K26" s="51"/>
      <c r="L26" s="51"/>
    </row>
    <row r="27" spans="1:12" ht="15.6" x14ac:dyDescent="0.3">
      <c r="A27" s="51"/>
      <c r="B27" s="51"/>
      <c r="C27" s="51"/>
      <c r="D27" s="7" t="s">
        <v>13</v>
      </c>
      <c r="E27" s="7" t="s">
        <v>14</v>
      </c>
      <c r="F27" s="7" t="s">
        <v>15</v>
      </c>
      <c r="G27" s="7" t="s">
        <v>16</v>
      </c>
      <c r="H27" s="7" t="s">
        <v>17</v>
      </c>
      <c r="I27" s="8" t="s">
        <v>18</v>
      </c>
      <c r="J27" s="7" t="s">
        <v>19</v>
      </c>
      <c r="K27" s="51"/>
      <c r="L27" s="51"/>
    </row>
    <row r="28" spans="1:12" ht="15.6" x14ac:dyDescent="0.3">
      <c r="A28" s="51"/>
      <c r="B28" s="51"/>
      <c r="C28" s="51"/>
      <c r="D28" s="51"/>
      <c r="E28" s="4"/>
      <c r="F28" s="4"/>
      <c r="G28" s="4"/>
      <c r="H28" s="4"/>
      <c r="I28" s="11"/>
      <c r="J28" s="12"/>
      <c r="K28" s="51"/>
      <c r="L28" s="51"/>
    </row>
    <row r="29" spans="1:12" ht="15.6" x14ac:dyDescent="0.3">
      <c r="A29" s="51" t="s">
        <v>167</v>
      </c>
      <c r="B29" s="51"/>
      <c r="C29" s="51"/>
      <c r="D29" s="116">
        <f>SUM(E29:J29)</f>
        <v>502300000</v>
      </c>
      <c r="E29" s="16">
        <f>'UE-19____ Prop Base prelim'!F11</f>
        <v>216075000</v>
      </c>
      <c r="F29" s="16">
        <f>'UE-19____ Prop Base prelim'!G11</f>
        <v>75061000</v>
      </c>
      <c r="G29" s="16">
        <f>'UE-19____ Prop Base prelim'!H11</f>
        <v>125677000</v>
      </c>
      <c r="H29" s="16">
        <f>'UE-19____ Prop Base prelim'!I11</f>
        <v>12039000</v>
      </c>
      <c r="I29" s="17">
        <f>'UE-19____ Prop Base prelim'!J11</f>
        <v>66744000</v>
      </c>
      <c r="J29" s="16">
        <f>'UE-19____ Prop Base prelim'!K11</f>
        <v>6704000</v>
      </c>
      <c r="K29" s="51"/>
      <c r="L29" s="51"/>
    </row>
    <row r="30" spans="1:12" ht="15.6" x14ac:dyDescent="0.3">
      <c r="A30" s="51" t="s">
        <v>151</v>
      </c>
      <c r="B30" s="51"/>
      <c r="C30" s="51"/>
      <c r="D30" s="56">
        <f>SUM(E30:J30)</f>
        <v>5637842826</v>
      </c>
      <c r="E30" s="136">
        <f>'UE-19____ Prop Base prelim'!F13</f>
        <v>2374703689</v>
      </c>
      <c r="F30" s="136">
        <f>'UE-19____ Prop Base prelim'!G13</f>
        <v>619305952</v>
      </c>
      <c r="G30" s="136">
        <f>'UE-19____ Prop Base prelim'!H13</f>
        <v>1365904624</v>
      </c>
      <c r="H30" s="136">
        <f>'UE-19____ Prop Base prelim'!I13</f>
        <v>145822517</v>
      </c>
      <c r="I30" s="137">
        <f>'UE-19____ Prop Base prelim'!J13</f>
        <v>1113564012</v>
      </c>
      <c r="J30" s="136">
        <f>'UE-19____ Prop Base prelim'!K13</f>
        <v>18542032</v>
      </c>
      <c r="K30" s="51"/>
      <c r="L30" s="51"/>
    </row>
    <row r="31" spans="1:12" ht="15.6" x14ac:dyDescent="0.3">
      <c r="A31" s="51" t="s">
        <v>48</v>
      </c>
      <c r="B31" s="51"/>
      <c r="C31" s="51"/>
      <c r="D31" s="56">
        <f>SUM(E31:J31)</f>
        <v>3027008</v>
      </c>
      <c r="E31" s="138">
        <f>'UE-19____ Prop Base prelim'!F19</f>
        <v>2587975</v>
      </c>
      <c r="F31" s="138">
        <f>'UE-19____ Prop Base prelim'!G19</f>
        <v>386800</v>
      </c>
      <c r="G31" s="138">
        <f>'UE-19____ Prop Base prelim'!H19</f>
        <v>22787</v>
      </c>
      <c r="H31" s="138">
        <f>'UE-19____ Prop Base prelim'!I19</f>
        <v>29446</v>
      </c>
      <c r="I31" s="137"/>
      <c r="J31" s="139"/>
      <c r="K31" s="51"/>
      <c r="L31" s="51"/>
    </row>
    <row r="32" spans="1:12" ht="15.6" x14ac:dyDescent="0.3">
      <c r="A32" s="73" t="s">
        <v>152</v>
      </c>
      <c r="B32" s="51"/>
      <c r="C32" s="51"/>
      <c r="D32" s="51"/>
      <c r="E32" s="118">
        <v>9</v>
      </c>
      <c r="F32" s="118">
        <v>20</v>
      </c>
      <c r="G32" s="118">
        <v>500</v>
      </c>
      <c r="H32" s="118">
        <v>20</v>
      </c>
      <c r="I32" s="115"/>
      <c r="J32" s="51"/>
      <c r="K32" s="51"/>
      <c r="L32" s="51"/>
    </row>
    <row r="33" spans="1:12" ht="15.6" x14ac:dyDescent="0.3">
      <c r="A33" s="51" t="s">
        <v>153</v>
      </c>
      <c r="B33" s="51"/>
      <c r="C33" s="49">
        <f>'UE-19____ Prop Base prelim'!E14</f>
        <v>1.8950000000000002E-2</v>
      </c>
      <c r="D33" s="116">
        <f>SUM(E33:J33)</f>
        <v>106837121.55270001</v>
      </c>
      <c r="E33" s="119">
        <f>E30*$C33</f>
        <v>45000634.906550005</v>
      </c>
      <c r="F33" s="119">
        <f t="shared" ref="F33:J33" si="3">F30*$C33</f>
        <v>11735847.7904</v>
      </c>
      <c r="G33" s="119">
        <f t="shared" si="3"/>
        <v>25883892.6248</v>
      </c>
      <c r="H33" s="119">
        <f t="shared" si="3"/>
        <v>2763336.6971500004</v>
      </c>
      <c r="I33" s="120">
        <f t="shared" si="3"/>
        <v>21102038.027400002</v>
      </c>
      <c r="J33" s="119">
        <f t="shared" si="3"/>
        <v>351371.50640000001</v>
      </c>
      <c r="K33" s="51"/>
      <c r="L33" s="51"/>
    </row>
    <row r="34" spans="1:12" ht="15.6" x14ac:dyDescent="0.3">
      <c r="A34" s="51" t="s">
        <v>154</v>
      </c>
      <c r="B34" s="51"/>
      <c r="C34" s="51"/>
      <c r="D34" s="116">
        <f>SUM(E34:J34)</f>
        <v>43010195</v>
      </c>
      <c r="E34" s="119">
        <f>E31*E32</f>
        <v>23291775</v>
      </c>
      <c r="F34" s="119">
        <f t="shared" ref="F34:H34" si="4">F31*F32</f>
        <v>7736000</v>
      </c>
      <c r="G34" s="119">
        <f t="shared" si="4"/>
        <v>11393500</v>
      </c>
      <c r="H34" s="119">
        <f t="shared" si="4"/>
        <v>588920</v>
      </c>
      <c r="I34" s="120"/>
      <c r="J34" s="119"/>
      <c r="K34" s="51"/>
      <c r="L34" s="51"/>
    </row>
    <row r="35" spans="1:12" ht="15.6" x14ac:dyDescent="0.3">
      <c r="A35" s="51" t="s">
        <v>155</v>
      </c>
      <c r="B35" s="51"/>
      <c r="C35" s="51"/>
      <c r="D35" s="116">
        <f>SUM(E35:J35)</f>
        <v>51994590.466199994</v>
      </c>
      <c r="E35" s="119"/>
      <c r="F35" s="119"/>
      <c r="G35" s="119"/>
      <c r="H35" s="119"/>
      <c r="I35" s="121">
        <f>I29-I33</f>
        <v>45641961.972599998</v>
      </c>
      <c r="J35" s="122">
        <f>J29-J33</f>
        <v>6352628.4935999997</v>
      </c>
      <c r="K35" s="51"/>
      <c r="L35" s="51"/>
    </row>
    <row r="36" spans="1:12" ht="15.6" x14ac:dyDescent="0.3">
      <c r="A36" s="51" t="s">
        <v>156</v>
      </c>
      <c r="B36" s="51"/>
      <c r="C36" s="51"/>
      <c r="D36" s="123">
        <f>SUM(E36:J36)</f>
        <v>300458092.98110002</v>
      </c>
      <c r="E36" s="125">
        <f>E29-SUM(E33:E35)</f>
        <v>147782590.09345001</v>
      </c>
      <c r="F36" s="125">
        <f t="shared" ref="F36" si="5">F29-SUM(F33:F35)</f>
        <v>55589152.209600002</v>
      </c>
      <c r="G36" s="125">
        <f t="shared" ref="G36:J36" si="6">G29-SUM(G33:G35)</f>
        <v>88399607.375200003</v>
      </c>
      <c r="H36" s="125">
        <f t="shared" si="6"/>
        <v>8686743.3028500006</v>
      </c>
      <c r="I36" s="126">
        <f t="shared" si="6"/>
        <v>0</v>
      </c>
      <c r="J36" s="125">
        <f t="shared" si="6"/>
        <v>0</v>
      </c>
      <c r="K36" s="51"/>
      <c r="L36" s="51"/>
    </row>
    <row r="37" spans="1:12" ht="15.6" x14ac:dyDescent="0.3">
      <c r="A37" s="51"/>
      <c r="B37" s="51"/>
      <c r="C37" s="51"/>
      <c r="D37" s="127"/>
      <c r="E37" s="128"/>
      <c r="F37" s="128"/>
      <c r="G37" s="128"/>
      <c r="H37" s="128"/>
      <c r="I37" s="128"/>
      <c r="J37" s="128"/>
      <c r="K37" s="51"/>
      <c r="L37" s="51"/>
    </row>
    <row r="38" spans="1:12" ht="15.6" x14ac:dyDescent="0.3">
      <c r="A38" s="51" t="s">
        <v>182</v>
      </c>
      <c r="B38" s="51"/>
      <c r="C38" s="51"/>
      <c r="D38" s="116"/>
      <c r="E38" s="129">
        <f>$E$16</f>
        <v>699.75</v>
      </c>
      <c r="F38" s="129">
        <f>$F$16</f>
        <v>4352.96</v>
      </c>
      <c r="G38" s="119"/>
      <c r="H38" s="130" t="s">
        <v>158</v>
      </c>
      <c r="I38" s="131" t="s">
        <v>160</v>
      </c>
      <c r="J38" s="131" t="s">
        <v>181</v>
      </c>
      <c r="K38" s="51" t="s">
        <v>168</v>
      </c>
      <c r="L38" s="51" t="s">
        <v>169</v>
      </c>
    </row>
    <row r="39" spans="1:12" ht="15.6" x14ac:dyDescent="0.3">
      <c r="A39" s="51" t="s">
        <v>183</v>
      </c>
      <c r="B39" s="51"/>
      <c r="C39" s="51"/>
      <c r="D39" s="116">
        <f>SUM(E39:H39)</f>
        <v>310169049.49416667</v>
      </c>
      <c r="E39" s="119">
        <f>E38*E31/12</f>
        <v>150911292.1875</v>
      </c>
      <c r="F39" s="119">
        <f>F38*SUM(F31:H31)/12</f>
        <v>159257757.30666667</v>
      </c>
      <c r="G39" s="51"/>
      <c r="H39" s="51" t="s">
        <v>42</v>
      </c>
      <c r="I39" s="54">
        <f>J17</f>
        <v>11254.364679030228</v>
      </c>
      <c r="J39" s="54">
        <f>E30/ROUND(E31/12,0)</f>
        <v>11011.07592330698</v>
      </c>
      <c r="K39" s="56">
        <f>J39-I39</f>
        <v>-243.28875572324796</v>
      </c>
      <c r="L39" s="140">
        <f>K39*$I$17</f>
        <v>-15.12669188111045</v>
      </c>
    </row>
    <row r="40" spans="1:12" ht="15.6" x14ac:dyDescent="0.3">
      <c r="A40" s="51" t="s">
        <v>184</v>
      </c>
      <c r="B40" s="51"/>
      <c r="C40" s="51"/>
      <c r="D40" s="116">
        <f>SUM(E40:H40)</f>
        <v>9710956.5130666494</v>
      </c>
      <c r="E40" s="116">
        <f>E39-E36</f>
        <v>3128702.0940499902</v>
      </c>
      <c r="F40" s="116">
        <f>F39-SUM(F36:H36)</f>
        <v>6582254.4190166593</v>
      </c>
      <c r="G40" s="51"/>
      <c r="H40" s="51" t="s">
        <v>163</v>
      </c>
      <c r="I40" s="54">
        <f>J18</f>
        <v>60810.689854584249</v>
      </c>
      <c r="J40" s="54">
        <f>SUM(F30:H30)/ROUND(SUM(F31:H31)/12,0)</f>
        <v>58247.228256710216</v>
      </c>
      <c r="K40" s="56">
        <f>J40-I40</f>
        <v>-2563.461597874033</v>
      </c>
      <c r="L40" s="140">
        <f>K40*$I$18</f>
        <v>-183.49809587369037</v>
      </c>
    </row>
    <row r="41" spans="1:12" ht="15.6" x14ac:dyDescent="0.3">
      <c r="A41" s="51"/>
      <c r="B41" s="51"/>
      <c r="C41" s="49"/>
      <c r="D41" s="51"/>
      <c r="E41" s="116"/>
      <c r="F41" s="116"/>
      <c r="G41" s="119"/>
      <c r="H41" s="132" t="s">
        <v>164</v>
      </c>
      <c r="I41" s="51"/>
      <c r="J41" s="51"/>
      <c r="K41" s="51"/>
      <c r="L41" s="73" t="s">
        <v>170</v>
      </c>
    </row>
    <row r="42" spans="1:12" ht="15.6" x14ac:dyDescent="0.3">
      <c r="A42" s="51" t="s">
        <v>185</v>
      </c>
      <c r="B42" s="51"/>
      <c r="C42" s="51"/>
      <c r="D42" s="116">
        <f>D29+D40</f>
        <v>512010956.51306665</v>
      </c>
      <c r="E42" s="51"/>
      <c r="F42" s="51"/>
      <c r="G42" s="51"/>
      <c r="H42" s="51" t="s">
        <v>42</v>
      </c>
      <c r="I42" s="56">
        <f>J20</f>
        <v>209864.25</v>
      </c>
      <c r="J42" s="54">
        <f>E31/12</f>
        <v>215664.58333333334</v>
      </c>
      <c r="K42" s="51"/>
      <c r="L42" s="141">
        <f>J42*L39</f>
        <v>-3262291.7017514016</v>
      </c>
    </row>
    <row r="43" spans="1:12" ht="15.6" x14ac:dyDescent="0.3">
      <c r="A43" s="51"/>
      <c r="B43" s="51"/>
      <c r="C43" s="51"/>
      <c r="D43" s="51"/>
      <c r="E43" s="50" t="s">
        <v>42</v>
      </c>
      <c r="F43" s="50" t="s">
        <v>163</v>
      </c>
      <c r="G43" s="50" t="s">
        <v>171</v>
      </c>
      <c r="H43" s="51" t="s">
        <v>163</v>
      </c>
      <c r="I43" s="56">
        <f>J21</f>
        <v>35622.083333333336</v>
      </c>
      <c r="J43" s="54">
        <f>SUM(F31:H31)/12</f>
        <v>36586.083333333336</v>
      </c>
      <c r="K43" s="51"/>
      <c r="L43" s="141">
        <f>J43*L40</f>
        <v>-6713476.6271428261</v>
      </c>
    </row>
    <row r="44" spans="1:12" ht="15.6" x14ac:dyDescent="0.3">
      <c r="A44" s="51" t="s">
        <v>166</v>
      </c>
      <c r="B44" s="51"/>
      <c r="C44" s="51"/>
      <c r="D44" s="116"/>
      <c r="E44" s="129">
        <f>E36/(E31/12)</f>
        <v>685.24274041341209</v>
      </c>
      <c r="F44" s="129">
        <f>SUM(F36:H36)/(SUM(F31:H31)/12)</f>
        <v>4173.0485741431739</v>
      </c>
      <c r="G44" s="51"/>
      <c r="H44" s="142" t="s">
        <v>172</v>
      </c>
      <c r="I44" s="51"/>
      <c r="J44" s="51"/>
      <c r="K44" s="51"/>
      <c r="L44" s="51"/>
    </row>
    <row r="45" spans="1:12" ht="15.6" x14ac:dyDescent="0.3">
      <c r="A45" s="51" t="s">
        <v>173</v>
      </c>
      <c r="B45" s="51"/>
      <c r="C45" s="51"/>
      <c r="D45" s="116">
        <f>SUM(E45:G45)</f>
        <v>-676538.97529999539</v>
      </c>
      <c r="E45" s="119">
        <f>E33-E11</f>
        <v>124801.11555000395</v>
      </c>
      <c r="F45" s="119">
        <f>SUM(F33:H33)-SUM(F11:H11)</f>
        <v>-774692.3736499995</v>
      </c>
      <c r="G45" s="116">
        <f>SUM(I33:J33)-SUM(I11:J11)</f>
        <v>-26647.717199999839</v>
      </c>
      <c r="H45" s="51" t="s">
        <v>42</v>
      </c>
      <c r="I45" s="143">
        <f>$I$17</f>
        <v>6.2175877533435002E-2</v>
      </c>
      <c r="J45" s="143">
        <f>E44/J39</f>
        <v>6.2232132916545328E-2</v>
      </c>
      <c r="K45" s="62">
        <f>J45-I45</f>
        <v>5.6255383110326296E-5</v>
      </c>
      <c r="L45" s="141">
        <f>K45*J39*J42</f>
        <v>133589.60770141077</v>
      </c>
    </row>
    <row r="46" spans="1:12" ht="15.6" x14ac:dyDescent="0.3">
      <c r="A46" s="51" t="s">
        <v>174</v>
      </c>
      <c r="B46" s="51"/>
      <c r="C46" s="51"/>
      <c r="D46" s="116">
        <f t="shared" ref="D46:D48" si="7">SUM(E46:G46)</f>
        <v>834276</v>
      </c>
      <c r="E46" s="119">
        <f>E34-E12</f>
        <v>626436</v>
      </c>
      <c r="F46" s="119">
        <f>SUM(F34:H34)-SUM(F12:H12)</f>
        <v>207840</v>
      </c>
      <c r="G46" s="51"/>
      <c r="H46" s="51" t="s">
        <v>163</v>
      </c>
      <c r="I46" s="143">
        <f>$I$18</f>
        <v>7.1582151269935806E-2</v>
      </c>
      <c r="J46" s="143">
        <f>F44/J40</f>
        <v>7.1643727934168761E-2</v>
      </c>
      <c r="K46" s="62">
        <f>J46-I46</f>
        <v>6.1576664232954048E-5</v>
      </c>
      <c r="L46" s="141">
        <f>K46*J40*J43</f>
        <v>131222.20812614262</v>
      </c>
    </row>
    <row r="47" spans="1:12" ht="15.6" x14ac:dyDescent="0.3">
      <c r="A47" s="51" t="s">
        <v>175</v>
      </c>
      <c r="B47" s="51"/>
      <c r="C47" s="51"/>
      <c r="D47" s="116">
        <f t="shared" si="7"/>
        <v>8255036.6899999976</v>
      </c>
      <c r="E47" s="116">
        <f>E39-E17</f>
        <v>4058783.25</v>
      </c>
      <c r="F47" s="116">
        <f>F39-F17</f>
        <v>4196253.4399999976</v>
      </c>
      <c r="G47" s="51"/>
      <c r="H47" s="51"/>
      <c r="I47" s="51"/>
      <c r="J47" s="51"/>
      <c r="K47" s="51"/>
      <c r="L47" s="51"/>
    </row>
    <row r="48" spans="1:12" ht="15.6" x14ac:dyDescent="0.3">
      <c r="A48" s="51" t="s">
        <v>176</v>
      </c>
      <c r="B48" s="51"/>
      <c r="C48" s="51"/>
      <c r="D48" s="116">
        <f t="shared" si="7"/>
        <v>700647.71719999611</v>
      </c>
      <c r="E48" s="51"/>
      <c r="F48" s="51"/>
      <c r="G48" s="52">
        <f>SUM(I35:J35)-SUM(I13:J13)</f>
        <v>700647.71719999611</v>
      </c>
      <c r="H48" s="51"/>
      <c r="I48" s="51"/>
      <c r="J48" s="51"/>
      <c r="K48" s="51"/>
      <c r="L48" s="51"/>
    </row>
    <row r="49" spans="1:12" ht="15.6" x14ac:dyDescent="0.3">
      <c r="A49" s="51" t="s">
        <v>177</v>
      </c>
      <c r="B49" s="51"/>
      <c r="C49" s="51"/>
      <c r="D49" s="123">
        <f>SUM(D45:D48)</f>
        <v>9113421.4318999983</v>
      </c>
      <c r="E49" s="123">
        <f>SUM(E45:E48)</f>
        <v>4810020.3655500039</v>
      </c>
      <c r="F49" s="123">
        <f>SUM(F45:F48)</f>
        <v>3629401.0663499981</v>
      </c>
      <c r="G49" s="123">
        <f t="shared" ref="G49" si="8">SUM(G45:G48)</f>
        <v>673999.99999999627</v>
      </c>
      <c r="H49" s="51"/>
      <c r="I49" s="51"/>
      <c r="J49" s="51"/>
      <c r="K49" s="51"/>
      <c r="L49" s="51"/>
    </row>
  </sheetData>
  <pageMargins left="0.7" right="0.7" top="0.75" bottom="0.75" header="0.3" footer="0.3"/>
  <pageSetup scale="61" orientation="landscape" r:id="rId1"/>
  <headerFooter scaleWithDoc="0">
    <oddFooter>&amp;L&amp;F /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5F1A872-1C57-472A-82E1-8FE85FA49B5B}"/>
</file>

<file path=customXml/itemProps2.xml><?xml version="1.0" encoding="utf-8"?>
<ds:datastoreItem xmlns:ds="http://schemas.openxmlformats.org/officeDocument/2006/customXml" ds:itemID="{9CF17CA5-0518-41DF-B8F7-D5A28B6EFC22}"/>
</file>

<file path=customXml/itemProps3.xml><?xml version="1.0" encoding="utf-8"?>
<ds:datastoreItem xmlns:ds="http://schemas.openxmlformats.org/officeDocument/2006/customXml" ds:itemID="{43A12A7B-5153-43B0-B67B-B0F4103ABCC1}"/>
</file>

<file path=customXml/itemProps4.xml><?xml version="1.0" encoding="utf-8"?>
<ds:datastoreItem xmlns:ds="http://schemas.openxmlformats.org/officeDocument/2006/customXml" ds:itemID="{FB57A0FA-A2E0-41E8-B15D-717DF3C583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UE-19____ Prop Base prelim</vt:lpstr>
      <vt:lpstr>Compare to UE-170485</vt:lpstr>
      <vt:lpstr>'UE-19____ Prop Base prelim'!Print_Area</vt:lpstr>
      <vt:lpstr>'UE-19____ Prop Base prelim'!Print_Titles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2019-02-28T18:57:03Z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