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"/>
    </mc:Choice>
  </mc:AlternateContent>
  <bookViews>
    <workbookView xWindow="5115" yWindow="-135" windowWidth="10050" windowHeight="9855" tabRatio="811" activeTab="2"/>
  </bookViews>
  <sheets>
    <sheet name="CF ID Elec" sheetId="3" r:id="rId1"/>
    <sheet name="CF ID Gas" sheetId="4" r:id="rId2"/>
    <sheet name="CF WA Elec" sheetId="1" r:id="rId3"/>
    <sheet name="CF WA Gas" sheetId="2" r:id="rId4"/>
    <sheet name="C-UE-1" sheetId="21" r:id="rId5"/>
    <sheet name="C-UE-2" sheetId="19" r:id="rId6"/>
    <sheet name="C-UE-3" sheetId="20" r:id="rId7"/>
    <sheet name="Acerno_Cache_XXXXX" sheetId="22" state="veryHidden" r:id="rId8"/>
    <sheet name="SharedInputs" sheetId="8" r:id="rId9"/>
  </sheets>
  <externalReferences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D14" i="19" l="1"/>
  <c r="D15" i="19"/>
  <c r="D16" i="19"/>
  <c r="D17" i="19"/>
  <c r="D18" i="19" s="1"/>
  <c r="D19" i="19" s="1"/>
  <c r="D20" i="19" s="1"/>
  <c r="D21" i="19" s="1"/>
  <c r="D22" i="19" s="1"/>
  <c r="H19" i="20" l="1"/>
  <c r="H20" i="20"/>
  <c r="AD18" i="20"/>
  <c r="AD17" i="20"/>
  <c r="AD16" i="20"/>
  <c r="AD15" i="20"/>
  <c r="AD14" i="20"/>
  <c r="AD13" i="20"/>
  <c r="AD12" i="20"/>
  <c r="AD11" i="20"/>
  <c r="AD10" i="20"/>
  <c r="AF13" i="20"/>
  <c r="AF14" i="20"/>
  <c r="AF15" i="20"/>
  <c r="AF16" i="20"/>
  <c r="AF17" i="20" s="1"/>
  <c r="AF18" i="20" s="1"/>
  <c r="AF19" i="20" s="1"/>
  <c r="AF20" i="20" s="1"/>
  <c r="AF21" i="20" s="1"/>
  <c r="V13" i="20"/>
  <c r="V14" i="20" s="1"/>
  <c r="V15" i="20" s="1"/>
  <c r="V16" i="20" s="1"/>
  <c r="V17" i="20" s="1"/>
  <c r="V18" i="20" s="1"/>
  <c r="V19" i="20" s="1"/>
  <c r="V20" i="20" s="1"/>
  <c r="V21" i="20" s="1"/>
  <c r="J13" i="20"/>
  <c r="J14" i="20" s="1"/>
  <c r="J15" i="20" s="1"/>
  <c r="J16" i="20" s="1"/>
  <c r="J17" i="20" s="1"/>
  <c r="J18" i="20" s="1"/>
  <c r="J19" i="20" s="1"/>
  <c r="J20" i="20" s="1"/>
  <c r="J21" i="20" s="1"/>
  <c r="A21" i="20"/>
  <c r="A13" i="20"/>
  <c r="A14" i="20"/>
  <c r="A15" i="20"/>
  <c r="A16" i="20"/>
  <c r="A17" i="20" s="1"/>
  <c r="A18" i="20" s="1"/>
  <c r="A19" i="20" s="1"/>
  <c r="A20" i="20" s="1"/>
  <c r="AN11" i="20"/>
  <c r="AN12" i="20"/>
  <c r="AN13" i="20"/>
  <c r="AN14" i="20"/>
  <c r="AN15" i="20"/>
  <c r="AN16" i="20"/>
  <c r="AN17" i="20"/>
  <c r="AN18" i="20"/>
  <c r="AN19" i="20"/>
  <c r="AN20" i="20"/>
  <c r="AN21" i="20"/>
  <c r="AN10" i="20"/>
  <c r="AD19" i="20"/>
  <c r="AD20" i="20"/>
  <c r="AD21" i="20"/>
  <c r="T11" i="20"/>
  <c r="T12" i="20"/>
  <c r="T13" i="20"/>
  <c r="T14" i="20"/>
  <c r="T15" i="20"/>
  <c r="T16" i="20"/>
  <c r="T17" i="20"/>
  <c r="T18" i="20"/>
  <c r="T19" i="20"/>
  <c r="T20" i="20"/>
  <c r="T21" i="20"/>
  <c r="T10" i="20"/>
  <c r="C22" i="20"/>
  <c r="D22" i="20"/>
  <c r="E22" i="20"/>
  <c r="F22" i="20"/>
  <c r="G22" i="20"/>
  <c r="B22" i="20"/>
  <c r="H11" i="20"/>
  <c r="H12" i="20"/>
  <c r="H13" i="20"/>
  <c r="H14" i="20"/>
  <c r="H15" i="20"/>
  <c r="H16" i="20"/>
  <c r="H17" i="20"/>
  <c r="H18" i="20"/>
  <c r="H21" i="20"/>
  <c r="H10" i="20"/>
  <c r="H22" i="20" l="1"/>
  <c r="D24" i="8"/>
  <c r="L13" i="8"/>
  <c r="E13" i="8" l="1"/>
  <c r="C13" i="8"/>
  <c r="C17" i="21" l="1"/>
  <c r="A3" i="21" l="1"/>
  <c r="D3" i="19"/>
  <c r="A3" i="20"/>
  <c r="J3" i="20" s="1"/>
  <c r="V3" i="20" s="1"/>
  <c r="AF3" i="20" s="1"/>
  <c r="C41" i="21" l="1"/>
  <c r="B14" i="8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AF11" i="20"/>
  <c r="AF12" i="20" s="1"/>
  <c r="V11" i="20"/>
  <c r="V12" i="20" s="1"/>
  <c r="J11" i="20"/>
  <c r="J12" i="20" s="1"/>
  <c r="A11" i="20"/>
  <c r="A12" i="20" s="1"/>
  <c r="C146" i="19"/>
  <c r="C148" i="19" s="1"/>
  <c r="B146" i="19"/>
  <c r="A146" i="19"/>
  <c r="A148" i="19" s="1"/>
  <c r="C141" i="19"/>
  <c r="B141" i="19"/>
  <c r="B148" i="19" s="1"/>
  <c r="A141" i="19"/>
  <c r="C124" i="19"/>
  <c r="B124" i="19"/>
  <c r="B126" i="19" s="1"/>
  <c r="A124" i="19"/>
  <c r="C119" i="19"/>
  <c r="C126" i="19" s="1"/>
  <c r="B119" i="19"/>
  <c r="A119" i="19"/>
  <c r="A126" i="19" s="1"/>
  <c r="C102" i="19"/>
  <c r="C104" i="19" s="1"/>
  <c r="B102" i="19"/>
  <c r="A102" i="19"/>
  <c r="A104" i="19" s="1"/>
  <c r="C95" i="19"/>
  <c r="B95" i="19"/>
  <c r="B104" i="19" s="1"/>
  <c r="A95" i="19"/>
  <c r="C75" i="19"/>
  <c r="B75" i="19"/>
  <c r="B77" i="19" s="1"/>
  <c r="A75" i="19"/>
  <c r="C72" i="19"/>
  <c r="C77" i="19" s="1"/>
  <c r="B72" i="19"/>
  <c r="A72" i="19"/>
  <c r="A77" i="19" s="1"/>
  <c r="B56" i="19"/>
  <c r="C54" i="19"/>
  <c r="C56" i="19" s="1"/>
  <c r="B54" i="19"/>
  <c r="A54" i="19"/>
  <c r="A56" i="19" s="1"/>
  <c r="C49" i="19"/>
  <c r="B49" i="19"/>
  <c r="A49" i="19"/>
  <c r="C31" i="19"/>
  <c r="B31" i="19"/>
  <c r="B33" i="19" s="1"/>
  <c r="A31" i="19"/>
  <c r="R23" i="19"/>
  <c r="C23" i="21" s="1"/>
  <c r="Q23" i="19"/>
  <c r="C13" i="21" s="1"/>
  <c r="N23" i="19"/>
  <c r="M23" i="19"/>
  <c r="L23" i="19"/>
  <c r="K23" i="19"/>
  <c r="J23" i="19"/>
  <c r="I23" i="19"/>
  <c r="H23" i="19"/>
  <c r="G23" i="19"/>
  <c r="F23" i="19"/>
  <c r="E23" i="19"/>
  <c r="C23" i="19"/>
  <c r="C33" i="19" s="1"/>
  <c r="B23" i="19"/>
  <c r="A23" i="19"/>
  <c r="A33" i="19" s="1"/>
  <c r="P12" i="19"/>
  <c r="P13" i="19" s="1"/>
  <c r="P15" i="19" s="1"/>
  <c r="P16" i="19" s="1"/>
  <c r="P17" i="19" s="1"/>
  <c r="P18" i="19" s="1"/>
  <c r="P19" i="19" s="1"/>
  <c r="P20" i="19" s="1"/>
  <c r="P21" i="19" s="1"/>
  <c r="P22" i="19" s="1"/>
  <c r="D12" i="19"/>
  <c r="D13" i="19" s="1"/>
  <c r="M13" i="8"/>
  <c r="A3" i="2"/>
  <c r="A3" i="3"/>
  <c r="A3" i="4"/>
  <c r="D33" i="4"/>
  <c r="D28" i="2"/>
  <c r="D34" i="3"/>
  <c r="E13" i="3"/>
  <c r="C49" i="3"/>
  <c r="D42" i="3"/>
  <c r="D44" i="3"/>
  <c r="B21" i="3"/>
  <c r="D29" i="1"/>
  <c r="E11" i="1"/>
  <c r="D37" i="1"/>
  <c r="A1" i="3"/>
  <c r="A51" i="3"/>
  <c r="A39" i="3"/>
  <c r="A3" i="1"/>
  <c r="D41" i="4"/>
  <c r="D43" i="4"/>
  <c r="D44" i="4" s="1"/>
  <c r="E13" i="4"/>
  <c r="C48" i="4"/>
  <c r="A1" i="4"/>
  <c r="A50" i="4"/>
  <c r="A38" i="4"/>
  <c r="B21" i="4"/>
  <c r="A1" i="1"/>
  <c r="A34" i="1"/>
  <c r="B20" i="1"/>
  <c r="A1" i="2"/>
  <c r="A33" i="2"/>
  <c r="D36" i="2"/>
  <c r="B20" i="2"/>
  <c r="E11" i="2"/>
  <c r="D45" i="3" l="1"/>
  <c r="K27" i="19"/>
  <c r="C65" i="21" s="1"/>
  <c r="C68" i="21" s="1"/>
  <c r="G50" i="21" s="1"/>
  <c r="K26" i="19"/>
  <c r="C60" i="21" s="1"/>
  <c r="C63" i="21" s="1"/>
  <c r="G43" i="21" s="1"/>
  <c r="G52" i="21" s="1"/>
  <c r="G13" i="21"/>
  <c r="C27" i="21"/>
  <c r="AD22" i="20"/>
  <c r="C14" i="8" s="1"/>
  <c r="AN22" i="20"/>
  <c r="T22" i="20"/>
  <c r="C48" i="21" s="1"/>
  <c r="D45" i="4"/>
  <c r="D46" i="4" s="1"/>
  <c r="D46" i="3"/>
  <c r="D47" i="3" s="1"/>
  <c r="E23" i="21"/>
  <c r="G23" i="21"/>
  <c r="E13" i="21"/>
  <c r="C70" i="21" l="1"/>
  <c r="C42" i="21"/>
  <c r="C43" i="21" s="1"/>
  <c r="E14" i="8"/>
  <c r="C49" i="21"/>
  <c r="C50" i="21" s="1"/>
  <c r="E48" i="21" s="1"/>
  <c r="E49" i="21" s="1"/>
  <c r="D14" i="8"/>
  <c r="E70" i="21"/>
  <c r="C52" i="21" l="1"/>
  <c r="E50" i="21"/>
  <c r="G48" i="21"/>
  <c r="G11" i="21" s="1"/>
  <c r="E41" i="21"/>
  <c r="G41" i="21" s="1"/>
  <c r="E11" i="21" s="1"/>
  <c r="E15" i="21" s="1"/>
  <c r="G49" i="21" l="1"/>
  <c r="G21" i="21" s="1"/>
  <c r="D31" i="4" s="1"/>
  <c r="E34" i="4" s="1"/>
  <c r="D27" i="1"/>
  <c r="E30" i="1" s="1"/>
  <c r="E9" i="1" s="1"/>
  <c r="E42" i="21"/>
  <c r="E43" i="21" s="1"/>
  <c r="G42" i="21"/>
  <c r="E21" i="21" s="1"/>
  <c r="D26" i="2" s="1"/>
  <c r="E29" i="2" s="1"/>
  <c r="C40" i="2" s="1"/>
  <c r="D40" i="2" s="1"/>
  <c r="E41" i="2" s="1"/>
  <c r="E13" i="2" s="1"/>
  <c r="G15" i="21"/>
  <c r="D32" i="3"/>
  <c r="E35" i="3" s="1"/>
  <c r="C11" i="21"/>
  <c r="C15" i="21" s="1"/>
  <c r="G25" i="21" l="1"/>
  <c r="C42" i="1"/>
  <c r="D42" i="1" s="1"/>
  <c r="E43" i="1" s="1"/>
  <c r="E13" i="1" s="1"/>
  <c r="E16" i="1" s="1"/>
  <c r="E18" i="1" s="1"/>
  <c r="E20" i="1" s="1"/>
  <c r="E22" i="1" s="1"/>
  <c r="C21" i="21"/>
  <c r="C25" i="21" s="1"/>
  <c r="E9" i="2"/>
  <c r="E16" i="2" s="1"/>
  <c r="E18" i="2" s="1"/>
  <c r="E20" i="2" s="1"/>
  <c r="E22" i="2" s="1"/>
  <c r="E25" i="21"/>
  <c r="E11" i="4"/>
  <c r="C47" i="4"/>
  <c r="D48" i="4" s="1"/>
  <c r="E11" i="3"/>
  <c r="C48" i="3"/>
  <c r="D49" i="3" s="1"/>
  <c r="E50" i="3" l="1"/>
  <c r="E15" i="3" s="1"/>
  <c r="E17" i="3" s="1"/>
  <c r="E19" i="3" s="1"/>
  <c r="E21" i="3" s="1"/>
  <c r="E23" i="3" s="1"/>
  <c r="A50" i="3"/>
  <c r="A49" i="4"/>
  <c r="E49" i="4"/>
  <c r="E15" i="4" s="1"/>
  <c r="E17" i="4" s="1"/>
  <c r="E19" i="4" s="1"/>
  <c r="E21" i="4" s="1"/>
  <c r="E23" i="4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>
  <authors>
    <author>rzk7kq</author>
    <author>gzhkw6</author>
    <author>kznwdg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K17" authorId="1" shapeId="0">
      <text>
        <r>
          <rPr>
            <sz val="8"/>
            <color indexed="81"/>
            <rFont val="Tahoma"/>
            <family val="2"/>
          </rPr>
          <t>No Change in Rate confirmed by Catherine Cooper</t>
        </r>
      </text>
    </comment>
    <comment ref="D22" authorId="2" shapeId="0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<sst xmlns="http://schemas.openxmlformats.org/spreadsheetml/2006/main" count="354" uniqueCount="170">
  <si>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</si>
  <si>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</si>
  <si>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</si>
  <si>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</si>
  <si>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</si>
  <si>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</si>
  <si>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</si>
  <si>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</si>
  <si>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</si>
  <si>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</si>
  <si>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</si>
  <si>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</si>
  <si>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</si>
  <si>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</si>
  <si>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</si>
  <si>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</si>
  <si>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</si>
  <si>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</si>
  <si>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</si>
  <si>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</si>
  <si>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</si>
  <si>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</si>
  <si>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</si>
  <si>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</si>
  <si>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</si>
  <si>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</si>
  <si>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</si>
  <si>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</si>
  <si>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</si>
  <si>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</si>
  <si>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</si>
  <si>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</si>
  <si>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</si>
  <si>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</si>
  <si>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</si>
  <si>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CALCULATION OF CONVERSION FACTOR:  IDAHO ELECTRIC</t>
  </si>
  <si>
    <t xml:space="preserve">  Idaho Income Tax (3)</t>
  </si>
  <si>
    <t xml:space="preserve">     ** From Results of Operations Report E-OPS-12A.</t>
  </si>
  <si>
    <t>(3)   Calculation of effective Idaho Income Tax</t>
  </si>
  <si>
    <t xml:space="preserve">       Net Income attributible to Idaho ***</t>
  </si>
  <si>
    <t xml:space="preserve">         Multliplied by:</t>
  </si>
  <si>
    <t xml:space="preserve">         Idaho Income Tax</t>
  </si>
  <si>
    <t xml:space="preserve">      Adjusted Rate</t>
  </si>
  <si>
    <t xml:space="preserve">         Adj for: Effective Uncoll </t>
  </si>
  <si>
    <t xml:space="preserve">                  Commission fees</t>
  </si>
  <si>
    <t>CALCULATION OF CONVERSION FACTOR:  IDAHO GAS</t>
  </si>
  <si>
    <t xml:space="preserve">  Uncollectibles (1)</t>
  </si>
  <si>
    <t xml:space="preserve">     Net Write-Offs *</t>
  </si>
  <si>
    <t xml:space="preserve">       Divided by:</t>
  </si>
  <si>
    <t xml:space="preserve">     Sales to Ultimate Customers + Transport **</t>
  </si>
  <si>
    <t xml:space="preserve">     ** From Results of Operations Report G-OPS-12A</t>
  </si>
  <si>
    <t>(3)  Calculation of effective Idaho Income Tax:</t>
  </si>
  <si>
    <t xml:space="preserve">         Multiplied by:</t>
  </si>
  <si>
    <t xml:space="preserve">       Idaho Income Tax</t>
  </si>
  <si>
    <t xml:space="preserve">     Adjusted Rate</t>
  </si>
  <si>
    <t xml:space="preserve">       Adj For: Uncollectible Rate</t>
  </si>
  <si>
    <t xml:space="preserve">                Commission fees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</si>
  <si>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</si>
  <si>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</si>
  <si>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</si>
  <si>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</si>
  <si>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</si>
  <si>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</si>
  <si>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</si>
  <si>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</si>
  <si>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</si>
  <si>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</si>
  <si>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</si>
  <si>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</si>
  <si>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</si>
  <si>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</si>
  <si>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</si>
  <si>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</si>
  <si>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</si>
  <si>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</si>
  <si>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</si>
  <si>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</si>
  <si>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</si>
  <si>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</si>
  <si>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</si>
  <si>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</si>
  <si>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</si>
  <si>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</si>
  <si>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</si>
  <si>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</si>
  <si>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</si>
  <si>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</si>
  <si>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</si>
  <si>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</si>
  <si>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</si>
  <si>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</si>
  <si>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</si>
  <si>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</si>
  <si>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</si>
  <si>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</si>
  <si>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>ED</t>
  </si>
  <si>
    <t>GD</t>
  </si>
  <si>
    <t>OR</t>
  </si>
  <si>
    <t>Shared Inputs</t>
  </si>
  <si>
    <t>Idaho Share of System Revenues</t>
  </si>
  <si>
    <t>Total</t>
  </si>
  <si>
    <t>Idaho Share of System Net Income</t>
  </si>
  <si>
    <t>Idaho Effective Tax Rate</t>
  </si>
  <si>
    <t>(2) IPUC fees rate per Regulatory Fee Calculation; Assessment rate is .002275  ID, Order No. 33741; dated 04/21/2017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</si>
  <si>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</si>
  <si>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</si>
  <si>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</si>
  <si>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</si>
  <si>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</si>
  <si>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</si>
  <si>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</si>
  <si>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</si>
  <si>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</si>
  <si>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</si>
  <si>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</si>
  <si>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</si>
  <si>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</si>
  <si>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</si>
  <si>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</si>
  <si>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</si>
  <si>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</si>
  <si>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</si>
  <si>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</si>
  <si>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</si>
  <si>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</si>
  <si>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Reinstatements WA</t>
  </si>
  <si>
    <t>Recoveries WA</t>
  </si>
  <si>
    <t>Idaho</t>
  </si>
  <si>
    <t>Write-Offs ID</t>
  </si>
  <si>
    <t>Reinstatements ID</t>
  </si>
  <si>
    <t>Recoveries ID</t>
  </si>
  <si>
    <t>check</t>
  </si>
  <si>
    <t>ACTUAL</t>
  </si>
  <si>
    <t>ACCRUAL</t>
  </si>
  <si>
    <t>Beginning Balance</t>
  </si>
  <si>
    <t>Monthly Activity Amt</t>
  </si>
  <si>
    <t>Ending Balance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</si>
  <si>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</si>
  <si>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</si>
  <si>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</si>
  <si>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</si>
  <si>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</si>
  <si>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</si>
  <si>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</si>
  <si>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</si>
  <si>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</si>
  <si>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</si>
  <si>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</si>
  <si>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(note:  Even though write-offs are recorded as WA electric and gas and ID electric and gas, this allocation can not be used.</t>
  </si>
  <si>
    <t>Per duscussion with Tami Judge and Karen Doran, the customer service reps can not distinquish which service is being written off for combined electric and gas customers.</t>
  </si>
  <si>
    <t>Therefore, the write-offs for each state will be combined and allocated to service using sales, as has been done for years (prior to the new CC&amp;B system.)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</si>
  <si>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</si>
  <si>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</si>
  <si>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</si>
  <si>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</si>
  <si>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</si>
  <si>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</si>
  <si>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</si>
  <si>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</si>
  <si>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</si>
  <si>
    <t xml:space="preserve">No Change in Rate </t>
  </si>
  <si>
    <t>(2) WUTC fees rate per Regulatory Fee Calculation Schedule, Annual Report Year 2017 (Order No. A 140166) dated 04/06/2018</t>
  </si>
  <si>
    <t xml:space="preserve">     *** From 2017 Form 42 - Idaho Corporation Income Tax (unaudited)</t>
  </si>
  <si>
    <t>TWELVE MONTHS ENDED DECEMBER 31, 2018</t>
  </si>
  <si>
    <t>JAA 02/7/19</t>
  </si>
  <si>
    <t>JCA  2/7/2019</t>
  </si>
  <si>
    <t xml:space="preserve"> JCA  2/7/2019</t>
  </si>
  <si>
    <t>Idaho Apportionment Rate from 2017 ID State Return</t>
  </si>
  <si>
    <t>Allocation Note 2:  Customers</t>
  </si>
  <si>
    <t>Allocation Note 2: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</si>
</sst>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000"/>
    <numFmt numFmtId="165" formatCode="#,##0.00000_);\(#,##0.00000\)"/>
    <numFmt numFmtId="166" formatCode="#,##0\ ;\(#,##0\)"/>
    <numFmt numFmtId="167" formatCode="0.000%"/>
    <numFmt numFmtId="168" formatCode="#,##0.00\ ;\(#,##0.00\)"/>
    <numFmt numFmtId="169" formatCode="_(* #,##0.000000_);_(* \(#,##0.000000\);_(* &quot;-&quot;??_);_(@_)"/>
    <numFmt numFmtId="170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center"/>
    </xf>
    <xf numFmtId="168" fontId="5" fillId="0" borderId="0" xfId="5" applyNumberFormat="1" applyFont="1"/>
    <xf numFmtId="168" fontId="2" fillId="0" borderId="0" xfId="5" applyNumberFormat="1" applyFont="1"/>
    <xf numFmtId="168" fontId="6" fillId="0" borderId="0" xfId="5" applyNumberFormat="1" applyFont="1" applyBorder="1" applyAlignment="1">
      <alignment horizontal="center"/>
    </xf>
    <xf numFmtId="168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3" fontId="7" fillId="0" borderId="2" xfId="0" applyNumberFormat="1" applyFont="1" applyBorder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0" fontId="17" fillId="0" borderId="0" xfId="0" applyFont="1" applyFill="1"/>
    <xf numFmtId="168" fontId="2" fillId="0" borderId="0" xfId="5" applyNumberFormat="1" applyFont="1" applyFill="1"/>
    <xf numFmtId="168" fontId="17" fillId="0" borderId="0" xfId="5" applyNumberFormat="1" applyFont="1"/>
    <xf numFmtId="0" fontId="17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7" fillId="0" borderId="0" xfId="0" applyNumberFormat="1" applyFont="1" applyFill="1"/>
    <xf numFmtId="164" fontId="7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8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8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/>
    <xf numFmtId="164" fontId="2" fillId="0" borderId="2" xfId="4" applyNumberFormat="1" applyFont="1" applyBorder="1"/>
    <xf numFmtId="164" fontId="7" fillId="0" borderId="0" xfId="0" applyNumberFormat="1" applyFont="1" applyFill="1" applyBorder="1"/>
    <xf numFmtId="164" fontId="2" fillId="0" borderId="0" xfId="4" applyNumberFormat="1" applyFont="1" applyFill="1"/>
    <xf numFmtId="0" fontId="18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7" fillId="0" borderId="0" xfId="5" applyNumberFormat="1" applyFont="1"/>
    <xf numFmtId="167" fontId="19" fillId="0" borderId="0" xfId="6" applyNumberFormat="1" applyFont="1" applyBorder="1"/>
    <xf numFmtId="167" fontId="19" fillId="0" borderId="0" xfId="6" applyNumberFormat="1" applyFont="1"/>
    <xf numFmtId="0" fontId="2" fillId="0" borderId="0" xfId="5" applyFont="1"/>
    <xf numFmtId="168" fontId="2" fillId="0" borderId="5" xfId="5" applyNumberFormat="1" applyFont="1" applyBorder="1" applyAlignment="1">
      <alignment horizontal="center"/>
    </xf>
    <xf numFmtId="168" fontId="2" fillId="0" borderId="6" xfId="5" applyNumberFormat="1" applyFont="1" applyBorder="1" applyAlignment="1">
      <alignment horizontal="center"/>
    </xf>
    <xf numFmtId="168" fontId="2" fillId="0" borderId="7" xfId="5" applyNumberFormat="1" applyFont="1" applyBorder="1" applyAlignment="1">
      <alignment horizontal="center"/>
    </xf>
    <xf numFmtId="167" fontId="2" fillId="0" borderId="0" xfId="5" applyNumberFormat="1" applyFont="1" applyAlignment="1">
      <alignment horizontal="center"/>
    </xf>
    <xf numFmtId="0" fontId="18" fillId="0" borderId="0" xfId="5" applyFont="1" applyAlignment="1">
      <alignment horizontal="right"/>
    </xf>
    <xf numFmtId="37" fontId="2" fillId="0" borderId="0" xfId="5" applyNumberFormat="1" applyFont="1" applyFill="1" applyBorder="1"/>
    <xf numFmtId="167" fontId="20" fillId="0" borderId="0" xfId="5" applyNumberFormat="1" applyFont="1" applyAlignment="1">
      <alignment horizontal="center"/>
    </xf>
    <xf numFmtId="167" fontId="20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68" fontId="6" fillId="0" borderId="0" xfId="5" applyNumberFormat="1" applyFont="1" applyAlignment="1">
      <alignment horizontal="center"/>
    </xf>
    <xf numFmtId="168" fontId="6" fillId="0" borderId="0" xfId="5" applyNumberFormat="1" applyFont="1" applyAlignment="1">
      <alignment horizontal="right"/>
    </xf>
    <xf numFmtId="168" fontId="6" fillId="0" borderId="0" xfId="5" applyNumberFormat="1" applyFont="1"/>
    <xf numFmtId="166" fontId="2" fillId="0" borderId="0" xfId="5" applyNumberFormat="1" applyFont="1" applyAlignment="1">
      <alignment horizontal="center"/>
    </xf>
    <xf numFmtId="166" fontId="2" fillId="0" borderId="0" xfId="1" applyNumberFormat="1" applyFont="1" applyFill="1"/>
    <xf numFmtId="0" fontId="21" fillId="0" borderId="0" xfId="0" applyFont="1"/>
    <xf numFmtId="166" fontId="2" fillId="0" borderId="0" xfId="5" applyNumberFormat="1" applyFont="1" applyFill="1"/>
    <xf numFmtId="166" fontId="2" fillId="0" borderId="3" xfId="5" applyNumberFormat="1" applyFont="1" applyBorder="1"/>
    <xf numFmtId="166" fontId="2" fillId="0" borderId="0" xfId="5" applyNumberFormat="1" applyFont="1"/>
    <xf numFmtId="0" fontId="11" fillId="0" borderId="0" xfId="0" applyFont="1"/>
    <xf numFmtId="43" fontId="0" fillId="0" borderId="0" xfId="1" applyFont="1"/>
    <xf numFmtId="43" fontId="1" fillId="0" borderId="0" xfId="1"/>
    <xf numFmtId="0" fontId="24" fillId="0" borderId="0" xfId="0" applyFont="1" applyAlignment="1">
      <alignment horizontal="center"/>
    </xf>
    <xf numFmtId="170" fontId="0" fillId="0" borderId="0" xfId="1" applyNumberFormat="1" applyFont="1"/>
    <xf numFmtId="43" fontId="0" fillId="0" borderId="12" xfId="2" applyFont="1" applyBorder="1"/>
    <xf numFmtId="170" fontId="0" fillId="0" borderId="12" xfId="0" applyNumberFormat="1" applyBorder="1"/>
    <xf numFmtId="0" fontId="18" fillId="0" borderId="0" xfId="5" applyFont="1" applyBorder="1" applyAlignment="1">
      <alignment horizontal="center"/>
    </xf>
    <xf numFmtId="17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0" fontId="1" fillId="0" borderId="0" xfId="0" applyNumberFormat="1" applyFont="1"/>
    <xf numFmtId="43" fontId="24" fillId="0" borderId="8" xfId="1" applyFont="1" applyBorder="1"/>
    <xf numFmtId="0" fontId="24" fillId="0" borderId="0" xfId="0" applyFont="1"/>
    <xf numFmtId="43" fontId="24" fillId="0" borderId="0" xfId="1" applyFont="1" applyBorder="1"/>
    <xf numFmtId="43" fontId="0" fillId="0" borderId="12" xfId="1" applyFont="1" applyBorder="1"/>
    <xf numFmtId="43" fontId="1" fillId="0" borderId="0" xfId="1" applyFont="1"/>
    <xf numFmtId="1" fontId="24" fillId="0" borderId="0" xfId="0" applyNumberFormat="1" applyFont="1" applyAlignment="1">
      <alignment horizontal="center"/>
    </xf>
    <xf numFmtId="37" fontId="19" fillId="0" borderId="0" xfId="0" applyNumberFormat="1" applyFont="1"/>
    <xf numFmtId="37" fontId="17" fillId="0" borderId="2" xfId="5" applyNumberFormat="1" applyFont="1" applyFill="1" applyBorder="1"/>
    <xf numFmtId="0" fontId="0" fillId="0" borderId="0" xfId="0" applyAlignment="1">
      <alignment shrinkToFit="1"/>
    </xf>
    <xf numFmtId="170" fontId="0" fillId="0" borderId="0" xfId="1" applyNumberFormat="1" applyFont="1" applyFill="1"/>
    <xf numFmtId="164" fontId="12" fillId="0" borderId="0" xfId="0" applyNumberFormat="1" applyFont="1" applyFill="1"/>
    <xf numFmtId="169" fontId="12" fillId="0" borderId="0" xfId="1" applyNumberFormat="1" applyFont="1" applyFill="1"/>
    <xf numFmtId="37" fontId="25" fillId="0" borderId="0" xfId="1" applyNumberFormat="1" applyFont="1" applyFill="1"/>
    <xf numFmtId="37" fontId="25" fillId="0" borderId="0" xfId="0" applyNumberFormat="1" applyFont="1" applyFill="1"/>
    <xf numFmtId="37" fontId="25" fillId="0" borderId="13" xfId="0" applyNumberFormat="1" applyFont="1" applyBorder="1" applyAlignment="1">
      <alignment horizontal="right" vertical="top"/>
    </xf>
    <xf numFmtId="37" fontId="25" fillId="0" borderId="0" xfId="0" applyNumberFormat="1" applyFont="1"/>
    <xf numFmtId="37" fontId="25" fillId="0" borderId="16" xfId="0" applyNumberFormat="1" applyFont="1" applyBorder="1" applyAlignment="1">
      <alignment horizontal="right" vertical="top"/>
    </xf>
    <xf numFmtId="37" fontId="25" fillId="0" borderId="15" xfId="0" applyNumberFormat="1" applyFont="1" applyBorder="1" applyAlignment="1">
      <alignment horizontal="right" vertical="top"/>
    </xf>
    <xf numFmtId="37" fontId="25" fillId="0" borderId="2" xfId="0" applyNumberFormat="1" applyFont="1" applyBorder="1"/>
    <xf numFmtId="37" fontId="25" fillId="0" borderId="2" xfId="0" applyNumberFormat="1" applyFont="1" applyFill="1" applyBorder="1"/>
    <xf numFmtId="37" fontId="25" fillId="0" borderId="14" xfId="1" applyNumberFormat="1" applyFont="1" applyBorder="1"/>
    <xf numFmtId="37" fontId="25" fillId="0" borderId="0" xfId="1" applyNumberFormat="1" applyFont="1"/>
    <xf numFmtId="37" fontId="25" fillId="0" borderId="12" xfId="1" applyNumberFormat="1" applyFont="1" applyBorder="1"/>
    <xf numFmtId="37" fontId="25" fillId="0" borderId="2" xfId="1" applyNumberFormat="1" applyFont="1" applyFill="1" applyBorder="1"/>
    <xf numFmtId="37" fontId="25" fillId="0" borderId="2" xfId="1" applyNumberFormat="1" applyFont="1" applyBorder="1"/>
    <xf numFmtId="164" fontId="7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168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left" wrapText="1"/>
    </xf>
    <xf numFmtId="164" fontId="12" fillId="0" borderId="0" xfId="0" applyNumberFormat="1" applyFont="1" applyFill="1" applyAlignment="1">
      <alignment horizontal="left" wrapText="1"/>
    </xf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Normal_uncollectcalc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2017%20ID%20Elec%20and%20Gas%20GRC/Adjustments/Adjustments/Uncollectible%20Expenses%20Transaction%20Amount%20-%20J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2"/>
  <sheetViews>
    <sheetView topLeftCell="A38" zoomScaleNormal="100" workbookViewId="0">
      <selection activeCell="E74" sqref="E74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5.140625" style="2" customWidth="1"/>
    <col min="4" max="4" width="14.28515625" style="2" customWidth="1"/>
    <col min="5" max="5" width="10.57031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35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2018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F5" s="1"/>
    </row>
    <row r="6" spans="1:6" x14ac:dyDescent="0.2">
      <c r="A6" s="1"/>
      <c r="B6" s="1"/>
      <c r="C6" s="1"/>
      <c r="E6" s="1"/>
      <c r="F6" s="1"/>
    </row>
    <row r="7" spans="1:6" x14ac:dyDescent="0.2">
      <c r="A7" s="1" t="s">
        <v>0</v>
      </c>
      <c r="B7" s="1"/>
      <c r="C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2</v>
      </c>
      <c r="B11" s="1"/>
      <c r="C11" s="1"/>
      <c r="E11" s="1">
        <f>ROUND(E35,6)</f>
        <v>2.9220000000000001E-3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3</v>
      </c>
      <c r="B13" s="1"/>
      <c r="C13" s="1"/>
      <c r="E13" s="18">
        <f>SharedInputs!B8</f>
        <v>2.2750000000000001E-3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ROUND(E50,6)</f>
        <v>4.6879999999999998E-2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5.2076999999999998E-2</v>
      </c>
      <c r="F17" s="1"/>
      <c r="K17" s="47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0.94792299999999996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0.19906383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0.74885917000000002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/>
      <c r="B29" s="1"/>
      <c r="C29" s="1"/>
      <c r="E29" s="1"/>
      <c r="F29" s="1"/>
    </row>
    <row r="30" spans="1:11" x14ac:dyDescent="0.2">
      <c r="A30" s="1" t="s">
        <v>9</v>
      </c>
      <c r="B30" s="1"/>
      <c r="C30" s="1"/>
      <c r="E30" s="1"/>
      <c r="F30" s="1"/>
    </row>
    <row r="31" spans="1:11" x14ac:dyDescent="0.2">
      <c r="A31" s="1" t="s">
        <v>10</v>
      </c>
      <c r="B31" s="1"/>
      <c r="C31" s="1"/>
      <c r="E31" s="1"/>
      <c r="F31" s="1"/>
    </row>
    <row r="32" spans="1:11" x14ac:dyDescent="0.2">
      <c r="A32" s="1" t="s">
        <v>11</v>
      </c>
      <c r="B32" s="1"/>
      <c r="C32" s="58" t="s">
        <v>94</v>
      </c>
      <c r="D32" s="20">
        <f>'C-UE-1'!G11</f>
        <v>762463</v>
      </c>
      <c r="E32" s="5"/>
      <c r="F32" s="1"/>
    </row>
    <row r="33" spans="1:6" x14ac:dyDescent="0.2">
      <c r="A33" s="1" t="s">
        <v>12</v>
      </c>
      <c r="B33" s="1"/>
      <c r="C33" s="1"/>
      <c r="D33" s="20"/>
      <c r="E33" s="5"/>
      <c r="F33" s="1"/>
    </row>
    <row r="34" spans="1:6" x14ac:dyDescent="0.2">
      <c r="A34" s="1" t="s">
        <v>13</v>
      </c>
      <c r="B34" s="1"/>
      <c r="C34" s="58" t="s">
        <v>98</v>
      </c>
      <c r="D34" s="21">
        <f>SharedInputs!D13</f>
        <v>260917324</v>
      </c>
      <c r="E34" s="5"/>
      <c r="F34" s="1"/>
    </row>
    <row r="35" spans="1:6" x14ac:dyDescent="0.2">
      <c r="A35" s="1" t="s">
        <v>14</v>
      </c>
      <c r="B35" s="1"/>
      <c r="C35" s="1"/>
      <c r="D35" s="20"/>
      <c r="E35" s="3">
        <f>D32/D34</f>
        <v>2.9222398432999412E-3</v>
      </c>
      <c r="F35" s="1"/>
    </row>
    <row r="36" spans="1:6" x14ac:dyDescent="0.2">
      <c r="A36" s="1" t="s">
        <v>15</v>
      </c>
      <c r="B36" s="1"/>
      <c r="C36" s="1"/>
      <c r="E36" s="1"/>
      <c r="F36" s="1"/>
    </row>
    <row r="37" spans="1:6" x14ac:dyDescent="0.2">
      <c r="A37" s="1" t="s">
        <v>37</v>
      </c>
      <c r="B37" s="1"/>
      <c r="C37" s="1"/>
      <c r="E37" s="1"/>
      <c r="F37" s="1"/>
    </row>
    <row r="38" spans="1:6" x14ac:dyDescent="0.2">
      <c r="A38" s="1"/>
      <c r="B38" s="1"/>
      <c r="C38" s="1"/>
      <c r="E38" s="1"/>
      <c r="F38" s="1"/>
    </row>
    <row r="39" spans="1:6" s="38" customFormat="1" ht="31.15" customHeight="1" x14ac:dyDescent="0.2">
      <c r="A39" s="132" t="str">
        <f>SharedInputs!C8</f>
        <v>(2) IPUC fees rate per Regulatory Fee Calculation; Assessment rate is .002275  ID, Order No. 33741; dated 04/21/2017</v>
      </c>
      <c r="B39" s="132"/>
      <c r="C39" s="132"/>
      <c r="D39" s="132"/>
      <c r="E39" s="132"/>
      <c r="F39" s="132"/>
    </row>
    <row r="40" spans="1:6" x14ac:dyDescent="0.2">
      <c r="A40" s="1"/>
      <c r="B40" s="1"/>
      <c r="C40" s="1"/>
      <c r="E40" s="1"/>
      <c r="F40" s="1"/>
    </row>
    <row r="41" spans="1:6" x14ac:dyDescent="0.2">
      <c r="A41" s="1" t="s">
        <v>38</v>
      </c>
      <c r="B41" s="1"/>
      <c r="C41" s="1"/>
      <c r="E41" s="1"/>
      <c r="F41" s="1"/>
    </row>
    <row r="42" spans="1:6" x14ac:dyDescent="0.2">
      <c r="A42" s="1" t="s">
        <v>39</v>
      </c>
      <c r="B42" s="1"/>
      <c r="C42" s="1"/>
      <c r="D42" s="18">
        <f>SharedInputs!D23</f>
        <v>0.1993</v>
      </c>
      <c r="E42" s="1"/>
      <c r="F42" s="1"/>
    </row>
    <row r="43" spans="1:6" x14ac:dyDescent="0.2">
      <c r="A43" s="1" t="s">
        <v>40</v>
      </c>
      <c r="B43" s="1"/>
      <c r="C43" s="1"/>
      <c r="D43" s="18"/>
      <c r="E43" s="1"/>
      <c r="F43" s="1"/>
    </row>
    <row r="44" spans="1:6" x14ac:dyDescent="0.2">
      <c r="A44" s="1" t="s">
        <v>41</v>
      </c>
      <c r="B44" s="1"/>
      <c r="C44" s="1"/>
      <c r="D44" s="18">
        <f>SharedInputs!D22</f>
        <v>6.9250000000000006E-2</v>
      </c>
      <c r="E44" s="1"/>
      <c r="F44" s="1"/>
    </row>
    <row r="45" spans="1:6" x14ac:dyDescent="0.2">
      <c r="A45" s="1" t="s">
        <v>42</v>
      </c>
      <c r="C45" s="1"/>
      <c r="D45" s="7">
        <f>D42*D44</f>
        <v>1.3801525000000002E-2</v>
      </c>
      <c r="E45" s="1"/>
      <c r="F45" s="1"/>
    </row>
    <row r="46" spans="1:6" x14ac:dyDescent="0.2">
      <c r="A46" s="63" t="s">
        <v>101</v>
      </c>
      <c r="B46" s="61"/>
      <c r="C46" s="63"/>
      <c r="D46" s="64">
        <f>SharedInputs!D24</f>
        <v>0.29287047312601799</v>
      </c>
      <c r="E46" s="1"/>
      <c r="F46" s="1"/>
    </row>
    <row r="47" spans="1:6" x14ac:dyDescent="0.2">
      <c r="A47" s="63" t="s">
        <v>102</v>
      </c>
      <c r="C47" s="1"/>
      <c r="D47" s="7">
        <f>D45/D46</f>
        <v>4.7125013500631738E-2</v>
      </c>
      <c r="E47" s="1"/>
      <c r="F47" s="1"/>
    </row>
    <row r="48" spans="1:6" x14ac:dyDescent="0.2">
      <c r="A48" s="1" t="s">
        <v>43</v>
      </c>
      <c r="C48" s="1">
        <f>E35</f>
        <v>2.9222398432999412E-3</v>
      </c>
      <c r="E48" s="1"/>
      <c r="F48" s="1"/>
    </row>
    <row r="49" spans="1:6" x14ac:dyDescent="0.2">
      <c r="A49" s="1" t="s">
        <v>44</v>
      </c>
      <c r="C49" s="8">
        <f>E13</f>
        <v>2.2750000000000001E-3</v>
      </c>
      <c r="D49" s="6">
        <f>C48+C49</f>
        <v>5.1972398432999414E-3</v>
      </c>
      <c r="E49" s="1"/>
      <c r="F49" s="1"/>
    </row>
    <row r="50" spans="1:6" x14ac:dyDescent="0.2">
      <c r="A50" s="1" t="str">
        <f>"      EFFECTIVE RATE  = ( "&amp;TEXT(D47,"0.000000")&amp;" * ( 1 - "&amp;TEXT(D49,"0.000000")&amp;" ) )"</f>
        <v xml:space="preserve">      EFFECTIVE RATE  = ( 0.047125 * ( 1 - 0.005197 ) )</v>
      </c>
      <c r="B50" s="9"/>
      <c r="C50" s="9"/>
      <c r="D50" s="9"/>
      <c r="E50" s="3">
        <f>D47*(1-D49)</f>
        <v>4.6880093502850211E-2</v>
      </c>
      <c r="F50" s="1"/>
    </row>
    <row r="51" spans="1:6" s="38" customFormat="1" x14ac:dyDescent="0.2">
      <c r="A51" s="51" t="str">
        <f>SharedInputs!E23</f>
        <v xml:space="preserve">     *** From 2017 Form 42 - Idaho Corporation Income Tax (unaudited)</v>
      </c>
      <c r="E51" s="50"/>
      <c r="F51" s="50"/>
    </row>
    <row r="52" spans="1:6" x14ac:dyDescent="0.2">
      <c r="F52" s="1"/>
    </row>
  </sheetData>
  <mergeCells count="1">
    <mergeCell ref="A39:F39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1"/>
  <sheetViews>
    <sheetView topLeftCell="A29" zoomScaleNormal="100" workbookViewId="0">
      <selection activeCell="E65" sqref="E65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0.7109375" style="2" customWidth="1"/>
    <col min="4" max="4" width="17.85546875" style="2" customWidth="1"/>
    <col min="5" max="5" width="12.285156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45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2018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26</v>
      </c>
      <c r="B7" s="1"/>
      <c r="C7" s="1"/>
      <c r="D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46</v>
      </c>
      <c r="B11" s="1"/>
      <c r="C11" s="1"/>
      <c r="E11" s="1">
        <f>ROUND(E34,6)</f>
        <v>2.9220000000000001E-3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27</v>
      </c>
      <c r="B13" s="1"/>
      <c r="C13" s="1"/>
      <c r="E13" s="18">
        <f>SharedInputs!B8</f>
        <v>2.2750000000000001E-3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ROUND(E49,6)</f>
        <v>4.6879999999999998E-2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5.2076999999999998E-2</v>
      </c>
      <c r="F17" s="1"/>
      <c r="K17" s="47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0.94792299999999996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0.19906383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0.74885917000000002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 t="s">
        <v>9</v>
      </c>
      <c r="B29" s="1"/>
      <c r="C29" s="1"/>
      <c r="E29" s="1"/>
      <c r="F29" s="1"/>
    </row>
    <row r="30" spans="1:11" x14ac:dyDescent="0.2">
      <c r="A30" s="1" t="s">
        <v>28</v>
      </c>
      <c r="B30" s="1"/>
      <c r="C30" s="1"/>
      <c r="E30" s="1"/>
      <c r="F30" s="1"/>
    </row>
    <row r="31" spans="1:11" x14ac:dyDescent="0.2">
      <c r="A31" s="1" t="s">
        <v>47</v>
      </c>
      <c r="B31" s="1"/>
      <c r="C31" s="58" t="s">
        <v>94</v>
      </c>
      <c r="D31" s="17">
        <f>'C-UE-1'!G21</f>
        <v>178849</v>
      </c>
      <c r="E31" s="1"/>
      <c r="F31" s="1"/>
    </row>
    <row r="32" spans="1:11" x14ac:dyDescent="0.2">
      <c r="A32" s="1" t="s">
        <v>48</v>
      </c>
      <c r="B32" s="1"/>
      <c r="C32" s="5"/>
      <c r="D32" s="20"/>
      <c r="E32" s="1"/>
      <c r="F32" s="1"/>
    </row>
    <row r="33" spans="1:6" x14ac:dyDescent="0.2">
      <c r="A33" s="1" t="s">
        <v>49</v>
      </c>
      <c r="B33" s="1"/>
      <c r="C33" s="58" t="s">
        <v>98</v>
      </c>
      <c r="D33" s="21">
        <f>SharedInputs!E13</f>
        <v>61200586</v>
      </c>
      <c r="E33" s="6"/>
      <c r="F33" s="1"/>
    </row>
    <row r="34" spans="1:6" x14ac:dyDescent="0.2">
      <c r="A34" s="1" t="s">
        <v>24</v>
      </c>
      <c r="B34" s="1"/>
      <c r="C34" s="1"/>
      <c r="D34" s="20"/>
      <c r="E34" s="3">
        <f>D31/D33</f>
        <v>2.9223412991503054E-3</v>
      </c>
      <c r="F34" s="1"/>
    </row>
    <row r="35" spans="1:6" x14ac:dyDescent="0.2">
      <c r="A35" s="1" t="s">
        <v>30</v>
      </c>
      <c r="B35" s="1"/>
      <c r="C35" s="1"/>
      <c r="E35" s="1"/>
      <c r="F35" s="1"/>
    </row>
    <row r="36" spans="1:6" x14ac:dyDescent="0.2">
      <c r="A36" s="1" t="s">
        <v>50</v>
      </c>
      <c r="B36" s="1"/>
      <c r="C36" s="1"/>
      <c r="E36" s="1"/>
      <c r="F36" s="1"/>
    </row>
    <row r="37" spans="1:6" x14ac:dyDescent="0.2">
      <c r="A37" s="1"/>
      <c r="B37" s="1"/>
      <c r="C37" s="1"/>
      <c r="E37" s="1"/>
      <c r="F37" s="1"/>
    </row>
    <row r="38" spans="1:6" s="38" customFormat="1" ht="26.45" customHeight="1" x14ac:dyDescent="0.2">
      <c r="A38" s="132" t="str">
        <f>SharedInputs!C8</f>
        <v>(2) IPUC fees rate per Regulatory Fee Calculation; Assessment rate is .002275  ID, Order No. 33741; dated 04/21/2017</v>
      </c>
      <c r="B38" s="132"/>
      <c r="C38" s="132"/>
      <c r="D38" s="132"/>
      <c r="E38" s="132"/>
      <c r="F38" s="132"/>
    </row>
    <row r="39" spans="1:6" s="38" customFormat="1" x14ac:dyDescent="0.2">
      <c r="A39" s="50"/>
      <c r="B39" s="50"/>
      <c r="C39" s="50"/>
      <c r="E39" s="50"/>
      <c r="F39" s="50"/>
    </row>
    <row r="40" spans="1:6" s="38" customFormat="1" x14ac:dyDescent="0.2">
      <c r="A40" s="50" t="s">
        <v>51</v>
      </c>
      <c r="B40" s="50"/>
      <c r="C40" s="50"/>
      <c r="E40" s="50"/>
      <c r="F40" s="50"/>
    </row>
    <row r="41" spans="1:6" s="38" customFormat="1" x14ac:dyDescent="0.2">
      <c r="A41" s="50" t="s">
        <v>39</v>
      </c>
      <c r="B41" s="50"/>
      <c r="C41" s="50"/>
      <c r="D41" s="51">
        <f>SharedInputs!D23</f>
        <v>0.1993</v>
      </c>
      <c r="E41" s="50"/>
      <c r="F41" s="50"/>
    </row>
    <row r="42" spans="1:6" s="38" customFormat="1" x14ac:dyDescent="0.2">
      <c r="A42" s="50" t="s">
        <v>52</v>
      </c>
      <c r="B42" s="50"/>
      <c r="C42" s="50"/>
      <c r="D42" s="51"/>
      <c r="E42" s="50"/>
      <c r="F42" s="50"/>
    </row>
    <row r="43" spans="1:6" s="38" customFormat="1" x14ac:dyDescent="0.2">
      <c r="A43" s="50" t="s">
        <v>53</v>
      </c>
      <c r="B43" s="50"/>
      <c r="C43" s="50"/>
      <c r="D43" s="52">
        <f>SharedInputs!D22</f>
        <v>6.9250000000000006E-2</v>
      </c>
      <c r="E43" s="50"/>
      <c r="F43" s="50"/>
    </row>
    <row r="44" spans="1:6" s="38" customFormat="1" x14ac:dyDescent="0.2">
      <c r="A44" s="50" t="s">
        <v>54</v>
      </c>
      <c r="C44" s="50"/>
      <c r="D44" s="50">
        <f>D41*D43</f>
        <v>1.3801525000000002E-2</v>
      </c>
      <c r="E44" s="50"/>
      <c r="F44" s="50"/>
    </row>
    <row r="45" spans="1:6" s="38" customFormat="1" x14ac:dyDescent="0.2">
      <c r="A45" s="63" t="s">
        <v>101</v>
      </c>
      <c r="B45" s="50"/>
      <c r="C45" s="50"/>
      <c r="D45" s="65">
        <f>SharedInputs!D24</f>
        <v>0.29287047312601799</v>
      </c>
      <c r="E45" s="50"/>
      <c r="F45" s="50"/>
    </row>
    <row r="46" spans="1:6" s="38" customFormat="1" x14ac:dyDescent="0.2">
      <c r="A46" s="63" t="s">
        <v>102</v>
      </c>
      <c r="C46" s="50"/>
      <c r="D46" s="50">
        <f>D44/D45</f>
        <v>4.7125013500631738E-2</v>
      </c>
      <c r="E46" s="50"/>
      <c r="F46" s="50"/>
    </row>
    <row r="47" spans="1:6" s="38" customFormat="1" x14ac:dyDescent="0.2">
      <c r="A47" s="50" t="s">
        <v>55</v>
      </c>
      <c r="C47" s="50">
        <f>E34</f>
        <v>2.9223412991503054E-3</v>
      </c>
      <c r="D47" s="50"/>
      <c r="E47" s="50"/>
      <c r="F47" s="50"/>
    </row>
    <row r="48" spans="1:6" s="38" customFormat="1" x14ac:dyDescent="0.2">
      <c r="A48" s="50" t="s">
        <v>56</v>
      </c>
      <c r="C48" s="53">
        <f>E13</f>
        <v>2.2750000000000001E-3</v>
      </c>
      <c r="D48" s="53">
        <f>C47+C48</f>
        <v>5.1973412991503055E-3</v>
      </c>
      <c r="E48" s="53"/>
      <c r="F48" s="50"/>
    </row>
    <row r="49" spans="1:6" s="38" customFormat="1" x14ac:dyDescent="0.2">
      <c r="A49" s="50" t="str">
        <f>"      EFFECTIVE RATE  = ( "&amp;TEXT(D46,"0.000000")&amp;" * ( 1 - "&amp;TEXT(D48,"0.000000")&amp;" ) )"</f>
        <v xml:space="preserve">      EFFECTIVE RATE  = ( 0.047125 * ( 1 - 0.005197 ) )</v>
      </c>
      <c r="B49" s="54"/>
      <c r="C49" s="54"/>
      <c r="D49" s="55"/>
      <c r="E49" s="53">
        <f>D46*(1-D48)</f>
        <v>4.6880088721741889E-2</v>
      </c>
      <c r="F49" s="50"/>
    </row>
    <row r="50" spans="1:6" s="38" customFormat="1" x14ac:dyDescent="0.2">
      <c r="A50" s="51" t="str">
        <f>SharedInputs!E23</f>
        <v xml:space="preserve">     *** From 2017 Form 42 - Idaho Corporation Income Tax (unaudited)</v>
      </c>
      <c r="B50" s="50"/>
      <c r="C50" s="56"/>
      <c r="E50" s="50"/>
      <c r="F50" s="50"/>
    </row>
    <row r="51" spans="1:6" s="38" customFormat="1" x14ac:dyDescent="0.2">
      <c r="A51" s="50"/>
      <c r="B51" s="50"/>
      <c r="C51" s="56"/>
      <c r="D51" s="56"/>
      <c r="E51" s="50"/>
      <c r="F51" s="50"/>
    </row>
  </sheetData>
  <mergeCells count="1">
    <mergeCell ref="A38:F38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tabSelected="1" zoomScaleNormal="100" workbookViewId="0">
      <selection activeCell="E9" sqref="E9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9.7109375" style="2" customWidth="1"/>
    <col min="4" max="4" width="15.140625" style="2" customWidth="1"/>
    <col min="5" max="5" width="12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2" t="str">
        <f>SharedInputs!B4</f>
        <v>AVISTA UTILITIES</v>
      </c>
      <c r="B1" s="22"/>
      <c r="C1" s="22"/>
      <c r="D1" s="22"/>
      <c r="E1" s="23"/>
      <c r="F1" s="22"/>
    </row>
    <row r="2" spans="1:11" s="24" customFormat="1" x14ac:dyDescent="0.2">
      <c r="A2" s="22" t="s">
        <v>78</v>
      </c>
      <c r="B2" s="22"/>
      <c r="C2" s="22"/>
      <c r="D2" s="22"/>
      <c r="E2" s="25"/>
      <c r="F2" s="22"/>
    </row>
    <row r="3" spans="1:11" s="24" customFormat="1" x14ac:dyDescent="0.2">
      <c r="A3" s="22" t="str">
        <f>SharedInputs!B2</f>
        <v>TWELVE MONTHS ENDED DECEMBER 31, 2018</v>
      </c>
      <c r="B3" s="22"/>
      <c r="C3" s="22"/>
      <c r="D3" s="22"/>
      <c r="E3" s="22"/>
      <c r="F3" s="22"/>
    </row>
    <row r="4" spans="1:11" x14ac:dyDescent="0.2">
      <c r="A4" s="1"/>
      <c r="B4" s="1"/>
      <c r="C4" s="1"/>
      <c r="E4" s="1"/>
      <c r="F4" s="1"/>
    </row>
    <row r="5" spans="1:11" x14ac:dyDescent="0.2">
      <c r="A5" s="1" t="s">
        <v>0</v>
      </c>
      <c r="B5" s="1"/>
      <c r="C5" s="1"/>
      <c r="E5" s="1">
        <v>1</v>
      </c>
      <c r="F5" s="1"/>
    </row>
    <row r="6" spans="1:11" x14ac:dyDescent="0.2">
      <c r="A6" s="1"/>
      <c r="B6" s="1"/>
      <c r="C6" s="1"/>
      <c r="E6" s="1"/>
      <c r="F6" s="1"/>
    </row>
    <row r="7" spans="1:11" x14ac:dyDescent="0.2">
      <c r="A7" s="1" t="s">
        <v>1</v>
      </c>
      <c r="B7" s="1"/>
      <c r="C7" s="1"/>
      <c r="E7" s="1"/>
      <c r="F7" s="1"/>
    </row>
    <row r="8" spans="1:11" x14ac:dyDescent="0.2">
      <c r="A8" s="1"/>
      <c r="B8" s="1"/>
      <c r="C8" s="1"/>
      <c r="E8" s="1"/>
      <c r="F8" s="1"/>
    </row>
    <row r="9" spans="1:11" x14ac:dyDescent="0.2">
      <c r="A9" s="1" t="s">
        <v>2</v>
      </c>
      <c r="B9" s="1"/>
      <c r="C9" s="1"/>
      <c r="E9" s="1">
        <f>E30</f>
        <v>3.7822545400612011E-3</v>
      </c>
      <c r="F9" s="1"/>
    </row>
    <row r="10" spans="1:11" x14ac:dyDescent="0.2">
      <c r="A10" s="1"/>
      <c r="B10" s="1"/>
      <c r="C10" s="1"/>
      <c r="E10" s="1"/>
      <c r="F10" s="1"/>
    </row>
    <row r="11" spans="1:11" x14ac:dyDescent="0.2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">
      <c r="A12" s="1"/>
      <c r="B12" s="1"/>
      <c r="C12" s="1"/>
      <c r="E12" s="1"/>
      <c r="F12" s="1"/>
    </row>
    <row r="13" spans="1:11" x14ac:dyDescent="0.2">
      <c r="A13" s="1" t="s">
        <v>4</v>
      </c>
      <c r="B13" s="1"/>
      <c r="C13" s="1"/>
      <c r="E13" s="1">
        <f>E43</f>
        <v>3.8587498152645269E-2</v>
      </c>
      <c r="F13" s="1"/>
    </row>
    <row r="14" spans="1:11" x14ac:dyDescent="0.2">
      <c r="A14" s="1"/>
      <c r="B14" s="1"/>
      <c r="C14" s="1"/>
      <c r="E14" s="1"/>
      <c r="F14" s="1"/>
    </row>
    <row r="15" spans="1:11" x14ac:dyDescent="0.2">
      <c r="A15" s="1"/>
      <c r="B15" s="1"/>
      <c r="C15" s="1"/>
      <c r="E15" s="1"/>
    </row>
    <row r="16" spans="1:11" x14ac:dyDescent="0.2">
      <c r="A16" s="1" t="s">
        <v>5</v>
      </c>
      <c r="B16" s="1"/>
      <c r="C16" s="1"/>
      <c r="E16" s="3">
        <f>SUM(E8:E14)</f>
        <v>4.4369752692706474E-2</v>
      </c>
      <c r="F16" s="1"/>
      <c r="K16" s="47"/>
    </row>
    <row r="17" spans="1:6" x14ac:dyDescent="0.2">
      <c r="A17" s="1"/>
      <c r="B17" s="1"/>
      <c r="C17" s="1"/>
      <c r="E17" s="1"/>
    </row>
    <row r="18" spans="1:6" x14ac:dyDescent="0.2">
      <c r="A18" s="1" t="s">
        <v>6</v>
      </c>
      <c r="B18" s="1"/>
      <c r="C18" s="1"/>
      <c r="E18" s="1">
        <f>E5-E16</f>
        <v>0.95563024730729351</v>
      </c>
      <c r="F18" s="1"/>
    </row>
    <row r="19" spans="1:6" x14ac:dyDescent="0.2">
      <c r="A19" s="1"/>
      <c r="B19" s="1"/>
      <c r="C19" s="1"/>
      <c r="E19" s="1"/>
      <c r="F19" s="1"/>
    </row>
    <row r="20" spans="1:6" x14ac:dyDescent="0.2">
      <c r="A20" s="1" t="s">
        <v>7</v>
      </c>
      <c r="B20" s="4">
        <f>SharedInputs!B10</f>
        <v>0.21</v>
      </c>
      <c r="C20" s="60" t="s">
        <v>98</v>
      </c>
      <c r="E20" s="1">
        <f>E18*$B$20</f>
        <v>0.20068235193453163</v>
      </c>
      <c r="F20" s="1"/>
    </row>
    <row r="21" spans="1:6" x14ac:dyDescent="0.2">
      <c r="A21" s="1"/>
      <c r="B21" s="1"/>
      <c r="C21" s="1"/>
      <c r="E21" s="1"/>
      <c r="F21" s="1"/>
    </row>
    <row r="22" spans="1:6" x14ac:dyDescent="0.2">
      <c r="A22" s="1" t="s">
        <v>8</v>
      </c>
      <c r="B22" s="1"/>
      <c r="C22" s="1"/>
      <c r="E22" s="3">
        <f>E18-E20</f>
        <v>0.75494789537276186</v>
      </c>
      <c r="F22" s="1"/>
    </row>
    <row r="23" spans="1:6" x14ac:dyDescent="0.2">
      <c r="A23" s="1"/>
      <c r="B23" s="1"/>
      <c r="C23" s="1"/>
      <c r="E23" s="1"/>
      <c r="F23" s="1"/>
    </row>
    <row r="24" spans="1:6" x14ac:dyDescent="0.2">
      <c r="A24" s="1"/>
      <c r="B24" s="1"/>
      <c r="C24" s="1"/>
      <c r="E24" s="1"/>
      <c r="F24" s="1"/>
    </row>
    <row r="25" spans="1:6" x14ac:dyDescent="0.2">
      <c r="A25" s="1" t="s">
        <v>9</v>
      </c>
      <c r="B25" s="1"/>
      <c r="C25" s="1"/>
      <c r="E25" s="1"/>
      <c r="F25" s="1"/>
    </row>
    <row r="26" spans="1:6" x14ac:dyDescent="0.2">
      <c r="A26" s="1" t="s">
        <v>10</v>
      </c>
      <c r="B26" s="1"/>
      <c r="C26" s="1"/>
      <c r="E26" s="1"/>
      <c r="F26" s="1"/>
    </row>
    <row r="27" spans="1:6" x14ac:dyDescent="0.2">
      <c r="A27" s="1" t="s">
        <v>11</v>
      </c>
      <c r="B27" s="1"/>
      <c r="C27" s="58" t="s">
        <v>94</v>
      </c>
      <c r="D27" s="17">
        <f>'C-UE-1'!E11</f>
        <v>2046723</v>
      </c>
      <c r="E27" s="5"/>
      <c r="F27" s="1"/>
    </row>
    <row r="28" spans="1:6" x14ac:dyDescent="0.2">
      <c r="A28" s="1" t="s">
        <v>12</v>
      </c>
      <c r="B28" s="1"/>
      <c r="C28" s="1"/>
      <c r="D28" s="17"/>
      <c r="E28" s="5"/>
      <c r="F28" s="1"/>
    </row>
    <row r="29" spans="1:6" x14ac:dyDescent="0.2">
      <c r="A29" s="1" t="s">
        <v>13</v>
      </c>
      <c r="B29" s="1"/>
      <c r="C29" s="58" t="s">
        <v>98</v>
      </c>
      <c r="D29" s="59">
        <f>SharedInputs!B13</f>
        <v>541138355</v>
      </c>
      <c r="E29" s="5"/>
      <c r="F29" s="1"/>
    </row>
    <row r="30" spans="1:6" x14ac:dyDescent="0.2">
      <c r="A30" s="1" t="s">
        <v>14</v>
      </c>
      <c r="B30" s="1"/>
      <c r="C30" s="1"/>
      <c r="E30" s="3">
        <f>D27/D29</f>
        <v>3.7822545400612011E-3</v>
      </c>
      <c r="F30" s="1"/>
    </row>
    <row r="31" spans="1:6" x14ac:dyDescent="0.2">
      <c r="A31" s="1" t="s">
        <v>15</v>
      </c>
      <c r="B31" s="1"/>
      <c r="C31" s="1"/>
      <c r="E31" s="1"/>
      <c r="F31" s="1"/>
    </row>
    <row r="32" spans="1:6" x14ac:dyDescent="0.2">
      <c r="A32" s="1" t="s">
        <v>16</v>
      </c>
      <c r="B32" s="1"/>
      <c r="E32" s="1"/>
      <c r="F32" s="1"/>
    </row>
    <row r="33" spans="1:6" x14ac:dyDescent="0.2">
      <c r="A33" s="1"/>
      <c r="B33" s="1"/>
      <c r="C33" s="1"/>
      <c r="E33" s="1"/>
      <c r="F33" s="1"/>
    </row>
    <row r="34" spans="1:6" s="38" customFormat="1" ht="24" customHeight="1" x14ac:dyDescent="0.2">
      <c r="A34" s="133" t="str">
        <f>SharedInputs!C7</f>
        <v>(2) WUTC fees rate per Regulatory Fee Calculation Schedule, Annual Report Year 2017 (Order No. A 140166) dated 04/06/2018</v>
      </c>
      <c r="B34" s="133"/>
      <c r="C34" s="133"/>
      <c r="D34" s="133"/>
      <c r="E34" s="133"/>
      <c r="F34" s="50"/>
    </row>
    <row r="35" spans="1:6" x14ac:dyDescent="0.2">
      <c r="A35" s="1"/>
      <c r="B35" s="1"/>
      <c r="C35" s="1"/>
      <c r="E35" s="1"/>
      <c r="F35" s="1"/>
    </row>
    <row r="36" spans="1:6" x14ac:dyDescent="0.2">
      <c r="A36" s="1" t="s">
        <v>17</v>
      </c>
      <c r="B36" s="1"/>
      <c r="C36" s="1"/>
      <c r="E36" s="1"/>
      <c r="F36" s="1"/>
    </row>
    <row r="37" spans="1:6" x14ac:dyDescent="0.2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">
      <c r="A38" s="1" t="s">
        <v>19</v>
      </c>
      <c r="B38" s="1"/>
      <c r="C38" s="1"/>
      <c r="D38" s="1"/>
      <c r="E38" s="1"/>
      <c r="F38" s="1"/>
    </row>
    <row r="39" spans="1:6" x14ac:dyDescent="0.2">
      <c r="A39" s="1" t="s">
        <v>20</v>
      </c>
      <c r="B39" s="1"/>
      <c r="C39" s="1"/>
      <c r="D39" s="1"/>
      <c r="E39" s="1"/>
      <c r="F39" s="1"/>
    </row>
    <row r="40" spans="1:6" x14ac:dyDescent="0.2">
      <c r="A40" s="1" t="s">
        <v>21</v>
      </c>
      <c r="C40" s="1">
        <v>1</v>
      </c>
      <c r="D40" s="1"/>
      <c r="E40" s="1"/>
      <c r="F40" s="1"/>
    </row>
    <row r="41" spans="1:6" x14ac:dyDescent="0.2">
      <c r="A41" s="1" t="s">
        <v>22</v>
      </c>
      <c r="C41" s="1"/>
      <c r="D41" s="1"/>
      <c r="E41" s="1"/>
      <c r="F41" s="1"/>
    </row>
    <row r="42" spans="1:6" x14ac:dyDescent="0.2">
      <c r="A42" s="1" t="s">
        <v>23</v>
      </c>
      <c r="C42" s="6">
        <f>E30</f>
        <v>3.7822545400612011E-3</v>
      </c>
      <c r="D42" s="6">
        <f>C40-C42</f>
        <v>0.9962177454599388</v>
      </c>
      <c r="E42" s="6"/>
      <c r="F42" s="1"/>
    </row>
    <row r="43" spans="1:6" x14ac:dyDescent="0.2">
      <c r="A43" s="1" t="s">
        <v>24</v>
      </c>
      <c r="B43" s="1"/>
      <c r="C43" s="1"/>
      <c r="D43" s="1"/>
      <c r="E43" s="6">
        <f>D37*D42</f>
        <v>3.8587498152645269E-2</v>
      </c>
      <c r="F43" s="1"/>
    </row>
    <row r="44" spans="1:6" x14ac:dyDescent="0.2">
      <c r="A44" s="1" t="s">
        <v>25</v>
      </c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zoomScaleNormal="100" workbookViewId="0">
      <selection activeCell="E9" sqref="E9"/>
    </sheetView>
  </sheetViews>
  <sheetFormatPr defaultColWidth="9.140625" defaultRowHeight="12.75" x14ac:dyDescent="0.2"/>
  <cols>
    <col min="1" max="1" width="30.85546875" style="2" customWidth="1"/>
    <col min="2" max="3" width="9.140625" style="2" customWidth="1"/>
    <col min="4" max="4" width="16.5703125" style="2" customWidth="1"/>
    <col min="5" max="5" width="16.140625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8" t="str">
        <f>SharedInputs!B4</f>
        <v>AVISTA UTILITIES</v>
      </c>
      <c r="B1" s="22"/>
      <c r="C1" s="22"/>
      <c r="D1" s="22"/>
      <c r="E1" s="23"/>
    </row>
    <row r="2" spans="1:11" s="24" customFormat="1" x14ac:dyDescent="0.2">
      <c r="A2" s="22" t="s">
        <v>79</v>
      </c>
      <c r="B2" s="22"/>
      <c r="C2" s="22"/>
      <c r="E2" s="25"/>
    </row>
    <row r="3" spans="1:11" s="24" customFormat="1" x14ac:dyDescent="0.2">
      <c r="A3" s="26" t="str">
        <f>SharedInputs!B2</f>
        <v>TWELVE MONTHS ENDED DECEMBER 31, 2018</v>
      </c>
      <c r="B3" s="22"/>
      <c r="C3" s="22"/>
      <c r="D3" s="22"/>
      <c r="E3" s="22"/>
    </row>
    <row r="4" spans="1:11" x14ac:dyDescent="0.2">
      <c r="A4" s="1"/>
      <c r="B4" s="1"/>
      <c r="C4" s="1"/>
      <c r="D4" s="1"/>
      <c r="E4" s="1"/>
    </row>
    <row r="5" spans="1:11" x14ac:dyDescent="0.2">
      <c r="A5" s="1" t="s">
        <v>26</v>
      </c>
      <c r="B5" s="1"/>
      <c r="C5" s="1"/>
      <c r="D5" s="1"/>
      <c r="E5" s="1">
        <v>1</v>
      </c>
    </row>
    <row r="6" spans="1:11" x14ac:dyDescent="0.2">
      <c r="A6" s="1"/>
      <c r="B6" s="1"/>
      <c r="C6" s="1"/>
      <c r="D6" s="1"/>
      <c r="E6" s="1"/>
    </row>
    <row r="7" spans="1:11" x14ac:dyDescent="0.2">
      <c r="A7" s="1" t="s">
        <v>1</v>
      </c>
      <c r="B7" s="1"/>
      <c r="C7" s="1"/>
      <c r="D7" s="1"/>
      <c r="E7" s="1"/>
    </row>
    <row r="8" spans="1:11" x14ac:dyDescent="0.2">
      <c r="A8" s="1"/>
      <c r="B8" s="1"/>
      <c r="C8" s="1"/>
      <c r="D8" s="1"/>
      <c r="E8" s="1"/>
    </row>
    <row r="9" spans="1:11" x14ac:dyDescent="0.2">
      <c r="A9" s="1" t="s">
        <v>2</v>
      </c>
      <c r="B9" s="1"/>
      <c r="C9" s="1"/>
      <c r="D9" s="1"/>
      <c r="E9" s="1">
        <f>E29</f>
        <v>3.7811985112713407E-3</v>
      </c>
    </row>
    <row r="10" spans="1:11" x14ac:dyDescent="0.2">
      <c r="A10" s="1"/>
      <c r="B10" s="1"/>
      <c r="C10" s="1"/>
      <c r="D10" s="1"/>
      <c r="E10" s="1"/>
    </row>
    <row r="11" spans="1:11" x14ac:dyDescent="0.2">
      <c r="A11" s="1" t="s">
        <v>27</v>
      </c>
      <c r="B11" s="1"/>
      <c r="C11" s="1"/>
      <c r="D11" s="1"/>
      <c r="E11" s="18">
        <f>SharedInputs!B7</f>
        <v>2E-3</v>
      </c>
    </row>
    <row r="12" spans="1:11" x14ac:dyDescent="0.2">
      <c r="A12" s="1"/>
      <c r="B12" s="1"/>
      <c r="C12" s="1"/>
      <c r="D12" s="1"/>
      <c r="E12" s="1"/>
    </row>
    <row r="13" spans="1:11" x14ac:dyDescent="0.2">
      <c r="A13" s="1" t="s">
        <v>4</v>
      </c>
      <c r="B13" s="1"/>
      <c r="C13" s="1"/>
      <c r="D13" s="1"/>
      <c r="E13" s="1">
        <f>E41</f>
        <v>3.8374348233345824E-2</v>
      </c>
    </row>
    <row r="14" spans="1:11" x14ac:dyDescent="0.2">
      <c r="A14" s="1"/>
      <c r="B14" s="1"/>
      <c r="C14" s="1"/>
      <c r="D14" s="1"/>
      <c r="E14" s="1"/>
    </row>
    <row r="15" spans="1:11" x14ac:dyDescent="0.2">
      <c r="A15" s="1"/>
      <c r="B15" s="1"/>
      <c r="C15" s="1"/>
      <c r="D15" s="1"/>
    </row>
    <row r="16" spans="1:11" x14ac:dyDescent="0.2">
      <c r="A16" s="1" t="s">
        <v>5</v>
      </c>
      <c r="B16" s="1"/>
      <c r="C16" s="1"/>
      <c r="D16" s="1"/>
      <c r="E16" s="3">
        <f>SUM(E8:E14)</f>
        <v>4.4155546744617163E-2</v>
      </c>
      <c r="K16" s="47"/>
    </row>
    <row r="17" spans="1:5" x14ac:dyDescent="0.2">
      <c r="A17" s="1"/>
      <c r="B17" s="1"/>
      <c r="C17" s="1"/>
      <c r="D17" s="1"/>
      <c r="E17" s="1"/>
    </row>
    <row r="18" spans="1:5" x14ac:dyDescent="0.2">
      <c r="A18" s="1" t="s">
        <v>6</v>
      </c>
      <c r="C18" s="1"/>
      <c r="D18" s="1"/>
      <c r="E18" s="1">
        <f>E5-E16</f>
        <v>0.95584445325538281</v>
      </c>
    </row>
    <row r="19" spans="1:5" x14ac:dyDescent="0.2">
      <c r="A19" s="1"/>
      <c r="B19" s="1"/>
      <c r="C19" s="1"/>
      <c r="D19" s="1"/>
      <c r="E19" s="1"/>
    </row>
    <row r="20" spans="1:5" x14ac:dyDescent="0.2">
      <c r="A20" s="1" t="s">
        <v>7</v>
      </c>
      <c r="B20" s="19">
        <f>SharedInputs!B10</f>
        <v>0.21</v>
      </c>
      <c r="C20" s="60" t="s">
        <v>98</v>
      </c>
      <c r="D20" s="1"/>
      <c r="E20" s="1">
        <f>E18*$B$20</f>
        <v>0.2007273351836304</v>
      </c>
    </row>
    <row r="21" spans="1:5" x14ac:dyDescent="0.2">
      <c r="A21" s="1"/>
      <c r="B21" s="1"/>
      <c r="C21" s="1"/>
      <c r="E21" s="1"/>
    </row>
    <row r="22" spans="1:5" x14ac:dyDescent="0.2">
      <c r="A22" s="1" t="s">
        <v>8</v>
      </c>
      <c r="B22" s="1"/>
      <c r="C22" s="1"/>
      <c r="E22" s="3">
        <f>E18-E20</f>
        <v>0.75511711807175241</v>
      </c>
    </row>
    <row r="23" spans="1:5" x14ac:dyDescent="0.2">
      <c r="A23" s="1"/>
      <c r="B23" s="1"/>
      <c r="C23" s="1"/>
      <c r="E23" s="1"/>
    </row>
    <row r="24" spans="1:5" x14ac:dyDescent="0.2">
      <c r="A24" s="1" t="s">
        <v>9</v>
      </c>
      <c r="B24" s="1"/>
      <c r="C24" s="1"/>
      <c r="E24" s="1"/>
    </row>
    <row r="25" spans="1:5" x14ac:dyDescent="0.2">
      <c r="A25" s="1" t="s">
        <v>28</v>
      </c>
      <c r="B25" s="1"/>
      <c r="C25" s="1"/>
      <c r="E25" s="1"/>
    </row>
    <row r="26" spans="1:5" x14ac:dyDescent="0.2">
      <c r="A26" s="1" t="s">
        <v>11</v>
      </c>
      <c r="B26" s="1"/>
      <c r="C26" s="58" t="s">
        <v>94</v>
      </c>
      <c r="D26" s="17">
        <f>'C-UE-1'!E21</f>
        <v>550971</v>
      </c>
      <c r="E26" s="1"/>
    </row>
    <row r="27" spans="1:5" x14ac:dyDescent="0.2">
      <c r="A27" s="1" t="s">
        <v>12</v>
      </c>
      <c r="B27" s="1"/>
      <c r="C27" s="1"/>
      <c r="D27" s="20"/>
      <c r="E27" s="1"/>
    </row>
    <row r="28" spans="1:5" x14ac:dyDescent="0.2">
      <c r="A28" s="1" t="s">
        <v>29</v>
      </c>
      <c r="B28" s="1"/>
      <c r="C28" s="58" t="s">
        <v>98</v>
      </c>
      <c r="D28" s="59">
        <f>SharedInputs!C13</f>
        <v>145713323</v>
      </c>
      <c r="E28" s="1"/>
    </row>
    <row r="29" spans="1:5" x14ac:dyDescent="0.2">
      <c r="A29" s="1" t="s">
        <v>14</v>
      </c>
      <c r="B29" s="1"/>
      <c r="C29" s="1"/>
      <c r="E29" s="3">
        <f>D26/D28</f>
        <v>3.7811985112713407E-3</v>
      </c>
    </row>
    <row r="30" spans="1:5" x14ac:dyDescent="0.2">
      <c r="A30" s="1" t="s">
        <v>30</v>
      </c>
      <c r="B30" s="1"/>
      <c r="C30" s="1"/>
      <c r="E30" s="1"/>
    </row>
    <row r="31" spans="1:5" x14ac:dyDescent="0.2">
      <c r="A31" s="1" t="s">
        <v>31</v>
      </c>
      <c r="B31" s="1"/>
      <c r="C31" s="1"/>
      <c r="E31" s="1"/>
    </row>
    <row r="32" spans="1:5" x14ac:dyDescent="0.2">
      <c r="A32" s="1"/>
      <c r="B32" s="1"/>
      <c r="E32" s="1"/>
    </row>
    <row r="33" spans="1:5" s="38" customFormat="1" x14ac:dyDescent="0.2">
      <c r="A33" s="133" t="str">
        <f>SharedInputs!C7</f>
        <v>(2) WUTC fees rate per Regulatory Fee Calculation Schedule, Annual Report Year 2017 (Order No. A 140166) dated 04/06/2018</v>
      </c>
      <c r="B33" s="133"/>
      <c r="C33" s="133"/>
      <c r="D33" s="133"/>
      <c r="E33" s="133"/>
    </row>
    <row r="34" spans="1:5" x14ac:dyDescent="0.2">
      <c r="A34" s="1"/>
      <c r="B34" s="1"/>
      <c r="C34" s="1"/>
      <c r="E34" s="1"/>
    </row>
    <row r="35" spans="1:5" x14ac:dyDescent="0.2">
      <c r="A35" s="1" t="s">
        <v>32</v>
      </c>
      <c r="B35" s="1"/>
      <c r="C35" s="1"/>
      <c r="E35" s="1"/>
    </row>
    <row r="36" spans="1:5" x14ac:dyDescent="0.2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">
      <c r="A37" s="1" t="s">
        <v>19</v>
      </c>
      <c r="B37" s="1"/>
      <c r="C37" s="1"/>
      <c r="D37" s="1"/>
      <c r="E37" s="1"/>
    </row>
    <row r="38" spans="1:5" x14ac:dyDescent="0.2">
      <c r="A38" s="1" t="s">
        <v>20</v>
      </c>
      <c r="B38" s="1"/>
      <c r="C38" s="1"/>
      <c r="D38" s="1"/>
      <c r="E38" s="1"/>
    </row>
    <row r="39" spans="1:5" x14ac:dyDescent="0.2">
      <c r="A39" s="1" t="s">
        <v>21</v>
      </c>
      <c r="C39" s="1">
        <v>1</v>
      </c>
      <c r="D39" s="1"/>
      <c r="E39" s="1"/>
    </row>
    <row r="40" spans="1:5" x14ac:dyDescent="0.2">
      <c r="A40" s="1" t="s">
        <v>34</v>
      </c>
      <c r="C40" s="6">
        <f>E29</f>
        <v>3.7811985112713407E-3</v>
      </c>
      <c r="D40" s="6">
        <f>C39-C40</f>
        <v>0.99621880148872866</v>
      </c>
      <c r="E40" s="6"/>
    </row>
    <row r="41" spans="1:5" x14ac:dyDescent="0.2">
      <c r="A41" s="1" t="s">
        <v>24</v>
      </c>
      <c r="B41" s="1"/>
      <c r="C41" s="1"/>
      <c r="D41" s="1"/>
      <c r="E41" s="6">
        <f>D36*D40</f>
        <v>3.8374348233345824E-2</v>
      </c>
    </row>
    <row r="42" spans="1:5" x14ac:dyDescent="0.2">
      <c r="A42" s="1" t="s">
        <v>25</v>
      </c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2"/>
  <sheetViews>
    <sheetView workbookViewId="0">
      <selection activeCell="A17" sqref="A17"/>
    </sheetView>
  </sheetViews>
  <sheetFormatPr defaultColWidth="9.42578125" defaultRowHeight="12.75" x14ac:dyDescent="0.2"/>
  <cols>
    <col min="1" max="1" width="22" style="11" customWidth="1"/>
    <col min="2" max="2" width="11.140625" style="11" customWidth="1"/>
    <col min="3" max="3" width="16.28515625" style="11" customWidth="1"/>
    <col min="4" max="4" width="8.5703125" style="11" customWidth="1"/>
    <col min="5" max="5" width="13.28515625" style="11" customWidth="1"/>
    <col min="6" max="6" width="5.28515625" style="11" customWidth="1"/>
    <col min="7" max="8" width="11.140625" style="11" customWidth="1"/>
    <col min="9" max="9" width="11.140625" style="45" customWidth="1"/>
    <col min="10" max="10" width="9.42578125" style="45" customWidth="1"/>
    <col min="11" max="16384" width="9.42578125" style="11"/>
  </cols>
  <sheetData>
    <row r="1" spans="1:8" x14ac:dyDescent="0.2">
      <c r="A1" s="10" t="s">
        <v>77</v>
      </c>
    </row>
    <row r="2" spans="1:8" x14ac:dyDescent="0.2">
      <c r="A2" s="10" t="s">
        <v>57</v>
      </c>
      <c r="E2" s="45"/>
      <c r="F2" s="45"/>
      <c r="G2" s="45"/>
    </row>
    <row r="3" spans="1:8" x14ac:dyDescent="0.2">
      <c r="A3" s="10" t="str">
        <f>SharedInputs!B2</f>
        <v>TWELVE MONTHS ENDED DECEMBER 31, 2018</v>
      </c>
    </row>
    <row r="7" spans="1:8" x14ac:dyDescent="0.2">
      <c r="A7" s="10" t="s">
        <v>58</v>
      </c>
    </row>
    <row r="8" spans="1:8" x14ac:dyDescent="0.2">
      <c r="A8" s="10"/>
    </row>
    <row r="9" spans="1:8" x14ac:dyDescent="0.2">
      <c r="A9" s="10"/>
      <c r="C9" s="12" t="s">
        <v>59</v>
      </c>
      <c r="D9" s="12"/>
      <c r="E9" s="12" t="s">
        <v>60</v>
      </c>
      <c r="F9" s="12"/>
      <c r="G9" s="12" t="s">
        <v>61</v>
      </c>
    </row>
    <row r="10" spans="1:8" x14ac:dyDescent="0.2">
      <c r="A10" s="10" t="s">
        <v>62</v>
      </c>
    </row>
    <row r="11" spans="1:8" x14ac:dyDescent="0.2">
      <c r="A11" s="11" t="s">
        <v>63</v>
      </c>
      <c r="C11" s="14">
        <f>E11+G11</f>
        <v>2809186</v>
      </c>
      <c r="D11" s="14"/>
      <c r="E11" s="14">
        <f>G41</f>
        <v>2046723</v>
      </c>
      <c r="F11" s="14"/>
      <c r="G11" s="14">
        <f>G48</f>
        <v>762463</v>
      </c>
    </row>
    <row r="12" spans="1:8" x14ac:dyDescent="0.2">
      <c r="A12" s="11" t="s">
        <v>64</v>
      </c>
      <c r="C12" s="14"/>
      <c r="D12" s="14"/>
      <c r="E12" s="14"/>
      <c r="F12" s="14"/>
      <c r="G12" s="14"/>
    </row>
    <row r="13" spans="1:8" x14ac:dyDescent="0.2">
      <c r="A13" s="11" t="s">
        <v>65</v>
      </c>
      <c r="C13" s="15">
        <f>'C-UE-2'!Q23</f>
        <v>2043405</v>
      </c>
      <c r="D13" s="67" t="s">
        <v>93</v>
      </c>
      <c r="E13" s="68">
        <f>C13*E17</f>
        <v>1341291.0419999999</v>
      </c>
      <c r="F13" s="69"/>
      <c r="G13" s="68">
        <f>C13*G17</f>
        <v>702113.95799999998</v>
      </c>
      <c r="H13" s="70"/>
    </row>
    <row r="14" spans="1:8" x14ac:dyDescent="0.2">
      <c r="C14" s="14"/>
      <c r="D14" s="14"/>
      <c r="E14" s="14"/>
      <c r="F14" s="14"/>
      <c r="G14" s="14"/>
    </row>
    <row r="15" spans="1:8" ht="13.5" thickBot="1" x14ac:dyDescent="0.25">
      <c r="A15" s="11" t="s">
        <v>66</v>
      </c>
      <c r="C15" s="30">
        <f>C11-C13</f>
        <v>765781</v>
      </c>
      <c r="D15" s="14"/>
      <c r="E15" s="30">
        <f>E11-E13</f>
        <v>705431.9580000001</v>
      </c>
      <c r="F15" s="14"/>
      <c r="G15" s="30">
        <f>G11-G13</f>
        <v>60349.042000000016</v>
      </c>
    </row>
    <row r="16" spans="1:8" ht="13.5" thickTop="1" x14ac:dyDescent="0.2">
      <c r="C16" s="31"/>
      <c r="D16" s="31"/>
      <c r="E16" s="31"/>
      <c r="G16" s="31"/>
    </row>
    <row r="17" spans="1:11" x14ac:dyDescent="0.2">
      <c r="A17" s="11" t="s">
        <v>169</v>
      </c>
      <c r="C17" s="71">
        <f>SUM(E17,G17)</f>
        <v>1</v>
      </c>
      <c r="D17" s="71"/>
      <c r="E17" s="71">
        <v>0.65639999999999998</v>
      </c>
      <c r="F17" s="72"/>
      <c r="G17" s="71">
        <v>0.34360000000000002</v>
      </c>
    </row>
    <row r="18" spans="1:11" x14ac:dyDescent="0.2">
      <c r="C18" s="14"/>
      <c r="D18" s="14"/>
      <c r="E18" s="14"/>
      <c r="F18" s="14"/>
      <c r="G18" s="14"/>
      <c r="K18" s="46"/>
    </row>
    <row r="19" spans="1:11" x14ac:dyDescent="0.2">
      <c r="C19" s="14"/>
      <c r="D19" s="14"/>
      <c r="E19" s="14"/>
      <c r="G19" s="14"/>
    </row>
    <row r="20" spans="1:11" x14ac:dyDescent="0.2">
      <c r="A20" s="10" t="s">
        <v>67</v>
      </c>
      <c r="B20" s="14"/>
      <c r="C20" s="14"/>
      <c r="D20" s="14"/>
      <c r="E20" s="14"/>
      <c r="F20" s="14"/>
      <c r="G20" s="14"/>
    </row>
    <row r="21" spans="1:11" x14ac:dyDescent="0.2">
      <c r="A21" s="11" t="s">
        <v>63</v>
      </c>
      <c r="C21" s="14">
        <f>E21+G21</f>
        <v>729820</v>
      </c>
      <c r="D21" s="14"/>
      <c r="E21" s="14">
        <f>G42</f>
        <v>550971</v>
      </c>
      <c r="F21" s="14"/>
      <c r="G21" s="14">
        <f>G49</f>
        <v>178849</v>
      </c>
    </row>
    <row r="22" spans="1:11" x14ac:dyDescent="0.2">
      <c r="A22" s="11" t="s">
        <v>64</v>
      </c>
      <c r="C22" s="14"/>
      <c r="D22" s="14"/>
      <c r="E22" s="14"/>
      <c r="F22" s="14"/>
      <c r="G22" s="14"/>
    </row>
    <row r="23" spans="1:11" x14ac:dyDescent="0.2">
      <c r="A23" s="11" t="s">
        <v>65</v>
      </c>
      <c r="C23" s="15">
        <f>'C-UE-2'!R23</f>
        <v>1312935</v>
      </c>
      <c r="D23" s="67" t="s">
        <v>93</v>
      </c>
      <c r="E23" s="68">
        <f>C23*E27</f>
        <v>870567.81045000011</v>
      </c>
      <c r="F23" s="69"/>
      <c r="G23" s="68">
        <f>C23*G27</f>
        <v>442367.18955000001</v>
      </c>
      <c r="H23" s="70"/>
    </row>
    <row r="24" spans="1:11" x14ac:dyDescent="0.2">
      <c r="C24" s="14"/>
      <c r="D24" s="14"/>
      <c r="E24" s="14"/>
      <c r="F24" s="14"/>
      <c r="G24" s="14"/>
    </row>
    <row r="25" spans="1:11" ht="13.5" thickBot="1" x14ac:dyDescent="0.25">
      <c r="A25" s="11" t="s">
        <v>66</v>
      </c>
      <c r="C25" s="30">
        <f>C21-C23</f>
        <v>-583115</v>
      </c>
      <c r="D25" s="14"/>
      <c r="E25" s="30">
        <f>E21-E23</f>
        <v>-319596.81045000011</v>
      </c>
      <c r="F25" s="14"/>
      <c r="G25" s="30">
        <f>G21-G23</f>
        <v>-263518.18955000001</v>
      </c>
    </row>
    <row r="26" spans="1:11" ht="13.5" thickTop="1" x14ac:dyDescent="0.2">
      <c r="C26" s="13"/>
      <c r="D26" s="13"/>
      <c r="E26" s="13"/>
      <c r="F26" s="13"/>
      <c r="G26" s="13"/>
    </row>
    <row r="27" spans="1:11" x14ac:dyDescent="0.2">
      <c r="A27" s="11" t="s">
        <v>168</v>
      </c>
      <c r="C27" s="71">
        <f>SUM(E27,G27)</f>
        <v>1</v>
      </c>
      <c r="D27" s="71"/>
      <c r="E27" s="71">
        <v>0.66307000000000005</v>
      </c>
      <c r="F27" s="71"/>
      <c r="G27" s="71">
        <v>0.33693000000000001</v>
      </c>
    </row>
    <row r="28" spans="1:11" x14ac:dyDescent="0.2">
      <c r="C28" s="13"/>
      <c r="D28" s="13"/>
      <c r="E28" s="13"/>
      <c r="F28" s="13"/>
      <c r="G28" s="13"/>
    </row>
    <row r="29" spans="1:11" x14ac:dyDescent="0.2">
      <c r="A29" s="11" t="s">
        <v>68</v>
      </c>
    </row>
    <row r="30" spans="1:11" x14ac:dyDescent="0.2">
      <c r="A30" s="11" t="s">
        <v>82</v>
      </c>
    </row>
    <row r="32" spans="1:11" x14ac:dyDescent="0.2">
      <c r="A32" s="11" t="s">
        <v>69</v>
      </c>
    </row>
    <row r="35" spans="1:7" x14ac:dyDescent="0.2">
      <c r="A35" s="10" t="s">
        <v>104</v>
      </c>
    </row>
    <row r="36" spans="1:7" x14ac:dyDescent="0.2">
      <c r="A36" s="10"/>
      <c r="B36" s="73"/>
      <c r="C36" s="74" t="s">
        <v>105</v>
      </c>
      <c r="D36" s="73"/>
      <c r="E36" s="74"/>
      <c r="F36" s="73"/>
      <c r="G36" s="74" t="s">
        <v>106</v>
      </c>
    </row>
    <row r="37" spans="1:7" x14ac:dyDescent="0.2">
      <c r="B37" s="73"/>
      <c r="C37" s="75" t="s">
        <v>107</v>
      </c>
      <c r="D37" s="73"/>
      <c r="E37" s="75" t="s">
        <v>108</v>
      </c>
      <c r="F37" s="73"/>
      <c r="G37" s="75" t="s">
        <v>109</v>
      </c>
    </row>
    <row r="38" spans="1:7" x14ac:dyDescent="0.2">
      <c r="A38" s="73"/>
      <c r="B38" s="73"/>
      <c r="C38" s="76" t="s">
        <v>110</v>
      </c>
      <c r="D38" s="73"/>
      <c r="E38" s="76" t="s">
        <v>111</v>
      </c>
      <c r="F38" s="73"/>
      <c r="G38" s="76" t="s">
        <v>112</v>
      </c>
    </row>
    <row r="39" spans="1:7" x14ac:dyDescent="0.2">
      <c r="B39" s="73"/>
      <c r="D39" s="73"/>
      <c r="E39" s="77"/>
      <c r="F39" s="73"/>
    </row>
    <row r="40" spans="1:7" x14ac:dyDescent="0.2">
      <c r="A40" s="10" t="s">
        <v>113</v>
      </c>
      <c r="B40" s="73"/>
      <c r="D40" s="73"/>
      <c r="E40" s="77"/>
      <c r="F40" s="73"/>
    </row>
    <row r="41" spans="1:7" x14ac:dyDescent="0.2">
      <c r="A41" s="11" t="s">
        <v>114</v>
      </c>
      <c r="B41" s="78"/>
      <c r="C41" s="79">
        <f>-'C-UE-3'!H22-1</f>
        <v>541138353.27999985</v>
      </c>
      <c r="D41" s="67" t="s">
        <v>115</v>
      </c>
      <c r="E41" s="80">
        <f>ROUND(C41/C43,4)</f>
        <v>0.78790000000000004</v>
      </c>
      <c r="F41" s="73"/>
      <c r="G41" s="14">
        <f>ROUND(G43*E41,0)</f>
        <v>2046723</v>
      </c>
    </row>
    <row r="42" spans="1:7" x14ac:dyDescent="0.2">
      <c r="A42" s="11" t="s">
        <v>116</v>
      </c>
      <c r="B42" s="78"/>
      <c r="C42" s="68">
        <f>-'C-UE-3'!AD22</f>
        <v>145713322.19</v>
      </c>
      <c r="D42" s="67" t="s">
        <v>115</v>
      </c>
      <c r="E42" s="81">
        <f>1-E41</f>
        <v>0.21209999999999996</v>
      </c>
      <c r="F42" s="73"/>
      <c r="G42" s="15">
        <f>G43-G41</f>
        <v>550971</v>
      </c>
    </row>
    <row r="43" spans="1:7" x14ac:dyDescent="0.2">
      <c r="A43" s="11" t="s">
        <v>100</v>
      </c>
      <c r="B43" s="73"/>
      <c r="C43" s="82">
        <f>C41+C42</f>
        <v>686851675.46999979</v>
      </c>
      <c r="D43" s="73"/>
      <c r="E43" s="80">
        <f>E41+E42</f>
        <v>1</v>
      </c>
      <c r="F43" s="73"/>
      <c r="G43" s="82">
        <f>ROUND(C63,0)</f>
        <v>2597694</v>
      </c>
    </row>
    <row r="44" spans="1:7" x14ac:dyDescent="0.2">
      <c r="B44" s="73"/>
      <c r="C44" s="14"/>
      <c r="D44" s="73"/>
      <c r="E44" s="80"/>
      <c r="F44" s="73"/>
      <c r="G44" s="14"/>
    </row>
    <row r="45" spans="1:7" x14ac:dyDescent="0.2">
      <c r="B45" s="73"/>
      <c r="C45" s="14"/>
      <c r="D45" s="73"/>
      <c r="E45" s="80"/>
      <c r="F45" s="73"/>
      <c r="G45" s="14"/>
    </row>
    <row r="46" spans="1:7" x14ac:dyDescent="0.2">
      <c r="B46" s="73"/>
      <c r="C46" s="14"/>
      <c r="D46" s="73"/>
      <c r="E46" s="80"/>
      <c r="F46" s="73"/>
      <c r="G46" s="14"/>
    </row>
    <row r="47" spans="1:7" x14ac:dyDescent="0.2">
      <c r="A47" s="10" t="s">
        <v>117</v>
      </c>
      <c r="B47" s="73"/>
      <c r="C47" s="14"/>
      <c r="D47" s="73"/>
      <c r="E47" s="80"/>
      <c r="F47" s="73"/>
      <c r="G47" s="14"/>
    </row>
    <row r="48" spans="1:7" x14ac:dyDescent="0.2">
      <c r="A48" s="11" t="s">
        <v>114</v>
      </c>
      <c r="B48" s="78"/>
      <c r="C48" s="79">
        <f>-'C-UE-3'!T22</f>
        <v>260917323.00999996</v>
      </c>
      <c r="D48" s="67" t="s">
        <v>115</v>
      </c>
      <c r="E48" s="80">
        <f>ROUND(C48/C50,4)</f>
        <v>0.81</v>
      </c>
      <c r="F48" s="73"/>
      <c r="G48" s="14">
        <f>ROUND(G50*E48,0)</f>
        <v>762463</v>
      </c>
    </row>
    <row r="49" spans="1:7" x14ac:dyDescent="0.2">
      <c r="A49" s="11" t="s">
        <v>116</v>
      </c>
      <c r="B49" s="78"/>
      <c r="C49" s="68">
        <f>-'C-UE-3'!AN22</f>
        <v>61200586</v>
      </c>
      <c r="D49" s="67" t="s">
        <v>115</v>
      </c>
      <c r="E49" s="81">
        <f>1-E48</f>
        <v>0.18999999999999995</v>
      </c>
      <c r="F49" s="73"/>
      <c r="G49" s="15">
        <f>G50-G48</f>
        <v>178849</v>
      </c>
    </row>
    <row r="50" spans="1:7" x14ac:dyDescent="0.2">
      <c r="A50" s="11" t="s">
        <v>100</v>
      </c>
      <c r="B50" s="73"/>
      <c r="C50" s="82">
        <f>C48+C49</f>
        <v>322117909.00999999</v>
      </c>
      <c r="D50" s="73"/>
      <c r="E50" s="80">
        <f>E48+E49</f>
        <v>1</v>
      </c>
      <c r="F50" s="73"/>
      <c r="G50" s="82">
        <f>ROUND(C68,0)</f>
        <v>941312</v>
      </c>
    </row>
    <row r="51" spans="1:7" x14ac:dyDescent="0.2">
      <c r="B51" s="73"/>
      <c r="C51" s="14"/>
      <c r="D51" s="73"/>
      <c r="F51" s="73"/>
      <c r="G51" s="14"/>
    </row>
    <row r="52" spans="1:7" ht="13.5" thickBot="1" x14ac:dyDescent="0.25">
      <c r="A52" s="10" t="s">
        <v>118</v>
      </c>
      <c r="B52" s="73"/>
      <c r="C52" s="83">
        <f>C50+C43</f>
        <v>1008969584.4799998</v>
      </c>
      <c r="D52" s="73"/>
      <c r="F52" s="73"/>
      <c r="G52" s="83">
        <f>G50+G43</f>
        <v>3539006</v>
      </c>
    </row>
    <row r="53" spans="1:7" ht="13.5" thickTop="1" x14ac:dyDescent="0.2">
      <c r="C53" s="14"/>
    </row>
    <row r="54" spans="1:7" x14ac:dyDescent="0.2">
      <c r="A54" s="11" t="s">
        <v>119</v>
      </c>
    </row>
    <row r="56" spans="1:7" x14ac:dyDescent="0.2">
      <c r="A56" s="11" t="s">
        <v>120</v>
      </c>
    </row>
    <row r="58" spans="1:7" x14ac:dyDescent="0.2">
      <c r="B58" s="84" t="s">
        <v>121</v>
      </c>
      <c r="C58" s="85" t="s">
        <v>122</v>
      </c>
    </row>
    <row r="59" spans="1:7" x14ac:dyDescent="0.2">
      <c r="A59" s="86" t="s">
        <v>123</v>
      </c>
    </row>
    <row r="60" spans="1:7" x14ac:dyDescent="0.2">
      <c r="A60" s="11" t="s">
        <v>124</v>
      </c>
      <c r="B60" s="87">
        <v>200</v>
      </c>
      <c r="C60" s="88">
        <f>'C-UE-2'!K26</f>
        <v>2597693.96</v>
      </c>
      <c r="D60" s="67" t="s">
        <v>93</v>
      </c>
      <c r="E60" s="89"/>
      <c r="F60"/>
      <c r="G60"/>
    </row>
    <row r="61" spans="1:7" x14ac:dyDescent="0.2">
      <c r="A61" s="11" t="s">
        <v>125</v>
      </c>
      <c r="B61" s="87">
        <v>600</v>
      </c>
      <c r="C61" s="88">
        <v>0</v>
      </c>
      <c r="D61" s="67" t="s">
        <v>93</v>
      </c>
      <c r="E61"/>
      <c r="F61"/>
      <c r="G61"/>
    </row>
    <row r="62" spans="1:7" x14ac:dyDescent="0.2">
      <c r="A62" s="11" t="s">
        <v>126</v>
      </c>
      <c r="B62" s="87">
        <v>700</v>
      </c>
      <c r="C62" s="90">
        <v>0</v>
      </c>
      <c r="D62" s="67" t="s">
        <v>93</v>
      </c>
      <c r="E62"/>
      <c r="F62"/>
      <c r="G62"/>
    </row>
    <row r="63" spans="1:7" x14ac:dyDescent="0.2">
      <c r="B63" s="87"/>
      <c r="C63" s="91">
        <f>SUM(C60:C62)</f>
        <v>2597693.96</v>
      </c>
      <c r="D63" s="70"/>
      <c r="E63"/>
      <c r="F63"/>
      <c r="G63"/>
    </row>
    <row r="64" spans="1:7" x14ac:dyDescent="0.2">
      <c r="A64" s="86" t="s">
        <v>127</v>
      </c>
      <c r="B64" s="87"/>
      <c r="C64" s="92"/>
      <c r="D64" s="70"/>
      <c r="E64"/>
      <c r="F64"/>
      <c r="G64"/>
    </row>
    <row r="65" spans="1:7" x14ac:dyDescent="0.2">
      <c r="A65" s="11" t="s">
        <v>128</v>
      </c>
      <c r="B65" s="87">
        <v>200</v>
      </c>
      <c r="C65" s="88">
        <f>'C-UE-2'!K27</f>
        <v>941312.07</v>
      </c>
      <c r="D65" s="67" t="s">
        <v>93</v>
      </c>
      <c r="E65"/>
      <c r="F65"/>
      <c r="G65"/>
    </row>
    <row r="66" spans="1:7" x14ac:dyDescent="0.2">
      <c r="A66" s="11" t="s">
        <v>129</v>
      </c>
      <c r="B66" s="87">
        <v>600</v>
      </c>
      <c r="C66" s="88"/>
      <c r="D66" s="67" t="s">
        <v>93</v>
      </c>
      <c r="E66"/>
      <c r="F66"/>
      <c r="G66"/>
    </row>
    <row r="67" spans="1:7" x14ac:dyDescent="0.2">
      <c r="A67" s="11" t="s">
        <v>130</v>
      </c>
      <c r="B67" s="87">
        <v>700</v>
      </c>
      <c r="C67" s="90"/>
      <c r="D67" s="67" t="s">
        <v>93</v>
      </c>
      <c r="E67"/>
      <c r="F67"/>
      <c r="G67"/>
    </row>
    <row r="68" spans="1:7" x14ac:dyDescent="0.2">
      <c r="C68" s="91">
        <f>SUM(C65:C67)</f>
        <v>941312.07</v>
      </c>
      <c r="E68"/>
      <c r="F68"/>
      <c r="G68"/>
    </row>
    <row r="69" spans="1:7" x14ac:dyDescent="0.2">
      <c r="C69" s="92"/>
      <c r="E69"/>
      <c r="F69"/>
      <c r="G69"/>
    </row>
    <row r="70" spans="1:7" x14ac:dyDescent="0.2">
      <c r="C70" s="92">
        <f>C63+C68</f>
        <v>3539006.03</v>
      </c>
      <c r="E70" s="92">
        <f>G52-C70</f>
        <v>-2.9999999795109034E-2</v>
      </c>
      <c r="F70" s="11" t="s">
        <v>131</v>
      </c>
    </row>
    <row r="72" spans="1:7" x14ac:dyDescent="0.2">
      <c r="A72" s="93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opLeftCell="D1" workbookViewId="0">
      <selection activeCell="R1" sqref="R1"/>
    </sheetView>
  </sheetViews>
  <sheetFormatPr defaultRowHeight="12.75" x14ac:dyDescent="0.2"/>
  <cols>
    <col min="1" max="1" width="22.5703125" style="94" hidden="1" customWidth="1"/>
    <col min="2" max="2" width="19.85546875" style="94" hidden="1" customWidth="1"/>
    <col min="3" max="3" width="22.5703125" style="94" hidden="1" customWidth="1"/>
    <col min="5" max="5" width="12.140625" bestFit="1" customWidth="1"/>
    <col min="6" max="6" width="14.7109375" bestFit="1" customWidth="1"/>
    <col min="7" max="7" width="14.140625" bestFit="1" customWidth="1"/>
    <col min="8" max="10" width="13.140625" bestFit="1" customWidth="1"/>
    <col min="11" max="14" width="11.140625" customWidth="1"/>
    <col min="15" max="15" width="2.28515625" customWidth="1"/>
    <col min="17" max="17" width="14.5703125" customWidth="1"/>
    <col min="18" max="18" width="10.42578125" bestFit="1" customWidth="1"/>
  </cols>
  <sheetData>
    <row r="1" spans="1:18" x14ac:dyDescent="0.2">
      <c r="D1" s="10" t="s">
        <v>77</v>
      </c>
    </row>
    <row r="2" spans="1:18" x14ac:dyDescent="0.2">
      <c r="D2" s="10" t="s">
        <v>57</v>
      </c>
    </row>
    <row r="3" spans="1:18" x14ac:dyDescent="0.2">
      <c r="D3" s="10" t="str">
        <f>SharedInputs!B2</f>
        <v>TWELVE MONTHS ENDED DECEMBER 31, 2018</v>
      </c>
    </row>
    <row r="5" spans="1:18" ht="13.5" thickBot="1" x14ac:dyDescent="0.25">
      <c r="A5" s="95"/>
      <c r="B5" s="95"/>
      <c r="C5" s="95"/>
    </row>
    <row r="6" spans="1:18" ht="13.5" thickBot="1" x14ac:dyDescent="0.25">
      <c r="E6" s="134" t="s">
        <v>132</v>
      </c>
      <c r="F6" s="135"/>
      <c r="G6" s="135"/>
      <c r="H6" s="135"/>
      <c r="I6" s="135"/>
      <c r="J6" s="135"/>
      <c r="K6" s="135"/>
      <c r="L6" s="135"/>
      <c r="M6" s="135"/>
      <c r="N6" s="136"/>
      <c r="Q6" s="134" t="s">
        <v>133</v>
      </c>
      <c r="R6" s="136"/>
    </row>
    <row r="7" spans="1:18" ht="13.5" thickBot="1" x14ac:dyDescent="0.25">
      <c r="A7" s="95" t="s">
        <v>134</v>
      </c>
      <c r="B7" s="95" t="s">
        <v>135</v>
      </c>
      <c r="C7" s="95" t="s">
        <v>136</v>
      </c>
      <c r="E7" s="137" t="s">
        <v>137</v>
      </c>
      <c r="F7" s="138"/>
      <c r="G7" s="137" t="s">
        <v>138</v>
      </c>
      <c r="H7" s="138"/>
      <c r="I7" s="134" t="s">
        <v>139</v>
      </c>
      <c r="J7" s="136"/>
      <c r="K7" s="137" t="s">
        <v>140</v>
      </c>
      <c r="L7" s="139"/>
      <c r="M7" s="139"/>
      <c r="N7" s="138"/>
      <c r="Q7" s="134" t="s">
        <v>141</v>
      </c>
      <c r="R7" s="136"/>
    </row>
    <row r="8" spans="1:18" x14ac:dyDescent="0.2">
      <c r="A8" s="95"/>
      <c r="B8" s="95"/>
      <c r="C8" s="95"/>
      <c r="E8" s="96">
        <v>144200</v>
      </c>
      <c r="F8" s="96">
        <v>144200</v>
      </c>
      <c r="G8" s="96">
        <v>144600</v>
      </c>
      <c r="H8" s="96">
        <v>144600</v>
      </c>
      <c r="I8" s="96">
        <v>144700</v>
      </c>
      <c r="J8" s="96">
        <v>144700</v>
      </c>
      <c r="K8" s="96">
        <v>144200</v>
      </c>
      <c r="L8" s="96">
        <v>144200</v>
      </c>
      <c r="M8" s="96">
        <v>144200</v>
      </c>
      <c r="N8" s="96">
        <v>144200</v>
      </c>
      <c r="Q8" s="96">
        <v>904000</v>
      </c>
      <c r="R8" s="96">
        <v>904000</v>
      </c>
    </row>
    <row r="9" spans="1:18" x14ac:dyDescent="0.2">
      <c r="A9" s="95">
        <v>38101549.789999999</v>
      </c>
      <c r="B9" s="95">
        <v>232525.64</v>
      </c>
      <c r="C9" s="95">
        <v>38334075.43</v>
      </c>
      <c r="E9" s="96" t="s">
        <v>142</v>
      </c>
      <c r="F9" s="96" t="s">
        <v>142</v>
      </c>
      <c r="G9" s="96" t="s">
        <v>142</v>
      </c>
      <c r="H9" s="96" t="s">
        <v>142</v>
      </c>
      <c r="I9" s="96" t="s">
        <v>142</v>
      </c>
      <c r="J9" s="96" t="s">
        <v>142</v>
      </c>
      <c r="K9" s="96" t="s">
        <v>95</v>
      </c>
      <c r="L9" s="96" t="s">
        <v>95</v>
      </c>
      <c r="M9" s="96" t="s">
        <v>96</v>
      </c>
      <c r="N9" s="96" t="s">
        <v>96</v>
      </c>
      <c r="Q9" s="96" t="s">
        <v>143</v>
      </c>
      <c r="R9" s="96" t="s">
        <v>144</v>
      </c>
    </row>
    <row r="10" spans="1:18" x14ac:dyDescent="0.2">
      <c r="A10" s="95">
        <v>38334075.43</v>
      </c>
      <c r="B10" s="95">
        <v>443557.72000000003</v>
      </c>
      <c r="C10" s="95">
        <v>38777633.149999999</v>
      </c>
      <c r="E10" s="96" t="s">
        <v>71</v>
      </c>
      <c r="F10" s="96" t="s">
        <v>72</v>
      </c>
      <c r="G10" s="96" t="s">
        <v>71</v>
      </c>
      <c r="H10" s="96" t="s">
        <v>72</v>
      </c>
      <c r="I10" s="96" t="s">
        <v>71</v>
      </c>
      <c r="J10" s="96" t="s">
        <v>72</v>
      </c>
      <c r="K10" s="96" t="s">
        <v>71</v>
      </c>
      <c r="L10" s="96" t="s">
        <v>72</v>
      </c>
      <c r="M10" s="96" t="s">
        <v>71</v>
      </c>
      <c r="N10" s="96" t="s">
        <v>72</v>
      </c>
      <c r="Q10" s="96" t="s">
        <v>145</v>
      </c>
      <c r="R10" s="96" t="s">
        <v>145</v>
      </c>
    </row>
    <row r="11" spans="1:18" x14ac:dyDescent="0.2">
      <c r="A11" s="95">
        <v>38777633.149999999</v>
      </c>
      <c r="B11" s="95">
        <v>480645.12</v>
      </c>
      <c r="C11" s="95">
        <v>39258278.270000003</v>
      </c>
      <c r="D11">
        <v>201801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116">
        <v>122395.20000000001</v>
      </c>
      <c r="L11" s="116">
        <v>39434.950000000004</v>
      </c>
      <c r="M11" s="116">
        <v>9657.82</v>
      </c>
      <c r="N11" s="116">
        <v>4664.4299999999994</v>
      </c>
      <c r="P11">
        <v>201710</v>
      </c>
      <c r="Q11" s="116">
        <v>235777.5</v>
      </c>
      <c r="R11" s="116">
        <v>151492.5</v>
      </c>
    </row>
    <row r="12" spans="1:18" x14ac:dyDescent="0.2">
      <c r="A12" s="95">
        <v>39258278.270000003</v>
      </c>
      <c r="B12" s="95">
        <v>418404.86</v>
      </c>
      <c r="C12" s="95">
        <v>39676683.130000003</v>
      </c>
      <c r="D12">
        <f>D11+1</f>
        <v>201802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116">
        <v>116382.95999999999</v>
      </c>
      <c r="L12" s="116">
        <v>30987.309999999998</v>
      </c>
      <c r="M12" s="116">
        <v>18880.189999999995</v>
      </c>
      <c r="N12" s="116">
        <v>4159.5</v>
      </c>
      <c r="P12">
        <f>P11+1</f>
        <v>201711</v>
      </c>
      <c r="Q12" s="116">
        <v>235777.5</v>
      </c>
      <c r="R12" s="116">
        <v>151492.5</v>
      </c>
    </row>
    <row r="13" spans="1:18" x14ac:dyDescent="0.2">
      <c r="A13" s="95">
        <v>39676683.130000003</v>
      </c>
      <c r="B13" s="95">
        <v>597753.96</v>
      </c>
      <c r="C13" s="95">
        <v>40274437.090000004</v>
      </c>
      <c r="D13">
        <f t="shared" ref="D13:D22" si="0">D12+1</f>
        <v>201803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116">
        <v>101249.47999999998</v>
      </c>
      <c r="L13" s="116">
        <v>29677</v>
      </c>
      <c r="M13" s="116">
        <v>18494.84</v>
      </c>
      <c r="N13" s="116">
        <v>1274.8799999999999</v>
      </c>
      <c r="P13">
        <f t="shared" ref="P13:P21" si="1">P12+1</f>
        <v>201712</v>
      </c>
      <c r="Q13" s="116">
        <v>235777.5</v>
      </c>
      <c r="R13" s="116">
        <v>151492.5</v>
      </c>
    </row>
    <row r="14" spans="1:18" x14ac:dyDescent="0.2">
      <c r="A14" s="95">
        <v>40274437.090000004</v>
      </c>
      <c r="B14" s="95">
        <v>491119.34</v>
      </c>
      <c r="C14" s="95">
        <v>40765556.43</v>
      </c>
      <c r="D14">
        <f t="shared" si="0"/>
        <v>201804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116">
        <v>263322.43</v>
      </c>
      <c r="L14" s="116">
        <v>46501.97</v>
      </c>
      <c r="M14" s="116">
        <v>56242.810000000005</v>
      </c>
      <c r="N14" s="116">
        <v>8419.5300000000007</v>
      </c>
      <c r="P14">
        <v>201801</v>
      </c>
      <c r="Q14" s="116">
        <v>235777.5</v>
      </c>
      <c r="R14" s="116">
        <v>151492.5</v>
      </c>
    </row>
    <row r="15" spans="1:18" x14ac:dyDescent="0.2">
      <c r="A15" s="95">
        <v>40765556.43</v>
      </c>
      <c r="B15" s="95">
        <v>685210.31</v>
      </c>
      <c r="C15" s="95">
        <v>41450766.740000002</v>
      </c>
      <c r="D15">
        <f t="shared" si="0"/>
        <v>201805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116">
        <v>246133.5</v>
      </c>
      <c r="L15" s="116">
        <v>91680.510000000038</v>
      </c>
      <c r="M15" s="116">
        <v>46271.99</v>
      </c>
      <c r="N15" s="116">
        <v>20324.53</v>
      </c>
      <c r="P15">
        <f t="shared" si="1"/>
        <v>201802</v>
      </c>
      <c r="Q15" s="116">
        <v>235777.5</v>
      </c>
      <c r="R15" s="116">
        <v>151492.5</v>
      </c>
    </row>
    <row r="16" spans="1:18" x14ac:dyDescent="0.2">
      <c r="A16" s="95">
        <v>41450766.740000002</v>
      </c>
      <c r="B16" s="95">
        <v>375309.96</v>
      </c>
      <c r="C16" s="95">
        <v>41826076.700000003</v>
      </c>
      <c r="D16">
        <f t="shared" si="0"/>
        <v>201806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116">
        <v>288927.52</v>
      </c>
      <c r="L16" s="116">
        <v>146538.03</v>
      </c>
      <c r="M16" s="116">
        <v>54859.53</v>
      </c>
      <c r="N16" s="116">
        <v>30771.520000000004</v>
      </c>
      <c r="P16">
        <f t="shared" si="1"/>
        <v>201803</v>
      </c>
      <c r="Q16" s="116">
        <v>235777.5</v>
      </c>
      <c r="R16" s="116">
        <v>151492.5</v>
      </c>
    </row>
    <row r="17" spans="1:18" x14ac:dyDescent="0.2">
      <c r="A17" s="95">
        <v>41826076.700000003</v>
      </c>
      <c r="B17" s="95">
        <v>492319.79000000004</v>
      </c>
      <c r="C17" s="95">
        <v>42318396.490000002</v>
      </c>
      <c r="D17">
        <f t="shared" si="0"/>
        <v>201807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116">
        <v>282213.40000000008</v>
      </c>
      <c r="L17" s="116">
        <v>120665.17</v>
      </c>
      <c r="M17" s="116">
        <v>64215.799999999996</v>
      </c>
      <c r="N17" s="116">
        <v>26310.45</v>
      </c>
      <c r="P17">
        <f t="shared" si="1"/>
        <v>201804</v>
      </c>
      <c r="Q17" s="116">
        <v>183382.5</v>
      </c>
      <c r="R17" s="116">
        <v>117827.5</v>
      </c>
    </row>
    <row r="18" spans="1:18" x14ac:dyDescent="0.2">
      <c r="A18" s="95">
        <v>42318396.490000002</v>
      </c>
      <c r="B18" s="95">
        <v>468024.26</v>
      </c>
      <c r="C18" s="95">
        <v>42786420.75</v>
      </c>
      <c r="D18">
        <f t="shared" si="0"/>
        <v>201808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116">
        <v>236894.3</v>
      </c>
      <c r="L18" s="116">
        <v>100160.30999999998</v>
      </c>
      <c r="M18" s="116">
        <v>50542.950000000004</v>
      </c>
      <c r="N18" s="116">
        <v>17449.570000000003</v>
      </c>
      <c r="P18">
        <f t="shared" si="1"/>
        <v>201805</v>
      </c>
      <c r="Q18" s="116">
        <v>183382.5</v>
      </c>
      <c r="R18" s="116">
        <v>117827.5</v>
      </c>
    </row>
    <row r="19" spans="1:18" x14ac:dyDescent="0.2">
      <c r="A19" s="95">
        <v>42786420.75</v>
      </c>
      <c r="B19" s="95">
        <v>309186.27</v>
      </c>
      <c r="C19" s="95">
        <v>43095607.020000003</v>
      </c>
      <c r="D19">
        <f t="shared" si="0"/>
        <v>201809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116">
        <v>155169.44000000003</v>
      </c>
      <c r="L19" s="116">
        <v>58245.06</v>
      </c>
      <c r="M19" s="116">
        <v>25419.22</v>
      </c>
      <c r="N19" s="116">
        <v>5998.8099999999995</v>
      </c>
      <c r="P19">
        <f t="shared" si="1"/>
        <v>201806</v>
      </c>
      <c r="Q19" s="116">
        <v>183382.5</v>
      </c>
      <c r="R19" s="116">
        <v>117827.5</v>
      </c>
    </row>
    <row r="20" spans="1:18" x14ac:dyDescent="0.2">
      <c r="A20" s="95">
        <v>42786420.75</v>
      </c>
      <c r="B20" s="95">
        <v>309186.27</v>
      </c>
      <c r="C20" s="95">
        <v>43095607.020000003</v>
      </c>
      <c r="D20">
        <f t="shared" si="0"/>
        <v>201810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116">
        <v>143777.53</v>
      </c>
      <c r="L20" s="116">
        <v>64350.93</v>
      </c>
      <c r="M20" s="116">
        <v>12894.21</v>
      </c>
      <c r="N20" s="116">
        <v>7311.26</v>
      </c>
      <c r="P20">
        <f t="shared" si="1"/>
        <v>201807</v>
      </c>
      <c r="Q20" s="116">
        <v>78592.5</v>
      </c>
      <c r="R20" s="116">
        <v>50497.5</v>
      </c>
    </row>
    <row r="21" spans="1:18" x14ac:dyDescent="0.2">
      <c r="A21" s="95">
        <v>43095607.020000003</v>
      </c>
      <c r="B21" s="95">
        <v>391058.08</v>
      </c>
      <c r="C21" s="95">
        <v>43486665.100000001</v>
      </c>
      <c r="D21">
        <f t="shared" si="0"/>
        <v>201811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116">
        <v>111688.61999999998</v>
      </c>
      <c r="L21" s="116">
        <v>29885.809999999998</v>
      </c>
      <c r="M21" s="116">
        <v>2504.6299999999997</v>
      </c>
      <c r="N21" s="116">
        <v>-6752.8799999999992</v>
      </c>
      <c r="P21">
        <f t="shared" si="1"/>
        <v>201808</v>
      </c>
      <c r="Q21" s="116">
        <v>0</v>
      </c>
      <c r="R21" s="116">
        <v>0</v>
      </c>
    </row>
    <row r="22" spans="1:18" x14ac:dyDescent="0.2">
      <c r="A22" s="95"/>
      <c r="B22" s="95"/>
      <c r="C22" s="95"/>
      <c r="D22">
        <f t="shared" si="0"/>
        <v>201812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116">
        <v>157290.94999999995</v>
      </c>
      <c r="L22" s="116">
        <v>58530.439999999995</v>
      </c>
      <c r="M22" s="116">
        <v>12264.64</v>
      </c>
      <c r="N22" s="116">
        <v>4722.9800000000005</v>
      </c>
      <c r="P22">
        <f>P21+1</f>
        <v>201809</v>
      </c>
      <c r="Q22" s="116">
        <v>0</v>
      </c>
      <c r="R22" s="116">
        <v>0</v>
      </c>
    </row>
    <row r="23" spans="1:18" ht="13.5" thickBot="1" x14ac:dyDescent="0.25">
      <c r="A23" s="98">
        <f>SUM(A9:A21)</f>
        <v>529451901.74000001</v>
      </c>
      <c r="B23" s="98">
        <f>SUM(B9:B21)</f>
        <v>5694301.5799999982</v>
      </c>
      <c r="C23" s="98">
        <f>SUM(C9:C21)</f>
        <v>535146203.31999999</v>
      </c>
      <c r="E23" s="99">
        <f t="shared" ref="E23:N23" si="2">SUM(E11:E22)</f>
        <v>0</v>
      </c>
      <c r="F23" s="99">
        <f t="shared" si="2"/>
        <v>0</v>
      </c>
      <c r="G23" s="99">
        <f t="shared" si="2"/>
        <v>0</v>
      </c>
      <c r="H23" s="99">
        <f t="shared" si="2"/>
        <v>0</v>
      </c>
      <c r="I23" s="99">
        <f t="shared" si="2"/>
        <v>0</v>
      </c>
      <c r="J23" s="99">
        <f t="shared" si="2"/>
        <v>0</v>
      </c>
      <c r="K23" s="99">
        <f t="shared" si="2"/>
        <v>2225445.33</v>
      </c>
      <c r="L23" s="99">
        <f t="shared" si="2"/>
        <v>816657.49</v>
      </c>
      <c r="M23" s="99">
        <f t="shared" si="2"/>
        <v>372248.63000000006</v>
      </c>
      <c r="N23" s="99">
        <f t="shared" si="2"/>
        <v>124654.57999999999</v>
      </c>
      <c r="Q23" s="99">
        <f>SUM(Q11:Q22)</f>
        <v>2043405</v>
      </c>
      <c r="R23" s="99">
        <f>SUM(R11:R22)</f>
        <v>1312935</v>
      </c>
    </row>
    <row r="24" spans="1:18" x14ac:dyDescent="0.2">
      <c r="A24" s="95"/>
      <c r="B24" s="95"/>
      <c r="C24" s="95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Q24" s="100" t="s">
        <v>94</v>
      </c>
      <c r="R24" s="100" t="s">
        <v>94</v>
      </c>
    </row>
    <row r="25" spans="1:18" x14ac:dyDescent="0.2">
      <c r="A25" s="95">
        <v>40765556.43</v>
      </c>
      <c r="B25" s="95">
        <v>685210.31</v>
      </c>
      <c r="C25" s="95">
        <v>41450766.740000002</v>
      </c>
      <c r="J25" s="100"/>
    </row>
    <row r="26" spans="1:18" x14ac:dyDescent="0.2">
      <c r="A26" s="95"/>
      <c r="B26" s="95"/>
      <c r="C26" s="95"/>
      <c r="E26" s="97"/>
      <c r="F26" s="97"/>
      <c r="G26" s="97"/>
      <c r="H26" s="97"/>
      <c r="I26" s="97"/>
      <c r="J26" s="100" t="s">
        <v>94</v>
      </c>
      <c r="K26" s="101">
        <f>SUM(K23,M23)</f>
        <v>2597693.96</v>
      </c>
      <c r="L26" t="s">
        <v>146</v>
      </c>
    </row>
    <row r="27" spans="1:18" x14ac:dyDescent="0.2">
      <c r="A27" s="95"/>
      <c r="B27" s="95"/>
      <c r="C27" s="95"/>
      <c r="J27" s="100" t="s">
        <v>94</v>
      </c>
      <c r="K27" s="101">
        <f>SUM(L23,N23)</f>
        <v>941312.07</v>
      </c>
      <c r="L27" t="s">
        <v>147</v>
      </c>
    </row>
    <row r="28" spans="1:18" x14ac:dyDescent="0.2">
      <c r="A28" s="95"/>
      <c r="B28" s="95"/>
      <c r="C28" s="95"/>
      <c r="E28" s="101"/>
      <c r="F28" s="101"/>
      <c r="G28" s="101"/>
      <c r="H28" s="101"/>
      <c r="I28" s="101"/>
      <c r="J28" s="101"/>
    </row>
    <row r="29" spans="1:18" x14ac:dyDescent="0.2">
      <c r="A29" s="95">
        <v>43095607.020000003</v>
      </c>
      <c r="B29" s="95">
        <v>391058.08</v>
      </c>
      <c r="C29" s="95">
        <v>43486665.100000001</v>
      </c>
      <c r="F29" s="102" t="s">
        <v>148</v>
      </c>
    </row>
    <row r="30" spans="1:18" x14ac:dyDescent="0.2">
      <c r="A30" s="95"/>
      <c r="B30" s="95"/>
      <c r="C30" s="95"/>
      <c r="F30" s="103" t="s">
        <v>149</v>
      </c>
      <c r="G30" s="104"/>
      <c r="H30" s="105"/>
    </row>
    <row r="31" spans="1:18" ht="13.5" thickBot="1" x14ac:dyDescent="0.25">
      <c r="A31" s="98">
        <f>SUM(A25:A29)</f>
        <v>83861163.450000003</v>
      </c>
      <c r="B31" s="98">
        <f>SUM(B25:B29)</f>
        <v>1076268.3900000001</v>
      </c>
      <c r="C31" s="98">
        <f>SUM(C25:C29)</f>
        <v>84937431.840000004</v>
      </c>
      <c r="F31" s="106" t="s">
        <v>150</v>
      </c>
      <c r="H31" s="101"/>
    </row>
    <row r="32" spans="1:18" x14ac:dyDescent="0.2">
      <c r="A32" s="95"/>
      <c r="B32" s="95"/>
      <c r="C32" s="95"/>
    </row>
    <row r="33" spans="1:3" s="108" customFormat="1" ht="13.5" thickBot="1" x14ac:dyDescent="0.25">
      <c r="A33" s="107">
        <f>SUM(A31,A23)</f>
        <v>613313065.19000006</v>
      </c>
      <c r="B33" s="107">
        <f>SUM(B31,B23)</f>
        <v>6770569.9699999988</v>
      </c>
      <c r="C33" s="107">
        <f>SUM(C31,C23)</f>
        <v>620083635.15999997</v>
      </c>
    </row>
    <row r="34" spans="1:3" s="108" customFormat="1" ht="13.5" thickTop="1" x14ac:dyDescent="0.2">
      <c r="A34" s="109"/>
      <c r="B34" s="109"/>
      <c r="C34" s="109"/>
    </row>
    <row r="35" spans="1:3" x14ac:dyDescent="0.2">
      <c r="A35" s="95">
        <v>-10786222.189999999</v>
      </c>
      <c r="B35" s="95">
        <v>-44965.55</v>
      </c>
      <c r="C35" s="95">
        <v>-10831187.74</v>
      </c>
    </row>
    <row r="36" spans="1:3" x14ac:dyDescent="0.2">
      <c r="A36" s="95">
        <v>-10831187.74</v>
      </c>
      <c r="B36" s="95">
        <v>-49517.85</v>
      </c>
      <c r="C36" s="95">
        <v>-10880705.59</v>
      </c>
    </row>
    <row r="37" spans="1:3" x14ac:dyDescent="0.2">
      <c r="A37" s="95">
        <v>-10880705.59</v>
      </c>
      <c r="B37" s="95">
        <v>-56847.950000000004</v>
      </c>
      <c r="C37" s="95">
        <v>-10937553.539999999</v>
      </c>
    </row>
    <row r="38" spans="1:3" x14ac:dyDescent="0.2">
      <c r="A38" s="95">
        <v>-10937553.539999999</v>
      </c>
      <c r="B38" s="95">
        <v>-63218.65</v>
      </c>
      <c r="C38" s="95">
        <v>-11000772.189999999</v>
      </c>
    </row>
    <row r="39" spans="1:3" x14ac:dyDescent="0.2">
      <c r="A39" s="95">
        <v>-11000772.189999999</v>
      </c>
      <c r="B39" s="95">
        <v>-76112.37</v>
      </c>
      <c r="C39" s="95">
        <v>-11076884.560000001</v>
      </c>
    </row>
    <row r="40" spans="1:3" x14ac:dyDescent="0.2">
      <c r="A40" s="95">
        <v>-11076884.560000001</v>
      </c>
      <c r="B40" s="95">
        <v>-69810.61</v>
      </c>
      <c r="C40" s="95">
        <v>-11146695.17</v>
      </c>
    </row>
    <row r="41" spans="1:3" x14ac:dyDescent="0.2">
      <c r="A41" s="95">
        <v>-11146695.17</v>
      </c>
      <c r="B41" s="95">
        <v>-62479.590000000004</v>
      </c>
      <c r="C41" s="95">
        <v>-11209174.76</v>
      </c>
    </row>
    <row r="42" spans="1:3" x14ac:dyDescent="0.2">
      <c r="A42" s="95">
        <v>-11209174.76</v>
      </c>
      <c r="B42" s="95">
        <v>-61132.639999999999</v>
      </c>
      <c r="C42" s="95">
        <v>-11270307.4</v>
      </c>
    </row>
    <row r="43" spans="1:3" x14ac:dyDescent="0.2">
      <c r="A43" s="95">
        <v>-11270307.4</v>
      </c>
      <c r="B43" s="95">
        <v>-54764.020000000004</v>
      </c>
      <c r="C43" s="95">
        <v>-11325071.42</v>
      </c>
    </row>
    <row r="44" spans="1:3" x14ac:dyDescent="0.2">
      <c r="A44" s="95">
        <v>-11325071.42</v>
      </c>
      <c r="B44" s="95">
        <v>-87124.2</v>
      </c>
      <c r="C44" s="95">
        <v>-11412195.619999999</v>
      </c>
    </row>
    <row r="45" spans="1:3" x14ac:dyDescent="0.2">
      <c r="A45" s="95">
        <v>-11412195.619999999</v>
      </c>
      <c r="B45" s="95">
        <v>-59772.54</v>
      </c>
      <c r="C45" s="95">
        <v>-11471968.16</v>
      </c>
    </row>
    <row r="46" spans="1:3" x14ac:dyDescent="0.2">
      <c r="A46" s="95">
        <v>-11412195.619999999</v>
      </c>
      <c r="B46" s="95">
        <v>-59772.54</v>
      </c>
      <c r="C46" s="95">
        <v>-11471968.16</v>
      </c>
    </row>
    <row r="47" spans="1:3" x14ac:dyDescent="0.2">
      <c r="A47" s="95">
        <v>-11471968.16</v>
      </c>
      <c r="B47" s="95">
        <v>-156592.51999999999</v>
      </c>
      <c r="C47" s="95">
        <v>-11628560.68</v>
      </c>
    </row>
    <row r="48" spans="1:3" x14ac:dyDescent="0.2">
      <c r="A48" s="95"/>
      <c r="B48" s="95"/>
      <c r="C48" s="95"/>
    </row>
    <row r="49" spans="1:3" ht="13.5" thickBot="1" x14ac:dyDescent="0.25">
      <c r="A49" s="98">
        <f>SUM(A35:A47)</f>
        <v>-144760933.96000004</v>
      </c>
      <c r="B49" s="98">
        <f>SUM(B35:B47)</f>
        <v>-902111.03</v>
      </c>
      <c r="C49" s="98">
        <f>SUM(C35:C47)</f>
        <v>-145663044.99000001</v>
      </c>
    </row>
    <row r="50" spans="1:3" hidden="1" x14ac:dyDescent="0.2">
      <c r="A50" s="95"/>
      <c r="B50" s="95"/>
      <c r="C50" s="95"/>
    </row>
    <row r="51" spans="1:3" hidden="1" x14ac:dyDescent="0.2">
      <c r="A51" s="95"/>
      <c r="B51" s="95"/>
      <c r="C51" s="95"/>
    </row>
    <row r="52" spans="1:3" hidden="1" x14ac:dyDescent="0.2">
      <c r="A52" s="95"/>
      <c r="B52" s="95"/>
      <c r="C52" s="95"/>
    </row>
    <row r="53" spans="1:3" hidden="1" x14ac:dyDescent="0.2">
      <c r="A53" s="95"/>
      <c r="B53" s="95"/>
      <c r="C53" s="95"/>
    </row>
    <row r="54" spans="1:3" ht="13.5" hidden="1" thickBot="1" x14ac:dyDescent="0.25">
      <c r="A54" s="98">
        <f>SUM(A51:A53)</f>
        <v>0</v>
      </c>
      <c r="B54" s="98">
        <f>SUM(B51:B53)</f>
        <v>0</v>
      </c>
      <c r="C54" s="98">
        <f>SUM(C51:C53)</f>
        <v>0</v>
      </c>
    </row>
    <row r="55" spans="1:3" x14ac:dyDescent="0.2">
      <c r="A55" s="95"/>
      <c r="B55" s="95"/>
      <c r="C55" s="95"/>
    </row>
    <row r="56" spans="1:3" s="108" customFormat="1" ht="13.5" thickBot="1" x14ac:dyDescent="0.25">
      <c r="A56" s="107">
        <f>SUM(A54,A49)</f>
        <v>-144760933.96000004</v>
      </c>
      <c r="B56" s="107">
        <f>SUM(B54,B49)</f>
        <v>-902111.03</v>
      </c>
      <c r="C56" s="107">
        <f>SUM(C54,C49)</f>
        <v>-145663044.99000001</v>
      </c>
    </row>
    <row r="57" spans="1:3" s="108" customFormat="1" ht="13.5" thickTop="1" x14ac:dyDescent="0.2">
      <c r="A57" s="109"/>
      <c r="B57" s="109"/>
      <c r="C57" s="109"/>
    </row>
    <row r="58" spans="1:3" x14ac:dyDescent="0.2">
      <c r="A58" s="95">
        <v>-5012658.66</v>
      </c>
      <c r="B58" s="95">
        <v>-60645.340000000004</v>
      </c>
      <c r="C58" s="95">
        <v>-5073304</v>
      </c>
    </row>
    <row r="59" spans="1:3" x14ac:dyDescent="0.2">
      <c r="A59" s="95">
        <v>-5073304</v>
      </c>
      <c r="B59" s="95">
        <v>-93264.92</v>
      </c>
      <c r="C59" s="95">
        <v>-5166568.92</v>
      </c>
    </row>
    <row r="60" spans="1:3" x14ac:dyDescent="0.2">
      <c r="A60" s="95">
        <v>-5166568.92</v>
      </c>
      <c r="B60" s="95">
        <v>-80792.22</v>
      </c>
      <c r="C60" s="95">
        <v>-5247361.1399999997</v>
      </c>
    </row>
    <row r="61" spans="1:3" x14ac:dyDescent="0.2">
      <c r="A61" s="95">
        <v>-5247361.1399999997</v>
      </c>
      <c r="B61" s="95">
        <v>-69196.7</v>
      </c>
      <c r="C61" s="95">
        <v>-5316557.84</v>
      </c>
    </row>
    <row r="62" spans="1:3" x14ac:dyDescent="0.2">
      <c r="A62" s="95">
        <v>-5316557.84</v>
      </c>
      <c r="B62" s="95">
        <v>-75545.2</v>
      </c>
      <c r="C62" s="95">
        <v>-5392103.04</v>
      </c>
    </row>
    <row r="63" spans="1:3" x14ac:dyDescent="0.2">
      <c r="A63" s="95">
        <v>-5392103.04</v>
      </c>
      <c r="B63" s="95">
        <v>-47953.9</v>
      </c>
      <c r="C63" s="95">
        <v>-5440056.9400000004</v>
      </c>
    </row>
    <row r="64" spans="1:3" x14ac:dyDescent="0.2">
      <c r="A64" s="95">
        <v>-5440056.9400000004</v>
      </c>
      <c r="B64" s="95">
        <v>-87589.06</v>
      </c>
      <c r="C64" s="95">
        <v>-5527646</v>
      </c>
    </row>
    <row r="65" spans="1:3" x14ac:dyDescent="0.2">
      <c r="A65" s="95">
        <v>-5527646</v>
      </c>
      <c r="B65" s="95">
        <v>-77871.150000000009</v>
      </c>
      <c r="C65" s="95">
        <v>-5605517.1500000004</v>
      </c>
    </row>
    <row r="66" spans="1:3" x14ac:dyDescent="0.2">
      <c r="A66" s="95">
        <v>-5605517.1500000004</v>
      </c>
      <c r="B66" s="95">
        <v>-102023.1</v>
      </c>
      <c r="C66" s="95">
        <v>-5707540.25</v>
      </c>
    </row>
    <row r="67" spans="1:3" x14ac:dyDescent="0.2">
      <c r="A67" s="95">
        <v>-5707540.25</v>
      </c>
      <c r="B67" s="95">
        <v>-84138.38</v>
      </c>
      <c r="C67" s="95">
        <v>-5791678.6299999999</v>
      </c>
    </row>
    <row r="68" spans="1:3" x14ac:dyDescent="0.2">
      <c r="A68" s="95">
        <v>-5791678.6299999999</v>
      </c>
      <c r="B68" s="95">
        <v>-63860.61</v>
      </c>
      <c r="C68" s="95">
        <v>-5855539.2400000002</v>
      </c>
    </row>
    <row r="69" spans="1:3" x14ac:dyDescent="0.2">
      <c r="A69" s="95">
        <v>-5791678.6299999999</v>
      </c>
      <c r="B69" s="95">
        <v>-63860.61</v>
      </c>
      <c r="C69" s="95">
        <v>-5855539.2400000002</v>
      </c>
    </row>
    <row r="70" spans="1:3" x14ac:dyDescent="0.2">
      <c r="A70" s="95">
        <v>-5855539.2400000002</v>
      </c>
      <c r="B70" s="95">
        <v>-89962.92</v>
      </c>
      <c r="C70" s="95">
        <v>-5945502.1600000001</v>
      </c>
    </row>
    <row r="71" spans="1:3" x14ac:dyDescent="0.2">
      <c r="A71" s="95"/>
      <c r="B71" s="95"/>
      <c r="C71" s="95"/>
    </row>
    <row r="72" spans="1:3" ht="13.5" thickBot="1" x14ac:dyDescent="0.25">
      <c r="A72" s="98">
        <f>SUM(A58:A70)</f>
        <v>-70928210.439999998</v>
      </c>
      <c r="B72" s="98">
        <f>SUM(B58:B70)</f>
        <v>-996704.11</v>
      </c>
      <c r="C72" s="98">
        <f>SUM(C58:C70)</f>
        <v>-71924914.549999997</v>
      </c>
    </row>
    <row r="73" spans="1:3" x14ac:dyDescent="0.2">
      <c r="A73" s="95"/>
      <c r="B73" s="95"/>
      <c r="C73" s="95"/>
    </row>
    <row r="74" spans="1:3" hidden="1" x14ac:dyDescent="0.2">
      <c r="A74" s="95"/>
      <c r="B74" s="95"/>
      <c r="C74" s="95"/>
    </row>
    <row r="75" spans="1:3" ht="13.5" hidden="1" thickBot="1" x14ac:dyDescent="0.25">
      <c r="A75" s="98">
        <f>SUM(A74:A74)</f>
        <v>0</v>
      </c>
      <c r="B75" s="98">
        <f>SUM(B74:B74)</f>
        <v>0</v>
      </c>
      <c r="C75" s="98">
        <f>SUM(C74:C74)</f>
        <v>0</v>
      </c>
    </row>
    <row r="76" spans="1:3" hidden="1" x14ac:dyDescent="0.2">
      <c r="A76" s="95"/>
      <c r="B76" s="95"/>
      <c r="C76" s="95"/>
    </row>
    <row r="77" spans="1:3" s="108" customFormat="1" ht="13.5" hidden="1" thickBot="1" x14ac:dyDescent="0.25">
      <c r="A77" s="107">
        <f>SUM(A75,A72)</f>
        <v>-70928210.439999998</v>
      </c>
      <c r="B77" s="107">
        <f>SUM(B75,B72)</f>
        <v>-996704.11</v>
      </c>
      <c r="C77" s="107">
        <f>SUM(C75,C72)</f>
        <v>-71924914.549999997</v>
      </c>
    </row>
    <row r="78" spans="1:3" x14ac:dyDescent="0.2">
      <c r="A78" s="95"/>
      <c r="B78" s="95"/>
      <c r="C78" s="95"/>
    </row>
    <row r="80" spans="1:3" x14ac:dyDescent="0.2">
      <c r="A80" s="95" t="s">
        <v>134</v>
      </c>
      <c r="B80" s="95" t="s">
        <v>135</v>
      </c>
      <c r="C80" s="95" t="s">
        <v>136</v>
      </c>
    </row>
    <row r="81" spans="1:3" x14ac:dyDescent="0.2">
      <c r="A81" s="95"/>
      <c r="B81" s="95"/>
      <c r="C81" s="95"/>
    </row>
    <row r="82" spans="1:3" x14ac:dyDescent="0.2">
      <c r="A82" s="95">
        <v>17126034.059999999</v>
      </c>
      <c r="B82" s="95">
        <v>71224.210000000006</v>
      </c>
      <c r="C82" s="95">
        <v>17197258.27</v>
      </c>
    </row>
    <row r="83" spans="1:3" x14ac:dyDescent="0.2">
      <c r="A83" s="95">
        <v>17197258.27</v>
      </c>
      <c r="B83" s="95">
        <v>83780.680000000008</v>
      </c>
      <c r="C83" s="95">
        <v>17281038.949999999</v>
      </c>
    </row>
    <row r="84" spans="1:3" x14ac:dyDescent="0.2">
      <c r="A84" s="95">
        <v>17281038.949999999</v>
      </c>
      <c r="B84" s="95">
        <v>119469.43000000001</v>
      </c>
      <c r="C84" s="95">
        <v>17400508.379999999</v>
      </c>
    </row>
    <row r="85" spans="1:3" x14ac:dyDescent="0.2">
      <c r="A85" s="95">
        <v>17400508.379999999</v>
      </c>
      <c r="B85" s="95">
        <v>150028.16</v>
      </c>
      <c r="C85" s="95">
        <v>17550536.539999999</v>
      </c>
    </row>
    <row r="86" spans="1:3" x14ac:dyDescent="0.2">
      <c r="A86" s="95">
        <v>17550536.539999999</v>
      </c>
      <c r="B86" s="95">
        <v>249220.78</v>
      </c>
      <c r="C86" s="95">
        <v>17799757.32</v>
      </c>
    </row>
    <row r="87" spans="1:3" x14ac:dyDescent="0.2">
      <c r="A87" s="95">
        <v>17799757.32</v>
      </c>
      <c r="B87" s="95">
        <v>275494.92</v>
      </c>
      <c r="C87" s="95">
        <v>18075252.239999998</v>
      </c>
    </row>
    <row r="88" spans="1:3" x14ac:dyDescent="0.2">
      <c r="A88" s="95">
        <v>18075252.239999998</v>
      </c>
      <c r="B88" s="95">
        <v>226381</v>
      </c>
      <c r="C88" s="95">
        <v>18301633.239999998</v>
      </c>
    </row>
    <row r="89" spans="1:3" x14ac:dyDescent="0.2">
      <c r="A89" s="95">
        <v>18301633.239999998</v>
      </c>
      <c r="B89" s="95">
        <v>159400.63</v>
      </c>
      <c r="C89" s="95">
        <v>18461033.870000001</v>
      </c>
    </row>
    <row r="90" spans="1:3" x14ac:dyDescent="0.2">
      <c r="A90" s="95">
        <v>18461033.870000001</v>
      </c>
      <c r="B90" s="95">
        <v>130544.18000000001</v>
      </c>
      <c r="C90" s="95">
        <v>18591578.050000001</v>
      </c>
    </row>
    <row r="91" spans="1:3" x14ac:dyDescent="0.2">
      <c r="A91" s="95">
        <v>18591578.050000001</v>
      </c>
      <c r="B91" s="95">
        <v>105594.31</v>
      </c>
      <c r="C91" s="95">
        <v>18697172.359999999</v>
      </c>
    </row>
    <row r="92" spans="1:3" x14ac:dyDescent="0.2">
      <c r="A92" s="95">
        <v>18697172.359999999</v>
      </c>
      <c r="B92" s="95">
        <v>104171.06</v>
      </c>
      <c r="C92" s="95">
        <v>18801343.420000002</v>
      </c>
    </row>
    <row r="93" spans="1:3" x14ac:dyDescent="0.2">
      <c r="A93" s="95">
        <v>18697172.359999999</v>
      </c>
      <c r="B93" s="95">
        <v>104171.06</v>
      </c>
      <c r="C93" s="95">
        <v>18801343.420000002</v>
      </c>
    </row>
    <row r="94" spans="1:3" x14ac:dyDescent="0.2">
      <c r="A94" s="95">
        <v>18801343.420000002</v>
      </c>
      <c r="B94" s="95">
        <v>59065.87</v>
      </c>
      <c r="C94" s="95">
        <v>18860409.289999999</v>
      </c>
    </row>
    <row r="95" spans="1:3" ht="13.5" thickBot="1" x14ac:dyDescent="0.25">
      <c r="A95" s="110">
        <f>SUM(A82:A94)</f>
        <v>233980319.06</v>
      </c>
      <c r="B95" s="110">
        <f>SUM(B82:B94)</f>
        <v>1838546.2900000003</v>
      </c>
      <c r="C95" s="110">
        <f>SUM(C82:C94)</f>
        <v>235818865.34999999</v>
      </c>
    </row>
    <row r="96" spans="1:3" hidden="1" x14ac:dyDescent="0.2">
      <c r="A96" s="95"/>
      <c r="B96" s="95"/>
      <c r="C96" s="95"/>
    </row>
    <row r="97" spans="1:3" hidden="1" x14ac:dyDescent="0.2">
      <c r="A97" s="111"/>
      <c r="B97" s="111"/>
      <c r="C97" s="111"/>
    </row>
    <row r="98" spans="1:3" hidden="1" x14ac:dyDescent="0.2">
      <c r="A98" s="111"/>
      <c r="B98" s="111"/>
      <c r="C98" s="111"/>
    </row>
    <row r="99" spans="1:3" hidden="1" x14ac:dyDescent="0.2">
      <c r="A99" s="111"/>
      <c r="B99" s="111"/>
      <c r="C99" s="111"/>
    </row>
    <row r="100" spans="1:3" hidden="1" x14ac:dyDescent="0.2">
      <c r="A100" s="111"/>
      <c r="B100" s="111"/>
      <c r="C100" s="111"/>
    </row>
    <row r="101" spans="1:3" hidden="1" x14ac:dyDescent="0.2">
      <c r="A101" s="111"/>
      <c r="B101" s="111"/>
      <c r="C101" s="111"/>
    </row>
    <row r="102" spans="1:3" ht="13.5" hidden="1" thickBot="1" x14ac:dyDescent="0.25">
      <c r="A102" s="110">
        <f>SUM(A97:A101)</f>
        <v>0</v>
      </c>
      <c r="B102" s="110">
        <f>SUM(B97:B101)</f>
        <v>0</v>
      </c>
      <c r="C102" s="110">
        <f>SUM(C97:C101)</f>
        <v>0</v>
      </c>
    </row>
    <row r="103" spans="1:3" x14ac:dyDescent="0.2">
      <c r="A103" s="95"/>
      <c r="B103" s="95"/>
      <c r="C103" s="95"/>
    </row>
    <row r="104" spans="1:3" s="108" customFormat="1" ht="13.5" thickBot="1" x14ac:dyDescent="0.25">
      <c r="A104" s="107">
        <f>SUM(A102,A95)</f>
        <v>233980319.06</v>
      </c>
      <c r="B104" s="107">
        <f>SUM(B102,B95)</f>
        <v>1838546.2900000003</v>
      </c>
      <c r="C104" s="107">
        <f>SUM(C102,C95)</f>
        <v>235818865.34999999</v>
      </c>
    </row>
    <row r="105" spans="1:3" s="108" customFormat="1" ht="13.5" thickTop="1" x14ac:dyDescent="0.2">
      <c r="A105" s="109"/>
      <c r="B105" s="109"/>
      <c r="C105" s="109"/>
    </row>
    <row r="106" spans="1:3" x14ac:dyDescent="0.2">
      <c r="A106" s="95">
        <v>-4912578.3899999997</v>
      </c>
      <c r="B106" s="95">
        <v>-20842.5</v>
      </c>
      <c r="C106" s="95">
        <v>-4933420.8899999997</v>
      </c>
    </row>
    <row r="107" spans="1:3" x14ac:dyDescent="0.2">
      <c r="A107" s="95">
        <v>-4933420.8899999997</v>
      </c>
      <c r="B107" s="95">
        <v>-23933.7</v>
      </c>
      <c r="C107" s="95">
        <v>-4957354.59</v>
      </c>
    </row>
    <row r="108" spans="1:3" x14ac:dyDescent="0.2">
      <c r="A108" s="95">
        <v>-4957354.59</v>
      </c>
      <c r="B108" s="95">
        <v>-32190.440000000002</v>
      </c>
      <c r="C108" s="95">
        <v>-4989545.03</v>
      </c>
    </row>
    <row r="109" spans="1:3" x14ac:dyDescent="0.2">
      <c r="A109" s="95">
        <v>-4989545.03</v>
      </c>
      <c r="B109" s="95">
        <v>-34019.96</v>
      </c>
      <c r="C109" s="95">
        <v>-5023564.99</v>
      </c>
    </row>
    <row r="110" spans="1:3" x14ac:dyDescent="0.2">
      <c r="A110" s="95">
        <v>-5023564.99</v>
      </c>
      <c r="B110" s="95">
        <v>-31300.600000000002</v>
      </c>
      <c r="C110" s="95">
        <v>-5054865.59</v>
      </c>
    </row>
    <row r="111" spans="1:3" x14ac:dyDescent="0.2">
      <c r="A111" s="95">
        <v>-5054865.59</v>
      </c>
      <c r="B111" s="95">
        <v>-27600.68</v>
      </c>
      <c r="C111" s="95">
        <v>-5082466.2699999996</v>
      </c>
    </row>
    <row r="112" spans="1:3" x14ac:dyDescent="0.2">
      <c r="A112" s="95">
        <v>-5082466.2699999996</v>
      </c>
      <c r="B112" s="95">
        <v>-34622.54</v>
      </c>
      <c r="C112" s="95">
        <v>-5117088.8099999996</v>
      </c>
    </row>
    <row r="113" spans="1:3" x14ac:dyDescent="0.2">
      <c r="A113" s="95">
        <v>-5117088.8099999996</v>
      </c>
      <c r="B113" s="95">
        <v>-31594.83</v>
      </c>
      <c r="C113" s="95">
        <v>-5148683.6399999997</v>
      </c>
    </row>
    <row r="114" spans="1:3" x14ac:dyDescent="0.2">
      <c r="A114" s="95">
        <v>-5148683.6399999997</v>
      </c>
      <c r="B114" s="95">
        <v>-41112.65</v>
      </c>
      <c r="C114" s="95">
        <v>-5189796.29</v>
      </c>
    </row>
    <row r="115" spans="1:3" x14ac:dyDescent="0.2">
      <c r="A115" s="95">
        <v>-5189796.29</v>
      </c>
      <c r="B115" s="95">
        <v>-31502.77</v>
      </c>
      <c r="C115" s="95">
        <v>-5221299.0599999996</v>
      </c>
    </row>
    <row r="116" spans="1:3" x14ac:dyDescent="0.2">
      <c r="A116" s="95">
        <v>-5221299.0599999996</v>
      </c>
      <c r="B116" s="95">
        <v>-40071.15</v>
      </c>
      <c r="C116" s="95">
        <v>-5261370.21</v>
      </c>
    </row>
    <row r="117" spans="1:3" x14ac:dyDescent="0.2">
      <c r="A117" s="95">
        <v>-5221299.0599999996</v>
      </c>
      <c r="B117" s="95">
        <v>-40071.15</v>
      </c>
      <c r="C117" s="95">
        <v>-5261370.21</v>
      </c>
    </row>
    <row r="118" spans="1:3" x14ac:dyDescent="0.2">
      <c r="A118" s="95">
        <v>-5261370.21</v>
      </c>
      <c r="B118" s="95">
        <v>-28962.53</v>
      </c>
      <c r="C118" s="95">
        <v>-5290332.74</v>
      </c>
    </row>
    <row r="119" spans="1:3" ht="13.5" thickBot="1" x14ac:dyDescent="0.25">
      <c r="A119" s="110">
        <f>SUM(A106:A118)</f>
        <v>-66113332.820000008</v>
      </c>
      <c r="B119" s="110">
        <f>SUM(B106:B118)</f>
        <v>-417825.50000000012</v>
      </c>
      <c r="C119" s="110">
        <f>SUM(C106:C118)</f>
        <v>-66531158.320000008</v>
      </c>
    </row>
    <row r="120" spans="1:3" hidden="1" x14ac:dyDescent="0.2">
      <c r="A120" s="95"/>
      <c r="B120" s="95"/>
      <c r="C120" s="95"/>
    </row>
    <row r="121" spans="1:3" hidden="1" x14ac:dyDescent="0.2">
      <c r="A121" s="95"/>
      <c r="B121" s="95"/>
      <c r="C121" s="95"/>
    </row>
    <row r="122" spans="1:3" hidden="1" x14ac:dyDescent="0.2">
      <c r="A122" s="95"/>
      <c r="B122" s="95"/>
      <c r="C122" s="95"/>
    </row>
    <row r="123" spans="1:3" hidden="1" x14ac:dyDescent="0.2">
      <c r="A123" s="95"/>
      <c r="B123" s="95"/>
      <c r="C123" s="95"/>
    </row>
    <row r="124" spans="1:3" ht="13.5" hidden="1" thickBot="1" x14ac:dyDescent="0.25">
      <c r="A124" s="110">
        <f>SUM(A121:A123)</f>
        <v>0</v>
      </c>
      <c r="B124" s="110">
        <f>SUM(B121:B123)</f>
        <v>0</v>
      </c>
      <c r="C124" s="110">
        <f>SUM(C121:C123)</f>
        <v>0</v>
      </c>
    </row>
    <row r="125" spans="1:3" x14ac:dyDescent="0.2">
      <c r="A125" s="95"/>
      <c r="B125" s="95"/>
      <c r="C125" s="95"/>
    </row>
    <row r="126" spans="1:3" s="108" customFormat="1" ht="13.5" thickBot="1" x14ac:dyDescent="0.25">
      <c r="A126" s="107">
        <f>SUM(A124,A119)</f>
        <v>-66113332.820000008</v>
      </c>
      <c r="B126" s="107">
        <f>SUM(B124,B119)</f>
        <v>-417825.50000000012</v>
      </c>
      <c r="C126" s="107">
        <f>SUM(C124,C119)</f>
        <v>-66531158.320000008</v>
      </c>
    </row>
    <row r="127" spans="1:3" s="108" customFormat="1" ht="13.5" thickTop="1" x14ac:dyDescent="0.2">
      <c r="A127" s="109"/>
      <c r="B127" s="109"/>
      <c r="C127" s="109"/>
    </row>
    <row r="128" spans="1:3" x14ac:dyDescent="0.2">
      <c r="A128" s="95">
        <v>-2470108.37</v>
      </c>
      <c r="B128" s="95">
        <v>-19547.02</v>
      </c>
      <c r="C128" s="95">
        <v>-2489655.39</v>
      </c>
    </row>
    <row r="129" spans="1:3" x14ac:dyDescent="0.2">
      <c r="A129" s="95">
        <v>-2489655.39</v>
      </c>
      <c r="B129" s="95">
        <v>-27380.25</v>
      </c>
      <c r="C129" s="95">
        <v>-2517035.64</v>
      </c>
    </row>
    <row r="130" spans="1:3" x14ac:dyDescent="0.2">
      <c r="A130" s="95">
        <v>-2517035.64</v>
      </c>
      <c r="B130" s="95">
        <v>-29078.27</v>
      </c>
      <c r="C130" s="95">
        <v>-2546113.91</v>
      </c>
    </row>
    <row r="131" spans="1:3" x14ac:dyDescent="0.2">
      <c r="A131" s="95">
        <v>-2546113.91</v>
      </c>
      <c r="B131" s="95">
        <v>-21203.05</v>
      </c>
      <c r="C131" s="95">
        <v>-2567316.96</v>
      </c>
    </row>
    <row r="132" spans="1:3" x14ac:dyDescent="0.2">
      <c r="A132" s="95">
        <v>-2567316.96</v>
      </c>
      <c r="B132" s="95">
        <v>-24909.07</v>
      </c>
      <c r="C132" s="95">
        <v>-2592226.0300000003</v>
      </c>
    </row>
    <row r="133" spans="1:3" x14ac:dyDescent="0.2">
      <c r="A133" s="95">
        <v>-2592226.0300000003</v>
      </c>
      <c r="B133" s="95">
        <v>-16294.91</v>
      </c>
      <c r="C133" s="95">
        <v>-2608520.94</v>
      </c>
    </row>
    <row r="134" spans="1:3" x14ac:dyDescent="0.2">
      <c r="A134" s="95">
        <v>-2608520.94</v>
      </c>
      <c r="B134" s="95">
        <v>-27047.940000000002</v>
      </c>
      <c r="C134" s="95">
        <v>-2635568.88</v>
      </c>
    </row>
    <row r="135" spans="1:3" x14ac:dyDescent="0.2">
      <c r="A135" s="95">
        <v>-2635568.88</v>
      </c>
      <c r="B135" s="95">
        <v>-17365.29</v>
      </c>
      <c r="C135" s="95">
        <v>-2652934.17</v>
      </c>
    </row>
    <row r="136" spans="1:3" x14ac:dyDescent="0.2">
      <c r="A136" s="95">
        <v>-2652934.17</v>
      </c>
      <c r="B136" s="95">
        <v>-20838.98</v>
      </c>
      <c r="C136" s="95">
        <v>-2673773.15</v>
      </c>
    </row>
    <row r="137" spans="1:3" x14ac:dyDescent="0.2">
      <c r="A137" s="95">
        <v>-2673773.15</v>
      </c>
      <c r="B137" s="95">
        <v>-25592.32</v>
      </c>
      <c r="C137" s="95">
        <v>-2699365.4699999997</v>
      </c>
    </row>
    <row r="138" spans="1:3" x14ac:dyDescent="0.2">
      <c r="A138" s="95">
        <v>-2699365.4699999997</v>
      </c>
      <c r="B138" s="95">
        <v>-15842.050000000001</v>
      </c>
      <c r="C138" s="95">
        <v>-2715207.52</v>
      </c>
    </row>
    <row r="139" spans="1:3" x14ac:dyDescent="0.2">
      <c r="A139" s="95">
        <v>-2699365.4699999997</v>
      </c>
      <c r="B139" s="95">
        <v>-15842.050000000001</v>
      </c>
      <c r="C139" s="95">
        <v>-2715207.52</v>
      </c>
    </row>
    <row r="140" spans="1:3" x14ac:dyDescent="0.2">
      <c r="A140" s="95">
        <v>-2715207.52</v>
      </c>
      <c r="B140" s="95">
        <v>-20775.900000000001</v>
      </c>
      <c r="C140" s="95">
        <v>-2735983.42</v>
      </c>
    </row>
    <row r="141" spans="1:3" ht="13.5" thickBot="1" x14ac:dyDescent="0.25">
      <c r="A141" s="110">
        <f>SUM(A128:A140)</f>
        <v>-33867191.899999999</v>
      </c>
      <c r="B141" s="110">
        <f>SUM(B128:B140)</f>
        <v>-281717.10000000003</v>
      </c>
      <c r="C141" s="110">
        <f>SUM(C128:C140)</f>
        <v>-34148909</v>
      </c>
    </row>
    <row r="142" spans="1:3" hidden="1" x14ac:dyDescent="0.2">
      <c r="A142" s="95"/>
      <c r="B142" s="95"/>
      <c r="C142" s="95"/>
    </row>
    <row r="143" spans="1:3" hidden="1" x14ac:dyDescent="0.2">
      <c r="A143" s="95"/>
      <c r="B143" s="95"/>
      <c r="C143" s="95"/>
    </row>
    <row r="144" spans="1:3" hidden="1" x14ac:dyDescent="0.2">
      <c r="A144" s="95"/>
      <c r="B144" s="95"/>
      <c r="C144" s="95"/>
    </row>
    <row r="145" spans="1:4" hidden="1" x14ac:dyDescent="0.2">
      <c r="A145" s="95"/>
      <c r="B145" s="95"/>
      <c r="C145" s="95"/>
    </row>
    <row r="146" spans="1:4" ht="13.5" hidden="1" thickBot="1" x14ac:dyDescent="0.25">
      <c r="A146" s="98">
        <f>SUM(A143:A145)</f>
        <v>0</v>
      </c>
      <c r="B146" s="98">
        <f>SUM(B143:B145)</f>
        <v>0</v>
      </c>
      <c r="C146" s="98">
        <f>SUM(C143:C145)</f>
        <v>0</v>
      </c>
    </row>
    <row r="147" spans="1:4" x14ac:dyDescent="0.2">
      <c r="A147" s="95"/>
      <c r="B147" s="95"/>
      <c r="C147" s="95"/>
    </row>
    <row r="148" spans="1:4" ht="13.5" thickBot="1" x14ac:dyDescent="0.25">
      <c r="A148" s="107">
        <f>SUM(A146,A141)</f>
        <v>-33867191.899999999</v>
      </c>
      <c r="B148" s="107">
        <f>SUM(B146,B141)</f>
        <v>-281717.10000000003</v>
      </c>
      <c r="C148" s="107">
        <f>SUM(C146,C141)</f>
        <v>-34148909</v>
      </c>
      <c r="D148" s="108"/>
    </row>
    <row r="149" spans="1:4" s="108" customFormat="1" ht="13.5" thickTop="1" x14ac:dyDescent="0.2">
      <c r="A149" s="94"/>
      <c r="B149" s="94"/>
      <c r="C149" s="94"/>
      <c r="D149"/>
    </row>
  </sheetData>
  <mergeCells count="7">
    <mergeCell ref="E6:N6"/>
    <mergeCell ref="Q6:R6"/>
    <mergeCell ref="E7:F7"/>
    <mergeCell ref="G7:H7"/>
    <mergeCell ref="I7:J7"/>
    <mergeCell ref="K7:N7"/>
    <mergeCell ref="Q7:R7"/>
  </mergeCells>
  <pageMargins left="0.7" right="0.7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27" sqref="K27"/>
    </sheetView>
  </sheetViews>
  <sheetFormatPr defaultRowHeight="12.75" x14ac:dyDescent="0.2"/>
  <cols>
    <col min="1" max="1" width="9" bestFit="1" customWidth="1"/>
    <col min="2" max="3" width="16" bestFit="1" customWidth="1"/>
    <col min="4" max="4" width="15" bestFit="1" customWidth="1"/>
    <col min="5" max="5" width="14" bestFit="1" customWidth="1"/>
    <col min="6" max="6" width="12.42578125" bestFit="1" customWidth="1"/>
    <col min="7" max="7" width="13.85546875" bestFit="1" customWidth="1"/>
    <col min="8" max="8" width="15.42578125" bestFit="1" customWidth="1"/>
    <col min="9" max="9" width="1.28515625" customWidth="1"/>
    <col min="10" max="10" width="9" bestFit="1" customWidth="1"/>
    <col min="11" max="13" width="14.42578125" bestFit="1" customWidth="1"/>
    <col min="14" max="14" width="13.42578125" bestFit="1" customWidth="1"/>
    <col min="15" max="15" width="11.7109375" bestFit="1" customWidth="1"/>
    <col min="16" max="16" width="13.42578125" bestFit="1" customWidth="1"/>
    <col min="17" max="17" width="9.7109375" bestFit="1" customWidth="1"/>
    <col min="18" max="18" width="10.7109375" bestFit="1" customWidth="1"/>
    <col min="19" max="19" width="11.140625" customWidth="1"/>
    <col min="20" max="20" width="15.42578125" bestFit="1" customWidth="1"/>
    <col min="21" max="21" width="1.42578125" customWidth="1"/>
    <col min="23" max="24" width="14.42578125" bestFit="1" customWidth="1"/>
    <col min="25" max="25" width="12.28515625" bestFit="1" customWidth="1"/>
    <col min="26" max="26" width="11.28515625" bestFit="1" customWidth="1"/>
    <col min="27" max="27" width="11.7109375" bestFit="1" customWidth="1"/>
    <col min="28" max="28" width="13.85546875" bestFit="1" customWidth="1"/>
    <col min="29" max="29" width="13.42578125" bestFit="1" customWidth="1"/>
    <col min="30" max="30" width="14.42578125" bestFit="1" customWidth="1"/>
    <col min="31" max="31" width="1.7109375" customWidth="1"/>
    <col min="33" max="33" width="14.42578125" bestFit="1" customWidth="1"/>
    <col min="34" max="34" width="13.42578125" bestFit="1" customWidth="1"/>
    <col min="35" max="35" width="12.28515625" bestFit="1" customWidth="1"/>
    <col min="36" max="36" width="11.28515625" bestFit="1" customWidth="1"/>
    <col min="37" max="37" width="10.7109375" bestFit="1" customWidth="1"/>
    <col min="38" max="38" width="12.7109375" bestFit="1" customWidth="1"/>
    <col min="39" max="39" width="11.140625" customWidth="1"/>
    <col min="40" max="40" width="14.42578125" bestFit="1" customWidth="1"/>
  </cols>
  <sheetData>
    <row r="1" spans="1:40" x14ac:dyDescent="0.2">
      <c r="A1" s="10" t="s">
        <v>77</v>
      </c>
      <c r="J1" s="10" t="s">
        <v>77</v>
      </c>
      <c r="V1" s="10" t="s">
        <v>77</v>
      </c>
      <c r="AF1" s="10" t="s">
        <v>77</v>
      </c>
    </row>
    <row r="2" spans="1:40" x14ac:dyDescent="0.2">
      <c r="A2" s="10" t="s">
        <v>57</v>
      </c>
      <c r="J2" s="10" t="s">
        <v>57</v>
      </c>
      <c r="V2" s="10" t="s">
        <v>57</v>
      </c>
      <c r="AF2" s="10" t="s">
        <v>57</v>
      </c>
    </row>
    <row r="3" spans="1:40" x14ac:dyDescent="0.2">
      <c r="A3" s="10" t="str">
        <f>SharedInputs!B2</f>
        <v>TWELVE MONTHS ENDED DECEMBER 31, 2018</v>
      </c>
      <c r="J3" s="10" t="str">
        <f>A3</f>
        <v>TWELVE MONTHS ENDED DECEMBER 31, 2018</v>
      </c>
      <c r="V3" s="10" t="str">
        <f>J3</f>
        <v>TWELVE MONTHS ENDED DECEMBER 31, 2018</v>
      </c>
      <c r="AF3" s="10" t="str">
        <f>V3</f>
        <v>TWELVE MONTHS ENDED DECEMBER 31, 2018</v>
      </c>
    </row>
    <row r="4" spans="1:40" x14ac:dyDescent="0.2">
      <c r="A4" s="10"/>
      <c r="J4" s="10"/>
      <c r="V4" s="10"/>
      <c r="AF4" s="10"/>
    </row>
    <row r="5" spans="1:40" x14ac:dyDescent="0.2">
      <c r="A5" s="10" t="s">
        <v>151</v>
      </c>
      <c r="J5" s="10" t="s">
        <v>152</v>
      </c>
      <c r="V5" s="10" t="s">
        <v>153</v>
      </c>
      <c r="AF5" s="10" t="s">
        <v>154</v>
      </c>
    </row>
    <row r="7" spans="1:40" x14ac:dyDescent="0.2">
      <c r="B7" s="112">
        <v>440000</v>
      </c>
      <c r="C7" s="96">
        <v>442200</v>
      </c>
      <c r="D7" s="96">
        <v>442300</v>
      </c>
      <c r="E7" s="96">
        <v>444000</v>
      </c>
      <c r="F7" s="96">
        <v>448000</v>
      </c>
      <c r="G7" s="112" t="s">
        <v>155</v>
      </c>
      <c r="H7" s="96"/>
      <c r="K7" s="112">
        <v>440000</v>
      </c>
      <c r="L7" s="96">
        <v>442200</v>
      </c>
      <c r="M7" s="96">
        <v>442300</v>
      </c>
      <c r="N7" s="96">
        <v>444000</v>
      </c>
      <c r="O7" s="96">
        <v>448000</v>
      </c>
      <c r="P7" s="112" t="s">
        <v>155</v>
      </c>
      <c r="Q7" s="112">
        <v>440000</v>
      </c>
      <c r="R7" s="96">
        <v>442200</v>
      </c>
      <c r="S7" s="96">
        <v>448000</v>
      </c>
      <c r="T7" s="96"/>
      <c r="W7" s="112">
        <v>480000</v>
      </c>
      <c r="X7" s="96" t="s">
        <v>156</v>
      </c>
      <c r="Y7" s="96">
        <v>481300</v>
      </c>
      <c r="Z7" s="96">
        <v>481400</v>
      </c>
      <c r="AA7" s="96">
        <v>484000</v>
      </c>
      <c r="AB7" s="112" t="s">
        <v>155</v>
      </c>
      <c r="AC7" s="112" t="s">
        <v>157</v>
      </c>
      <c r="AD7" s="96"/>
      <c r="AG7" s="112">
        <v>480000</v>
      </c>
      <c r="AH7" s="96" t="s">
        <v>156</v>
      </c>
      <c r="AI7" s="96">
        <v>481300</v>
      </c>
      <c r="AJ7" s="96">
        <v>481400</v>
      </c>
      <c r="AK7" s="96">
        <v>484000</v>
      </c>
      <c r="AL7" s="112" t="s">
        <v>155</v>
      </c>
      <c r="AM7" s="112">
        <v>489300</v>
      </c>
      <c r="AN7" s="96"/>
    </row>
    <row r="8" spans="1:40" x14ac:dyDescent="0.2">
      <c r="B8" s="96" t="s">
        <v>95</v>
      </c>
      <c r="C8" s="96" t="s">
        <v>95</v>
      </c>
      <c r="D8" s="96" t="s">
        <v>95</v>
      </c>
      <c r="E8" s="96" t="s">
        <v>95</v>
      </c>
      <c r="F8" s="96" t="s">
        <v>95</v>
      </c>
      <c r="G8" s="96" t="s">
        <v>95</v>
      </c>
      <c r="H8" s="96"/>
      <c r="K8" s="96" t="s">
        <v>95</v>
      </c>
      <c r="L8" s="96" t="s">
        <v>95</v>
      </c>
      <c r="M8" s="96" t="s">
        <v>95</v>
      </c>
      <c r="N8" s="96" t="s">
        <v>95</v>
      </c>
      <c r="O8" s="96" t="s">
        <v>95</v>
      </c>
      <c r="P8" s="96" t="s">
        <v>95</v>
      </c>
      <c r="Q8" s="96" t="s">
        <v>95</v>
      </c>
      <c r="R8" s="96" t="s">
        <v>95</v>
      </c>
      <c r="S8" s="96" t="s">
        <v>95</v>
      </c>
      <c r="T8" s="96"/>
      <c r="W8" s="96" t="s">
        <v>96</v>
      </c>
      <c r="X8" s="96" t="s">
        <v>96</v>
      </c>
      <c r="Y8" s="96" t="s">
        <v>96</v>
      </c>
      <c r="Z8" s="96" t="s">
        <v>96</v>
      </c>
      <c r="AA8" s="96" t="s">
        <v>96</v>
      </c>
      <c r="AB8" s="96" t="s">
        <v>96</v>
      </c>
      <c r="AC8" s="96" t="s">
        <v>96</v>
      </c>
      <c r="AD8" s="96"/>
      <c r="AG8" s="96" t="s">
        <v>96</v>
      </c>
      <c r="AH8" s="96" t="s">
        <v>96</v>
      </c>
      <c r="AI8" s="96" t="s">
        <v>96</v>
      </c>
      <c r="AJ8" s="96" t="s">
        <v>96</v>
      </c>
      <c r="AK8" s="96" t="s">
        <v>96</v>
      </c>
      <c r="AL8" s="96" t="s">
        <v>96</v>
      </c>
      <c r="AM8" s="96" t="s">
        <v>96</v>
      </c>
      <c r="AN8" s="96"/>
    </row>
    <row r="9" spans="1:40" x14ac:dyDescent="0.2">
      <c r="B9" s="96" t="s">
        <v>71</v>
      </c>
      <c r="C9" s="96" t="s">
        <v>71</v>
      </c>
      <c r="D9" s="96" t="s">
        <v>71</v>
      </c>
      <c r="E9" s="96" t="s">
        <v>71</v>
      </c>
      <c r="F9" s="96" t="s">
        <v>71</v>
      </c>
      <c r="G9" s="96" t="s">
        <v>71</v>
      </c>
      <c r="H9" s="96" t="s">
        <v>100</v>
      </c>
      <c r="K9" s="96" t="s">
        <v>72</v>
      </c>
      <c r="L9" s="96" t="s">
        <v>72</v>
      </c>
      <c r="M9" s="96" t="s">
        <v>72</v>
      </c>
      <c r="N9" s="96" t="s">
        <v>72</v>
      </c>
      <c r="O9" s="96" t="s">
        <v>72</v>
      </c>
      <c r="P9" s="96" t="s">
        <v>72</v>
      </c>
      <c r="Q9" s="96" t="s">
        <v>158</v>
      </c>
      <c r="R9" s="96" t="s">
        <v>158</v>
      </c>
      <c r="S9" s="96" t="s">
        <v>158</v>
      </c>
      <c r="T9" s="96" t="s">
        <v>100</v>
      </c>
      <c r="W9" s="96" t="s">
        <v>71</v>
      </c>
      <c r="X9" s="96" t="s">
        <v>71</v>
      </c>
      <c r="Y9" s="96" t="s">
        <v>71</v>
      </c>
      <c r="Z9" s="96" t="s">
        <v>71</v>
      </c>
      <c r="AA9" s="96" t="s">
        <v>71</v>
      </c>
      <c r="AB9" s="96" t="s">
        <v>71</v>
      </c>
      <c r="AC9" s="96" t="s">
        <v>71</v>
      </c>
      <c r="AD9" s="96" t="s">
        <v>100</v>
      </c>
      <c r="AG9" s="96" t="s">
        <v>72</v>
      </c>
      <c r="AH9" s="96" t="s">
        <v>72</v>
      </c>
      <c r="AI9" s="96" t="s">
        <v>72</v>
      </c>
      <c r="AJ9" s="96" t="s">
        <v>72</v>
      </c>
      <c r="AK9" s="96" t="s">
        <v>72</v>
      </c>
      <c r="AL9" s="96" t="s">
        <v>72</v>
      </c>
      <c r="AM9" s="96" t="s">
        <v>72</v>
      </c>
      <c r="AN9" s="96" t="s">
        <v>100</v>
      </c>
    </row>
    <row r="10" spans="1:40" x14ac:dyDescent="0.2">
      <c r="A10">
        <v>201801</v>
      </c>
      <c r="B10" s="119">
        <v>-30735243.84</v>
      </c>
      <c r="C10" s="119">
        <v>-20036698.98</v>
      </c>
      <c r="D10" s="119">
        <v>-4481331.3</v>
      </c>
      <c r="E10" s="119">
        <v>-406105.59</v>
      </c>
      <c r="F10" s="119">
        <v>-105320.46</v>
      </c>
      <c r="G10" s="119">
        <v>2444334</v>
      </c>
      <c r="H10" s="120">
        <f>SUM(B10:G10)</f>
        <v>-53320366.170000002</v>
      </c>
      <c r="J10">
        <v>201801</v>
      </c>
      <c r="K10" s="119">
        <v>-14594170.890000001</v>
      </c>
      <c r="L10" s="119">
        <v>-8676278.1699999999</v>
      </c>
      <c r="M10" s="119">
        <v>-3559085.12</v>
      </c>
      <c r="N10" s="119">
        <v>-187980.17</v>
      </c>
      <c r="O10" s="119">
        <v>-26814.47</v>
      </c>
      <c r="P10" s="119">
        <v>1388418</v>
      </c>
      <c r="Q10" s="119">
        <v>-2012.41</v>
      </c>
      <c r="R10" s="119">
        <v>-5160.22</v>
      </c>
      <c r="S10" s="119">
        <v>-7529.09</v>
      </c>
      <c r="T10" s="128">
        <f>SUM(K10:S10)</f>
        <v>-25670612.540000003</v>
      </c>
      <c r="V10">
        <v>201801</v>
      </c>
      <c r="W10" s="119">
        <v>-18074152.379999999</v>
      </c>
      <c r="X10" s="119">
        <v>-8468663.5800000001</v>
      </c>
      <c r="Y10" s="119">
        <v>-221965.13</v>
      </c>
      <c r="Z10" s="119">
        <v>0</v>
      </c>
      <c r="AA10" s="119">
        <v>-46071.88</v>
      </c>
      <c r="AB10" s="119">
        <v>3635830</v>
      </c>
      <c r="AC10" s="119">
        <v>-526134.93999999994</v>
      </c>
      <c r="AD10" s="128">
        <f t="shared" ref="AD10:AD18" si="0">SUM(W10:AC10)</f>
        <v>-23701157.91</v>
      </c>
      <c r="AF10">
        <v>201801</v>
      </c>
      <c r="AG10" s="119">
        <v>-7440192.21</v>
      </c>
      <c r="AH10" s="119">
        <v>-3192274.38</v>
      </c>
      <c r="AI10" s="119">
        <v>-157784</v>
      </c>
      <c r="AJ10" s="119">
        <v>0</v>
      </c>
      <c r="AK10" s="119">
        <v>-5285.84</v>
      </c>
      <c r="AL10" s="119">
        <v>1840882</v>
      </c>
      <c r="AM10" s="119">
        <v>-49297.68</v>
      </c>
      <c r="AN10" s="128">
        <f>SUM(AG10:AM10)</f>
        <v>-9003952.1099999994</v>
      </c>
    </row>
    <row r="11" spans="1:40" x14ac:dyDescent="0.2">
      <c r="A11">
        <f>A10+1</f>
        <v>201802</v>
      </c>
      <c r="B11" s="119">
        <v>-24003160.329999998</v>
      </c>
      <c r="C11" s="119">
        <v>-18172943.91</v>
      </c>
      <c r="D11" s="119">
        <v>-4525045.43</v>
      </c>
      <c r="E11" s="119">
        <v>-401912.91</v>
      </c>
      <c r="F11" s="119">
        <v>-93957.8</v>
      </c>
      <c r="G11" s="119">
        <v>799563</v>
      </c>
      <c r="H11" s="120">
        <f t="shared" ref="H11:H21" si="1">SUM(B11:G11)</f>
        <v>-46397457.379999988</v>
      </c>
      <c r="J11">
        <f>J10+1</f>
        <v>201802</v>
      </c>
      <c r="K11" s="119">
        <v>-12375632.890000001</v>
      </c>
      <c r="L11" s="119">
        <v>-8188652.5999999996</v>
      </c>
      <c r="M11" s="119">
        <v>-3434094.54</v>
      </c>
      <c r="N11" s="119">
        <v>-243327.35999999999</v>
      </c>
      <c r="O11" s="119">
        <v>-24015.58</v>
      </c>
      <c r="P11" s="119">
        <v>4562</v>
      </c>
      <c r="Q11" s="119">
        <v>-2309.83</v>
      </c>
      <c r="R11" s="119">
        <v>-5562.98</v>
      </c>
      <c r="S11" s="119">
        <v>-6808.7</v>
      </c>
      <c r="T11" s="128">
        <f t="shared" ref="T11:T21" si="2">SUM(K11:S11)</f>
        <v>-24275842.479999997</v>
      </c>
      <c r="V11">
        <f>V10+1</f>
        <v>201802</v>
      </c>
      <c r="W11" s="119">
        <v>-12892833.67</v>
      </c>
      <c r="X11" s="119">
        <v>-6188778.3099999996</v>
      </c>
      <c r="Y11" s="119">
        <v>-185142.93</v>
      </c>
      <c r="Z11" s="119">
        <v>0</v>
      </c>
      <c r="AA11" s="119">
        <v>-33096.15</v>
      </c>
      <c r="AB11" s="119">
        <v>-126273</v>
      </c>
      <c r="AC11" s="119">
        <v>-497925.87</v>
      </c>
      <c r="AD11" s="128">
        <f t="shared" si="0"/>
        <v>-19924049.93</v>
      </c>
      <c r="AF11">
        <f>AF10+1</f>
        <v>201802</v>
      </c>
      <c r="AG11" s="119">
        <v>-5721506.3600000003</v>
      </c>
      <c r="AH11" s="119">
        <v>-2442991.83</v>
      </c>
      <c r="AI11" s="119">
        <v>-116281.79</v>
      </c>
      <c r="AJ11" s="119">
        <v>0</v>
      </c>
      <c r="AK11" s="119">
        <v>-4272.3900000000003</v>
      </c>
      <c r="AL11" s="119">
        <v>-296537</v>
      </c>
      <c r="AM11" s="119">
        <v>-53050.34</v>
      </c>
      <c r="AN11" s="128">
        <f t="shared" ref="AN11:AN21" si="3">SUM(AG11:AM11)</f>
        <v>-8634639.7100000009</v>
      </c>
    </row>
    <row r="12" spans="1:40" x14ac:dyDescent="0.2">
      <c r="A12">
        <f t="shared" ref="A12:A21" si="4">A11+1</f>
        <v>201803</v>
      </c>
      <c r="B12" s="119">
        <v>-24606089.18</v>
      </c>
      <c r="C12" s="119">
        <v>-17908597.870000001</v>
      </c>
      <c r="D12" s="119">
        <v>-3584431.29</v>
      </c>
      <c r="E12" s="119">
        <v>-389855.29</v>
      </c>
      <c r="F12" s="119">
        <v>-97363.5</v>
      </c>
      <c r="G12" s="119">
        <v>-719855</v>
      </c>
      <c r="H12" s="120">
        <f t="shared" si="1"/>
        <v>-47306192.129999995</v>
      </c>
      <c r="J12">
        <f t="shared" ref="J12:J21" si="5">J11+1</f>
        <v>201803</v>
      </c>
      <c r="K12" s="119">
        <v>-12619326.279999999</v>
      </c>
      <c r="L12" s="119">
        <v>-8231483.5499999998</v>
      </c>
      <c r="M12" s="119">
        <v>-3335420.43</v>
      </c>
      <c r="N12" s="119">
        <v>-229400.15</v>
      </c>
      <c r="O12" s="119">
        <v>-22735.58</v>
      </c>
      <c r="P12" s="119">
        <v>392515</v>
      </c>
      <c r="Q12" s="119">
        <v>-2217.2199999999998</v>
      </c>
      <c r="R12" s="119">
        <v>-5504.01</v>
      </c>
      <c r="S12" s="119">
        <v>-6750.36</v>
      </c>
      <c r="T12" s="128">
        <f t="shared" si="2"/>
        <v>-24060322.579999994</v>
      </c>
      <c r="V12">
        <f t="shared" ref="V12:V21" si="6">V11+1</f>
        <v>201803</v>
      </c>
      <c r="W12" s="119">
        <v>-13595913.880000001</v>
      </c>
      <c r="X12" s="119">
        <v>-6232816.6399999997</v>
      </c>
      <c r="Y12" s="119">
        <v>-181259.48</v>
      </c>
      <c r="Z12" s="119">
        <v>0</v>
      </c>
      <c r="AA12" s="119">
        <v>-36197.160000000003</v>
      </c>
      <c r="AB12" s="119">
        <v>2359980</v>
      </c>
      <c r="AC12" s="119">
        <v>-480611.24</v>
      </c>
      <c r="AD12" s="128">
        <f t="shared" si="0"/>
        <v>-18166818.399999999</v>
      </c>
      <c r="AF12">
        <f t="shared" ref="AF12:AF21" si="7">AF11+1</f>
        <v>201803</v>
      </c>
      <c r="AG12" s="119">
        <v>-5918672.6500000004</v>
      </c>
      <c r="AH12" s="119">
        <v>-2484071.9</v>
      </c>
      <c r="AI12" s="119">
        <v>-116384.6</v>
      </c>
      <c r="AJ12" s="119">
        <v>0</v>
      </c>
      <c r="AK12" s="119">
        <v>-4249.1000000000004</v>
      </c>
      <c r="AL12" s="119">
        <v>1266085</v>
      </c>
      <c r="AM12" s="119">
        <v>-52512.27</v>
      </c>
      <c r="AN12" s="128">
        <f t="shared" si="3"/>
        <v>-7309805.5199999996</v>
      </c>
    </row>
    <row r="13" spans="1:40" x14ac:dyDescent="0.2">
      <c r="A13">
        <f t="shared" si="4"/>
        <v>201804</v>
      </c>
      <c r="B13" s="119">
        <v>-20649106.77</v>
      </c>
      <c r="C13" s="119">
        <v>-17752310.73</v>
      </c>
      <c r="D13" s="119">
        <v>-4922864.03</v>
      </c>
      <c r="E13" s="119">
        <v>-401608.44</v>
      </c>
      <c r="F13" s="119">
        <v>-89883.1</v>
      </c>
      <c r="G13" s="119">
        <v>2283824</v>
      </c>
      <c r="H13" s="120">
        <f t="shared" si="1"/>
        <v>-41531949.07</v>
      </c>
      <c r="J13">
        <f t="shared" si="5"/>
        <v>201804</v>
      </c>
      <c r="K13" s="119">
        <v>-10755122.92</v>
      </c>
      <c r="L13" s="119">
        <v>-7750345.0700000003</v>
      </c>
      <c r="M13" s="119">
        <v>-3731594.07</v>
      </c>
      <c r="N13" s="119">
        <v>-229129.01</v>
      </c>
      <c r="O13" s="119">
        <v>-19538.47</v>
      </c>
      <c r="P13" s="119">
        <v>1052778</v>
      </c>
      <c r="Q13" s="119">
        <v>-1982.22</v>
      </c>
      <c r="R13" s="119">
        <v>-4070.83</v>
      </c>
      <c r="S13" s="119">
        <v>-5393.5</v>
      </c>
      <c r="T13" s="128">
        <f t="shared" si="2"/>
        <v>-21444398.09</v>
      </c>
      <c r="V13">
        <f t="shared" si="6"/>
        <v>201804</v>
      </c>
      <c r="W13" s="119">
        <v>-9701193.9399999995</v>
      </c>
      <c r="X13" s="119">
        <v>-4449054.16</v>
      </c>
      <c r="Y13" s="119">
        <v>-143041.29</v>
      </c>
      <c r="Z13" s="119">
        <v>0</v>
      </c>
      <c r="AA13" s="119">
        <v>-23955.38</v>
      </c>
      <c r="AB13" s="119">
        <v>3075504</v>
      </c>
      <c r="AC13" s="119">
        <v>-455673.04</v>
      </c>
      <c r="AD13" s="128">
        <f t="shared" si="0"/>
        <v>-11697413.809999999</v>
      </c>
      <c r="AF13">
        <f t="shared" si="7"/>
        <v>201804</v>
      </c>
      <c r="AG13" s="119">
        <v>-4431007.6900000004</v>
      </c>
      <c r="AH13" s="119">
        <v>-1806148.5</v>
      </c>
      <c r="AI13" s="119">
        <v>-105120.42</v>
      </c>
      <c r="AJ13" s="119">
        <v>0</v>
      </c>
      <c r="AK13" s="119">
        <v>-3114.18</v>
      </c>
      <c r="AL13" s="119">
        <v>1103787</v>
      </c>
      <c r="AM13" s="119">
        <v>-51156.639999999999</v>
      </c>
      <c r="AN13" s="128">
        <f t="shared" si="3"/>
        <v>-5292760.43</v>
      </c>
    </row>
    <row r="14" spans="1:40" x14ac:dyDescent="0.2">
      <c r="A14">
        <f t="shared" si="4"/>
        <v>201805</v>
      </c>
      <c r="B14" s="119">
        <v>-17236031.629999999</v>
      </c>
      <c r="C14" s="119">
        <v>-16351109.42</v>
      </c>
      <c r="D14" s="119">
        <v>-3991171.54</v>
      </c>
      <c r="E14" s="119">
        <v>-404202.47</v>
      </c>
      <c r="F14" s="119">
        <v>-85465.55</v>
      </c>
      <c r="G14" s="119">
        <v>-2703682</v>
      </c>
      <c r="H14" s="120">
        <f t="shared" si="1"/>
        <v>-40771662.609999992</v>
      </c>
      <c r="J14">
        <f t="shared" si="5"/>
        <v>201805</v>
      </c>
      <c r="K14" s="119">
        <v>-8469049.8800000008</v>
      </c>
      <c r="L14" s="119">
        <v>-7124473.96</v>
      </c>
      <c r="M14" s="119">
        <v>-955354.28</v>
      </c>
      <c r="N14" s="119">
        <v>-229358.9</v>
      </c>
      <c r="O14" s="119">
        <v>-17305.32</v>
      </c>
      <c r="P14" s="119">
        <v>-2573029</v>
      </c>
      <c r="Q14" s="119">
        <v>-1156.04</v>
      </c>
      <c r="R14" s="119">
        <v>-2779.8</v>
      </c>
      <c r="S14" s="119">
        <v>-2753.61</v>
      </c>
      <c r="T14" s="128">
        <f t="shared" si="2"/>
        <v>-19375260.789999999</v>
      </c>
      <c r="V14">
        <f t="shared" si="6"/>
        <v>201805</v>
      </c>
      <c r="W14" s="119">
        <v>-5494483.9800000004</v>
      </c>
      <c r="X14" s="119">
        <v>-2527493.13</v>
      </c>
      <c r="Y14" s="119">
        <v>-101108</v>
      </c>
      <c r="Z14" s="119">
        <v>0</v>
      </c>
      <c r="AA14" s="119">
        <v>-13204.88</v>
      </c>
      <c r="AB14" s="119">
        <v>2610485</v>
      </c>
      <c r="AC14" s="119">
        <v>-427165.01</v>
      </c>
      <c r="AD14" s="128">
        <f t="shared" si="0"/>
        <v>-5952970</v>
      </c>
      <c r="AF14">
        <f t="shared" si="7"/>
        <v>201805</v>
      </c>
      <c r="AG14" s="119">
        <v>-2364540.79</v>
      </c>
      <c r="AH14" s="119">
        <v>-1051418.3</v>
      </c>
      <c r="AI14" s="119">
        <v>-82837.83</v>
      </c>
      <c r="AJ14" s="119">
        <v>0</v>
      </c>
      <c r="AK14" s="119">
        <v>-1853.38</v>
      </c>
      <c r="AL14" s="119">
        <v>1135360</v>
      </c>
      <c r="AM14" s="119">
        <v>-55351.45</v>
      </c>
      <c r="AN14" s="128">
        <f t="shared" si="3"/>
        <v>-2420641.75</v>
      </c>
    </row>
    <row r="15" spans="1:40" x14ac:dyDescent="0.2">
      <c r="A15">
        <f t="shared" si="4"/>
        <v>201806</v>
      </c>
      <c r="B15" s="119">
        <v>-16252750.039999999</v>
      </c>
      <c r="C15" s="119">
        <v>-18447527.289999999</v>
      </c>
      <c r="D15" s="119">
        <v>-5823812.8899999997</v>
      </c>
      <c r="E15" s="119">
        <v>-409088.42</v>
      </c>
      <c r="F15" s="119">
        <v>-82177.279999999999</v>
      </c>
      <c r="G15" s="119">
        <v>968195</v>
      </c>
      <c r="H15" s="120">
        <f t="shared" si="1"/>
        <v>-40047160.920000002</v>
      </c>
      <c r="J15">
        <f t="shared" si="5"/>
        <v>201806</v>
      </c>
      <c r="K15" s="119">
        <v>-7758251.5099999998</v>
      </c>
      <c r="L15" s="119">
        <v>-7431100.3700000001</v>
      </c>
      <c r="M15" s="119">
        <v>-3828303.01</v>
      </c>
      <c r="N15" s="119">
        <v>-225613.04</v>
      </c>
      <c r="O15" s="119">
        <v>-18881.189999999999</v>
      </c>
      <c r="P15" s="119">
        <v>949537</v>
      </c>
      <c r="Q15" s="119">
        <v>-722.98</v>
      </c>
      <c r="R15" s="119">
        <v>-1771.26</v>
      </c>
      <c r="S15" s="119">
        <v>-1292.04</v>
      </c>
      <c r="T15" s="128">
        <f t="shared" si="2"/>
        <v>-18316398.400000002</v>
      </c>
      <c r="V15">
        <f t="shared" si="6"/>
        <v>201806</v>
      </c>
      <c r="W15" s="119">
        <v>-3389869.49</v>
      </c>
      <c r="X15" s="119">
        <v>-1554737.49</v>
      </c>
      <c r="Y15" s="119">
        <v>-91832.05</v>
      </c>
      <c r="Z15" s="119">
        <v>0</v>
      </c>
      <c r="AA15" s="119">
        <v>-5124.2299999999996</v>
      </c>
      <c r="AB15" s="119">
        <v>222413</v>
      </c>
      <c r="AC15" s="119">
        <v>-375878.54</v>
      </c>
      <c r="AD15" s="128">
        <f t="shared" si="0"/>
        <v>-5195028.8000000007</v>
      </c>
      <c r="AF15">
        <f t="shared" si="7"/>
        <v>201806</v>
      </c>
      <c r="AG15" s="119">
        <v>-1448783.75</v>
      </c>
      <c r="AH15" s="119">
        <v>-698639.21</v>
      </c>
      <c r="AI15" s="119">
        <v>-81993.179999999993</v>
      </c>
      <c r="AJ15" s="119">
        <v>0</v>
      </c>
      <c r="AK15" s="119">
        <v>-922.9</v>
      </c>
      <c r="AL15" s="119">
        <v>17817</v>
      </c>
      <c r="AM15" s="119">
        <v>-50801.120000000003</v>
      </c>
      <c r="AN15" s="128">
        <f t="shared" si="3"/>
        <v>-2263323.16</v>
      </c>
    </row>
    <row r="16" spans="1:40" x14ac:dyDescent="0.2">
      <c r="A16">
        <f t="shared" si="4"/>
        <v>201807</v>
      </c>
      <c r="B16" s="119">
        <v>-17493145.75</v>
      </c>
      <c r="C16" s="119">
        <v>-18678270.809999999</v>
      </c>
      <c r="D16" s="119">
        <v>-5894652.4199999999</v>
      </c>
      <c r="E16" s="119">
        <v>-390467.69</v>
      </c>
      <c r="F16" s="119">
        <v>-83063.45</v>
      </c>
      <c r="G16" s="119">
        <v>-3452533</v>
      </c>
      <c r="H16" s="120">
        <f t="shared" si="1"/>
        <v>-45992133.120000005</v>
      </c>
      <c r="J16">
        <f t="shared" si="5"/>
        <v>201807</v>
      </c>
      <c r="K16" s="119">
        <v>-8411933.4800000004</v>
      </c>
      <c r="L16" s="119">
        <v>-7562717.2000000002</v>
      </c>
      <c r="M16" s="119">
        <v>-3613030.82</v>
      </c>
      <c r="N16" s="119">
        <v>-219417.76</v>
      </c>
      <c r="O16" s="119">
        <v>-18590.78</v>
      </c>
      <c r="P16" s="119">
        <v>-2081410</v>
      </c>
      <c r="Q16" s="119">
        <v>-635.36</v>
      </c>
      <c r="R16" s="119">
        <v>-1304.54</v>
      </c>
      <c r="S16" s="119">
        <v>-970.38</v>
      </c>
      <c r="T16" s="128">
        <f t="shared" si="2"/>
        <v>-21910010.32</v>
      </c>
      <c r="V16">
        <f t="shared" si="6"/>
        <v>201807</v>
      </c>
      <c r="W16" s="119">
        <v>-3086328.35</v>
      </c>
      <c r="X16" s="119">
        <v>-1349594.58</v>
      </c>
      <c r="Y16" s="119">
        <v>-77407.789999999994</v>
      </c>
      <c r="Z16" s="119">
        <v>0</v>
      </c>
      <c r="AA16" s="119">
        <v>-4528.7700000000004</v>
      </c>
      <c r="AB16" s="119">
        <v>225786</v>
      </c>
      <c r="AC16" s="119">
        <v>-358254.68</v>
      </c>
      <c r="AD16" s="128">
        <f t="shared" si="0"/>
        <v>-4650328.169999999</v>
      </c>
      <c r="AF16">
        <f t="shared" si="7"/>
        <v>201807</v>
      </c>
      <c r="AG16" s="119">
        <v>-1291682.8500000001</v>
      </c>
      <c r="AH16" s="119">
        <v>-638207.59</v>
      </c>
      <c r="AI16" s="119">
        <v>-74720.009999999995</v>
      </c>
      <c r="AJ16" s="119">
        <v>0</v>
      </c>
      <c r="AK16" s="119">
        <v>-889.5</v>
      </c>
      <c r="AL16" s="119">
        <v>79138</v>
      </c>
      <c r="AM16" s="119">
        <v>-44755.74</v>
      </c>
      <c r="AN16" s="128">
        <f t="shared" si="3"/>
        <v>-1971117.69</v>
      </c>
    </row>
    <row r="17" spans="1:40" x14ac:dyDescent="0.2">
      <c r="A17">
        <f t="shared" si="4"/>
        <v>201808</v>
      </c>
      <c r="B17" s="119">
        <v>-21739084.449999999</v>
      </c>
      <c r="C17" s="119">
        <v>-20688034.18</v>
      </c>
      <c r="D17" s="119">
        <v>-6051068.3700000001</v>
      </c>
      <c r="E17" s="119">
        <v>-411287.07</v>
      </c>
      <c r="F17" s="119">
        <v>-86572.59</v>
      </c>
      <c r="G17" s="119">
        <v>1053539</v>
      </c>
      <c r="H17" s="120">
        <f t="shared" si="1"/>
        <v>-47922507.659999996</v>
      </c>
      <c r="J17">
        <f t="shared" si="5"/>
        <v>201808</v>
      </c>
      <c r="K17" s="119">
        <v>-9800106.4199999999</v>
      </c>
      <c r="L17" s="119">
        <v>-8214525.7699999996</v>
      </c>
      <c r="M17" s="119">
        <v>-3969733.98</v>
      </c>
      <c r="N17" s="119">
        <v>-217249.32</v>
      </c>
      <c r="O17" s="119">
        <v>-23490.51</v>
      </c>
      <c r="P17" s="119">
        <v>-459129</v>
      </c>
      <c r="Q17" s="119">
        <v>-666.45</v>
      </c>
      <c r="R17" s="119">
        <v>-1186.0899999999999</v>
      </c>
      <c r="S17" s="119">
        <v>-983.15</v>
      </c>
      <c r="T17" s="128">
        <f t="shared" si="2"/>
        <v>-22687070.689999998</v>
      </c>
      <c r="V17">
        <f t="shared" si="6"/>
        <v>201808</v>
      </c>
      <c r="W17" s="119">
        <v>-2858653.56</v>
      </c>
      <c r="X17" s="119">
        <v>-1286897.27</v>
      </c>
      <c r="Y17" s="119">
        <v>-73722.19</v>
      </c>
      <c r="Z17" s="119">
        <v>0</v>
      </c>
      <c r="AA17" s="119">
        <v>-3713.02</v>
      </c>
      <c r="AB17" s="119">
        <v>-203124</v>
      </c>
      <c r="AC17" s="119">
        <v>-363950.95</v>
      </c>
      <c r="AD17" s="128">
        <f t="shared" si="0"/>
        <v>-4790060.99</v>
      </c>
      <c r="AF17">
        <f t="shared" si="7"/>
        <v>201808</v>
      </c>
      <c r="AG17" s="119">
        <v>-1117283.3700000001</v>
      </c>
      <c r="AH17" s="119">
        <v>-581625.46</v>
      </c>
      <c r="AI17" s="119">
        <v>-70978.53</v>
      </c>
      <c r="AJ17" s="119">
        <v>0</v>
      </c>
      <c r="AK17" s="119">
        <v>-769.01</v>
      </c>
      <c r="AL17" s="119">
        <v>-53471</v>
      </c>
      <c r="AM17" s="119">
        <v>-38437.53</v>
      </c>
      <c r="AN17" s="128">
        <f t="shared" si="3"/>
        <v>-1862564.9000000001</v>
      </c>
    </row>
    <row r="18" spans="1:40" x14ac:dyDescent="0.2">
      <c r="A18">
        <f t="shared" si="4"/>
        <v>201809</v>
      </c>
      <c r="B18" s="119">
        <v>-17898255.48</v>
      </c>
      <c r="C18" s="119">
        <v>-19126552.760000002</v>
      </c>
      <c r="D18" s="119">
        <v>-5913786.4000000004</v>
      </c>
      <c r="E18" s="119">
        <v>-401956.39</v>
      </c>
      <c r="F18" s="119">
        <v>-89577.43</v>
      </c>
      <c r="G18" s="119">
        <v>3909028</v>
      </c>
      <c r="H18" s="120">
        <f t="shared" si="1"/>
        <v>-39521100.460000001</v>
      </c>
      <c r="J18">
        <f t="shared" si="5"/>
        <v>201809</v>
      </c>
      <c r="K18" s="119">
        <v>-7989332.0199999996</v>
      </c>
      <c r="L18" s="119">
        <v>-7674049.9100000001</v>
      </c>
      <c r="M18" s="119">
        <v>-4891433.6100000003</v>
      </c>
      <c r="N18" s="119">
        <v>-219785.47</v>
      </c>
      <c r="O18" s="119">
        <v>-15398.99</v>
      </c>
      <c r="P18" s="119">
        <v>2626247</v>
      </c>
      <c r="Q18" s="119">
        <v>-616.03</v>
      </c>
      <c r="R18" s="119">
        <v>-1007.63</v>
      </c>
      <c r="S18" s="119">
        <v>-869.77</v>
      </c>
      <c r="T18" s="128">
        <f t="shared" si="2"/>
        <v>-18166246.429999996</v>
      </c>
      <c r="V18">
        <f t="shared" si="6"/>
        <v>201809</v>
      </c>
      <c r="W18" s="119">
        <v>-3085624.53</v>
      </c>
      <c r="X18" s="119">
        <v>-1350615.52</v>
      </c>
      <c r="Y18" s="119">
        <v>-84808.54</v>
      </c>
      <c r="Z18" s="119">
        <v>0</v>
      </c>
      <c r="AA18" s="119">
        <v>-4226.92</v>
      </c>
      <c r="AB18" s="119">
        <v>-608146</v>
      </c>
      <c r="AC18" s="119">
        <v>-380710.08</v>
      </c>
      <c r="AD18" s="128">
        <f t="shared" si="0"/>
        <v>-5514131.5899999999</v>
      </c>
      <c r="AF18">
        <f t="shared" si="7"/>
        <v>201809</v>
      </c>
      <c r="AG18" s="119">
        <v>-1287797.9099999999</v>
      </c>
      <c r="AH18" s="119">
        <v>-622340.56999999995</v>
      </c>
      <c r="AI18" s="119">
        <v>-92289.68</v>
      </c>
      <c r="AJ18" s="119">
        <v>0</v>
      </c>
      <c r="AK18" s="119">
        <v>-799.9</v>
      </c>
      <c r="AL18" s="119">
        <v>-344530</v>
      </c>
      <c r="AM18" s="119">
        <v>-53282.54</v>
      </c>
      <c r="AN18" s="128">
        <f t="shared" si="3"/>
        <v>-2401040.5999999996</v>
      </c>
    </row>
    <row r="19" spans="1:40" ht="13.5" thickBot="1" x14ac:dyDescent="0.25">
      <c r="A19">
        <f t="shared" si="4"/>
        <v>201810</v>
      </c>
      <c r="B19" s="121">
        <v>-16334695.4</v>
      </c>
      <c r="C19" s="121">
        <v>-18033353.699999999</v>
      </c>
      <c r="D19" s="121">
        <v>-5341569.6900000004</v>
      </c>
      <c r="E19" s="121">
        <v>-415033.87</v>
      </c>
      <c r="F19" s="121">
        <v>-103811.16</v>
      </c>
      <c r="G19" s="122">
        <v>-2432599</v>
      </c>
      <c r="H19" s="120">
        <f t="shared" si="1"/>
        <v>-42661062.819999993</v>
      </c>
      <c r="J19">
        <f t="shared" si="5"/>
        <v>201810</v>
      </c>
      <c r="K19" s="121">
        <v>-7521482.3700000001</v>
      </c>
      <c r="L19" s="121">
        <v>-6931950.54</v>
      </c>
      <c r="M19" s="121">
        <v>-4023170.91</v>
      </c>
      <c r="N19" s="121">
        <v>-247641.15</v>
      </c>
      <c r="O19" s="121">
        <v>-13375.8</v>
      </c>
      <c r="P19" s="122">
        <v>-431813</v>
      </c>
      <c r="Q19" s="121">
        <v>-1150.43</v>
      </c>
      <c r="R19" s="121">
        <v>-1187.4000000000001</v>
      </c>
      <c r="S19" s="121">
        <v>-2243.44</v>
      </c>
      <c r="T19" s="128">
        <f t="shared" si="2"/>
        <v>-19174015.039999999</v>
      </c>
      <c r="V19">
        <f t="shared" si="6"/>
        <v>201810</v>
      </c>
      <c r="W19" s="121">
        <v>-4834483.76</v>
      </c>
      <c r="X19" s="122">
        <v>-2081924.89</v>
      </c>
      <c r="Y19" s="121">
        <v>-98089.82</v>
      </c>
      <c r="Z19" s="119">
        <v>0</v>
      </c>
      <c r="AA19" s="121">
        <v>-10260.83</v>
      </c>
      <c r="AB19" s="122">
        <v>-3187536</v>
      </c>
      <c r="AC19" s="122">
        <v>-357935.47</v>
      </c>
      <c r="AD19" s="128">
        <f t="shared" ref="AD19:AD21" si="8">SUM(W19:AC19)</f>
        <v>-10570230.770000001</v>
      </c>
      <c r="AF19">
        <f t="shared" si="7"/>
        <v>201810</v>
      </c>
      <c r="AG19" s="121">
        <v>-2239854.06</v>
      </c>
      <c r="AH19" s="121">
        <v>-886261.72</v>
      </c>
      <c r="AI19" s="121">
        <v>-97332.45</v>
      </c>
      <c r="AJ19" s="119">
        <v>0</v>
      </c>
      <c r="AK19" s="121">
        <v>-1258.3499999999999</v>
      </c>
      <c r="AL19" s="122">
        <v>-1463287</v>
      </c>
      <c r="AM19" s="121">
        <v>-41429.35</v>
      </c>
      <c r="AN19" s="128">
        <f t="shared" si="3"/>
        <v>-4729422.93</v>
      </c>
    </row>
    <row r="20" spans="1:40" ht="13.5" thickBot="1" x14ac:dyDescent="0.25">
      <c r="A20">
        <f t="shared" si="4"/>
        <v>201811</v>
      </c>
      <c r="B20" s="121">
        <v>-19054854.510000002</v>
      </c>
      <c r="C20" s="121">
        <v>-17732091.550000001</v>
      </c>
      <c r="D20" s="121">
        <v>-5297214.96</v>
      </c>
      <c r="E20" s="121">
        <v>-412982.96</v>
      </c>
      <c r="F20" s="121">
        <v>-76271.039999999994</v>
      </c>
      <c r="G20" s="122">
        <v>-2803286</v>
      </c>
      <c r="H20" s="120">
        <f t="shared" si="1"/>
        <v>-45376701.020000003</v>
      </c>
      <c r="J20">
        <f t="shared" si="5"/>
        <v>201811</v>
      </c>
      <c r="K20" s="121">
        <v>-9024723.2200000007</v>
      </c>
      <c r="L20" s="121">
        <v>-6910107.3899999997</v>
      </c>
      <c r="M20" s="121">
        <v>-3490302.59</v>
      </c>
      <c r="N20" s="121">
        <v>-210615.66</v>
      </c>
      <c r="O20" s="121">
        <v>-17038.84</v>
      </c>
      <c r="P20" s="122">
        <v>-1736251</v>
      </c>
      <c r="Q20" s="121">
        <v>-1971.26</v>
      </c>
      <c r="R20" s="121">
        <v>-2178.0700000000002</v>
      </c>
      <c r="S20" s="121">
        <v>-4177.1400000000003</v>
      </c>
      <c r="T20" s="128">
        <f t="shared" si="2"/>
        <v>-21397365.170000002</v>
      </c>
      <c r="V20">
        <f t="shared" si="6"/>
        <v>201811</v>
      </c>
      <c r="W20" s="121">
        <v>-7785535.2599999998</v>
      </c>
      <c r="X20" s="122">
        <v>-3339881.75</v>
      </c>
      <c r="Y20" s="121">
        <v>-132463.45000000001</v>
      </c>
      <c r="Z20" s="119">
        <v>0</v>
      </c>
      <c r="AA20" s="121">
        <v>-19155.7</v>
      </c>
      <c r="AB20" s="122">
        <v>-4209270</v>
      </c>
      <c r="AC20" s="122">
        <v>-437115.04</v>
      </c>
      <c r="AD20" s="128">
        <f t="shared" si="8"/>
        <v>-15923421.199999997</v>
      </c>
      <c r="AF20">
        <f t="shared" si="7"/>
        <v>201811</v>
      </c>
      <c r="AG20" s="121">
        <v>-3637739.15</v>
      </c>
      <c r="AH20" s="121">
        <v>-1447616.6</v>
      </c>
      <c r="AI20" s="121">
        <v>68877.820000000007</v>
      </c>
      <c r="AJ20" s="119">
        <v>0</v>
      </c>
      <c r="AK20" s="121">
        <v>-2028.42</v>
      </c>
      <c r="AL20" s="122">
        <v>-1742558</v>
      </c>
      <c r="AM20" s="121">
        <v>-61372.04</v>
      </c>
      <c r="AN20" s="128">
        <f t="shared" si="3"/>
        <v>-6822436.3899999997</v>
      </c>
    </row>
    <row r="21" spans="1:40" x14ac:dyDescent="0.2">
      <c r="A21">
        <f t="shared" si="4"/>
        <v>201812</v>
      </c>
      <c r="B21" s="123">
        <v>-24887456.73</v>
      </c>
      <c r="C21" s="123">
        <v>-19101559.629999999</v>
      </c>
      <c r="D21" s="123">
        <v>-4983078.22</v>
      </c>
      <c r="E21" s="124">
        <v>-413992.68</v>
      </c>
      <c r="F21" s="124">
        <v>-107255.66</v>
      </c>
      <c r="G21" s="125">
        <v>-796718</v>
      </c>
      <c r="H21" s="126">
        <f t="shared" si="1"/>
        <v>-50290060.919999994</v>
      </c>
      <c r="J21">
        <f t="shared" si="5"/>
        <v>201812</v>
      </c>
      <c r="K21" s="124">
        <v>-12267682.689999999</v>
      </c>
      <c r="L21" s="124">
        <v>-7785989.4000000004</v>
      </c>
      <c r="M21" s="124">
        <v>-3230761.28</v>
      </c>
      <c r="N21" s="124">
        <v>-220897.34</v>
      </c>
      <c r="O21" s="124">
        <v>-22455.13</v>
      </c>
      <c r="P21" s="125">
        <v>-901296</v>
      </c>
      <c r="Q21" s="124">
        <v>-1892.64</v>
      </c>
      <c r="R21" s="124">
        <v>-3282.78</v>
      </c>
      <c r="S21" s="124">
        <v>-5523.22</v>
      </c>
      <c r="T21" s="128">
        <f t="shared" si="2"/>
        <v>-24439780.48</v>
      </c>
      <c r="V21">
        <f t="shared" si="6"/>
        <v>201812</v>
      </c>
      <c r="W21" s="124">
        <v>-11867884.460000001</v>
      </c>
      <c r="X21" s="125">
        <v>-5261440.25</v>
      </c>
      <c r="Y21" s="124">
        <v>-126352.83</v>
      </c>
      <c r="Z21" s="130">
        <v>0</v>
      </c>
      <c r="AA21" s="124">
        <v>-25658.77</v>
      </c>
      <c r="AB21" s="125">
        <v>-1919580</v>
      </c>
      <c r="AC21" s="125">
        <v>-426794.31</v>
      </c>
      <c r="AD21" s="131">
        <f t="shared" si="8"/>
        <v>-19627710.619999997</v>
      </c>
      <c r="AF21">
        <f t="shared" si="7"/>
        <v>201812</v>
      </c>
      <c r="AG21" s="124">
        <v>-5604374.7599999998</v>
      </c>
      <c r="AH21" s="124">
        <v>-2254422.6</v>
      </c>
      <c r="AI21" s="124">
        <v>-116228.64</v>
      </c>
      <c r="AJ21" s="130">
        <v>0</v>
      </c>
      <c r="AK21" s="124">
        <v>-3612.34</v>
      </c>
      <c r="AL21" s="125">
        <v>-463212</v>
      </c>
      <c r="AM21" s="124">
        <v>-47030.47</v>
      </c>
      <c r="AN21" s="128">
        <f t="shared" si="3"/>
        <v>-8488880.8100000005</v>
      </c>
    </row>
    <row r="22" spans="1:40" ht="13.5" thickBot="1" x14ac:dyDescent="0.25">
      <c r="B22" s="127">
        <f>SUM(B10:B21)</f>
        <v>-250889874.10999995</v>
      </c>
      <c r="C22" s="127">
        <f t="shared" ref="C22:H22" si="9">SUM(C10:C21)</f>
        <v>-222029050.83000001</v>
      </c>
      <c r="D22" s="127">
        <f t="shared" si="9"/>
        <v>-60810026.539999992</v>
      </c>
      <c r="E22" s="127">
        <f t="shared" si="9"/>
        <v>-4858493.78</v>
      </c>
      <c r="F22" s="127">
        <f t="shared" si="9"/>
        <v>-1100719.02</v>
      </c>
      <c r="G22" s="127">
        <f t="shared" si="9"/>
        <v>-1450190</v>
      </c>
      <c r="H22" s="127">
        <f t="shared" si="9"/>
        <v>-541138354.27999985</v>
      </c>
      <c r="K22" s="127">
        <f t="shared" ref="K22:T22" si="10">SUM(K10:K21)</f>
        <v>-121586814.57000001</v>
      </c>
      <c r="L22" s="127">
        <f t="shared" si="10"/>
        <v>-92481673.930000007</v>
      </c>
      <c r="M22" s="127">
        <f t="shared" si="10"/>
        <v>-42062284.640000001</v>
      </c>
      <c r="N22" s="127">
        <f t="shared" si="10"/>
        <v>-2680415.33</v>
      </c>
      <c r="O22" s="127">
        <f t="shared" si="10"/>
        <v>-239640.66</v>
      </c>
      <c r="P22" s="127">
        <f t="shared" si="10"/>
        <v>-1768871</v>
      </c>
      <c r="Q22" s="127">
        <f t="shared" si="10"/>
        <v>-17332.87</v>
      </c>
      <c r="R22" s="127">
        <f t="shared" si="10"/>
        <v>-34995.61</v>
      </c>
      <c r="S22" s="127">
        <f t="shared" si="10"/>
        <v>-45294.400000000009</v>
      </c>
      <c r="T22" s="129">
        <f t="shared" si="10"/>
        <v>-260917323.00999996</v>
      </c>
      <c r="W22" s="127">
        <f t="shared" ref="W22:AD22" si="11">SUM(W10:W21)</f>
        <v>-96666957.26000002</v>
      </c>
      <c r="X22" s="127">
        <f t="shared" si="11"/>
        <v>-44091897.57</v>
      </c>
      <c r="Y22" s="127">
        <f t="shared" si="11"/>
        <v>-1517193.5000000002</v>
      </c>
      <c r="Z22" s="127">
        <f t="shared" si="11"/>
        <v>0</v>
      </c>
      <c r="AA22" s="127">
        <f t="shared" si="11"/>
        <v>-225193.69</v>
      </c>
      <c r="AB22" s="127">
        <f t="shared" si="11"/>
        <v>1876069</v>
      </c>
      <c r="AC22" s="127">
        <f t="shared" si="11"/>
        <v>-5088149.17</v>
      </c>
      <c r="AD22" s="127">
        <f t="shared" si="11"/>
        <v>-145713322.19</v>
      </c>
      <c r="AG22" s="127">
        <f t="shared" ref="AG22:AN22" si="12">SUM(AG10:AG21)</f>
        <v>-42503435.549999997</v>
      </c>
      <c r="AH22" s="127">
        <f t="shared" si="12"/>
        <v>-18106018.660000004</v>
      </c>
      <c r="AI22" s="127">
        <f t="shared" si="12"/>
        <v>-1043073.3099999999</v>
      </c>
      <c r="AJ22" s="127">
        <f t="shared" si="12"/>
        <v>0</v>
      </c>
      <c r="AK22" s="127">
        <f t="shared" si="12"/>
        <v>-29055.31</v>
      </c>
      <c r="AL22" s="127">
        <f t="shared" si="12"/>
        <v>1079474</v>
      </c>
      <c r="AM22" s="127">
        <f t="shared" si="12"/>
        <v>-598477.16999999993</v>
      </c>
      <c r="AN22" s="129">
        <f t="shared" si="12"/>
        <v>-61200586</v>
      </c>
    </row>
    <row r="23" spans="1:40" s="104" customFormat="1" x14ac:dyDescent="0.2">
      <c r="H23" s="100" t="s">
        <v>94</v>
      </c>
      <c r="T23" s="100" t="s">
        <v>94</v>
      </c>
      <c r="AD23" s="100" t="s">
        <v>94</v>
      </c>
      <c r="AN23" s="100" t="s">
        <v>94</v>
      </c>
    </row>
  </sheetData>
  <pageMargins left="0.7" right="0.7" top="0.75" bottom="0.75" header="0.3" footer="0.3"/>
  <pageSetup scale="80" orientation="landscape" r:id="rId1"/>
  <colBreaks count="3" manualBreakCount="3">
    <brk id="9" max="1048575" man="1"/>
    <brk id="21" max="1048575" man="1"/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15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zoomScaleNormal="100" workbookViewId="0"/>
  </sheetViews>
  <sheetFormatPr defaultColWidth="9.140625" defaultRowHeight="12.75" x14ac:dyDescent="0.2"/>
  <cols>
    <col min="1" max="1" width="24.5703125" style="2" customWidth="1"/>
    <col min="2" max="5" width="11.7109375" style="2" customWidth="1"/>
    <col min="6" max="6" width="10.140625" style="2" bestFit="1" customWidth="1"/>
    <col min="7" max="9" width="9.140625" style="2"/>
    <col min="10" max="10" width="9.42578125" style="2" customWidth="1"/>
    <col min="11" max="11" width="15.28515625" style="2" customWidth="1"/>
    <col min="12" max="12" width="12.42578125" style="38" customWidth="1"/>
    <col min="13" max="13" width="13" style="2" customWidth="1"/>
    <col min="14" max="16384" width="9.140625" style="2"/>
  </cols>
  <sheetData>
    <row r="1" spans="1:13" x14ac:dyDescent="0.2">
      <c r="K1" s="40" t="s">
        <v>81</v>
      </c>
    </row>
    <row r="2" spans="1:13" x14ac:dyDescent="0.2">
      <c r="A2" s="2" t="s">
        <v>70</v>
      </c>
      <c r="B2" s="35" t="s">
        <v>163</v>
      </c>
      <c r="C2" s="29"/>
      <c r="F2" s="38"/>
      <c r="G2" s="38"/>
      <c r="H2" s="38"/>
      <c r="K2" s="48" t="s">
        <v>164</v>
      </c>
    </row>
    <row r="3" spans="1:13" x14ac:dyDescent="0.2">
      <c r="B3" s="29"/>
      <c r="C3" s="29"/>
      <c r="K3" s="57"/>
    </row>
    <row r="4" spans="1:13" x14ac:dyDescent="0.2">
      <c r="A4" s="2" t="s">
        <v>76</v>
      </c>
      <c r="B4" s="36" t="s">
        <v>77</v>
      </c>
      <c r="K4" s="57"/>
    </row>
    <row r="5" spans="1:13" x14ac:dyDescent="0.2">
      <c r="B5" s="29"/>
      <c r="C5" s="29"/>
      <c r="K5" s="57"/>
    </row>
    <row r="6" spans="1:13" x14ac:dyDescent="0.2">
      <c r="A6" s="1" t="s">
        <v>88</v>
      </c>
      <c r="B6" s="29"/>
      <c r="C6" s="29"/>
      <c r="K6" s="57"/>
    </row>
    <row r="7" spans="1:13" ht="27" customHeight="1" x14ac:dyDescent="0.2">
      <c r="A7" s="42" t="s">
        <v>71</v>
      </c>
      <c r="B7" s="117">
        <v>2E-3</v>
      </c>
      <c r="C7" s="143" t="s">
        <v>161</v>
      </c>
      <c r="D7" s="143"/>
      <c r="E7" s="143"/>
      <c r="F7" s="143"/>
      <c r="G7" s="143"/>
      <c r="H7" s="143"/>
      <c r="I7" s="143"/>
      <c r="J7" s="143"/>
      <c r="K7" s="49" t="s">
        <v>160</v>
      </c>
      <c r="L7" s="44"/>
    </row>
    <row r="8" spans="1:13" ht="27" customHeight="1" x14ac:dyDescent="0.2">
      <c r="A8" s="42" t="s">
        <v>72</v>
      </c>
      <c r="B8" s="117">
        <v>2.2750000000000001E-3</v>
      </c>
      <c r="C8" s="144" t="s">
        <v>103</v>
      </c>
      <c r="D8" s="144"/>
      <c r="E8" s="144"/>
      <c r="F8" s="144"/>
      <c r="G8" s="144"/>
      <c r="H8" s="144"/>
      <c r="I8" s="144"/>
      <c r="J8" s="144"/>
      <c r="K8" s="49" t="s">
        <v>160</v>
      </c>
    </row>
    <row r="9" spans="1:13" x14ac:dyDescent="0.2">
      <c r="B9" s="29"/>
      <c r="C9" s="2" t="s">
        <v>92</v>
      </c>
      <c r="K9" s="16"/>
    </row>
    <row r="10" spans="1:13" x14ac:dyDescent="0.2">
      <c r="A10" s="1" t="s">
        <v>89</v>
      </c>
      <c r="B10" s="39">
        <v>0.21</v>
      </c>
      <c r="K10" s="16"/>
    </row>
    <row r="11" spans="1:13" x14ac:dyDescent="0.2">
      <c r="K11" s="16"/>
    </row>
    <row r="12" spans="1:13" x14ac:dyDescent="0.2">
      <c r="B12" s="16" t="s">
        <v>73</v>
      </c>
      <c r="C12" s="16" t="s">
        <v>74</v>
      </c>
      <c r="D12" s="16" t="s">
        <v>75</v>
      </c>
      <c r="E12" s="16" t="s">
        <v>80</v>
      </c>
      <c r="F12" s="140" t="s">
        <v>90</v>
      </c>
      <c r="G12" s="141"/>
      <c r="H12" s="141"/>
      <c r="I12" s="141"/>
      <c r="J12" s="141"/>
      <c r="K12" s="16"/>
      <c r="L12" s="57" t="s">
        <v>97</v>
      </c>
      <c r="M12" s="16" t="s">
        <v>100</v>
      </c>
    </row>
    <row r="13" spans="1:13" x14ac:dyDescent="0.2">
      <c r="A13" s="1" t="s">
        <v>83</v>
      </c>
      <c r="B13" s="114">
        <v>541138355</v>
      </c>
      <c r="C13" s="114">
        <f>140625174+5088149</f>
        <v>145713323</v>
      </c>
      <c r="D13" s="114">
        <v>260917324</v>
      </c>
      <c r="E13" s="114">
        <f>60602109+598477</f>
        <v>61200586</v>
      </c>
      <c r="F13" s="141"/>
      <c r="G13" s="141"/>
      <c r="H13" s="141"/>
      <c r="I13" s="141"/>
      <c r="J13" s="141"/>
      <c r="K13" s="48" t="s">
        <v>165</v>
      </c>
      <c r="L13" s="114">
        <f>87431678+3463485</f>
        <v>90895163</v>
      </c>
      <c r="M13" s="62">
        <f>SUM(B13:E13,L13)</f>
        <v>1099864751</v>
      </c>
    </row>
    <row r="14" spans="1:13" x14ac:dyDescent="0.2">
      <c r="A14" s="2" t="s">
        <v>159</v>
      </c>
      <c r="B14" s="113">
        <f>B13+'C-UE-3'!H22</f>
        <v>0.72000014781951904</v>
      </c>
      <c r="C14" s="113">
        <f>C13+'C-UE-3'!AD22</f>
        <v>0.81000000238418579</v>
      </c>
      <c r="D14" s="113">
        <f>D13+'C-UE-3'!T22</f>
        <v>0.99000003933906555</v>
      </c>
      <c r="E14" s="113">
        <f>E13+'C-UE-3'!AN22</f>
        <v>0</v>
      </c>
      <c r="F14" s="41"/>
      <c r="G14" s="41"/>
      <c r="H14" s="41"/>
      <c r="I14" s="41"/>
      <c r="J14" s="41"/>
      <c r="K14" s="48" t="s">
        <v>165</v>
      </c>
    </row>
    <row r="15" spans="1:13" x14ac:dyDescent="0.2">
      <c r="K15" s="16"/>
    </row>
    <row r="16" spans="1:13" ht="12.75" customHeight="1" x14ac:dyDescent="0.2">
      <c r="A16" s="1" t="s">
        <v>85</v>
      </c>
      <c r="B16" s="16" t="s">
        <v>73</v>
      </c>
      <c r="C16" s="16" t="s">
        <v>74</v>
      </c>
      <c r="E16" s="43" t="s">
        <v>84</v>
      </c>
      <c r="K16" s="16"/>
    </row>
    <row r="17" spans="1:12" x14ac:dyDescent="0.2">
      <c r="A17" s="142"/>
      <c r="B17" s="117">
        <v>3.8733999999999998E-2</v>
      </c>
      <c r="C17" s="117">
        <v>3.8519999999999999E-2</v>
      </c>
      <c r="G17" s="36"/>
      <c r="H17" s="36"/>
      <c r="I17" s="36"/>
      <c r="K17" s="49" t="s">
        <v>166</v>
      </c>
    </row>
    <row r="18" spans="1:12" x14ac:dyDescent="0.2">
      <c r="A18" s="142"/>
      <c r="B18" s="35"/>
      <c r="C18" s="35"/>
      <c r="D18" s="38"/>
      <c r="E18" s="38"/>
      <c r="G18" s="37"/>
      <c r="H18" s="37"/>
      <c r="I18" s="37"/>
      <c r="K18" s="16"/>
    </row>
    <row r="19" spans="1:12" x14ac:dyDescent="0.2">
      <c r="B19" s="37" t="s">
        <v>91</v>
      </c>
      <c r="D19" s="33"/>
      <c r="E19" s="33"/>
      <c r="F19" s="32"/>
      <c r="K19" s="16"/>
    </row>
    <row r="20" spans="1:12" x14ac:dyDescent="0.2">
      <c r="A20" s="1"/>
      <c r="B20" s="1"/>
      <c r="C20" s="1"/>
      <c r="D20" s="34"/>
      <c r="E20" s="34"/>
      <c r="F20" s="32"/>
      <c r="K20" s="16"/>
    </row>
    <row r="21" spans="1:12" x14ac:dyDescent="0.2">
      <c r="D21" s="32"/>
      <c r="E21" s="32"/>
      <c r="F21" s="32"/>
      <c r="K21" s="16"/>
    </row>
    <row r="22" spans="1:12" x14ac:dyDescent="0.2">
      <c r="A22" s="1" t="s">
        <v>86</v>
      </c>
      <c r="B22" s="1"/>
      <c r="C22" s="1"/>
      <c r="D22" s="118">
        <v>6.9250000000000006E-2</v>
      </c>
      <c r="E22" s="27"/>
      <c r="F22" s="32"/>
      <c r="K22" s="48" t="s">
        <v>165</v>
      </c>
      <c r="L22" s="37"/>
    </row>
    <row r="23" spans="1:12" x14ac:dyDescent="0.2">
      <c r="A23" s="66" t="s">
        <v>167</v>
      </c>
      <c r="B23" s="50"/>
      <c r="C23" s="1"/>
      <c r="D23" s="118">
        <v>0.1993</v>
      </c>
      <c r="E23" s="35" t="s">
        <v>162</v>
      </c>
      <c r="F23" s="32"/>
      <c r="K23" s="48" t="s">
        <v>165</v>
      </c>
    </row>
    <row r="24" spans="1:12" x14ac:dyDescent="0.2">
      <c r="A24" s="61" t="s">
        <v>99</v>
      </c>
      <c r="D24" s="38">
        <f>(D13+E13)/M13</f>
        <v>0.29287047312601799</v>
      </c>
      <c r="E24" s="1" t="s">
        <v>87</v>
      </c>
      <c r="K24" s="48" t="s">
        <v>165</v>
      </c>
    </row>
    <row r="27" spans="1:12" x14ac:dyDescent="0.2">
      <c r="C27" s="37"/>
      <c r="D27" s="38"/>
      <c r="E27" s="38"/>
      <c r="F27" s="38"/>
      <c r="G27" s="38"/>
      <c r="H27" s="38"/>
      <c r="I27" s="38"/>
      <c r="J27" s="38"/>
    </row>
    <row r="28" spans="1:12" x14ac:dyDescent="0.2">
      <c r="E28" s="38"/>
      <c r="F28" s="38"/>
      <c r="G28" s="38"/>
      <c r="H28" s="38"/>
      <c r="I28" s="38"/>
      <c r="J28" s="38"/>
    </row>
    <row r="29" spans="1:12" x14ac:dyDescent="0.2">
      <c r="E29" s="38"/>
      <c r="F29" s="38"/>
      <c r="G29" s="38"/>
      <c r="H29" s="38"/>
      <c r="I29" s="38"/>
      <c r="J29" s="38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77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8C6E565-C3BD-4FB6-84C4-BE26E1218739}"/>
</file>

<file path=customXml/itemProps2.xml><?xml version="1.0" encoding="utf-8"?>
<ds:datastoreItem xmlns:ds="http://schemas.openxmlformats.org/officeDocument/2006/customXml" ds:itemID="{98BA98D7-ED27-4AA0-845E-8313A708BDAD}"/>
</file>

<file path=customXml/itemProps3.xml><?xml version="1.0" encoding="utf-8"?>
<ds:datastoreItem xmlns:ds="http://schemas.openxmlformats.org/officeDocument/2006/customXml" ds:itemID="{72180981-32D5-4210-9C51-926DB2A47C55}"/>
</file>

<file path=customXml/itemProps4.xml><?xml version="1.0" encoding="utf-8"?>
<ds:datastoreItem xmlns:ds="http://schemas.openxmlformats.org/officeDocument/2006/customXml" ds:itemID="{EA6A5CE9-E267-4AAF-BCA6-F3E5A5E93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CF ID Elec</vt:lpstr>
      <vt:lpstr>CF ID Gas</vt:lpstr>
      <vt:lpstr>CF WA Elec</vt:lpstr>
      <vt:lpstr>CF WA Gas</vt:lpstr>
      <vt:lpstr>C-UE-1</vt:lpstr>
      <vt:lpstr>C-UE-2</vt:lpstr>
      <vt:lpstr>C-UE-3</vt:lpstr>
      <vt:lpstr>SharedInputs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2019-02-28T00:00:56Z</cp:lastPrinted>
  <dcterms:created xsi:type="dcterms:W3CDTF">1997-04-18T16:56:32Z</dcterms:created>
  <dcterms:modified xsi:type="dcterms:W3CDTF">2019-02-28T00:01:04Z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