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Investor Supld Working Capti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ACEDREVGR" hidden="1">'[2]Revenue-monthly'!#REF!</definedName>
    <definedName name="__123Graph_B" hidden="1">[1]Inputs!#REF!</definedName>
    <definedName name="__123Graph_BCEDREVGR" hidden="1">'[2]Revenue-monthly'!#REF!</definedName>
    <definedName name="__123Graph_D" hidden="1">[1]Inputs!#REF!</definedName>
    <definedName name="__123Graph_E" hidden="1">[3]Input!$E$22:$E$37</definedName>
    <definedName name="__123Graph_F" hidden="1">[3]Input!$D$22:$D$37</definedName>
    <definedName name="__123Graph_X" hidden="1">'[2]Revenue-monthly'!$A$12:$A$23</definedName>
    <definedName name="__123Graph_XCEDREVGR" hidden="1">'[2]Revenue-monthly'!$A$12:$A$23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1__123Graph_ACHART_17" hidden="1">'[4]10'!#REF!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nofill" hidden="1">[5]A!#REF!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a" hidden="1">'[6]DSM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{#N/A,#N/A,FALSE,"Actual";#N/A,#N/A,FALSE,"Normalized";#N/A,#N/A,FALSE,"Electric Actual";#N/A,#N/A,FALSE,"Electric Normalized"}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fd" hidden="1">{#N/A,#N/A,FALSE,"CHECKREQ"}</definedName>
    <definedName name="dfdfdfd" hidden="1">{#N/A,#N/A,FALSE,"CHECKREQ"}</definedName>
    <definedName name="DUDE" hidden="1">#REF!</definedName>
    <definedName name="e" hidden="1">{#N/A,#N/A,FALSE,"Loans";#N/A,#N/A,FALSE,"Program Costs";#N/A,#N/A,FALSE,"Measures";#N/A,#N/A,FALSE,"Net Lost Rev";#N/A,#N/A,FALSE,"Incentive"}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hidden="1">{#N/A,#N/A,FALSE,"CHECKREQ"}</definedName>
    <definedName name="fdf" hidden="1">{#N/A,#N/A,FALSE,"CHECKREQ"}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" hidden="1">{#N/A,#N/A,FALSE,"Summary EPS";#N/A,#N/A,FALSE,"1st Qtr Electric";#N/A,#N/A,FALSE,"1st Qtr Australia";#N/A,#N/A,FALSE,"1st Qtr Telecom";#N/A,#N/A,FALSE,"1st QTR Other"}</definedName>
    <definedName name="h" hidden="1">{#N/A,#N/A,FALSE,"Summary 1";#N/A,#N/A,FALSE,"Domestic";#N/A,#N/A,FALSE,"Australia";#N/A,#N/A,FALSE,"Other"}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41449.5882638889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hidden="1">[5]A!#REF!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[7]Inputs!#REF!</definedName>
    <definedName name="_xlnm.Print_Area" localSheetId="0">'Investor Supld Working Captial'!$A$5:$Y$183</definedName>
    <definedName name="_xlnm.Print_Titles" localSheetId="0">'Investor Supld Working Captial'!$A:$B,'Investor Supld Working Captial'!$5:$7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"45GXL7SXPXL3MHIZ7CHPZQ8ZV"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standard1stub" hidden="1">{"YTD-Total",#N/A,FALSE,"Provision"}</definedName>
    <definedName name="test" hidden="1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hidden="1">[8]Inputs!#REF!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Sheet";#N/A,#N/A,FALSE,"T-Accounts";#N/A,#N/A,FALSE,"Ins &amp; Prem ActualEstimates"}</definedName>
    <definedName name="wrn.All._.pages.stub" hidden="1">{#N/A,#N/A,FALSE,"Summary 1";#N/A,#N/A,FALSE,"Domestic";#N/A,#N/A,FALSE,"Australia";#N/A,#N/A,FALSE,"Other"}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LLstub" hidden="1">{#N/A,#N/A,FALSE,"Summary EPS";#N/A,#N/A,FALSE,"1st Qtr Electric";#N/A,#N/A,FALSE,"1st Qtr Australia";#N/A,#N/A,FALSE,"1st Qtr Telecom";#N/A,#N/A,FALSE,"1st QTR Other"}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hidden="1">{#N/A,#N/A,FALSE,"CHECKREQ"}</definedName>
    <definedName name="wrn.Combined._.YTD.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ll._.View.stub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pen._.Issues._.Only.stub" hidden="1">{"Open issues Only",#N/A,FALSE,"TIMELINE"}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hidden="1">{"PFS recon view",#N/A,FALSE,"Hyperion Proof"}</definedName>
    <definedName name="wrn.PFSreconview.stub" hidden="1">{"PFS recon view",#N/A,FALSE,"Hyperion Proof"}</definedName>
    <definedName name="wrn.PGHCreconview." hidden="1">{"PGHC recon view",#N/A,FALSE,"Hyperion Proof"}</definedName>
    <definedName name="wrn.PGHCreconview.stub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CoCodeView.stub" hidden="1">{"PPM Co Code View",#N/A,FALSE,"Comp Codes"}</definedName>
    <definedName name="wrn.PPMreconview." hidden="1">{"PPM Recon View",#N/A,FALSE,"Hyperion Proof"}</definedName>
    <definedName name="wrn.PPMreconview.stub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ElectricOnly.stub" hidden="1">{"Electric Only",#N/A,FALSE,"Hyperion Proof"}</definedName>
    <definedName name="wrn.ProofTotal." hidden="1">{"Proof Total",#N/A,FALSE,"Hyperion Proof"}</definedName>
    <definedName name="wrn.ProofTotal.stub" hidden="1">{"Proof Total",#N/A,FALSE,"Hyperion Proof"}</definedName>
    <definedName name="wrn.Reformat._.only." hidden="1">{#N/A,#N/A,FALSE,"Dec 1999 mapping"}</definedName>
    <definedName name="wrn.Reformat._.only.stub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NonUtility._.Only.stub" hidden="1">{"YTD-NonUtility",#N/A,FALSE,"Prov NonUtility"}</definedName>
    <definedName name="wrn.Standard._.Utility._.Only." hidden="1">{"YTD-Utility",#N/A,FALSE,"Prov Utility"}</definedName>
    <definedName name="wrn.Standard._.Utility._.Only.stub" hidden="1">{"YTD-Utility",#N/A,FALSE,"Prov Utility"}</definedName>
    <definedName name="wrn.Standard.stub" hidden="1">{"YTD-Total",#N/A,FALSE,"Provision"}</definedName>
    <definedName name="wrn.Summary." hidden="1">{"Table A",#N/A,FALSE,"Summary";"Table D",#N/A,FALSE,"Summary";"Table E",#N/A,FALSE,"Summary"}</definedName>
    <definedName name="wrn.Summary._.View." hidden="1">{#N/A,#N/A,FALSE,"Consltd-For contngcy"}</definedName>
    <definedName name="wrn.Summary._.View.stub" hidden="1">{#N/A,#N/A,FALSE,"Consltd-For contngcy"}</definedName>
    <definedName name="wrn.test." hidden="1">{#N/A,#N/A,TRUE,"10.1_Historical Cover Sheet";#N/A,#N/A,TRUE,"10.2-10.3_Historical"}</definedName>
    <definedName name="wrn.Total._.Summary." hidden="1">{"Total Summary",#N/A,FALSE,"Summary"}</definedName>
    <definedName name="wrn.UK._.Conversion._.Only." hidden="1">{#N/A,#N/A,FALSE,"Dec 1999 UK Continuing Ops"}</definedName>
    <definedName name="wrn.UK._.Conversion._.Only.stub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 hidden="1">{"YTD-Total",#N/A,TRUE,"Provision";"YTD-Utility",#N/A,TRUE,"Prov Utility";"YTD-NonUtility",#N/A,TRUE,"Prov NonUtility"}</definedName>
    <definedName name="xxx" hidden="1">{"YTD-Utility",#N/A,FALSE,"Prov Utility"}</definedName>
    <definedName name="y" hidden="1">'[9]DSM Output'!$B$21:$B$23</definedName>
    <definedName name="z" hidden="1">'[9]DSM Output'!$G$21:$G$23</definedName>
    <definedName name="Z_01844156_6462_4A28_9785_1A86F4D0C834_.wvu.PrintTitles" hidden="1">#REF!</definedName>
    <definedName name="zz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9" i="1" l="1"/>
  <c r="W174" i="1"/>
  <c r="V174" i="1"/>
  <c r="W167" i="1"/>
  <c r="V167" i="1"/>
  <c r="W166" i="1"/>
  <c r="V166" i="1"/>
  <c r="W165" i="1"/>
  <c r="V165" i="1"/>
  <c r="W163" i="1"/>
  <c r="V163" i="1"/>
  <c r="W162" i="1"/>
  <c r="V162" i="1"/>
  <c r="W160" i="1"/>
  <c r="V160" i="1"/>
  <c r="W159" i="1"/>
  <c r="V159" i="1"/>
  <c r="V143" i="1"/>
  <c r="W135" i="1"/>
  <c r="V135" i="1"/>
  <c r="W131" i="1"/>
  <c r="V131" i="1"/>
  <c r="W130" i="1"/>
  <c r="V130" i="1"/>
  <c r="W129" i="1"/>
  <c r="V129" i="1"/>
  <c r="W128" i="1"/>
  <c r="V128" i="1"/>
  <c r="W90" i="1"/>
  <c r="V90" i="1"/>
  <c r="W86" i="1"/>
  <c r="V86" i="1"/>
  <c r="W80" i="1"/>
  <c r="V80" i="1"/>
  <c r="W79" i="1"/>
  <c r="V79" i="1"/>
  <c r="W12" i="1"/>
  <c r="V12" i="1"/>
  <c r="W9" i="1"/>
  <c r="V9" i="1"/>
  <c r="W29" i="1"/>
  <c r="R192" i="1" l="1"/>
  <c r="P192" i="1"/>
  <c r="V92" i="1" l="1"/>
  <c r="P167" i="1"/>
  <c r="T167" i="1" s="1"/>
  <c r="P166" i="1"/>
  <c r="T166" i="1" s="1"/>
  <c r="P165" i="1"/>
  <c r="T165" i="1" s="1"/>
  <c r="Z164" i="1"/>
  <c r="P164" i="1"/>
  <c r="U164" i="1" s="1"/>
  <c r="P163" i="1"/>
  <c r="T163" i="1" s="1"/>
  <c r="P162" i="1"/>
  <c r="T162" i="1" s="1"/>
  <c r="Y161" i="1"/>
  <c r="P161" i="1"/>
  <c r="T161" i="1" s="1"/>
  <c r="P160" i="1"/>
  <c r="T160" i="1" s="1"/>
  <c r="P159" i="1"/>
  <c r="T159" i="1" s="1"/>
  <c r="Z158" i="1"/>
  <c r="Z157" i="1"/>
  <c r="Z156" i="1"/>
  <c r="R156" i="1"/>
  <c r="Z155" i="1"/>
  <c r="P155" i="1"/>
  <c r="S155" i="1" s="1"/>
  <c r="Z154" i="1"/>
  <c r="P154" i="1"/>
  <c r="S154" i="1" s="1"/>
  <c r="P153" i="1"/>
  <c r="T153" i="1" s="1"/>
  <c r="P152" i="1"/>
  <c r="T152" i="1" s="1"/>
  <c r="Z151" i="1"/>
  <c r="P151" i="1"/>
  <c r="U151" i="1" s="1"/>
  <c r="P150" i="1"/>
  <c r="Z149" i="1"/>
  <c r="P149" i="1"/>
  <c r="S149" i="1" s="1"/>
  <c r="Z148" i="1"/>
  <c r="P148" i="1"/>
  <c r="S148" i="1" s="1"/>
  <c r="Z147" i="1"/>
  <c r="P147" i="1"/>
  <c r="S147" i="1" s="1"/>
  <c r="Z146" i="1"/>
  <c r="P146" i="1"/>
  <c r="S146" i="1" s="1"/>
  <c r="Z145" i="1"/>
  <c r="P145" i="1"/>
  <c r="S145" i="1" s="1"/>
  <c r="Z144" i="1"/>
  <c r="P144" i="1"/>
  <c r="S144" i="1" s="1"/>
  <c r="P143" i="1"/>
  <c r="T143" i="1" s="1"/>
  <c r="Z142" i="1"/>
  <c r="P142" i="1"/>
  <c r="S142" i="1" s="1"/>
  <c r="Z141" i="1"/>
  <c r="P141" i="1"/>
  <c r="S141" i="1" s="1"/>
  <c r="Z140" i="1"/>
  <c r="P140" i="1"/>
  <c r="S140" i="1" s="1"/>
  <c r="Z139" i="1"/>
  <c r="P139" i="1"/>
  <c r="U139" i="1" s="1"/>
  <c r="Z138" i="1"/>
  <c r="Z137" i="1"/>
  <c r="R136" i="1"/>
  <c r="P135" i="1"/>
  <c r="T135" i="1" s="1"/>
  <c r="Y134" i="1"/>
  <c r="Z134" i="1" s="1"/>
  <c r="P134" i="1"/>
  <c r="P133" i="1"/>
  <c r="T133" i="1" s="1"/>
  <c r="P132" i="1"/>
  <c r="P131" i="1"/>
  <c r="P130" i="1"/>
  <c r="P129" i="1"/>
  <c r="T129" i="1" s="1"/>
  <c r="P128" i="1"/>
  <c r="T128" i="1" s="1"/>
  <c r="P127" i="1"/>
  <c r="U127" i="1" s="1"/>
  <c r="U136" i="1" s="1"/>
  <c r="R124" i="1"/>
  <c r="P123" i="1"/>
  <c r="U123" i="1" s="1"/>
  <c r="P122" i="1"/>
  <c r="U122" i="1" s="1"/>
  <c r="P121" i="1"/>
  <c r="U121" i="1" s="1"/>
  <c r="P120" i="1"/>
  <c r="U120" i="1" s="1"/>
  <c r="P119" i="1"/>
  <c r="U119" i="1" s="1"/>
  <c r="P118" i="1"/>
  <c r="U118" i="1" s="1"/>
  <c r="R115" i="1"/>
  <c r="P114" i="1"/>
  <c r="U114" i="1" s="1"/>
  <c r="P113" i="1"/>
  <c r="U113" i="1" s="1"/>
  <c r="P112" i="1"/>
  <c r="U112" i="1" s="1"/>
  <c r="P111" i="1"/>
  <c r="U111" i="1" s="1"/>
  <c r="U110" i="1"/>
  <c r="U109" i="1"/>
  <c r="U108" i="1"/>
  <c r="P107" i="1"/>
  <c r="U107" i="1" s="1"/>
  <c r="P106" i="1"/>
  <c r="U106" i="1" s="1"/>
  <c r="P105" i="1"/>
  <c r="U105" i="1" s="1"/>
  <c r="P104" i="1"/>
  <c r="U104" i="1" s="1"/>
  <c r="P103" i="1"/>
  <c r="U103" i="1" s="1"/>
  <c r="U102" i="1"/>
  <c r="P102" i="1"/>
  <c r="P101" i="1"/>
  <c r="U101" i="1" s="1"/>
  <c r="P100" i="1"/>
  <c r="U100" i="1" s="1"/>
  <c r="P99" i="1"/>
  <c r="U99" i="1" s="1"/>
  <c r="P94" i="1"/>
  <c r="R92" i="1"/>
  <c r="P91" i="1"/>
  <c r="T91" i="1" s="1"/>
  <c r="T90" i="1"/>
  <c r="P90" i="1"/>
  <c r="Z89" i="1"/>
  <c r="P89" i="1"/>
  <c r="U89" i="1" s="1"/>
  <c r="P88" i="1"/>
  <c r="T88" i="1" s="1"/>
  <c r="Z88" i="1" s="1"/>
  <c r="P87" i="1"/>
  <c r="T87" i="1" s="1"/>
  <c r="Z87" i="1" s="1"/>
  <c r="P86" i="1"/>
  <c r="T86" i="1" s="1"/>
  <c r="P85" i="1"/>
  <c r="T85" i="1" s="1"/>
  <c r="X85" i="1" s="1"/>
  <c r="Y85" i="1" s="1"/>
  <c r="P84" i="1"/>
  <c r="T84" i="1" s="1"/>
  <c r="P83" i="1"/>
  <c r="T83" i="1" s="1"/>
  <c r="Z83" i="1" s="1"/>
  <c r="P82" i="1"/>
  <c r="T82" i="1" s="1"/>
  <c r="Z82" i="1" s="1"/>
  <c r="P81" i="1"/>
  <c r="T81" i="1" s="1"/>
  <c r="P80" i="1"/>
  <c r="T80" i="1" s="1"/>
  <c r="P79" i="1"/>
  <c r="T79" i="1" s="1"/>
  <c r="P78" i="1"/>
  <c r="T78" i="1" s="1"/>
  <c r="Z77" i="1"/>
  <c r="P77" i="1"/>
  <c r="Z76" i="1"/>
  <c r="Z75" i="1"/>
  <c r="W74" i="1"/>
  <c r="V74" i="1"/>
  <c r="Z73" i="1"/>
  <c r="P73" i="1"/>
  <c r="R73" i="1" s="1"/>
  <c r="Z72" i="1"/>
  <c r="P72" i="1"/>
  <c r="R72" i="1" s="1"/>
  <c r="P71" i="1"/>
  <c r="T71" i="1" s="1"/>
  <c r="X71" i="1" s="1"/>
  <c r="Y71" i="1" s="1"/>
  <c r="Z71" i="1" s="1"/>
  <c r="P70" i="1"/>
  <c r="T70" i="1" s="1"/>
  <c r="X70" i="1" s="1"/>
  <c r="Y70" i="1" s="1"/>
  <c r="Z70" i="1" s="1"/>
  <c r="P69" i="1"/>
  <c r="T69" i="1" s="1"/>
  <c r="Z68" i="1"/>
  <c r="P68" i="1"/>
  <c r="R68" i="1" s="1"/>
  <c r="Z67" i="1"/>
  <c r="P67" i="1"/>
  <c r="R67" i="1" s="1"/>
  <c r="Z66" i="1"/>
  <c r="P66" i="1"/>
  <c r="R66" i="1" s="1"/>
  <c r="Z65" i="1"/>
  <c r="P65" i="1"/>
  <c r="R65" i="1" s="1"/>
  <c r="Z64" i="1"/>
  <c r="P64" i="1"/>
  <c r="R64" i="1" s="1"/>
  <c r="Z63" i="1"/>
  <c r="P63" i="1"/>
  <c r="R63" i="1" s="1"/>
  <c r="Z62" i="1"/>
  <c r="P62" i="1"/>
  <c r="R62" i="1" s="1"/>
  <c r="Z61" i="1"/>
  <c r="P61" i="1"/>
  <c r="R61" i="1" s="1"/>
  <c r="Z60" i="1"/>
  <c r="P60" i="1"/>
  <c r="R60" i="1" s="1"/>
  <c r="Z59" i="1"/>
  <c r="P59" i="1"/>
  <c r="R59" i="1" s="1"/>
  <c r="Z58" i="1"/>
  <c r="P58" i="1"/>
  <c r="R58" i="1" s="1"/>
  <c r="Z57" i="1"/>
  <c r="P57" i="1"/>
  <c r="R57" i="1" s="1"/>
  <c r="Z56" i="1"/>
  <c r="P56" i="1"/>
  <c r="R56" i="1" s="1"/>
  <c r="Z55" i="1"/>
  <c r="P55" i="1"/>
  <c r="R55" i="1" s="1"/>
  <c r="Z54" i="1"/>
  <c r="P54" i="1"/>
  <c r="R54" i="1" s="1"/>
  <c r="Z53" i="1"/>
  <c r="P53" i="1"/>
  <c r="R53" i="1" s="1"/>
  <c r="Z52" i="1"/>
  <c r="P52" i="1"/>
  <c r="R52" i="1" s="1"/>
  <c r="Z51" i="1"/>
  <c r="P51" i="1"/>
  <c r="R51" i="1" s="1"/>
  <c r="P50" i="1"/>
  <c r="T50" i="1" s="1"/>
  <c r="X50" i="1" s="1"/>
  <c r="Y50" i="1" s="1"/>
  <c r="Z50" i="1" s="1"/>
  <c r="Z49" i="1"/>
  <c r="P49" i="1"/>
  <c r="R49" i="1" s="1"/>
  <c r="Z48" i="1"/>
  <c r="P48" i="1"/>
  <c r="R48" i="1" s="1"/>
  <c r="Z47" i="1"/>
  <c r="P47" i="1"/>
  <c r="R47" i="1" s="1"/>
  <c r="P46" i="1"/>
  <c r="T46" i="1" s="1"/>
  <c r="X46" i="1" s="1"/>
  <c r="Y46" i="1" s="1"/>
  <c r="Z46" i="1" s="1"/>
  <c r="P45" i="1"/>
  <c r="T45" i="1" s="1"/>
  <c r="X45" i="1" s="1"/>
  <c r="Y45" i="1" s="1"/>
  <c r="Z45" i="1" s="1"/>
  <c r="Y44" i="1"/>
  <c r="Z44" i="1" s="1"/>
  <c r="P44" i="1"/>
  <c r="R44" i="1" s="1"/>
  <c r="P43" i="1"/>
  <c r="T43" i="1" s="1"/>
  <c r="X43" i="1" s="1"/>
  <c r="P42" i="1"/>
  <c r="R42" i="1" s="1"/>
  <c r="U39" i="1"/>
  <c r="R39" i="1"/>
  <c r="P38" i="1"/>
  <c r="T38" i="1" s="1"/>
  <c r="X38" i="1" s="1"/>
  <c r="Y38" i="1" s="1"/>
  <c r="P37" i="1"/>
  <c r="T37" i="1" s="1"/>
  <c r="X37" i="1" s="1"/>
  <c r="Y37" i="1" s="1"/>
  <c r="Z37" i="1" s="1"/>
  <c r="P36" i="1"/>
  <c r="T36" i="1" s="1"/>
  <c r="X36" i="1" s="1"/>
  <c r="Y36" i="1" s="1"/>
  <c r="Z36" i="1" s="1"/>
  <c r="P35" i="1"/>
  <c r="T35" i="1" s="1"/>
  <c r="X35" i="1" s="1"/>
  <c r="Y35" i="1" s="1"/>
  <c r="Z35" i="1" s="1"/>
  <c r="P34" i="1"/>
  <c r="T34" i="1" s="1"/>
  <c r="X34" i="1" s="1"/>
  <c r="Y34" i="1" s="1"/>
  <c r="Z34" i="1" s="1"/>
  <c r="P33" i="1"/>
  <c r="T33" i="1" s="1"/>
  <c r="X33" i="1" s="1"/>
  <c r="Y33" i="1" s="1"/>
  <c r="Z33" i="1" s="1"/>
  <c r="P32" i="1"/>
  <c r="T32" i="1" s="1"/>
  <c r="X32" i="1" s="1"/>
  <c r="Y32" i="1" s="1"/>
  <c r="Z32" i="1" s="1"/>
  <c r="P31" i="1"/>
  <c r="T31" i="1" s="1"/>
  <c r="X31" i="1" s="1"/>
  <c r="Y31" i="1" s="1"/>
  <c r="Z31" i="1" s="1"/>
  <c r="P30" i="1"/>
  <c r="T30" i="1" s="1"/>
  <c r="X30" i="1" s="1"/>
  <c r="Y30" i="1" s="1"/>
  <c r="Z30" i="1" s="1"/>
  <c r="V39" i="1"/>
  <c r="P29" i="1"/>
  <c r="T29" i="1" s="1"/>
  <c r="P28" i="1"/>
  <c r="T28" i="1" s="1"/>
  <c r="X28" i="1" s="1"/>
  <c r="Y28" i="1" s="1"/>
  <c r="Z28" i="1" s="1"/>
  <c r="P27" i="1"/>
  <c r="T27" i="1" s="1"/>
  <c r="X27" i="1" s="1"/>
  <c r="Y27" i="1" s="1"/>
  <c r="Z27" i="1" s="1"/>
  <c r="P26" i="1"/>
  <c r="T26" i="1" s="1"/>
  <c r="P23" i="1"/>
  <c r="U22" i="1"/>
  <c r="P22" i="1"/>
  <c r="P21" i="1"/>
  <c r="P20" i="1"/>
  <c r="P19" i="1"/>
  <c r="P18" i="1"/>
  <c r="P17" i="1"/>
  <c r="P16" i="1"/>
  <c r="P15" i="1"/>
  <c r="P14" i="1"/>
  <c r="P13" i="1"/>
  <c r="P12" i="1"/>
  <c r="Z11" i="1"/>
  <c r="P11" i="1"/>
  <c r="P10" i="1"/>
  <c r="T10" i="1" s="1"/>
  <c r="X10" i="1" s="1"/>
  <c r="Y10" i="1" s="1"/>
  <c r="Z10" i="1" s="1"/>
  <c r="P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X135" i="1" l="1"/>
  <c r="Y135" i="1" s="1"/>
  <c r="T39" i="1"/>
  <c r="R170" i="1"/>
  <c r="X90" i="1"/>
  <c r="Y90" i="1" s="1"/>
  <c r="Z90" i="1" s="1"/>
  <c r="X159" i="1"/>
  <c r="Y159" i="1" s="1"/>
  <c r="X12" i="1"/>
  <c r="Y12" i="1" s="1"/>
  <c r="W136" i="1"/>
  <c r="T12" i="1"/>
  <c r="Z85" i="1"/>
  <c r="X129" i="1"/>
  <c r="Y129" i="1" s="1"/>
  <c r="Z129" i="1" s="1"/>
  <c r="T168" i="1"/>
  <c r="U124" i="1"/>
  <c r="Z161" i="1"/>
  <c r="X128" i="1"/>
  <c r="Y128" i="1" s="1"/>
  <c r="Z128" i="1" s="1"/>
  <c r="X9" i="1"/>
  <c r="Y9" i="1" s="1"/>
  <c r="X163" i="1"/>
  <c r="Y163" i="1" s="1"/>
  <c r="Z163" i="1" s="1"/>
  <c r="X80" i="1"/>
  <c r="Y80" i="1" s="1"/>
  <c r="Z80" i="1" s="1"/>
  <c r="X150" i="1"/>
  <c r="Y150" i="1" s="1"/>
  <c r="Z150" i="1" s="1"/>
  <c r="W39" i="1"/>
  <c r="P92" i="1"/>
  <c r="U77" i="1"/>
  <c r="U92" i="1" s="1"/>
  <c r="T9" i="1"/>
  <c r="X26" i="1"/>
  <c r="Y43" i="1"/>
  <c r="X81" i="1"/>
  <c r="Y81" i="1" s="1"/>
  <c r="Z81" i="1" s="1"/>
  <c r="P124" i="1"/>
  <c r="T132" i="1"/>
  <c r="X132" i="1"/>
  <c r="Y132" i="1" s="1"/>
  <c r="R74" i="1"/>
  <c r="R94" i="1" s="1"/>
  <c r="X69" i="1"/>
  <c r="Y69" i="1" s="1"/>
  <c r="Z69" i="1" s="1"/>
  <c r="P74" i="1"/>
  <c r="Z135" i="1"/>
  <c r="T74" i="1"/>
  <c r="T92" i="1"/>
  <c r="W92" i="1"/>
  <c r="U115" i="1"/>
  <c r="V22" i="1"/>
  <c r="V94" i="1" s="1"/>
  <c r="P39" i="1"/>
  <c r="Z78" i="1"/>
  <c r="X79" i="1"/>
  <c r="X84" i="1"/>
  <c r="Y84" i="1" s="1"/>
  <c r="Z84" i="1" s="1"/>
  <c r="S136" i="1"/>
  <c r="T131" i="1"/>
  <c r="X131" i="1"/>
  <c r="Y131" i="1" s="1"/>
  <c r="X133" i="1"/>
  <c r="Y133" i="1" s="1"/>
  <c r="Z133" i="1" s="1"/>
  <c r="W143" i="1"/>
  <c r="Y143" i="1" s="1"/>
  <c r="Z143" i="1" s="1"/>
  <c r="X152" i="1"/>
  <c r="Y152" i="1" s="1"/>
  <c r="Z152" i="1" s="1"/>
  <c r="X167" i="1"/>
  <c r="Y167" i="1" s="1"/>
  <c r="Z167" i="1" s="1"/>
  <c r="Z159" i="1"/>
  <c r="P168" i="1"/>
  <c r="P156" i="1"/>
  <c r="X160" i="1"/>
  <c r="Y160" i="1" s="1"/>
  <c r="Z160" i="1" s="1"/>
  <c r="X162" i="1"/>
  <c r="Y162" i="1" s="1"/>
  <c r="Z162" i="1" s="1"/>
  <c r="T174" i="1"/>
  <c r="W22" i="1"/>
  <c r="X86" i="1"/>
  <c r="Y86" i="1" s="1"/>
  <c r="Z86" i="1" s="1"/>
  <c r="P115" i="1"/>
  <c r="P170" i="1" s="1"/>
  <c r="V136" i="1"/>
  <c r="V170" i="1" s="1"/>
  <c r="T130" i="1"/>
  <c r="T136" i="1" s="1"/>
  <c r="P136" i="1"/>
  <c r="S150" i="1"/>
  <c r="X153" i="1"/>
  <c r="Y153" i="1" s="1"/>
  <c r="Z153" i="1" s="1"/>
  <c r="X165" i="1"/>
  <c r="Y165" i="1" s="1"/>
  <c r="Z165" i="1" s="1"/>
  <c r="X166" i="1"/>
  <c r="Y166" i="1" s="1"/>
  <c r="Z166" i="1" s="1"/>
  <c r="U170" i="1" l="1"/>
  <c r="R187" i="1"/>
  <c r="U94" i="1"/>
  <c r="U176" i="1" s="1"/>
  <c r="X22" i="1"/>
  <c r="Z12" i="1"/>
  <c r="X74" i="1"/>
  <c r="W170" i="1"/>
  <c r="Z132" i="1"/>
  <c r="Z131" i="1"/>
  <c r="W94" i="1"/>
  <c r="S156" i="1"/>
  <c r="Y79" i="1"/>
  <c r="X92" i="1"/>
  <c r="Y74" i="1"/>
  <c r="Z43" i="1"/>
  <c r="X130" i="1"/>
  <c r="T170" i="1"/>
  <c r="Y26" i="1"/>
  <c r="Z9" i="1"/>
  <c r="Y22" i="1"/>
  <c r="V176" i="1"/>
  <c r="X174" i="1"/>
  <c r="T22" i="1"/>
  <c r="T94" i="1" s="1"/>
  <c r="X29" i="1"/>
  <c r="Y29" i="1" s="1"/>
  <c r="Z29" i="1" s="1"/>
  <c r="P95" i="1" l="1"/>
  <c r="W176" i="1"/>
  <c r="W181" i="1" s="1"/>
  <c r="T176" i="1"/>
  <c r="U177" i="1" s="1"/>
  <c r="R190" i="1" s="1"/>
  <c r="Y174" i="1"/>
  <c r="V181" i="1"/>
  <c r="S170" i="1"/>
  <c r="R188" i="1" s="1"/>
  <c r="R189" i="1" s="1"/>
  <c r="Z26" i="1"/>
  <c r="Y39" i="1"/>
  <c r="X39" i="1"/>
  <c r="X94" i="1" s="1"/>
  <c r="Y130" i="1"/>
  <c r="Z130" i="1" s="1"/>
  <c r="X136" i="1"/>
  <c r="X170" i="1" s="1"/>
  <c r="Y92" i="1"/>
  <c r="Z79" i="1"/>
  <c r="R191" i="1" l="1"/>
  <c r="R193" i="1" s="1"/>
  <c r="Y94" i="1"/>
  <c r="X176" i="1"/>
  <c r="P171" i="1"/>
  <c r="P172" i="1" s="1"/>
  <c r="Z174" i="1"/>
  <c r="Y176" i="1" l="1"/>
  <c r="X178" i="1" s="1"/>
  <c r="X179" i="1" s="1"/>
  <c r="X181" i="1"/>
  <c r="Y181" i="1" s="1"/>
  <c r="V178" i="1" l="1"/>
  <c r="X182" i="1"/>
  <c r="X183" i="1" s="1"/>
  <c r="W178" i="1"/>
  <c r="W182" i="1" s="1"/>
  <c r="Z176" i="1"/>
  <c r="V182" i="1"/>
  <c r="V179" i="1"/>
  <c r="W179" i="1" l="1"/>
  <c r="Y179" i="1" s="1"/>
  <c r="W183" i="1"/>
  <c r="Y182" i="1"/>
  <c r="V183" i="1"/>
  <c r="Y183" i="1" l="1"/>
</calcChain>
</file>

<file path=xl/sharedStrings.xml><?xml version="1.0" encoding="utf-8"?>
<sst xmlns="http://schemas.openxmlformats.org/spreadsheetml/2006/main" count="197" uniqueCount="184">
  <si>
    <t>Analysis and Classification of Balance Sheet Line Items</t>
  </si>
  <si>
    <t>Allocation to Washington/Non-Washington/Non-Util</t>
  </si>
  <si>
    <t>Line</t>
  </si>
  <si>
    <t>Title of Account</t>
  </si>
  <si>
    <t>AMA</t>
  </si>
  <si>
    <t>Current Asset</t>
  </si>
  <si>
    <t>Current Liability</t>
  </si>
  <si>
    <t>Investments</t>
  </si>
  <si>
    <t>Invested Capital</t>
  </si>
  <si>
    <t>Investments Allocated</t>
  </si>
  <si>
    <t>check figures</t>
  </si>
  <si>
    <t>Washington</t>
  </si>
  <si>
    <t>Other States</t>
  </si>
  <si>
    <t>Non-utility</t>
  </si>
  <si>
    <t xml:space="preserve">                    UTILITY PLANT</t>
  </si>
  <si>
    <t>Utility Plant (101-106, 114)</t>
  </si>
  <si>
    <t>Construction Work in Progress (107)</t>
  </si>
  <si>
    <t>TOTAL Utility Plant</t>
  </si>
  <si>
    <t>(Less) Accum. Prov. For Depr. Amort. Depl. (108, 111, 115)</t>
  </si>
  <si>
    <t>Net Utility Plant</t>
  </si>
  <si>
    <t>Nuclear Fuel in Process of Ref, Conv, Enrich, &amp; Fab. (120.1)</t>
  </si>
  <si>
    <t>Nuclear Fuel Materials and Assemblies-Stock Account (120.2)</t>
  </si>
  <si>
    <t>Nuclear Fuel Assemblies in Reactor (120.3)</t>
  </si>
  <si>
    <t>Spent Nuclear Fuel (120.4)</t>
  </si>
  <si>
    <t>Nuclear Fuel Under Capital Leases (120.6)</t>
  </si>
  <si>
    <t>(Less) Accum. Prov For Amort of Nucl Fuel Assemblies (120.5)</t>
  </si>
  <si>
    <t>Net Nuclear Fuel</t>
  </si>
  <si>
    <t>Gas Stored Underground - Noncurrent (117) [Acct 116 =0]</t>
  </si>
  <si>
    <t xml:space="preserve">                    OTHER PROPERTY AND INVESTMENTS</t>
  </si>
  <si>
    <t>Nonutility Property (121)</t>
  </si>
  <si>
    <t>(Less) Accum. Prov. For Depr. And Amort. (122)</t>
  </si>
  <si>
    <t>Investments in Associated Companies (123)</t>
  </si>
  <si>
    <t>Investments in Subsidiary Companies (123.1)</t>
  </si>
  <si>
    <t>Noncurrent Portion of Allowances</t>
  </si>
  <si>
    <t>Other Investments (124)</t>
  </si>
  <si>
    <t>Sinking Funds (125)</t>
  </si>
  <si>
    <t>Depreciation Funds (126)</t>
  </si>
  <si>
    <t>Amortization Fund - Federal (127)</t>
  </si>
  <si>
    <t>Other Special Funds (128)</t>
  </si>
  <si>
    <t>Special Funds Non-major (129)</t>
  </si>
  <si>
    <t>Long-Term Portion of Derivative Assets (175)</t>
  </si>
  <si>
    <t>Long-Term Portion of Derivative Assets - Hedges (176)</t>
  </si>
  <si>
    <t>TOTAL Other Property and Investments</t>
  </si>
  <si>
    <t xml:space="preserve">                    CURRENT AND ACCRUED ASSETS</t>
  </si>
  <si>
    <t>Cash (131)</t>
  </si>
  <si>
    <t>Special Deposits (132-134)</t>
  </si>
  <si>
    <t>Working Fund (135)</t>
  </si>
  <si>
    <t>Temporary Cash Investments (136)</t>
  </si>
  <si>
    <t>Notes Receivable (141)</t>
  </si>
  <si>
    <t>Customer Accounts Receivable (142)</t>
  </si>
  <si>
    <t>Other Accounts Receivable (143)</t>
  </si>
  <si>
    <t>(Less) Accum. Prov. For Uncollectible Accts. Cr (144)</t>
  </si>
  <si>
    <t>Notes Receivable from Associated Companies (145)</t>
  </si>
  <si>
    <t>Accounts Receivable from Assoc. Companies (146)</t>
  </si>
  <si>
    <t>Fuel Stock (151)</t>
  </si>
  <si>
    <t>Fuel Stock Expenses Undistributed (152)</t>
  </si>
  <si>
    <t>Residuals (Elec) and Extracted Products (153)</t>
  </si>
  <si>
    <t>Plant Materials and Operating Supplies (154)</t>
  </si>
  <si>
    <t>Merchandise (155)</t>
  </si>
  <si>
    <t>Other Material and Supplies (156)</t>
  </si>
  <si>
    <t>Nuclear Materials Held for Sale (157)</t>
  </si>
  <si>
    <t>Allowances (158.1 &amp; 158.2)</t>
  </si>
  <si>
    <t>(Less) Noncurrent Portion of Allowances</t>
  </si>
  <si>
    <t>Stores Expenses Undistributed (163)</t>
  </si>
  <si>
    <t>Gas Stored Underground - Current (164.1)</t>
  </si>
  <si>
    <t>LNG Stored and Held for Processing (164.2-164.3)</t>
  </si>
  <si>
    <t>Prepayments (165)</t>
  </si>
  <si>
    <t>Advances for Gas (166-167)</t>
  </si>
  <si>
    <t>Interest and Dividends Receivable (171)</t>
  </si>
  <si>
    <t>Rents Receivable (172)</t>
  </si>
  <si>
    <t>Accrued Utility Revenues (173)</t>
  </si>
  <si>
    <t>Miscellaneous Current and Accrued Assets (174)</t>
  </si>
  <si>
    <t>Derivative Instrument Assets (175)</t>
  </si>
  <si>
    <t>(Less) Long-Term Portion of Deriv Instrument Assets (175)</t>
  </si>
  <si>
    <t>Derivative Instrument Assets - Hedges (176)</t>
  </si>
  <si>
    <t>(Less) Long-Term Portion of Deriv Instrmt Assets Hedge (176)</t>
  </si>
  <si>
    <t>TOTAL Current and Accrued Assets</t>
  </si>
  <si>
    <t xml:space="preserve">                    DEFERRED DEBITS</t>
  </si>
  <si>
    <t>Unamortized Debt Expenses (181)</t>
  </si>
  <si>
    <t>Extraordinary Property Losses (182.1)</t>
  </si>
  <si>
    <t>Unrecovered Plant and Regulatory Study Costs (182.2)</t>
  </si>
  <si>
    <t>Other Regulatory Assets (182.3)</t>
  </si>
  <si>
    <t>Preliminary Survey and Investigation Charges (183)</t>
  </si>
  <si>
    <t>Preliminary Natrl Gas Survey &amp; Investigation Charges (183.1)</t>
  </si>
  <si>
    <t>Other Preliminary Survey and Investigation Charges (183.2)</t>
  </si>
  <si>
    <t>Clearing Accounts (184)</t>
  </si>
  <si>
    <t>Temporary Facilities (185)</t>
  </si>
  <si>
    <t>Miscellaneous Deferred Debits (186)</t>
  </si>
  <si>
    <t>Differed Loss from Disposition of Utility Plant (187)</t>
  </si>
  <si>
    <t>Research, Develpmt, and Demonstration Expenditures (188)</t>
  </si>
  <si>
    <t>Unamortized Loss on Reacquired Debt (189)</t>
  </si>
  <si>
    <t>Accumulated Deferred Income Taxes (190)</t>
  </si>
  <si>
    <t>Unrecovered Purchase Gas Costs (191)</t>
  </si>
  <si>
    <t>TOTAL Deferred Debits</t>
  </si>
  <si>
    <t xml:space="preserve">     TOTAL ASSETS</t>
  </si>
  <si>
    <t>total asset ck&gt;&gt;</t>
  </si>
  <si>
    <t xml:space="preserve">                     PROPRIETARY CAPITAL</t>
  </si>
  <si>
    <t>Common Stock Issued (201)</t>
  </si>
  <si>
    <t>Preferred Stock Issue (204)</t>
  </si>
  <si>
    <t>Capital Stock Subscribed (202, 205)</t>
  </si>
  <si>
    <t>Stock Liability for Conversion (203, 206)</t>
  </si>
  <si>
    <t>Premium on Capital Stock (207)</t>
  </si>
  <si>
    <t>Other Paid-In Capital (208-211)</t>
  </si>
  <si>
    <t>Installments Received on Capital Stock (212)</t>
  </si>
  <si>
    <t>(Less) Discount on Capital Stock (213)</t>
  </si>
  <si>
    <t>(Less) Capital Stock Expense (214)</t>
  </si>
  <si>
    <t xml:space="preserve">    part 1 retained earnings (215, 215.1, 216)</t>
  </si>
  <si>
    <t xml:space="preserve">    part 2 retained earnings (4181100)</t>
  </si>
  <si>
    <t xml:space="preserve">    part 3 retained earnings - place holder for EACS</t>
  </si>
  <si>
    <t>Retained Earnings (215, 215.1, 216)</t>
  </si>
  <si>
    <t>Unappropriated Undistributed Subsidiary Earnings (216.1)</t>
  </si>
  <si>
    <t>(Less) Reacquired Capital Stock (217)</t>
  </si>
  <si>
    <t>Accumulated Other Comprehensive Income (219)</t>
  </si>
  <si>
    <t>TOTAL Proprietary Capital</t>
  </si>
  <si>
    <t xml:space="preserve">                     LONG-TERM DEBT</t>
  </si>
  <si>
    <t>Bonds (221)</t>
  </si>
  <si>
    <t>(Less) Reacquired Bonds (222)</t>
  </si>
  <si>
    <t>Advances from Associated Companies (223)</t>
  </si>
  <si>
    <t>Other Long-Term Debt (224)</t>
  </si>
  <si>
    <t>Unamortized Premium on Long-Term Debt (225)</t>
  </si>
  <si>
    <t>(Less) Unamortized Discount on Long-Term Debt-Debit (226)</t>
  </si>
  <si>
    <t>TOTAL Long-Term Debt</t>
  </si>
  <si>
    <t xml:space="preserve">                     OTHER NONCURRENT LIABILITIES</t>
  </si>
  <si>
    <t>Obligations Under Capital Leases - Noncurrent (227)</t>
  </si>
  <si>
    <t>Accumulated Provision of Property Insurance (228.1)</t>
  </si>
  <si>
    <t>Accumulated Provision for Injuries and Damages (228.2)</t>
  </si>
  <si>
    <t>Accumulated Provision for Pensions and Benefits (228.3)</t>
  </si>
  <si>
    <t>Accumulated Miscellaneous Operating Provisions (228.4)</t>
  </si>
  <si>
    <t>Accumulated Provision for Rate Refunds (229)</t>
  </si>
  <si>
    <t>Long-Term Portion of Derivative Instrument Liabilities</t>
  </si>
  <si>
    <t>Long-Term Portion of Derivative Instrument Liab. - Hedges</t>
  </si>
  <si>
    <t>Asset Retirement Obligations (230)</t>
  </si>
  <si>
    <t>TOTAL OTHER Noncurrent Liabilities</t>
  </si>
  <si>
    <t xml:space="preserve">                     CURRENT AND ACCRUED LIABILITIES</t>
  </si>
  <si>
    <t>Notes Payable (231)</t>
  </si>
  <si>
    <t>Accounts Payable (232)</t>
  </si>
  <si>
    <t>Notes Payable to Associated Companies (233)</t>
  </si>
  <si>
    <t>Accounts Payable to Associated Companies (234)</t>
  </si>
  <si>
    <t>Customer Deposits (235)</t>
  </si>
  <si>
    <t>Taxes Accrued (236)</t>
  </si>
  <si>
    <t>Interest Accrued (237)</t>
  </si>
  <si>
    <t>Dividends Declared (238)</t>
  </si>
  <si>
    <t>Matured Long-Term Debt (239)</t>
  </si>
  <si>
    <t>Matured Interest (240)</t>
  </si>
  <si>
    <t>Taxes Collections Payable (241)</t>
  </si>
  <si>
    <t>Miscellaneous Current and Accrued Liabilities (242)</t>
  </si>
  <si>
    <t>Obligations Under Capital Leases-Current (243)</t>
  </si>
  <si>
    <t>Derivative Instrument Liabilities (244)</t>
  </si>
  <si>
    <t>(Less) Long-term Portion of Deriv Instrument Liab</t>
  </si>
  <si>
    <t>Derivative Instrument Liabilities -  Hedges (245)</t>
  </si>
  <si>
    <t>(Less) Long-term Portion of Deriv Instrument Liab - Hedges</t>
  </si>
  <si>
    <t>TOTAL Current &amp; Accrued Liabilities</t>
  </si>
  <si>
    <t xml:space="preserve">                     DEFERRED CREDITS</t>
  </si>
  <si>
    <t>Customer Advances for Construction (252)</t>
  </si>
  <si>
    <t>Accumulated Deferred Investment Tax Credits (255)</t>
  </si>
  <si>
    <t>Deferred Gains from Disposition of Utility Plant (256)</t>
  </si>
  <si>
    <t>Other Deferred Credits (253)</t>
  </si>
  <si>
    <t>Other Regulatory Liabilities (254)</t>
  </si>
  <si>
    <t>Unamortized Gain on Reacquired Debt (257)</t>
  </si>
  <si>
    <t>Accumulated Deferred Income Taxes - Accel. Amort. (281)</t>
  </si>
  <si>
    <t>Accumulated Deferred Income Taxes - Other Property (282)</t>
  </si>
  <si>
    <t>Accumulated Deferred Income Taxes - Other (283)</t>
  </si>
  <si>
    <t>TOTAL Deferred Credits</t>
  </si>
  <si>
    <t>TOTAL Liab &amp; Other Credits</t>
  </si>
  <si>
    <t>Total Liability + Owners Equity check &gt;&gt;</t>
  </si>
  <si>
    <t>-</t>
  </si>
  <si>
    <t>Assets less Liabilities and Owners Equity check</t>
  </si>
  <si>
    <t>Adjustment to Acruals for Injuries and Damages</t>
  </si>
  <si>
    <t>Total Investments and Invested Capital-Adjusted</t>
  </si>
  <si>
    <t>Investor-Supplied Working Capital</t>
  </si>
  <si>
    <t xml:space="preserve">Allocation Percentages </t>
  </si>
  <si>
    <t>Ratio of total</t>
  </si>
  <si>
    <t>Allocated Investor-supplied Working Capital</t>
  </si>
  <si>
    <t>Allocated ISWC</t>
  </si>
  <si>
    <t>Total investment</t>
  </si>
  <si>
    <t>Capital allocated</t>
  </si>
  <si>
    <t>ISWC</t>
  </si>
  <si>
    <t>Reconciliation:</t>
  </si>
  <si>
    <t>Total Current Assets-Adjusted</t>
  </si>
  <si>
    <t xml:space="preserve"> Total Current Liabilities-Adjusted</t>
  </si>
  <si>
    <t>Working Capital</t>
  </si>
  <si>
    <t>ISWC Calculated Above</t>
  </si>
  <si>
    <t>Difference from Calculated ISWC above</t>
  </si>
  <si>
    <t>Unexplained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</si>
</sst>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#,##0;\(#,##0\);#,##0"/>
    <numFmt numFmtId="167" formatCode="#,##0.00;\(#,##0.00\);#,##0.00"/>
  </numFmts>
  <fonts count="11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u val="singleAccounting"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3"/>
        <bgColor indexed="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1" fontId="7" fillId="4" borderId="11" applyProtection="0">
      <alignment horizontal="right" vertical="center"/>
    </xf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5" xfId="3" applyFont="1" applyFill="1" applyBorder="1" applyAlignment="1">
      <alignment horizontal="center"/>
    </xf>
    <xf numFmtId="164" fontId="5" fillId="0" borderId="6" xfId="1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 wrapText="1"/>
    </xf>
    <xf numFmtId="0" fontId="1" fillId="0" borderId="0" xfId="0" applyFont="1" applyAlignment="1"/>
    <xf numFmtId="0" fontId="5" fillId="0" borderId="9" xfId="3" applyFont="1" applyFill="1" applyBorder="1" applyAlignment="1"/>
    <xf numFmtId="0" fontId="5" fillId="3" borderId="5" xfId="3" applyFont="1" applyFill="1" applyBorder="1" applyAlignment="1">
      <alignment horizontal="center"/>
    </xf>
    <xf numFmtId="0" fontId="1" fillId="0" borderId="0" xfId="0" applyFont="1" applyBorder="1" applyAlignment="1"/>
    <xf numFmtId="165" fontId="1" fillId="0" borderId="0" xfId="1" applyNumberFormat="1" applyFont="1" applyAlignment="1"/>
    <xf numFmtId="165" fontId="1" fillId="0" borderId="10" xfId="1" applyNumberFormat="1" applyFont="1" applyBorder="1" applyProtection="1">
      <protection locked="0"/>
    </xf>
    <xf numFmtId="166" fontId="8" fillId="0" borderId="0" xfId="4" applyNumberFormat="1" applyFont="1" applyFill="1" applyBorder="1">
      <alignment horizontal="right" vertical="center"/>
    </xf>
    <xf numFmtId="165" fontId="1" fillId="0" borderId="0" xfId="1" applyNumberFormat="1" applyFont="1" applyBorder="1" applyProtection="1">
      <protection locked="0"/>
    </xf>
    <xf numFmtId="165" fontId="1" fillId="0" borderId="0" xfId="0" applyNumberFormat="1" applyFont="1" applyAlignment="1"/>
    <xf numFmtId="165" fontId="1" fillId="0" borderId="0" xfId="0" applyNumberFormat="1" applyFont="1" applyBorder="1" applyAlignment="1"/>
    <xf numFmtId="165" fontId="5" fillId="0" borderId="12" xfId="1" applyNumberFormat="1" applyFont="1" applyFill="1" applyBorder="1" applyAlignment="1">
      <alignment horizontal="right"/>
    </xf>
    <xf numFmtId="166" fontId="5" fillId="0" borderId="12" xfId="1" applyNumberFormat="1" applyFont="1" applyFill="1" applyBorder="1" applyAlignment="1">
      <alignment horizontal="right"/>
    </xf>
    <xf numFmtId="167" fontId="8" fillId="0" borderId="0" xfId="4" applyNumberFormat="1" applyFont="1" applyFill="1" applyBorder="1">
      <alignment horizontal="right" vertical="center"/>
    </xf>
    <xf numFmtId="165" fontId="5" fillId="0" borderId="10" xfId="1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166" fontId="5" fillId="0" borderId="10" xfId="1" applyNumberFormat="1" applyFont="1" applyFill="1" applyBorder="1" applyAlignment="1">
      <alignment horizontal="right"/>
    </xf>
    <xf numFmtId="165" fontId="1" fillId="0" borderId="13" xfId="0" applyNumberFormat="1" applyFont="1" applyBorder="1" applyAlignment="1"/>
    <xf numFmtId="165" fontId="5" fillId="3" borderId="15" xfId="1" applyNumberFormat="1" applyFont="1" applyFill="1" applyBorder="1" applyAlignment="1">
      <alignment horizontal="center"/>
    </xf>
    <xf numFmtId="165" fontId="8" fillId="0" borderId="0" xfId="4" applyNumberFormat="1" applyFont="1" applyFill="1" applyBorder="1">
      <alignment horizontal="right" vertical="center"/>
    </xf>
    <xf numFmtId="0" fontId="1" fillId="0" borderId="8" xfId="0" applyFont="1" applyFill="1" applyBorder="1" applyAlignment="1"/>
    <xf numFmtId="165" fontId="1" fillId="0" borderId="0" xfId="1" applyNumberFormat="1" applyFont="1" applyFill="1" applyAlignment="1"/>
    <xf numFmtId="165" fontId="1" fillId="0" borderId="8" xfId="0" applyNumberFormat="1" applyFont="1" applyFill="1" applyBorder="1" applyAlignment="1"/>
    <xf numFmtId="165" fontId="1" fillId="0" borderId="13" xfId="0" applyNumberFormat="1" applyFont="1" applyFill="1" applyBorder="1" applyAlignment="1"/>
    <xf numFmtId="165" fontId="1" fillId="0" borderId="16" xfId="0" applyNumberFormat="1" applyFont="1" applyFill="1" applyBorder="1" applyAlignment="1"/>
    <xf numFmtId="165" fontId="1" fillId="0" borderId="14" xfId="0" applyNumberFormat="1" applyFont="1" applyFill="1" applyBorder="1" applyAlignment="1"/>
    <xf numFmtId="165" fontId="1" fillId="0" borderId="0" xfId="0" applyNumberFormat="1" applyFont="1" applyFill="1" applyBorder="1" applyAlignment="1"/>
    <xf numFmtId="165" fontId="1" fillId="0" borderId="7" xfId="0" applyNumberFormat="1" applyFont="1" applyFill="1" applyBorder="1" applyAlignment="1"/>
    <xf numFmtId="166" fontId="5" fillId="3" borderId="15" xfId="1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10" fontId="1" fillId="0" borderId="0" xfId="2" applyNumberFormat="1" applyFont="1" applyAlignment="1"/>
    <xf numFmtId="165" fontId="5" fillId="0" borderId="10" xfId="1" applyNumberFormat="1" applyFont="1" applyFill="1" applyBorder="1" applyAlignment="1" applyProtection="1">
      <alignment horizontal="right" vertical="center"/>
      <protection locked="0"/>
    </xf>
    <xf numFmtId="37" fontId="1" fillId="0" borderId="7" xfId="0" applyNumberFormat="1" applyFont="1" applyFill="1" applyBorder="1" applyAlignment="1"/>
    <xf numFmtId="165" fontId="1" fillId="0" borderId="0" xfId="0" applyNumberFormat="1" applyFont="1" applyFill="1" applyAlignment="1"/>
    <xf numFmtId="0" fontId="9" fillId="0" borderId="9" xfId="3" applyFont="1" applyFill="1" applyBorder="1" applyAlignment="1"/>
    <xf numFmtId="165" fontId="9" fillId="0" borderId="12" xfId="1" applyNumberFormat="1" applyFont="1" applyFill="1" applyBorder="1" applyAlignment="1">
      <alignment horizontal="right"/>
    </xf>
    <xf numFmtId="165" fontId="2" fillId="0" borderId="0" xfId="0" applyNumberFormat="1" applyFont="1" applyFill="1" applyAlignment="1"/>
    <xf numFmtId="0" fontId="1" fillId="0" borderId="0" xfId="0" applyFont="1" applyFill="1" applyAlignment="1"/>
    <xf numFmtId="165" fontId="2" fillId="0" borderId="17" xfId="0" applyNumberFormat="1" applyFont="1" applyFill="1" applyBorder="1" applyAlignment="1"/>
    <xf numFmtId="165" fontId="2" fillId="0" borderId="18" xfId="0" applyNumberFormat="1" applyFont="1" applyFill="1" applyBorder="1" applyAlignment="1"/>
    <xf numFmtId="165" fontId="2" fillId="0" borderId="19" xfId="0" applyNumberFormat="1" applyFont="1" applyFill="1" applyBorder="1" applyAlignment="1"/>
    <xf numFmtId="165" fontId="1" fillId="0" borderId="0" xfId="0" applyNumberFormat="1" applyFont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165" fontId="2" fillId="0" borderId="20" xfId="0" applyNumberFormat="1" applyFont="1" applyFill="1" applyBorder="1" applyAlignment="1"/>
    <xf numFmtId="0" fontId="1" fillId="0" borderId="7" xfId="0" applyFont="1" applyFill="1" applyBorder="1" applyAlignment="1"/>
    <xf numFmtId="165" fontId="9" fillId="0" borderId="10" xfId="1" applyNumberFormat="1" applyFont="1" applyFill="1" applyBorder="1" applyAlignment="1">
      <alignment horizontal="right"/>
    </xf>
    <xf numFmtId="165" fontId="2" fillId="0" borderId="0" xfId="0" applyNumberFormat="1" applyFont="1" applyAlignment="1"/>
    <xf numFmtId="165" fontId="8" fillId="0" borderId="0" xfId="1" applyNumberFormat="1" applyFont="1" applyFill="1" applyBorder="1" applyAlignment="1">
      <alignment horizontal="right" vertical="center"/>
    </xf>
    <xf numFmtId="165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65" fontId="5" fillId="0" borderId="10" xfId="1" quotePrefix="1" applyNumberFormat="1" applyFont="1" applyFill="1" applyBorder="1" applyAlignment="1" applyProtection="1">
      <alignment horizontal="right" vertical="center"/>
      <protection locked="0"/>
    </xf>
    <xf numFmtId="43" fontId="5" fillId="0" borderId="0" xfId="1" quotePrefix="1" applyFont="1" applyFill="1" applyBorder="1" applyAlignment="1" applyProtection="1">
      <alignment horizontal="right" vertical="center"/>
      <protection locked="0"/>
    </xf>
    <xf numFmtId="165" fontId="1" fillId="0" borderId="13" xfId="1" applyNumberFormat="1" applyFont="1" applyBorder="1" applyAlignment="1"/>
    <xf numFmtId="165" fontId="1" fillId="0" borderId="0" xfId="1" applyNumberFormat="1" applyFont="1" applyBorder="1" applyAlignment="1"/>
    <xf numFmtId="165" fontId="5" fillId="3" borderId="16" xfId="1" applyNumberFormat="1" applyFont="1" applyFill="1" applyBorder="1" applyAlignment="1">
      <alignment horizontal="center"/>
    </xf>
    <xf numFmtId="37" fontId="1" fillId="0" borderId="0" xfId="0" applyNumberFormat="1" applyFont="1" applyFill="1" applyBorder="1" applyAlignment="1"/>
    <xf numFmtId="165" fontId="2" fillId="0" borderId="21" xfId="0" applyNumberFormat="1" applyFont="1" applyFill="1" applyBorder="1" applyAlignment="1"/>
    <xf numFmtId="165" fontId="2" fillId="0" borderId="22" xfId="0" applyNumberFormat="1" applyFont="1" applyFill="1" applyBorder="1" applyAlignment="1"/>
    <xf numFmtId="165" fontId="2" fillId="0" borderId="23" xfId="0" applyNumberFormat="1" applyFont="1" applyFill="1" applyBorder="1" applyAlignment="1"/>
    <xf numFmtId="0" fontId="1" fillId="0" borderId="0" xfId="0" applyFont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0" fontId="5" fillId="0" borderId="9" xfId="3" applyFont="1" applyFill="1" applyBorder="1" applyAlignment="1">
      <alignment horizontal="right"/>
    </xf>
    <xf numFmtId="0" fontId="9" fillId="0" borderId="9" xfId="3" applyFont="1" applyFill="1" applyBorder="1" applyAlignment="1">
      <alignment horizontal="right"/>
    </xf>
    <xf numFmtId="0" fontId="2" fillId="0" borderId="0" xfId="0" applyFont="1" applyAlignment="1"/>
    <xf numFmtId="10" fontId="1" fillId="0" borderId="0" xfId="0" applyNumberFormat="1" applyFont="1" applyFill="1" applyAlignment="1"/>
    <xf numFmtId="10" fontId="1" fillId="0" borderId="0" xfId="2" applyNumberFormat="1" applyFont="1" applyFill="1" applyAlignment="1"/>
    <xf numFmtId="165" fontId="1" fillId="0" borderId="0" xfId="1" applyNumberFormat="1" applyFont="1"/>
    <xf numFmtId="43" fontId="1" fillId="0" borderId="0" xfId="1" applyFont="1" applyFill="1" applyAlignment="1"/>
    <xf numFmtId="0" fontId="1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7" xfId="0" applyFont="1" applyFill="1" applyBorder="1"/>
    <xf numFmtId="0" fontId="1" fillId="0" borderId="0" xfId="0" applyFont="1" applyFill="1" applyBorder="1"/>
    <xf numFmtId="0" fontId="1" fillId="0" borderId="8" xfId="0" applyFont="1" applyFill="1" applyBorder="1"/>
    <xf numFmtId="0" fontId="1" fillId="0" borderId="0" xfId="0" applyFont="1" applyFill="1"/>
    <xf numFmtId="9" fontId="1" fillId="0" borderId="0" xfId="2" applyFont="1" applyFill="1" applyAlignment="1"/>
    <xf numFmtId="165" fontId="1" fillId="0" borderId="17" xfId="0" applyNumberFormat="1" applyFont="1" applyFill="1" applyBorder="1" applyAlignment="1"/>
    <xf numFmtId="165" fontId="1" fillId="0" borderId="18" xfId="0" applyNumberFormat="1" applyFont="1" applyFill="1" applyBorder="1" applyAlignment="1"/>
    <xf numFmtId="165" fontId="1" fillId="0" borderId="19" xfId="0" applyNumberFormat="1" applyFont="1" applyFill="1" applyBorder="1" applyAlignment="1"/>
    <xf numFmtId="165" fontId="1" fillId="0" borderId="7" xfId="1" applyNumberFormat="1" applyFont="1" applyFill="1" applyBorder="1" applyAlignment="1"/>
    <xf numFmtId="165" fontId="1" fillId="0" borderId="16" xfId="1" applyNumberFormat="1" applyFont="1" applyFill="1" applyBorder="1" applyAlignment="1"/>
    <xf numFmtId="165" fontId="1" fillId="0" borderId="13" xfId="1" applyNumberFormat="1" applyFont="1" applyFill="1" applyBorder="1" applyAlignment="1"/>
    <xf numFmtId="165" fontId="1" fillId="0" borderId="0" xfId="1" applyNumberFormat="1" applyFont="1" applyFill="1" applyBorder="1" applyAlignment="1"/>
    <xf numFmtId="37" fontId="1" fillId="0" borderId="0" xfId="0" applyNumberFormat="1" applyFont="1" applyFill="1" applyAlignment="1"/>
    <xf numFmtId="43" fontId="1" fillId="0" borderId="0" xfId="1" applyNumberFormat="1" applyFont="1" applyFill="1" applyAlignment="1"/>
    <xf numFmtId="165" fontId="2" fillId="0" borderId="0" xfId="1" applyNumberFormat="1" applyFont="1" applyFill="1" applyAlignment="1"/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37" fontId="1" fillId="0" borderId="0" xfId="1" applyNumberFormat="1" applyFont="1" applyFill="1" applyAlignment="1"/>
    <xf numFmtId="165" fontId="2" fillId="0" borderId="24" xfId="0" applyNumberFormat="1" applyFont="1" applyFill="1" applyBorder="1" applyAlignment="1"/>
    <xf numFmtId="41" fontId="2" fillId="0" borderId="4" xfId="1" applyNumberFormat="1" applyFont="1" applyFill="1" applyBorder="1" applyAlignment="1"/>
    <xf numFmtId="165" fontId="10" fillId="0" borderId="0" xfId="0" applyNumberFormat="1" applyFont="1" applyBorder="1" applyAlignment="1"/>
    <xf numFmtId="165" fontId="2" fillId="0" borderId="0" xfId="0" applyNumberFormat="1" applyFont="1" applyFill="1" applyBorder="1" applyAlignment="1"/>
    <xf numFmtId="165" fontId="2" fillId="0" borderId="0" xfId="0" applyNumberFormat="1" applyFont="1" applyBorder="1" applyAlignment="1"/>
    <xf numFmtId="37" fontId="1" fillId="0" borderId="0" xfId="0" applyNumberFormat="1" applyFont="1" applyBorder="1" applyAlignment="1"/>
    <xf numFmtId="43" fontId="1" fillId="5" borderId="0" xfId="1" applyNumberFormat="1" applyFont="1" applyFill="1" applyBorder="1" applyAlignment="1"/>
    <xf numFmtId="0" fontId="2" fillId="0" borderId="0" xfId="0" applyFont="1" applyFill="1"/>
    <xf numFmtId="165" fontId="1" fillId="0" borderId="25" xfId="0" applyNumberFormat="1" applyFont="1" applyFill="1" applyBorder="1" applyAlignment="1"/>
    <xf numFmtId="165" fontId="1" fillId="0" borderId="25" xfId="0" applyNumberFormat="1" applyFont="1" applyBorder="1" applyAlignment="1"/>
    <xf numFmtId="39" fontId="1" fillId="0" borderId="25" xfId="0" applyNumberFormat="1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5">
    <cellStyle name="Comma" xfId="1" builtinId="3"/>
    <cellStyle name="Normal" xfId="0" builtinId="0"/>
    <cellStyle name="Normal_Sheet1" xfId="3"/>
    <cellStyle name="Percent" xfId="2" builtinId="5"/>
    <cellStyle name="SAPDataCel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ocal%20Settings\Temporary%20Internet%20Files\OLK1AC\RECOV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do\12.31.19%20Non-CONF%20flash%20drive\10%20Shelley%20E%20McCoy\Non-Conf%20WP%20SEM\8%20-%20Rate%20Base\8-1%20-%20Bridger%20Mine%20Adjustmen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do\12.31.19%20Non-CONF%20flash%20drive\10%20Shelley%20E%20McCoy\Non-Conf%20WP%20SEM\Filed%20Models\WA%20JAM%202021%20GR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Documents%20and%20Settings/t75440.MEC/Local%20Settings/Temporary%20Internet%20Files/OLKB9/Ceb_FC_0201grap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UTLOOK\12&amp;0_COU\96ACTU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MFechner\Files\FILES\BONDS\INTPAY99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GULATN\PA&amp;D\DSMRecov\2001\RECO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GULATN\PA&amp;D\CASES\Wy0902\EAST%20Blocking%20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p04092.000\Local%20Settings\Temporary%20Internet%20Files\OLK1AC\RECOV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8.1"/>
      <sheetName val="Page 8.1.1"/>
    </sheetNames>
    <sheetDataSet>
      <sheetData sheetId="0">
        <row r="13">
          <cell r="F13">
            <v>78510113.239323437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445">
          <cell r="J2445">
            <v>26020958337.188637</v>
          </cell>
          <cell r="K2445">
            <v>1869127179.5559556</v>
          </cell>
        </row>
        <row r="2457">
          <cell r="J2457">
            <v>26296020.913685344</v>
          </cell>
          <cell r="K2457">
            <v>34942.962564657755</v>
          </cell>
        </row>
        <row r="2465">
          <cell r="J2465">
            <v>154931754.42000002</v>
          </cell>
          <cell r="K2465">
            <v>0</v>
          </cell>
        </row>
        <row r="2473">
          <cell r="J2473">
            <v>-127077827.65125</v>
          </cell>
          <cell r="K2473">
            <v>0</v>
          </cell>
        </row>
        <row r="2489">
          <cell r="J2489">
            <v>-9016367.4674999993</v>
          </cell>
          <cell r="K2489">
            <v>0</v>
          </cell>
        </row>
        <row r="2497">
          <cell r="J2497">
            <v>0</v>
          </cell>
          <cell r="K2497">
            <v>0</v>
          </cell>
        </row>
        <row r="2593">
          <cell r="J2593">
            <v>308685174.93791628</v>
          </cell>
          <cell r="K2593">
            <v>108754.74</v>
          </cell>
        </row>
        <row r="2608">
          <cell r="J2608">
            <v>71285249.288466781</v>
          </cell>
          <cell r="K2608">
            <v>4432655.0031998567</v>
          </cell>
        </row>
        <row r="2627">
          <cell r="J2627">
            <v>0</v>
          </cell>
          <cell r="K2627">
            <v>0</v>
          </cell>
        </row>
        <row r="2628">
          <cell r="J2628">
            <v>-6512893.4641666701</v>
          </cell>
          <cell r="K2628">
            <v>0</v>
          </cell>
        </row>
        <row r="2629">
          <cell r="J2629">
            <v>0</v>
          </cell>
          <cell r="K2629">
            <v>0</v>
          </cell>
        </row>
        <row r="2630">
          <cell r="J2630">
            <v>0</v>
          </cell>
          <cell r="K2630">
            <v>0</v>
          </cell>
        </row>
        <row r="2631">
          <cell r="J2631">
            <v>0</v>
          </cell>
          <cell r="K2631">
            <v>0</v>
          </cell>
        </row>
        <row r="2632">
          <cell r="J2632">
            <v>0</v>
          </cell>
          <cell r="K2632">
            <v>0</v>
          </cell>
        </row>
        <row r="2633">
          <cell r="J2633">
            <v>-8267790.4500000002</v>
          </cell>
          <cell r="K2633">
            <v>0</v>
          </cell>
        </row>
        <row r="2634">
          <cell r="J2634">
            <v>0</v>
          </cell>
          <cell r="K2634">
            <v>0</v>
          </cell>
        </row>
        <row r="2635">
          <cell r="J2635">
            <v>0</v>
          </cell>
          <cell r="K2635">
            <v>0</v>
          </cell>
        </row>
        <row r="2636">
          <cell r="J2636">
            <v>-19802.830000000002</v>
          </cell>
          <cell r="K2636">
            <v>0</v>
          </cell>
        </row>
        <row r="2637">
          <cell r="J2637">
            <v>19802.830000000002</v>
          </cell>
          <cell r="K2637">
            <v>0</v>
          </cell>
        </row>
        <row r="2638">
          <cell r="J2638">
            <v>0</v>
          </cell>
          <cell r="K2638">
            <v>0</v>
          </cell>
        </row>
        <row r="2646">
          <cell r="J2646">
            <v>0</v>
          </cell>
          <cell r="K2646">
            <v>0</v>
          </cell>
        </row>
        <row r="2652">
          <cell r="J2652">
            <v>0</v>
          </cell>
          <cell r="K2652">
            <v>0</v>
          </cell>
        </row>
        <row r="2667">
          <cell r="K2667">
            <v>0</v>
          </cell>
        </row>
        <row r="2669">
          <cell r="J2669">
            <v>-8334955.6629166594</v>
          </cell>
          <cell r="K2669">
            <v>0</v>
          </cell>
        </row>
        <row r="2670">
          <cell r="I2670">
            <v>-13373467.7266667</v>
          </cell>
          <cell r="J2670">
            <v>-12477209.735710751</v>
          </cell>
          <cell r="K2670">
            <v>-896257.99095594953</v>
          </cell>
        </row>
        <row r="2671">
          <cell r="J2671">
            <v>-2262985.3799327007</v>
          </cell>
          <cell r="K2671">
            <v>-162553.8700672994</v>
          </cell>
        </row>
        <row r="2672">
          <cell r="J2672">
            <v>-8144964.9020833299</v>
          </cell>
          <cell r="K2672">
            <v>0</v>
          </cell>
        </row>
        <row r="2673">
          <cell r="J2673">
            <v>0</v>
          </cell>
          <cell r="K2673">
            <v>0</v>
          </cell>
        </row>
        <row r="2679">
          <cell r="J2679">
            <v>-448461.04280500562</v>
          </cell>
          <cell r="K2679">
            <v>-123389.23719499439</v>
          </cell>
        </row>
        <row r="2681">
          <cell r="J2681">
            <v>0</v>
          </cell>
          <cell r="K2681">
            <v>0</v>
          </cell>
        </row>
        <row r="2682">
          <cell r="J2682">
            <v>0</v>
          </cell>
          <cell r="K2682">
            <v>0</v>
          </cell>
        </row>
        <row r="2683">
          <cell r="J2683">
            <v>0</v>
          </cell>
          <cell r="K2683">
            <v>0</v>
          </cell>
        </row>
        <row r="2684">
          <cell r="J2684">
            <v>-115119099.34</v>
          </cell>
          <cell r="K2684">
            <v>0</v>
          </cell>
        </row>
        <row r="2685">
          <cell r="J2685">
            <v>0</v>
          </cell>
          <cell r="K2685">
            <v>0</v>
          </cell>
        </row>
        <row r="2686">
          <cell r="J2686">
            <v>-273632630.59458327</v>
          </cell>
          <cell r="K2686">
            <v>-30601634.09375</v>
          </cell>
        </row>
        <row r="2695">
          <cell r="J2695">
            <v>-59683306.347434379</v>
          </cell>
          <cell r="K2695">
            <v>22214.951184419831</v>
          </cell>
        </row>
        <row r="2699">
          <cell r="J2699">
            <v>0</v>
          </cell>
          <cell r="K2699">
            <v>0</v>
          </cell>
        </row>
        <row r="2711">
          <cell r="J2711">
            <v>-75339298.721284762</v>
          </cell>
          <cell r="K2711">
            <v>-4665450.8070485806</v>
          </cell>
        </row>
        <row r="2730">
          <cell r="J2730">
            <v>130979170.13420002</v>
          </cell>
          <cell r="K2730">
            <v>7613191.0420499779</v>
          </cell>
        </row>
        <row r="2738">
          <cell r="J2738">
            <v>-0.12291821826810471</v>
          </cell>
          <cell r="K2738">
            <v>-1.0414779292396379E-2</v>
          </cell>
        </row>
        <row r="2755">
          <cell r="J2755">
            <v>-4135804484.8812599</v>
          </cell>
          <cell r="K2755">
            <v>-278862554.05749375</v>
          </cell>
        </row>
        <row r="2773">
          <cell r="J2773">
            <v>-103242244.02079076</v>
          </cell>
          <cell r="K2773">
            <v>-1451597.7337926831</v>
          </cell>
        </row>
        <row r="2785">
          <cell r="J2785">
            <v>-259700.1259221404</v>
          </cell>
          <cell r="K2785">
            <v>-19597.460327859608</v>
          </cell>
        </row>
        <row r="3000">
          <cell r="J3000">
            <v>-9075379663.2975025</v>
          </cell>
          <cell r="K3000">
            <v>-743720454.69041991</v>
          </cell>
        </row>
        <row r="3064">
          <cell r="J3064">
            <v>-538892854.12844205</v>
          </cell>
          <cell r="K3064">
            <v>-61553794.228224881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0">
          <cell r="X40">
            <v>0.22591574269314921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"/>
      <sheetName val="C2001 forecast"/>
      <sheetName val="C2000 actuals"/>
      <sheetName val="C2001 budget"/>
      <sheetName val="Revenue-monthly"/>
      <sheetName val="Site Costs-monthly"/>
      <sheetName val="Other Operating Costs-monthly"/>
      <sheetName val="Financial Costs-monthly"/>
      <sheetName val="Net Income-monthly"/>
      <sheetName val="Expenses-annual"/>
      <sheetName val="Expenses-annual (2)"/>
      <sheetName val="Site Cost-annual"/>
      <sheetName val="Site Cost-annual (2)"/>
      <sheetName val="SGA-annual"/>
      <sheetName val="SGA-annual (2)"/>
      <sheetName val="Other Operating Costs-annual"/>
      <sheetName val="Other Operating Costs-annua (2)"/>
      <sheetName val="CEBU - x"/>
      <sheetName val="UPLOAD"/>
      <sheetName val="Module1"/>
      <sheetName val="Module2"/>
      <sheetName val="Module3"/>
      <sheetName val="Target to Consol (Data Inpu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Jan</v>
          </cell>
        </row>
        <row r="13">
          <cell r="A13" t="str">
            <v>Feb</v>
          </cell>
        </row>
        <row r="14">
          <cell r="A14" t="str">
            <v>Mar</v>
          </cell>
        </row>
        <row r="15">
          <cell r="A15" t="str">
            <v>Apr</v>
          </cell>
        </row>
        <row r="16">
          <cell r="A16" t="str">
            <v>May</v>
          </cell>
        </row>
        <row r="17">
          <cell r="A17" t="str">
            <v>Jun</v>
          </cell>
        </row>
        <row r="18">
          <cell r="A18" t="str">
            <v>Jul</v>
          </cell>
        </row>
        <row r="19">
          <cell r="A19" t="str">
            <v>Aug</v>
          </cell>
        </row>
        <row r="20">
          <cell r="A20" t="str">
            <v>Sep</v>
          </cell>
        </row>
        <row r="21">
          <cell r="A21" t="str">
            <v>Oct</v>
          </cell>
        </row>
        <row r="22">
          <cell r="A22" t="str">
            <v>Nov</v>
          </cell>
        </row>
        <row r="23">
          <cell r="A23" t="str">
            <v>Dec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Title"/>
      <sheetName val="Contents"/>
      <sheetName val="DE Income"/>
      <sheetName val="EPS"/>
      <sheetName val="Revenues"/>
      <sheetName val="Sales"/>
      <sheetName val="Table"/>
      <sheetName val="1&amp;2"/>
      <sheetName val="3"/>
      <sheetName val="4"/>
      <sheetName val="5"/>
      <sheetName val="6"/>
      <sheetName val="7"/>
      <sheetName val="8"/>
      <sheetName val="9"/>
      <sheetName val="Construct Exp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3"/>
  <sheetViews>
    <sheetView tabSelected="1" view="pageBreakPreview" zoomScale="70" zoomScaleNormal="70" zoomScaleSheetLayoutView="70" workbookViewId="0">
      <pane ySplit="6" topLeftCell="A8" activePane="bottomLeft" state="frozen"/>
      <selection pane="bottomLeft"/>
    </sheetView>
  </sheetViews>
  <sheetFormatPr defaultRowHeight="15.75" outlineLevelCol="1" x14ac:dyDescent="0.25"/>
  <cols>
    <col min="1" max="1" width="5.28515625" style="1" bestFit="1" customWidth="1"/>
    <col min="2" max="2" width="64.28515625" style="1" bestFit="1" customWidth="1"/>
    <col min="3" max="3" width="24.140625" style="1" hidden="1" customWidth="1" outlineLevel="1"/>
    <col min="4" max="6" width="25.140625" style="1" hidden="1" customWidth="1" outlineLevel="1"/>
    <col min="7" max="8" width="24.7109375" style="1" hidden="1" customWidth="1" outlineLevel="1"/>
    <col min="9" max="9" width="24.140625" style="1" hidden="1" customWidth="1" outlineLevel="1"/>
    <col min="10" max="10" width="24.7109375" style="1" hidden="1" customWidth="1" outlineLevel="1"/>
    <col min="11" max="11" width="25.140625" style="1" hidden="1" customWidth="1" outlineLevel="1"/>
    <col min="12" max="12" width="24.7109375" style="1" hidden="1" customWidth="1" outlineLevel="1"/>
    <col min="13" max="14" width="25.5703125" style="1" hidden="1" customWidth="1" outlineLevel="1"/>
    <col min="15" max="15" width="25.140625" style="1" hidden="1" customWidth="1" outlineLevel="1"/>
    <col min="16" max="16" width="25.140625" style="1" bestFit="1" customWidth="1" collapsed="1"/>
    <col min="17" max="17" width="3.5703125" style="1" customWidth="1"/>
    <col min="18" max="18" width="23.7109375" style="1" customWidth="1" outlineLevel="1"/>
    <col min="19" max="19" width="23" style="1" customWidth="1" outlineLevel="1"/>
    <col min="20" max="20" width="25.140625" style="1" customWidth="1" outlineLevel="1"/>
    <col min="21" max="21" width="24.7109375" style="1" customWidth="1" outlineLevel="1"/>
    <col min="22" max="22" width="23.42578125" style="1" customWidth="1" outlineLevel="1"/>
    <col min="23" max="23" width="24.7109375" style="1" customWidth="1" outlineLevel="1"/>
    <col min="24" max="24" width="24.85546875" style="1" customWidth="1" outlineLevel="1"/>
    <col min="25" max="25" width="25.140625" style="1" bestFit="1" customWidth="1" outlineLevel="1"/>
    <col min="26" max="26" width="17.28515625" style="1" bestFit="1" customWidth="1"/>
    <col min="27" max="16384" width="9.140625" style="1"/>
  </cols>
  <sheetData>
    <row r="1" spans="1:26" x14ac:dyDescent="0.25">
      <c r="R1" s="2"/>
    </row>
    <row r="2" spans="1:26" x14ac:dyDescent="0.25">
      <c r="R2" s="3"/>
    </row>
    <row r="3" spans="1:26" x14ac:dyDescent="0.25">
      <c r="R3" s="2"/>
    </row>
    <row r="4" spans="1:26" ht="16.5" thickBot="1" x14ac:dyDescent="0.3">
      <c r="R4" s="2"/>
      <c r="S4" s="4"/>
      <c r="T4" s="4"/>
    </row>
    <row r="5" spans="1:26" ht="16.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R5" s="110" t="s">
        <v>0</v>
      </c>
      <c r="S5" s="111"/>
      <c r="T5" s="111"/>
      <c r="U5" s="112"/>
      <c r="V5" s="111" t="s">
        <v>1</v>
      </c>
      <c r="W5" s="111"/>
      <c r="X5" s="113"/>
      <c r="Y5" s="78"/>
    </row>
    <row r="6" spans="1:26" x14ac:dyDescent="0.25">
      <c r="A6" s="5" t="s">
        <v>2</v>
      </c>
      <c r="B6" s="6" t="s">
        <v>3</v>
      </c>
      <c r="C6" s="7">
        <v>43252</v>
      </c>
      <c r="D6" s="7">
        <v>43282</v>
      </c>
      <c r="E6" s="7">
        <v>43313</v>
      </c>
      <c r="F6" s="7">
        <v>43344</v>
      </c>
      <c r="G6" s="7">
        <v>43374</v>
      </c>
      <c r="H6" s="7">
        <v>43405</v>
      </c>
      <c r="I6" s="7">
        <v>43435</v>
      </c>
      <c r="J6" s="7">
        <v>43466</v>
      </c>
      <c r="K6" s="7">
        <v>43497</v>
      </c>
      <c r="L6" s="7">
        <v>43525</v>
      </c>
      <c r="M6" s="7">
        <v>43556</v>
      </c>
      <c r="N6" s="7">
        <v>43586</v>
      </c>
      <c r="O6" s="7">
        <v>43617</v>
      </c>
      <c r="P6" s="5" t="s">
        <v>4</v>
      </c>
      <c r="R6" s="79" t="s">
        <v>5</v>
      </c>
      <c r="S6" s="8" t="s">
        <v>6</v>
      </c>
      <c r="T6" s="8" t="s">
        <v>7</v>
      </c>
      <c r="U6" s="80" t="s">
        <v>8</v>
      </c>
      <c r="V6" s="114" t="s">
        <v>9</v>
      </c>
      <c r="W6" s="114"/>
      <c r="X6" s="114"/>
      <c r="Y6" s="8" t="s">
        <v>10</v>
      </c>
    </row>
    <row r="7" spans="1:26" x14ac:dyDescent="0.25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R7" s="81"/>
      <c r="S7" s="82"/>
      <c r="T7" s="82"/>
      <c r="U7" s="83"/>
      <c r="V7" s="78" t="s">
        <v>11</v>
      </c>
      <c r="W7" s="78" t="s">
        <v>12</v>
      </c>
      <c r="X7" s="78" t="s">
        <v>13</v>
      </c>
      <c r="Y7" s="84"/>
    </row>
    <row r="8" spans="1:26" s="11" customFormat="1" x14ac:dyDescent="0.25">
      <c r="A8" s="11">
        <v>1</v>
      </c>
      <c r="B8" s="12" t="s">
        <v>14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R8" s="55"/>
      <c r="S8" s="40"/>
      <c r="T8" s="40"/>
      <c r="U8" s="31"/>
      <c r="V8" s="32"/>
      <c r="W8" s="32"/>
      <c r="X8" s="32"/>
      <c r="Y8" s="32"/>
      <c r="Z8" s="15"/>
    </row>
    <row r="9" spans="1:26" s="11" customFormat="1" x14ac:dyDescent="0.25">
      <c r="A9" s="11">
        <f t="shared" ref="A9:A72" si="0">+A8+1</f>
        <v>2</v>
      </c>
      <c r="B9" s="12" t="s">
        <v>15</v>
      </c>
      <c r="C9" s="16">
        <v>28086630848.099998</v>
      </c>
      <c r="D9" s="16">
        <v>28116345232.509998</v>
      </c>
      <c r="E9" s="16">
        <v>28149411427.48</v>
      </c>
      <c r="F9" s="16">
        <v>28180366113.59</v>
      </c>
      <c r="G9" s="16">
        <v>28242997030.07</v>
      </c>
      <c r="H9" s="16">
        <v>28293654532.41</v>
      </c>
      <c r="I9" s="16">
        <v>28425063445.639999</v>
      </c>
      <c r="J9" s="17">
        <v>28405831582.939999</v>
      </c>
      <c r="K9" s="17">
        <v>28452734525.240002</v>
      </c>
      <c r="L9" s="18">
        <v>28495473225</v>
      </c>
      <c r="M9" s="17">
        <v>28526385992.27</v>
      </c>
      <c r="N9" s="17">
        <v>28597121847.27</v>
      </c>
      <c r="O9" s="17">
        <v>28627622295.599998</v>
      </c>
      <c r="P9" s="19">
        <f t="shared" ref="P9:P23" si="1">(C9+2*SUM(D9:N9)+O9)/24</f>
        <v>28353542627.189167</v>
      </c>
      <c r="R9" s="55"/>
      <c r="S9" s="40"/>
      <c r="T9" s="37">
        <f>+P9</f>
        <v>28353542627.189167</v>
      </c>
      <c r="U9" s="31"/>
      <c r="V9" s="32">
        <f>[11]Report!$K$2445+[11]Report!$K$2457+[11]Report!$K$2465</f>
        <v>1869162122.5185204</v>
      </c>
      <c r="W9" s="32">
        <f>[11]Report!$J$2445+[11]Report!$J$2457+[11]Report!$J$2465</f>
        <v>26202186112.52232</v>
      </c>
      <c r="X9" s="32">
        <f>+P9-V9-W9</f>
        <v>282194392.14832687</v>
      </c>
      <c r="Y9" s="32">
        <f>+X9+V9+W9</f>
        <v>28353542627.189167</v>
      </c>
      <c r="Z9" s="15">
        <f>Y9-T9</f>
        <v>0</v>
      </c>
    </row>
    <row r="10" spans="1:26" s="11" customFormat="1" x14ac:dyDescent="0.25">
      <c r="A10" s="11">
        <f t="shared" si="0"/>
        <v>3</v>
      </c>
      <c r="B10" s="12" t="s">
        <v>16</v>
      </c>
      <c r="C10" s="16">
        <v>786990599.24000001</v>
      </c>
      <c r="D10" s="16">
        <v>802617166.87</v>
      </c>
      <c r="E10" s="16">
        <v>828896090.24000001</v>
      </c>
      <c r="F10" s="16">
        <v>876467787.14999998</v>
      </c>
      <c r="G10" s="16">
        <v>957542865.25999999</v>
      </c>
      <c r="H10" s="16">
        <v>1074300582.8399999</v>
      </c>
      <c r="I10" s="16">
        <v>1194168876.5</v>
      </c>
      <c r="J10" s="17">
        <v>1272544069.8</v>
      </c>
      <c r="K10" s="17">
        <v>1293245655.78</v>
      </c>
      <c r="L10" s="18">
        <v>1337037390.1099999</v>
      </c>
      <c r="M10" s="17">
        <v>1517002955.3900001</v>
      </c>
      <c r="N10" s="17">
        <v>1634083967.49</v>
      </c>
      <c r="O10" s="17">
        <v>1791025586.3699999</v>
      </c>
      <c r="P10" s="19">
        <f t="shared" si="1"/>
        <v>1173076291.68625</v>
      </c>
      <c r="R10" s="55"/>
      <c r="S10" s="40"/>
      <c r="T10" s="37">
        <f>+P10</f>
        <v>1173076291.68625</v>
      </c>
      <c r="U10" s="31"/>
      <c r="V10" s="32"/>
      <c r="W10" s="32"/>
      <c r="X10" s="32">
        <f>+T10</f>
        <v>1173076291.68625</v>
      </c>
      <c r="Y10" s="32">
        <f>+X10+V10+W10</f>
        <v>1173076291.68625</v>
      </c>
      <c r="Z10" s="15">
        <f>Y10-T10</f>
        <v>0</v>
      </c>
    </row>
    <row r="11" spans="1:26" s="11" customFormat="1" x14ac:dyDescent="0.25">
      <c r="A11" s="11">
        <f t="shared" si="0"/>
        <v>4</v>
      </c>
      <c r="B11" s="12" t="s">
        <v>17</v>
      </c>
      <c r="C11" s="21">
        <v>28873621447.34</v>
      </c>
      <c r="D11" s="21">
        <v>28918962399.380001</v>
      </c>
      <c r="E11" s="21">
        <v>28978307517.720001</v>
      </c>
      <c r="F11" s="21">
        <v>29056833900.740002</v>
      </c>
      <c r="G11" s="21">
        <v>29200539895.330002</v>
      </c>
      <c r="H11" s="21">
        <v>29367955115.25</v>
      </c>
      <c r="I11" s="21">
        <v>29619232322.139999</v>
      </c>
      <c r="J11" s="22">
        <v>29678375652.740002</v>
      </c>
      <c r="K11" s="21">
        <v>29745980181.02</v>
      </c>
      <c r="L11" s="21">
        <v>29832510615.110001</v>
      </c>
      <c r="M11" s="22">
        <v>30043388947.66</v>
      </c>
      <c r="N11" s="21">
        <v>30231205814.759998</v>
      </c>
      <c r="O11" s="22">
        <v>30418647881.970001</v>
      </c>
      <c r="P11" s="19">
        <f>(C11+2*SUM(D11:N11)+O11)/24</f>
        <v>29526618918.875412</v>
      </c>
      <c r="R11" s="55"/>
      <c r="S11" s="40"/>
      <c r="T11" s="40"/>
      <c r="U11" s="31"/>
      <c r="V11" s="32"/>
      <c r="W11" s="32"/>
      <c r="X11" s="32"/>
      <c r="Y11" s="32"/>
      <c r="Z11" s="15">
        <f>Y11-T11</f>
        <v>0</v>
      </c>
    </row>
    <row r="12" spans="1:26" s="11" customFormat="1" x14ac:dyDescent="0.25">
      <c r="A12" s="11">
        <f t="shared" si="0"/>
        <v>5</v>
      </c>
      <c r="B12" s="12" t="s">
        <v>18</v>
      </c>
      <c r="C12" s="16">
        <v>10568650813.51</v>
      </c>
      <c r="D12" s="16">
        <v>10617828478.01</v>
      </c>
      <c r="E12" s="16">
        <v>10670695873.459999</v>
      </c>
      <c r="F12" s="16">
        <v>10715663783.780001</v>
      </c>
      <c r="G12" s="16">
        <v>10767880582.719999</v>
      </c>
      <c r="H12" s="16">
        <v>10816077575.07</v>
      </c>
      <c r="I12" s="16">
        <v>11032877404.690001</v>
      </c>
      <c r="J12" s="17">
        <v>11013488471.83</v>
      </c>
      <c r="K12" s="17">
        <v>11065404381.42</v>
      </c>
      <c r="L12" s="18">
        <v>11114917894.040001</v>
      </c>
      <c r="M12" s="17">
        <v>11168566435.67</v>
      </c>
      <c r="N12" s="17">
        <v>11212757755.34</v>
      </c>
      <c r="O12" s="23">
        <v>11251888864.52</v>
      </c>
      <c r="P12" s="19">
        <f t="shared" si="1"/>
        <v>10925535706.253748</v>
      </c>
      <c r="R12" s="55"/>
      <c r="S12" s="40"/>
      <c r="T12" s="37">
        <f>-P12</f>
        <v>-10925535706.253748</v>
      </c>
      <c r="U12" s="31"/>
      <c r="V12" s="32">
        <f>[11]Report!$K$2473+[11]Report!$K$3000+[11]Report!$K$3064</f>
        <v>-805274248.91864479</v>
      </c>
      <c r="W12" s="32">
        <f>[11]Report!$J$3064+[11]Report!$J$3000+[11]Report!$J$2473</f>
        <v>-9741350345.0771961</v>
      </c>
      <c r="X12" s="32">
        <f>-P12-V12-W12</f>
        <v>-378911112.25790787</v>
      </c>
      <c r="Y12" s="32">
        <f>+X12+V12+W12</f>
        <v>-10925535706.25375</v>
      </c>
      <c r="Z12" s="15">
        <f>Y12-T12</f>
        <v>0</v>
      </c>
    </row>
    <row r="13" spans="1:26" s="11" customFormat="1" x14ac:dyDescent="0.25">
      <c r="A13" s="11">
        <f t="shared" si="0"/>
        <v>6</v>
      </c>
      <c r="B13" s="12" t="s">
        <v>19</v>
      </c>
      <c r="C13" s="21">
        <v>18304970633.830002</v>
      </c>
      <c r="D13" s="21">
        <v>18301133921.369999</v>
      </c>
      <c r="E13" s="21">
        <v>18307611644.259998</v>
      </c>
      <c r="F13" s="21">
        <v>18341170116.959999</v>
      </c>
      <c r="G13" s="21">
        <v>18432659312.610001</v>
      </c>
      <c r="H13" s="21">
        <v>18551877540.18</v>
      </c>
      <c r="I13" s="21">
        <v>18586354917.450001</v>
      </c>
      <c r="J13" s="22">
        <v>18664887180.91</v>
      </c>
      <c r="K13" s="21">
        <v>18680575799.599998</v>
      </c>
      <c r="L13" s="21">
        <v>18717592721.07</v>
      </c>
      <c r="M13" s="22">
        <v>18874822511.990002</v>
      </c>
      <c r="N13" s="21">
        <v>19018448059.419998</v>
      </c>
      <c r="O13" s="22">
        <v>19166759017.450001</v>
      </c>
      <c r="P13" s="19">
        <f t="shared" si="1"/>
        <v>18601083212.62167</v>
      </c>
      <c r="R13" s="55"/>
      <c r="S13" s="40"/>
      <c r="T13" s="40"/>
      <c r="U13" s="31"/>
      <c r="V13" s="32"/>
      <c r="W13" s="32"/>
      <c r="X13" s="32"/>
      <c r="Y13" s="32"/>
      <c r="Z13" s="15"/>
    </row>
    <row r="14" spans="1:26" s="11" customFormat="1" x14ac:dyDescent="0.25">
      <c r="A14" s="11">
        <f t="shared" si="0"/>
        <v>7</v>
      </c>
      <c r="B14" s="12" t="s">
        <v>20</v>
      </c>
      <c r="C14" s="24">
        <v>18304970633.830002</v>
      </c>
      <c r="D14" s="24">
        <v>18301133921.369995</v>
      </c>
      <c r="E14" s="24">
        <v>18307611644.260002</v>
      </c>
      <c r="F14" s="24">
        <v>18341170116.959999</v>
      </c>
      <c r="G14" s="24">
        <v>18432659312.610001</v>
      </c>
      <c r="H14" s="24">
        <v>18551877540.18</v>
      </c>
      <c r="I14" s="24">
        <v>18586354917.449997</v>
      </c>
      <c r="J14" s="25">
        <v>18664887180.909996</v>
      </c>
      <c r="K14" s="26">
        <v>18680575799.599998</v>
      </c>
      <c r="L14" s="26">
        <v>18717592721.07</v>
      </c>
      <c r="M14" s="25">
        <v>18874822511.989998</v>
      </c>
      <c r="N14" s="26">
        <v>19018448059.420002</v>
      </c>
      <c r="O14" s="26">
        <v>19166759017.449997</v>
      </c>
      <c r="P14" s="19">
        <f t="shared" si="1"/>
        <v>18601083212.62167</v>
      </c>
      <c r="R14" s="55"/>
      <c r="S14" s="40"/>
      <c r="T14" s="40"/>
      <c r="U14" s="31"/>
      <c r="V14" s="32"/>
      <c r="W14" s="32"/>
      <c r="X14" s="32"/>
      <c r="Y14" s="32"/>
      <c r="Z14" s="15"/>
    </row>
    <row r="15" spans="1:26" s="11" customFormat="1" x14ac:dyDescent="0.25">
      <c r="A15" s="11">
        <f t="shared" si="0"/>
        <v>8</v>
      </c>
      <c r="B15" s="12" t="s">
        <v>21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5">
        <v>0</v>
      </c>
      <c r="K15" s="26">
        <v>0</v>
      </c>
      <c r="L15" s="26">
        <v>0</v>
      </c>
      <c r="M15" s="25">
        <v>0</v>
      </c>
      <c r="N15" s="26">
        <v>0</v>
      </c>
      <c r="O15" s="26">
        <v>0</v>
      </c>
      <c r="P15" s="19">
        <f t="shared" si="1"/>
        <v>0</v>
      </c>
      <c r="R15" s="55"/>
      <c r="S15" s="40"/>
      <c r="T15" s="40"/>
      <c r="U15" s="31"/>
      <c r="V15" s="32"/>
      <c r="W15" s="32"/>
      <c r="X15" s="32"/>
      <c r="Y15" s="32"/>
      <c r="Z15" s="15"/>
    </row>
    <row r="16" spans="1:26" s="11" customFormat="1" x14ac:dyDescent="0.25">
      <c r="A16" s="11">
        <f t="shared" si="0"/>
        <v>9</v>
      </c>
      <c r="B16" s="12" t="s">
        <v>22</v>
      </c>
      <c r="C16" s="24"/>
      <c r="D16" s="24"/>
      <c r="E16" s="24"/>
      <c r="F16" s="24"/>
      <c r="G16" s="24"/>
      <c r="H16" s="24"/>
      <c r="I16" s="24"/>
      <c r="J16" s="25"/>
      <c r="K16" s="26"/>
      <c r="L16" s="26"/>
      <c r="M16" s="25"/>
      <c r="N16" s="26"/>
      <c r="O16" s="26"/>
      <c r="P16" s="19">
        <f t="shared" si="1"/>
        <v>0</v>
      </c>
      <c r="R16" s="55"/>
      <c r="S16" s="40"/>
      <c r="T16" s="40"/>
      <c r="U16" s="31"/>
      <c r="V16" s="32"/>
      <c r="W16" s="32"/>
      <c r="X16" s="32"/>
      <c r="Y16" s="32"/>
      <c r="Z16" s="15"/>
    </row>
    <row r="17" spans="1:26" s="11" customFormat="1" x14ac:dyDescent="0.25">
      <c r="A17" s="11">
        <f t="shared" si="0"/>
        <v>10</v>
      </c>
      <c r="B17" s="12" t="s">
        <v>23</v>
      </c>
      <c r="C17" s="24"/>
      <c r="D17" s="24"/>
      <c r="E17" s="24"/>
      <c r="F17" s="24"/>
      <c r="G17" s="24"/>
      <c r="H17" s="24"/>
      <c r="I17" s="24"/>
      <c r="J17" s="25"/>
      <c r="K17" s="26"/>
      <c r="L17" s="26"/>
      <c r="M17" s="25"/>
      <c r="N17" s="26"/>
      <c r="O17" s="26"/>
      <c r="P17" s="19">
        <f t="shared" si="1"/>
        <v>0</v>
      </c>
      <c r="R17" s="55"/>
      <c r="S17" s="40"/>
      <c r="T17" s="40"/>
      <c r="U17" s="31"/>
      <c r="V17" s="32"/>
      <c r="W17" s="32"/>
      <c r="X17" s="32"/>
      <c r="Y17" s="32"/>
      <c r="Z17" s="15"/>
    </row>
    <row r="18" spans="1:26" s="11" customFormat="1" x14ac:dyDescent="0.25">
      <c r="A18" s="11">
        <f t="shared" si="0"/>
        <v>11</v>
      </c>
      <c r="B18" s="12" t="s">
        <v>24</v>
      </c>
      <c r="C18" s="24"/>
      <c r="D18" s="24"/>
      <c r="E18" s="24"/>
      <c r="F18" s="24"/>
      <c r="G18" s="24"/>
      <c r="H18" s="24"/>
      <c r="I18" s="24"/>
      <c r="J18" s="25"/>
      <c r="K18" s="26"/>
      <c r="L18" s="26"/>
      <c r="M18" s="25"/>
      <c r="N18" s="26"/>
      <c r="O18" s="26"/>
      <c r="P18" s="19">
        <f t="shared" si="1"/>
        <v>0</v>
      </c>
      <c r="R18" s="55"/>
      <c r="S18" s="40"/>
      <c r="T18" s="40"/>
      <c r="U18" s="31"/>
      <c r="V18" s="32"/>
      <c r="W18" s="32"/>
      <c r="X18" s="32"/>
      <c r="Y18" s="32"/>
      <c r="Z18" s="15"/>
    </row>
    <row r="19" spans="1:26" s="11" customFormat="1" x14ac:dyDescent="0.25">
      <c r="A19" s="11">
        <f t="shared" si="0"/>
        <v>12</v>
      </c>
      <c r="B19" s="12" t="s">
        <v>25</v>
      </c>
      <c r="C19" s="24"/>
      <c r="D19" s="24"/>
      <c r="E19" s="24"/>
      <c r="F19" s="24"/>
      <c r="G19" s="24"/>
      <c r="H19" s="24"/>
      <c r="I19" s="24"/>
      <c r="J19" s="25"/>
      <c r="K19" s="26"/>
      <c r="L19" s="26"/>
      <c r="M19" s="25"/>
      <c r="N19" s="26"/>
      <c r="O19" s="26"/>
      <c r="P19" s="19">
        <f t="shared" si="1"/>
        <v>0</v>
      </c>
      <c r="R19" s="55"/>
      <c r="S19" s="40"/>
      <c r="T19" s="40"/>
      <c r="U19" s="31"/>
      <c r="V19" s="32"/>
      <c r="W19" s="32"/>
      <c r="X19" s="32"/>
      <c r="Y19" s="32"/>
      <c r="Z19" s="15"/>
    </row>
    <row r="20" spans="1:26" s="11" customFormat="1" x14ac:dyDescent="0.25">
      <c r="A20" s="11">
        <f t="shared" si="0"/>
        <v>13</v>
      </c>
      <c r="B20" s="12" t="s">
        <v>26</v>
      </c>
      <c r="C20" s="24"/>
      <c r="D20" s="24"/>
      <c r="E20" s="24"/>
      <c r="F20" s="24"/>
      <c r="G20" s="24"/>
      <c r="H20" s="24"/>
      <c r="I20" s="24"/>
      <c r="J20" s="25"/>
      <c r="K20" s="26"/>
      <c r="L20" s="26"/>
      <c r="M20" s="25"/>
      <c r="N20" s="26"/>
      <c r="O20" s="26"/>
      <c r="P20" s="19">
        <f t="shared" si="1"/>
        <v>0</v>
      </c>
      <c r="R20" s="55"/>
      <c r="S20" s="40"/>
      <c r="T20" s="40"/>
      <c r="U20" s="31"/>
      <c r="V20" s="32"/>
      <c r="W20" s="32"/>
      <c r="X20" s="32"/>
      <c r="Y20" s="32"/>
      <c r="Z20" s="15"/>
    </row>
    <row r="21" spans="1:26" s="11" customFormat="1" x14ac:dyDescent="0.25">
      <c r="A21" s="11">
        <f t="shared" si="0"/>
        <v>14</v>
      </c>
      <c r="C21" s="24"/>
      <c r="D21" s="24"/>
      <c r="E21" s="24"/>
      <c r="F21" s="24"/>
      <c r="G21" s="24"/>
      <c r="H21" s="24"/>
      <c r="I21" s="24"/>
      <c r="J21" s="25"/>
      <c r="K21" s="26"/>
      <c r="L21" s="26"/>
      <c r="M21" s="25"/>
      <c r="N21" s="26"/>
      <c r="O21" s="26"/>
      <c r="P21" s="19">
        <f t="shared" si="1"/>
        <v>0</v>
      </c>
      <c r="R21" s="55"/>
      <c r="S21" s="40"/>
      <c r="T21" s="40"/>
      <c r="U21" s="31"/>
      <c r="V21" s="32"/>
      <c r="W21" s="32"/>
      <c r="X21" s="32"/>
      <c r="Y21" s="32"/>
      <c r="Z21" s="15"/>
    </row>
    <row r="22" spans="1:26" s="11" customFormat="1" x14ac:dyDescent="0.25">
      <c r="A22" s="11">
        <f t="shared" si="0"/>
        <v>15</v>
      </c>
      <c r="B22" s="12" t="s">
        <v>19</v>
      </c>
      <c r="C22" s="24">
        <v>18304970633.830002</v>
      </c>
      <c r="D22" s="24">
        <v>18301133921.369999</v>
      </c>
      <c r="E22" s="24">
        <v>18307611644.259998</v>
      </c>
      <c r="F22" s="24">
        <v>18341170116.959999</v>
      </c>
      <c r="G22" s="24">
        <v>18432659312.610001</v>
      </c>
      <c r="H22" s="24">
        <v>18551877540.18</v>
      </c>
      <c r="I22" s="24">
        <v>18586354917.450001</v>
      </c>
      <c r="J22" s="24">
        <v>18664887180.91</v>
      </c>
      <c r="K22" s="24">
        <v>18680575799.599998</v>
      </c>
      <c r="L22" s="24">
        <v>18717592721.07</v>
      </c>
      <c r="M22" s="27">
        <v>18874822511.990002</v>
      </c>
      <c r="N22" s="24">
        <v>19018448059.419998</v>
      </c>
      <c r="O22" s="24">
        <v>19166759017.450001</v>
      </c>
      <c r="P22" s="19">
        <f t="shared" si="1"/>
        <v>18601083212.62167</v>
      </c>
      <c r="R22" s="55"/>
      <c r="S22" s="40"/>
      <c r="T22" s="34">
        <f>SUBTOTAL(9,T9:T12)</f>
        <v>18601083212.621666</v>
      </c>
      <c r="U22" s="36">
        <f>SUBTOTAL(9,U9:U12)</f>
        <v>0</v>
      </c>
      <c r="V22" s="34">
        <f>SUBTOTAL(9,V9:V21)</f>
        <v>1063887873.5998756</v>
      </c>
      <c r="W22" s="34">
        <f>SUBTOTAL(9,W9:W12)</f>
        <v>16460835767.445124</v>
      </c>
      <c r="X22" s="34">
        <f>SUBTOTAL(9,X9:X12)</f>
        <v>1076359571.576669</v>
      </c>
      <c r="Y22" s="34">
        <f>SUBTOTAL(9,Y9:Y12)</f>
        <v>18601083212.621666</v>
      </c>
      <c r="Z22" s="15"/>
    </row>
    <row r="23" spans="1:26" s="11" customFormat="1" x14ac:dyDescent="0.25">
      <c r="A23" s="11">
        <f t="shared" si="0"/>
        <v>16</v>
      </c>
      <c r="B23" s="12" t="s">
        <v>27</v>
      </c>
      <c r="C23" s="24"/>
      <c r="D23" s="24"/>
      <c r="E23" s="24"/>
      <c r="F23" s="24"/>
      <c r="G23" s="24"/>
      <c r="H23" s="24"/>
      <c r="I23" s="24"/>
      <c r="J23" s="26"/>
      <c r="K23" s="26"/>
      <c r="L23" s="26"/>
      <c r="M23" s="25"/>
      <c r="N23" s="26"/>
      <c r="O23" s="26"/>
      <c r="P23" s="19">
        <f t="shared" si="1"/>
        <v>0</v>
      </c>
      <c r="R23" s="55"/>
      <c r="S23" s="40"/>
      <c r="T23" s="40"/>
      <c r="U23" s="31"/>
      <c r="V23" s="85"/>
      <c r="W23" s="85"/>
      <c r="X23" s="85"/>
      <c r="Y23" s="32"/>
      <c r="Z23" s="15"/>
    </row>
    <row r="24" spans="1:26" s="11" customFormat="1" x14ac:dyDescent="0.25">
      <c r="A24" s="11">
        <f t="shared" si="0"/>
        <v>17</v>
      </c>
      <c r="B24" s="12"/>
      <c r="C24" s="24"/>
      <c r="D24" s="24"/>
      <c r="E24" s="24"/>
      <c r="F24" s="24"/>
      <c r="G24" s="24"/>
      <c r="H24" s="24"/>
      <c r="I24" s="24"/>
      <c r="J24" s="26"/>
      <c r="K24" s="26"/>
      <c r="L24" s="26"/>
      <c r="M24" s="25"/>
      <c r="N24" s="26"/>
      <c r="O24" s="26"/>
      <c r="P24" s="19"/>
      <c r="R24" s="55"/>
      <c r="S24" s="40"/>
      <c r="T24" s="40"/>
      <c r="U24" s="31"/>
      <c r="V24" s="85"/>
      <c r="W24" s="85"/>
      <c r="X24" s="85"/>
      <c r="Y24" s="32"/>
      <c r="Z24" s="15"/>
    </row>
    <row r="25" spans="1:26" s="11" customFormat="1" x14ac:dyDescent="0.25">
      <c r="A25" s="11">
        <f t="shared" si="0"/>
        <v>18</v>
      </c>
      <c r="B25" s="12" t="s">
        <v>28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19"/>
      <c r="R25" s="55"/>
      <c r="S25" s="40"/>
      <c r="T25" s="40"/>
      <c r="U25" s="31"/>
      <c r="V25" s="32"/>
      <c r="W25" s="32"/>
      <c r="X25" s="32"/>
      <c r="Y25" s="32"/>
      <c r="Z25" s="15"/>
    </row>
    <row r="26" spans="1:26" s="11" customFormat="1" x14ac:dyDescent="0.25">
      <c r="A26" s="11">
        <f t="shared" si="0"/>
        <v>19</v>
      </c>
      <c r="B26" s="12" t="s">
        <v>29</v>
      </c>
      <c r="C26" s="16">
        <v>13722512.6</v>
      </c>
      <c r="D26" s="16">
        <v>13722512.6</v>
      </c>
      <c r="E26" s="16">
        <v>13543375.029999999</v>
      </c>
      <c r="F26" s="16">
        <v>13543375.029999999</v>
      </c>
      <c r="G26" s="16">
        <v>13543375.029999999</v>
      </c>
      <c r="H26" s="16">
        <v>13543375.029999999</v>
      </c>
      <c r="I26" s="16">
        <v>13578985.99</v>
      </c>
      <c r="J26" s="17">
        <v>13578985.99</v>
      </c>
      <c r="K26" s="17">
        <v>13578985.99</v>
      </c>
      <c r="L26" s="30">
        <v>13578985.99</v>
      </c>
      <c r="M26" s="17">
        <v>13578985.99</v>
      </c>
      <c r="N26" s="17">
        <v>13578985.99</v>
      </c>
      <c r="O26" s="17">
        <v>13576596.99</v>
      </c>
      <c r="P26" s="19">
        <f>(C26+2*SUM(D26:N26)+O26)/24</f>
        <v>13584956.954583334</v>
      </c>
      <c r="R26" s="55"/>
      <c r="S26" s="40"/>
      <c r="T26" s="37">
        <f>+P26</f>
        <v>13584956.954583334</v>
      </c>
      <c r="U26" s="31"/>
      <c r="V26" s="32"/>
      <c r="W26" s="32"/>
      <c r="X26" s="32">
        <f>+T26</f>
        <v>13584956.954583334</v>
      </c>
      <c r="Y26" s="32">
        <f t="shared" ref="Y26:Y38" si="2">+X26+V26+W26</f>
        <v>13584956.954583334</v>
      </c>
      <c r="Z26" s="15">
        <f>Y26-T26</f>
        <v>0</v>
      </c>
    </row>
    <row r="27" spans="1:26" s="11" customFormat="1" x14ac:dyDescent="0.25">
      <c r="A27" s="11">
        <f t="shared" si="0"/>
        <v>20</v>
      </c>
      <c r="B27" s="12" t="s">
        <v>30</v>
      </c>
      <c r="C27" s="16">
        <v>3094552.73</v>
      </c>
      <c r="D27" s="16">
        <v>3103776.42</v>
      </c>
      <c r="E27" s="16">
        <v>3112999.94</v>
      </c>
      <c r="F27" s="16">
        <v>3122223.51</v>
      </c>
      <c r="G27" s="16">
        <v>3131447.1</v>
      </c>
      <c r="H27" s="16">
        <v>3140670.66</v>
      </c>
      <c r="I27" s="16">
        <v>3149894.23</v>
      </c>
      <c r="J27" s="17">
        <v>3159117.74</v>
      </c>
      <c r="K27" s="17">
        <v>3168341.19</v>
      </c>
      <c r="L27" s="30">
        <v>3177564.72</v>
      </c>
      <c r="M27" s="17">
        <v>3186788.16</v>
      </c>
      <c r="N27" s="17">
        <v>3196011.67</v>
      </c>
      <c r="O27" s="17">
        <v>3205235.1</v>
      </c>
      <c r="P27" s="19">
        <f>-(C27+2*SUM(D27:N27)+O27)/24</f>
        <v>-3149894.1045833337</v>
      </c>
      <c r="R27" s="55"/>
      <c r="S27" s="40"/>
      <c r="T27" s="37">
        <f>P27</f>
        <v>-3149894.1045833337</v>
      </c>
      <c r="U27" s="31"/>
      <c r="V27" s="32"/>
      <c r="W27" s="32"/>
      <c r="X27" s="32">
        <f>+T27</f>
        <v>-3149894.1045833337</v>
      </c>
      <c r="Y27" s="32">
        <f t="shared" si="2"/>
        <v>-3149894.1045833337</v>
      </c>
      <c r="Z27" s="15">
        <f t="shared" ref="Z27:Z37" si="3">Y27-T27</f>
        <v>0</v>
      </c>
    </row>
    <row r="28" spans="1:26" s="11" customFormat="1" x14ac:dyDescent="0.25">
      <c r="A28" s="11">
        <f t="shared" si="0"/>
        <v>21</v>
      </c>
      <c r="B28" s="12" t="s">
        <v>31</v>
      </c>
      <c r="C28" s="16">
        <v>69928.31</v>
      </c>
      <c r="D28" s="16">
        <v>69928.31</v>
      </c>
      <c r="E28" s="16">
        <v>69928.31</v>
      </c>
      <c r="F28" s="16">
        <v>69928.31</v>
      </c>
      <c r="G28" s="16">
        <v>69928.31</v>
      </c>
      <c r="H28" s="16">
        <v>69928.31</v>
      </c>
      <c r="I28" s="16">
        <v>69928.31</v>
      </c>
      <c r="J28" s="17">
        <v>69928.31</v>
      </c>
      <c r="K28" s="17">
        <v>69928.31</v>
      </c>
      <c r="L28" s="30">
        <v>69928.31</v>
      </c>
      <c r="M28" s="17">
        <v>69928.31</v>
      </c>
      <c r="N28" s="17">
        <v>69928.31</v>
      </c>
      <c r="O28" s="17">
        <v>69928.31</v>
      </c>
      <c r="P28" s="19">
        <f t="shared" ref="P28:P38" si="4">(C28+2*SUM(D28:N28)+O28)/24</f>
        <v>69928.310000000012</v>
      </c>
      <c r="R28" s="55"/>
      <c r="S28" s="40"/>
      <c r="T28" s="37">
        <f>P28</f>
        <v>69928.310000000012</v>
      </c>
      <c r="U28" s="31"/>
      <c r="V28" s="32"/>
      <c r="W28" s="32"/>
      <c r="X28" s="32">
        <f>+T28</f>
        <v>69928.310000000012</v>
      </c>
      <c r="Y28" s="32">
        <f t="shared" si="2"/>
        <v>69928.310000000012</v>
      </c>
      <c r="Z28" s="15">
        <f t="shared" si="3"/>
        <v>0</v>
      </c>
    </row>
    <row r="29" spans="1:26" s="11" customFormat="1" x14ac:dyDescent="0.25">
      <c r="A29" s="11">
        <f t="shared" si="0"/>
        <v>22</v>
      </c>
      <c r="B29" s="12" t="s">
        <v>32</v>
      </c>
      <c r="C29" s="16">
        <v>175845102.30000001</v>
      </c>
      <c r="D29" s="16">
        <v>178506538.44999999</v>
      </c>
      <c r="E29" s="16">
        <v>181950115.08000001</v>
      </c>
      <c r="F29" s="16">
        <v>183346200.28</v>
      </c>
      <c r="G29" s="16">
        <v>185161250.66999999</v>
      </c>
      <c r="H29" s="16">
        <v>186880172.46000001</v>
      </c>
      <c r="I29" s="16">
        <v>183401017.18000001</v>
      </c>
      <c r="J29" s="17">
        <v>188179003.56999999</v>
      </c>
      <c r="K29" s="17">
        <v>191308020.25</v>
      </c>
      <c r="L29" s="30">
        <v>194762832.78999999</v>
      </c>
      <c r="M29" s="17">
        <v>195136806.50999999</v>
      </c>
      <c r="N29" s="17">
        <v>194282122.34</v>
      </c>
      <c r="O29" s="17">
        <v>193710073.94</v>
      </c>
      <c r="P29" s="19">
        <f t="shared" si="4"/>
        <v>187307638.97499993</v>
      </c>
      <c r="R29" s="89">
        <v>31753317.511944443</v>
      </c>
      <c r="S29" s="40"/>
      <c r="T29" s="37">
        <f>+P29-R29</f>
        <v>155554321.46305549</v>
      </c>
      <c r="U29" s="31"/>
      <c r="V29" s="32">
        <f>'[10]Page 8.1'!$F$13*[11]Factors!$X$40</f>
        <v>17736670.541385002</v>
      </c>
      <c r="W29" s="32">
        <f>'[10]Page 8.1'!$F$13-V29</f>
        <v>60773442.697938435</v>
      </c>
      <c r="X29" s="32">
        <f>+T29-V29-W29</f>
        <v>77044208.223732054</v>
      </c>
      <c r="Y29" s="32">
        <f t="shared" si="2"/>
        <v>155554321.46305549</v>
      </c>
      <c r="Z29" s="15">
        <f t="shared" si="3"/>
        <v>0</v>
      </c>
    </row>
    <row r="30" spans="1:26" s="11" customFormat="1" x14ac:dyDescent="0.25">
      <c r="A30" s="11">
        <f t="shared" si="0"/>
        <v>23</v>
      </c>
      <c r="B30" s="12" t="s">
        <v>33</v>
      </c>
      <c r="C30" s="24"/>
      <c r="D30" s="24"/>
      <c r="E30" s="24"/>
      <c r="F30" s="24"/>
      <c r="G30" s="24"/>
      <c r="H30" s="24"/>
      <c r="I30" s="24"/>
      <c r="J30" s="17"/>
      <c r="K30" s="17"/>
      <c r="L30" s="30"/>
      <c r="M30" s="17"/>
      <c r="N30" s="17"/>
      <c r="O30" s="17"/>
      <c r="P30" s="19">
        <f t="shared" si="4"/>
        <v>0</v>
      </c>
      <c r="R30" s="55"/>
      <c r="S30" s="40"/>
      <c r="T30" s="37">
        <f t="shared" ref="T30:T38" si="5">P30</f>
        <v>0</v>
      </c>
      <c r="U30" s="31"/>
      <c r="V30" s="32"/>
      <c r="W30" s="32"/>
      <c r="X30" s="32">
        <f t="shared" ref="X30:X36" si="6">+T30</f>
        <v>0</v>
      </c>
      <c r="Y30" s="32">
        <f t="shared" si="2"/>
        <v>0</v>
      </c>
      <c r="Z30" s="15">
        <f t="shared" si="3"/>
        <v>0</v>
      </c>
    </row>
    <row r="31" spans="1:26" s="11" customFormat="1" x14ac:dyDescent="0.25">
      <c r="A31" s="11">
        <f t="shared" si="0"/>
        <v>24</v>
      </c>
      <c r="B31" s="12" t="s">
        <v>34</v>
      </c>
      <c r="C31" s="16">
        <v>98318192.510000005</v>
      </c>
      <c r="D31" s="16">
        <v>99636466.040000007</v>
      </c>
      <c r="E31" s="16">
        <v>100844153.39</v>
      </c>
      <c r="F31" s="16">
        <v>100923340.75</v>
      </c>
      <c r="G31" s="16">
        <v>98709586.069999993</v>
      </c>
      <c r="H31" s="16">
        <v>99650994.650000006</v>
      </c>
      <c r="I31" s="16">
        <v>95479060.799999997</v>
      </c>
      <c r="J31" s="17">
        <v>103352261.78</v>
      </c>
      <c r="K31" s="17">
        <v>97734259.959999993</v>
      </c>
      <c r="L31" s="30">
        <v>97919123.269999996</v>
      </c>
      <c r="M31" s="17">
        <v>99374376.489999995</v>
      </c>
      <c r="N31" s="17">
        <v>97701593.849999994</v>
      </c>
      <c r="O31" s="17">
        <v>100058809.78</v>
      </c>
      <c r="P31" s="19">
        <f t="shared" si="4"/>
        <v>99209476.516250014</v>
      </c>
      <c r="R31" s="55"/>
      <c r="S31" s="40"/>
      <c r="T31" s="37">
        <f t="shared" si="5"/>
        <v>99209476.516250014</v>
      </c>
      <c r="U31" s="31"/>
      <c r="V31" s="32"/>
      <c r="W31" s="32"/>
      <c r="X31" s="32">
        <f t="shared" si="6"/>
        <v>99209476.516250014</v>
      </c>
      <c r="Y31" s="32">
        <f t="shared" si="2"/>
        <v>99209476.516250014</v>
      </c>
      <c r="Z31" s="15">
        <f t="shared" si="3"/>
        <v>0</v>
      </c>
    </row>
    <row r="32" spans="1:26" s="11" customFormat="1" x14ac:dyDescent="0.25">
      <c r="A32" s="11">
        <f t="shared" si="0"/>
        <v>25</v>
      </c>
      <c r="B32" s="12" t="s">
        <v>35</v>
      </c>
      <c r="C32" s="24"/>
      <c r="D32" s="24"/>
      <c r="E32" s="24"/>
      <c r="F32" s="24"/>
      <c r="G32" s="24"/>
      <c r="H32" s="24"/>
      <c r="I32" s="24"/>
      <c r="J32" s="17"/>
      <c r="K32" s="17"/>
      <c r="L32" s="30"/>
      <c r="M32" s="17"/>
      <c r="N32" s="17"/>
      <c r="O32" s="17"/>
      <c r="P32" s="19">
        <f t="shared" si="4"/>
        <v>0</v>
      </c>
      <c r="R32" s="55"/>
      <c r="S32" s="40"/>
      <c r="T32" s="37">
        <f t="shared" si="5"/>
        <v>0</v>
      </c>
      <c r="U32" s="31"/>
      <c r="V32" s="32"/>
      <c r="W32" s="32"/>
      <c r="X32" s="32">
        <f t="shared" si="6"/>
        <v>0</v>
      </c>
      <c r="Y32" s="32">
        <f t="shared" si="2"/>
        <v>0</v>
      </c>
      <c r="Z32" s="15">
        <f t="shared" si="3"/>
        <v>0</v>
      </c>
    </row>
    <row r="33" spans="1:26" s="11" customFormat="1" x14ac:dyDescent="0.25">
      <c r="A33" s="11">
        <f t="shared" si="0"/>
        <v>26</v>
      </c>
      <c r="B33" s="12" t="s">
        <v>36</v>
      </c>
      <c r="C33" s="24"/>
      <c r="D33" s="24"/>
      <c r="E33" s="24"/>
      <c r="F33" s="24"/>
      <c r="G33" s="24"/>
      <c r="H33" s="24"/>
      <c r="I33" s="24"/>
      <c r="J33" s="17"/>
      <c r="K33" s="17"/>
      <c r="L33" s="30"/>
      <c r="M33" s="17"/>
      <c r="N33" s="17"/>
      <c r="O33" s="17"/>
      <c r="P33" s="19">
        <f>(C33+2*SUM(D33:N33)+O33)/24</f>
        <v>0</v>
      </c>
      <c r="R33" s="55"/>
      <c r="S33" s="40"/>
      <c r="T33" s="37">
        <f t="shared" si="5"/>
        <v>0</v>
      </c>
      <c r="U33" s="31"/>
      <c r="V33" s="32"/>
      <c r="W33" s="32"/>
      <c r="X33" s="32">
        <f t="shared" si="6"/>
        <v>0</v>
      </c>
      <c r="Y33" s="32">
        <f t="shared" si="2"/>
        <v>0</v>
      </c>
      <c r="Z33" s="15">
        <f t="shared" si="3"/>
        <v>0</v>
      </c>
    </row>
    <row r="34" spans="1:26" s="11" customFormat="1" x14ac:dyDescent="0.25">
      <c r="A34" s="11">
        <f t="shared" si="0"/>
        <v>27</v>
      </c>
      <c r="B34" s="12" t="s">
        <v>37</v>
      </c>
      <c r="C34" s="24"/>
      <c r="D34" s="24"/>
      <c r="E34" s="24"/>
      <c r="F34" s="24"/>
      <c r="G34" s="24"/>
      <c r="H34" s="24"/>
      <c r="I34" s="24"/>
      <c r="J34" s="17"/>
      <c r="K34" s="17"/>
      <c r="L34" s="30"/>
      <c r="M34" s="17"/>
      <c r="N34" s="17"/>
      <c r="O34" s="17"/>
      <c r="P34" s="19">
        <f t="shared" si="4"/>
        <v>0</v>
      </c>
      <c r="R34" s="55"/>
      <c r="S34" s="40"/>
      <c r="T34" s="37">
        <f t="shared" si="5"/>
        <v>0</v>
      </c>
      <c r="U34" s="31"/>
      <c r="V34" s="32"/>
      <c r="W34" s="32"/>
      <c r="X34" s="32">
        <f t="shared" si="6"/>
        <v>0</v>
      </c>
      <c r="Y34" s="32">
        <f t="shared" si="2"/>
        <v>0</v>
      </c>
      <c r="Z34" s="15">
        <f t="shared" si="3"/>
        <v>0</v>
      </c>
    </row>
    <row r="35" spans="1:26" s="11" customFormat="1" x14ac:dyDescent="0.25">
      <c r="A35" s="11">
        <f t="shared" si="0"/>
        <v>28</v>
      </c>
      <c r="B35" s="12" t="s">
        <v>38</v>
      </c>
      <c r="C35" s="16">
        <v>19076223.34</v>
      </c>
      <c r="D35" s="16">
        <v>19708964.09</v>
      </c>
      <c r="E35" s="16">
        <v>20443582.34</v>
      </c>
      <c r="F35" s="16">
        <v>20805359.039999999</v>
      </c>
      <c r="G35" s="16">
        <v>21732053.899999999</v>
      </c>
      <c r="H35" s="16">
        <v>22901439.030000001</v>
      </c>
      <c r="I35" s="16">
        <v>14919563.630000001</v>
      </c>
      <c r="J35" s="17">
        <v>14526369.33</v>
      </c>
      <c r="K35" s="17">
        <v>14672280.01</v>
      </c>
      <c r="L35" s="30">
        <v>15400304.65</v>
      </c>
      <c r="M35" s="17">
        <v>17127930</v>
      </c>
      <c r="N35" s="17">
        <v>19160781.140000001</v>
      </c>
      <c r="O35" s="17">
        <v>20272666.829999998</v>
      </c>
      <c r="P35" s="19">
        <f t="shared" si="4"/>
        <v>18422756.020416666</v>
      </c>
      <c r="R35" s="55"/>
      <c r="S35" s="40"/>
      <c r="T35" s="37">
        <f t="shared" si="5"/>
        <v>18422756.020416666</v>
      </c>
      <c r="U35" s="31"/>
      <c r="V35" s="32"/>
      <c r="W35" s="32"/>
      <c r="X35" s="32">
        <f t="shared" si="6"/>
        <v>18422756.020416666</v>
      </c>
      <c r="Y35" s="32">
        <f t="shared" si="2"/>
        <v>18422756.020416666</v>
      </c>
      <c r="Z35" s="15">
        <f t="shared" si="3"/>
        <v>0</v>
      </c>
    </row>
    <row r="36" spans="1:26" s="11" customFormat="1" x14ac:dyDescent="0.25">
      <c r="A36" s="11">
        <f t="shared" si="0"/>
        <v>29</v>
      </c>
      <c r="B36" s="12" t="s">
        <v>39</v>
      </c>
      <c r="C36" s="24"/>
      <c r="D36" s="24"/>
      <c r="E36" s="24"/>
      <c r="F36" s="24"/>
      <c r="G36" s="24"/>
      <c r="H36" s="24"/>
      <c r="I36" s="24"/>
      <c r="J36" s="17"/>
      <c r="K36" s="17"/>
      <c r="L36" s="30"/>
      <c r="M36" s="17"/>
      <c r="N36" s="17"/>
      <c r="O36" s="17"/>
      <c r="P36" s="19">
        <f t="shared" si="4"/>
        <v>0</v>
      </c>
      <c r="R36" s="55"/>
      <c r="S36" s="40"/>
      <c r="T36" s="37">
        <f t="shared" si="5"/>
        <v>0</v>
      </c>
      <c r="U36" s="31"/>
      <c r="V36" s="32"/>
      <c r="W36" s="32"/>
      <c r="X36" s="32">
        <f t="shared" si="6"/>
        <v>0</v>
      </c>
      <c r="Y36" s="32">
        <f t="shared" si="2"/>
        <v>0</v>
      </c>
      <c r="Z36" s="15">
        <f t="shared" si="3"/>
        <v>0</v>
      </c>
    </row>
    <row r="37" spans="1:26" s="11" customFormat="1" x14ac:dyDescent="0.25">
      <c r="A37" s="11">
        <f t="shared" si="0"/>
        <v>30</v>
      </c>
      <c r="B37" s="12" t="s">
        <v>40</v>
      </c>
      <c r="C37" s="16">
        <v>1399953</v>
      </c>
      <c r="D37" s="16">
        <v>3106190</v>
      </c>
      <c r="E37" s="16">
        <v>3313945</v>
      </c>
      <c r="F37" s="16">
        <v>5995407</v>
      </c>
      <c r="G37" s="16">
        <v>10280630</v>
      </c>
      <c r="H37" s="16">
        <v>6334482</v>
      </c>
      <c r="I37" s="16">
        <v>2565604</v>
      </c>
      <c r="J37" s="17">
        <v>6103555</v>
      </c>
      <c r="K37" s="17">
        <v>7086052</v>
      </c>
      <c r="L37" s="30">
        <v>7852761</v>
      </c>
      <c r="M37" s="17">
        <v>6754326</v>
      </c>
      <c r="N37" s="17">
        <v>3715992</v>
      </c>
      <c r="O37" s="17">
        <v>3681680</v>
      </c>
      <c r="P37" s="19">
        <f t="shared" si="4"/>
        <v>5470813.375</v>
      </c>
      <c r="R37" s="38"/>
      <c r="S37" s="37"/>
      <c r="T37" s="37">
        <f t="shared" si="5"/>
        <v>5470813.375</v>
      </c>
      <c r="U37" s="33"/>
      <c r="V37" s="32"/>
      <c r="W37" s="32"/>
      <c r="X37" s="32">
        <f>+T37-V37</f>
        <v>5470813.375</v>
      </c>
      <c r="Y37" s="32">
        <f t="shared" si="2"/>
        <v>5470813.375</v>
      </c>
      <c r="Z37" s="15">
        <f t="shared" si="3"/>
        <v>0</v>
      </c>
    </row>
    <row r="38" spans="1:26" s="11" customFormat="1" x14ac:dyDescent="0.25">
      <c r="A38" s="11">
        <f t="shared" si="0"/>
        <v>31</v>
      </c>
      <c r="B38" s="12" t="s">
        <v>41</v>
      </c>
      <c r="C38" s="24"/>
      <c r="D38" s="24"/>
      <c r="E38" s="24"/>
      <c r="F38" s="24"/>
      <c r="G38" s="24"/>
      <c r="H38" s="24"/>
      <c r="I38" s="24"/>
      <c r="J38" s="17"/>
      <c r="K38" s="17"/>
      <c r="L38" s="30"/>
      <c r="M38" s="17"/>
      <c r="N38" s="17"/>
      <c r="O38" s="17"/>
      <c r="P38" s="19">
        <f t="shared" si="4"/>
        <v>0</v>
      </c>
      <c r="R38" s="55"/>
      <c r="S38" s="40"/>
      <c r="T38" s="37">
        <f t="shared" si="5"/>
        <v>0</v>
      </c>
      <c r="U38" s="31"/>
      <c r="V38" s="32"/>
      <c r="W38" s="32"/>
      <c r="X38" s="32">
        <f>+T38</f>
        <v>0</v>
      </c>
      <c r="Y38" s="32">
        <f t="shared" si="2"/>
        <v>0</v>
      </c>
      <c r="Z38" s="15"/>
    </row>
    <row r="39" spans="1:26" s="11" customFormat="1" x14ac:dyDescent="0.25">
      <c r="A39" s="11">
        <f t="shared" si="0"/>
        <v>32</v>
      </c>
      <c r="B39" s="12" t="s">
        <v>42</v>
      </c>
      <c r="C39" s="21">
        <v>305337359.32999998</v>
      </c>
      <c r="D39" s="21">
        <v>311646823.06999999</v>
      </c>
      <c r="E39" s="21">
        <v>317052099.20999998</v>
      </c>
      <c r="F39" s="21">
        <v>321561386.89999998</v>
      </c>
      <c r="G39" s="21">
        <v>326365376.88</v>
      </c>
      <c r="H39" s="21">
        <v>326239720.81999999</v>
      </c>
      <c r="I39" s="21">
        <v>306864265.68000001</v>
      </c>
      <c r="J39" s="21">
        <v>322650986.24000001</v>
      </c>
      <c r="K39" s="22">
        <v>321281185.32999998</v>
      </c>
      <c r="L39" s="21">
        <v>326406371.29000002</v>
      </c>
      <c r="M39" s="21">
        <v>328855565.13999999</v>
      </c>
      <c r="N39" s="21">
        <v>325313391.95999998</v>
      </c>
      <c r="O39" s="21">
        <v>328164520.75</v>
      </c>
      <c r="P39" s="34">
        <f>SUBTOTAL(9,P26:P38)</f>
        <v>320915676.04666662</v>
      </c>
      <c r="R39" s="35">
        <f>SUBTOTAL(9,R26:R38)</f>
        <v>31753317.511944443</v>
      </c>
      <c r="S39" s="40"/>
      <c r="T39" s="34">
        <f t="shared" ref="T39:Y39" si="7">SUBTOTAL(9,T26:T38)</f>
        <v>289162358.53472215</v>
      </c>
      <c r="U39" s="36">
        <f t="shared" si="7"/>
        <v>0</v>
      </c>
      <c r="V39" s="34">
        <f t="shared" si="7"/>
        <v>17736670.541385002</v>
      </c>
      <c r="W39" s="34">
        <f t="shared" si="7"/>
        <v>60773442.697938435</v>
      </c>
      <c r="X39" s="34">
        <f t="shared" si="7"/>
        <v>210652245.29539874</v>
      </c>
      <c r="Y39" s="34">
        <f t="shared" si="7"/>
        <v>289162358.53472215</v>
      </c>
      <c r="Z39" s="15"/>
    </row>
    <row r="40" spans="1:26" s="11" customFormat="1" x14ac:dyDescent="0.25">
      <c r="A40" s="11">
        <f t="shared" si="0"/>
        <v>33</v>
      </c>
      <c r="B40" s="12"/>
      <c r="C40" s="24"/>
      <c r="D40" s="24"/>
      <c r="E40" s="24"/>
      <c r="F40" s="24"/>
      <c r="G40" s="24"/>
      <c r="H40" s="24"/>
      <c r="I40" s="24"/>
      <c r="J40" s="26"/>
      <c r="K40" s="25"/>
      <c r="L40" s="26"/>
      <c r="M40" s="26"/>
      <c r="N40" s="26"/>
      <c r="O40" s="26"/>
      <c r="P40" s="37"/>
      <c r="R40" s="38"/>
      <c r="S40" s="40"/>
      <c r="T40" s="37"/>
      <c r="U40" s="33"/>
      <c r="V40" s="37"/>
      <c r="W40" s="37"/>
      <c r="X40" s="37"/>
      <c r="Y40" s="32"/>
      <c r="Z40" s="15"/>
    </row>
    <row r="41" spans="1:26" s="11" customFormat="1" x14ac:dyDescent="0.25">
      <c r="A41" s="11">
        <f t="shared" si="0"/>
        <v>34</v>
      </c>
      <c r="B41" s="12" t="s">
        <v>43</v>
      </c>
      <c r="C41" s="29"/>
      <c r="D41" s="29"/>
      <c r="E41" s="29"/>
      <c r="F41" s="29"/>
      <c r="G41" s="29"/>
      <c r="H41" s="29"/>
      <c r="I41" s="29"/>
      <c r="J41" s="29"/>
      <c r="K41" s="39"/>
      <c r="L41" s="29"/>
      <c r="M41" s="29"/>
      <c r="N41" s="29"/>
      <c r="O41" s="29"/>
      <c r="P41" s="19"/>
      <c r="R41" s="55"/>
      <c r="S41" s="40"/>
      <c r="T41" s="40"/>
      <c r="U41" s="31"/>
      <c r="V41" s="32"/>
      <c r="W41" s="32"/>
      <c r="X41" s="32"/>
      <c r="Y41" s="32"/>
      <c r="Z41" s="15"/>
    </row>
    <row r="42" spans="1:26" s="11" customFormat="1" x14ac:dyDescent="0.25">
      <c r="A42" s="11">
        <f t="shared" si="0"/>
        <v>35</v>
      </c>
      <c r="B42" s="12" t="s">
        <v>44</v>
      </c>
      <c r="C42" s="16">
        <v>12247495.16</v>
      </c>
      <c r="D42" s="16">
        <v>21834725.579999998</v>
      </c>
      <c r="E42" s="16">
        <v>10618078.210000001</v>
      </c>
      <c r="F42" s="16">
        <v>9779404.3300000001</v>
      </c>
      <c r="G42" s="16">
        <v>9114355.4600000009</v>
      </c>
      <c r="H42" s="16">
        <v>6688638.8600000003</v>
      </c>
      <c r="I42" s="16">
        <v>20006165.859999999</v>
      </c>
      <c r="J42" s="30">
        <v>7785711</v>
      </c>
      <c r="K42" s="17">
        <v>10054451.99</v>
      </c>
      <c r="L42" s="30">
        <v>12808496.75</v>
      </c>
      <c r="M42" s="17">
        <v>15654672.77</v>
      </c>
      <c r="N42" s="17">
        <v>8235629.8099999996</v>
      </c>
      <c r="O42" s="17">
        <v>9302968.7100000009</v>
      </c>
      <c r="P42" s="19">
        <f t="shared" ref="P42:P48" si="8">(C42+2*SUM(D42:N42)+O42)/24</f>
        <v>11946296.879583331</v>
      </c>
      <c r="R42" s="38">
        <f>+P42</f>
        <v>11946296.879583331</v>
      </c>
      <c r="S42" s="40"/>
      <c r="T42" s="40"/>
      <c r="U42" s="31"/>
      <c r="V42" s="32"/>
      <c r="W42" s="32"/>
      <c r="X42" s="32"/>
      <c r="Y42" s="32"/>
      <c r="Z42" s="15"/>
    </row>
    <row r="43" spans="1:26" s="11" customFormat="1" x14ac:dyDescent="0.25">
      <c r="A43" s="11">
        <f t="shared" si="0"/>
        <v>36</v>
      </c>
      <c r="B43" s="12" t="s">
        <v>45</v>
      </c>
      <c r="C43" s="16">
        <v>61234</v>
      </c>
      <c r="D43" s="16">
        <v>61234</v>
      </c>
      <c r="E43" s="16">
        <v>61234</v>
      </c>
      <c r="F43" s="16">
        <v>122468</v>
      </c>
      <c r="G43" s="16">
        <v>122468</v>
      </c>
      <c r="H43" s="16">
        <v>122468</v>
      </c>
      <c r="I43" s="16"/>
      <c r="J43" s="30"/>
      <c r="K43" s="17">
        <v>21107</v>
      </c>
      <c r="L43" s="30">
        <v>21107</v>
      </c>
      <c r="M43" s="17">
        <v>21107</v>
      </c>
      <c r="N43" s="17">
        <v>21107</v>
      </c>
      <c r="O43" s="17">
        <v>21107</v>
      </c>
      <c r="P43" s="19">
        <f t="shared" si="8"/>
        <v>51289.208333333336</v>
      </c>
      <c r="R43" s="38"/>
      <c r="S43" s="40"/>
      <c r="T43" s="37">
        <f>+P43</f>
        <v>51289.208333333336</v>
      </c>
      <c r="U43" s="31"/>
      <c r="V43" s="32"/>
      <c r="W43" s="32"/>
      <c r="X43" s="32">
        <f>+T43</f>
        <v>51289.208333333336</v>
      </c>
      <c r="Y43" s="32">
        <f>+X43+V43+W43</f>
        <v>51289.208333333336</v>
      </c>
      <c r="Z43" s="15">
        <f>Y43-T43</f>
        <v>0</v>
      </c>
    </row>
    <row r="44" spans="1:26" s="11" customFormat="1" x14ac:dyDescent="0.25">
      <c r="A44" s="11">
        <f t="shared" si="0"/>
        <v>37</v>
      </c>
      <c r="B44" s="12" t="s">
        <v>46</v>
      </c>
      <c r="C44" s="24"/>
      <c r="D44" s="24"/>
      <c r="E44" s="24"/>
      <c r="F44" s="24"/>
      <c r="G44" s="24"/>
      <c r="H44" s="24"/>
      <c r="I44" s="24"/>
      <c r="J44" s="30"/>
      <c r="K44" s="17"/>
      <c r="L44" s="30"/>
      <c r="M44" s="17"/>
      <c r="N44" s="17"/>
      <c r="O44" s="17"/>
      <c r="P44" s="19">
        <f t="shared" si="8"/>
        <v>0</v>
      </c>
      <c r="R44" s="38">
        <f>+P44</f>
        <v>0</v>
      </c>
      <c r="S44" s="40"/>
      <c r="T44" s="40"/>
      <c r="U44" s="31"/>
      <c r="V44" s="32"/>
      <c r="W44" s="32"/>
      <c r="X44" s="32"/>
      <c r="Y44" s="32">
        <f>+X44+V44+W44</f>
        <v>0</v>
      </c>
      <c r="Z44" s="15">
        <f t="shared" ref="Z44:Z57" si="9">Y44-T44</f>
        <v>0</v>
      </c>
    </row>
    <row r="45" spans="1:26" s="11" customFormat="1" x14ac:dyDescent="0.25">
      <c r="A45" s="11">
        <f t="shared" si="0"/>
        <v>38</v>
      </c>
      <c r="B45" s="12" t="s">
        <v>47</v>
      </c>
      <c r="C45" s="16">
        <v>48431.28</v>
      </c>
      <c r="D45" s="16">
        <v>91413357.780000001</v>
      </c>
      <c r="E45" s="16">
        <v>251500150.78999999</v>
      </c>
      <c r="F45" s="16">
        <v>274197256.17000002</v>
      </c>
      <c r="G45" s="16">
        <v>400084436.79000002</v>
      </c>
      <c r="H45" s="16">
        <v>409445606.01999998</v>
      </c>
      <c r="I45" s="16">
        <v>49330121.420000002</v>
      </c>
      <c r="J45" s="30">
        <v>10911990.119999999</v>
      </c>
      <c r="K45" s="17">
        <v>114765.1</v>
      </c>
      <c r="L45" s="30">
        <v>602275868.22000003</v>
      </c>
      <c r="M45" s="17">
        <v>559135184.10000002</v>
      </c>
      <c r="N45" s="17">
        <v>538685547.66999996</v>
      </c>
      <c r="O45" s="17">
        <v>463959023.93000001</v>
      </c>
      <c r="P45" s="19">
        <f t="shared" si="8"/>
        <v>284924834.31541663</v>
      </c>
      <c r="Q45" s="41"/>
      <c r="R45" s="38"/>
      <c r="S45" s="40"/>
      <c r="T45" s="37">
        <f>+P45</f>
        <v>284924834.31541663</v>
      </c>
      <c r="U45" s="31"/>
      <c r="V45" s="32"/>
      <c r="W45" s="32"/>
      <c r="X45" s="32">
        <f>+T45</f>
        <v>284924834.31541663</v>
      </c>
      <c r="Y45" s="32">
        <f>+X45+V45+W45</f>
        <v>284924834.31541663</v>
      </c>
      <c r="Z45" s="15">
        <f t="shared" si="9"/>
        <v>0</v>
      </c>
    </row>
    <row r="46" spans="1:26" s="11" customFormat="1" x14ac:dyDescent="0.25">
      <c r="A46" s="11">
        <f t="shared" si="0"/>
        <v>39</v>
      </c>
      <c r="B46" s="12" t="s">
        <v>48</v>
      </c>
      <c r="C46" s="16">
        <v>6399436.4699999997</v>
      </c>
      <c r="D46" s="16">
        <v>6452523.8700000001</v>
      </c>
      <c r="E46" s="16">
        <v>6505684.8700000001</v>
      </c>
      <c r="F46" s="16">
        <v>5733776.2300000004</v>
      </c>
      <c r="G46" s="16">
        <v>5781263.2000000002</v>
      </c>
      <c r="H46" s="16">
        <v>5828788.0800000001</v>
      </c>
      <c r="I46" s="16">
        <v>5068149.6500000004</v>
      </c>
      <c r="J46" s="30">
        <v>5104438.88</v>
      </c>
      <c r="K46" s="17">
        <v>5146508.66</v>
      </c>
      <c r="L46" s="30">
        <v>5188601.84</v>
      </c>
      <c r="M46" s="17">
        <v>4433343.3</v>
      </c>
      <c r="N46" s="17">
        <v>4475708.45</v>
      </c>
      <c r="O46" s="17">
        <v>3737105.44</v>
      </c>
      <c r="P46" s="19">
        <f t="shared" si="8"/>
        <v>5398921.4987500003</v>
      </c>
      <c r="R46" s="38"/>
      <c r="S46" s="40"/>
      <c r="T46" s="37">
        <f>+P46</f>
        <v>5398921.4987500003</v>
      </c>
      <c r="U46" s="31"/>
      <c r="V46" s="32"/>
      <c r="W46" s="32"/>
      <c r="X46" s="32">
        <f>+T46</f>
        <v>5398921.4987500003</v>
      </c>
      <c r="Y46" s="32">
        <f>+X46+V46+W46</f>
        <v>5398921.4987500003</v>
      </c>
      <c r="Z46" s="15">
        <f t="shared" si="9"/>
        <v>0</v>
      </c>
    </row>
    <row r="47" spans="1:26" s="11" customFormat="1" x14ac:dyDescent="0.25">
      <c r="A47" s="11">
        <f t="shared" si="0"/>
        <v>40</v>
      </c>
      <c r="B47" s="12" t="s">
        <v>49</v>
      </c>
      <c r="C47" s="16">
        <v>364349393.95999998</v>
      </c>
      <c r="D47" s="16">
        <v>419167521.32999998</v>
      </c>
      <c r="E47" s="16">
        <v>440597743.18000001</v>
      </c>
      <c r="F47" s="16">
        <v>471115676.94999999</v>
      </c>
      <c r="G47" s="16">
        <v>355610264.31999999</v>
      </c>
      <c r="H47" s="16">
        <v>367271449.44999999</v>
      </c>
      <c r="I47" s="16">
        <v>426619902.06999999</v>
      </c>
      <c r="J47" s="30">
        <v>430656916.67000002</v>
      </c>
      <c r="K47" s="17">
        <v>419744856.83999997</v>
      </c>
      <c r="L47" s="30">
        <v>416181884.47000003</v>
      </c>
      <c r="M47" s="17">
        <v>384870748.13</v>
      </c>
      <c r="N47" s="17">
        <v>332453952.19</v>
      </c>
      <c r="O47" s="17">
        <v>376259648.95999998</v>
      </c>
      <c r="P47" s="19">
        <f t="shared" si="8"/>
        <v>402882953.08833331</v>
      </c>
      <c r="R47" s="38">
        <f>+P47</f>
        <v>402882953.08833331</v>
      </c>
      <c r="S47" s="40"/>
      <c r="T47" s="40"/>
      <c r="U47" s="31"/>
      <c r="V47" s="32"/>
      <c r="W47" s="32"/>
      <c r="X47" s="32"/>
      <c r="Y47" s="32"/>
      <c r="Z47" s="15">
        <f t="shared" si="9"/>
        <v>0</v>
      </c>
    </row>
    <row r="48" spans="1:26" s="11" customFormat="1" x14ac:dyDescent="0.25">
      <c r="A48" s="11">
        <f t="shared" si="0"/>
        <v>41</v>
      </c>
      <c r="B48" s="12" t="s">
        <v>50</v>
      </c>
      <c r="C48" s="16">
        <v>53245322.490000002</v>
      </c>
      <c r="D48" s="16">
        <v>49645045.850000001</v>
      </c>
      <c r="E48" s="16">
        <v>52296832</v>
      </c>
      <c r="F48" s="16">
        <v>50805372.170000002</v>
      </c>
      <c r="G48" s="16">
        <v>47909409.159999996</v>
      </c>
      <c r="H48" s="16">
        <v>49238282.399999999</v>
      </c>
      <c r="I48" s="16">
        <v>48930705.240000002</v>
      </c>
      <c r="J48" s="30">
        <v>50885973.159999996</v>
      </c>
      <c r="K48" s="17">
        <v>50802680.450000003</v>
      </c>
      <c r="L48" s="30">
        <v>51272588.890000001</v>
      </c>
      <c r="M48" s="17">
        <v>44703568.649999999</v>
      </c>
      <c r="N48" s="17">
        <v>46354392.409999996</v>
      </c>
      <c r="O48" s="17">
        <v>28381299.789999999</v>
      </c>
      <c r="P48" s="19">
        <f t="shared" si="8"/>
        <v>48638180.126666665</v>
      </c>
      <c r="R48" s="38">
        <f>+P48</f>
        <v>48638180.126666665</v>
      </c>
      <c r="S48" s="40"/>
      <c r="T48" s="40"/>
      <c r="U48" s="31"/>
      <c r="V48" s="32"/>
      <c r="W48" s="32"/>
      <c r="X48" s="32"/>
      <c r="Y48" s="32"/>
      <c r="Z48" s="15">
        <f t="shared" si="9"/>
        <v>0</v>
      </c>
    </row>
    <row r="49" spans="1:26" s="11" customFormat="1" x14ac:dyDescent="0.25">
      <c r="A49" s="11">
        <f t="shared" si="0"/>
        <v>42</v>
      </c>
      <c r="B49" s="12" t="s">
        <v>51</v>
      </c>
      <c r="C49" s="16">
        <v>9144500.9800000004</v>
      </c>
      <c r="D49" s="16">
        <v>8887099.3699999992</v>
      </c>
      <c r="E49" s="16">
        <v>8945486.0800000001</v>
      </c>
      <c r="F49" s="16">
        <v>8782207.5899999999</v>
      </c>
      <c r="G49" s="16">
        <v>7897162.8300000001</v>
      </c>
      <c r="H49" s="16">
        <v>7795182.0499999998</v>
      </c>
      <c r="I49" s="16">
        <v>7691153.9900000002</v>
      </c>
      <c r="J49" s="30">
        <v>8332174.2400000002</v>
      </c>
      <c r="K49" s="17">
        <v>8726782.4700000007</v>
      </c>
      <c r="L49" s="30">
        <v>9471350.6600000001</v>
      </c>
      <c r="M49" s="17">
        <v>9665404.5500000007</v>
      </c>
      <c r="N49" s="17">
        <v>9462328.9299999997</v>
      </c>
      <c r="O49" s="17">
        <v>9596877.1600000001</v>
      </c>
      <c r="P49" s="19">
        <f>-(C49+2*SUM(D49:N49)+O49)/24</f>
        <v>-8752251.8191666659</v>
      </c>
      <c r="R49" s="38">
        <f>+P49</f>
        <v>-8752251.8191666659</v>
      </c>
      <c r="S49" s="40"/>
      <c r="T49" s="40"/>
      <c r="U49" s="31"/>
      <c r="V49" s="32"/>
      <c r="W49" s="32"/>
      <c r="X49" s="32"/>
      <c r="Y49" s="32"/>
      <c r="Z49" s="15">
        <f t="shared" si="9"/>
        <v>0</v>
      </c>
    </row>
    <row r="50" spans="1:26" s="11" customFormat="1" x14ac:dyDescent="0.25">
      <c r="A50" s="11">
        <f t="shared" si="0"/>
        <v>43</v>
      </c>
      <c r="B50" s="12" t="s">
        <v>52</v>
      </c>
      <c r="C50" s="16"/>
      <c r="D50" s="16"/>
      <c r="E50" s="16"/>
      <c r="F50" s="16"/>
      <c r="G50" s="16"/>
      <c r="H50" s="16"/>
      <c r="I50" s="16"/>
      <c r="J50" s="30"/>
      <c r="K50" s="17"/>
      <c r="L50" s="30"/>
      <c r="M50" s="17"/>
      <c r="N50" s="17"/>
      <c r="O50" s="17"/>
      <c r="P50" s="19">
        <f t="shared" ref="P50:P70" si="10">(C50+2*SUM(D50:N50)+O50)/24</f>
        <v>0</v>
      </c>
      <c r="R50" s="38"/>
      <c r="S50" s="40"/>
      <c r="T50" s="37">
        <f>+P50</f>
        <v>0</v>
      </c>
      <c r="U50" s="31"/>
      <c r="V50" s="32"/>
      <c r="W50" s="32"/>
      <c r="X50" s="32">
        <f>+T50</f>
        <v>0</v>
      </c>
      <c r="Y50" s="32">
        <f>+X50+V50+W50</f>
        <v>0</v>
      </c>
      <c r="Z50" s="15">
        <f t="shared" si="9"/>
        <v>0</v>
      </c>
    </row>
    <row r="51" spans="1:26" s="11" customFormat="1" x14ac:dyDescent="0.25">
      <c r="A51" s="11">
        <f t="shared" si="0"/>
        <v>44</v>
      </c>
      <c r="B51" s="12" t="s">
        <v>53</v>
      </c>
      <c r="C51" s="16">
        <v>17156364.399999999</v>
      </c>
      <c r="D51" s="16">
        <v>458420.13</v>
      </c>
      <c r="E51" s="16">
        <v>808065.97</v>
      </c>
      <c r="F51" s="16">
        <v>489394.54</v>
      </c>
      <c r="G51" s="16">
        <v>450148</v>
      </c>
      <c r="H51" s="16">
        <v>624256.79</v>
      </c>
      <c r="I51" s="16">
        <v>628710.13</v>
      </c>
      <c r="J51" s="30">
        <v>1071746.99</v>
      </c>
      <c r="K51" s="17">
        <v>526835.96</v>
      </c>
      <c r="L51" s="30">
        <v>385948.57</v>
      </c>
      <c r="M51" s="17">
        <v>887895.97</v>
      </c>
      <c r="N51" s="17">
        <v>452540.88</v>
      </c>
      <c r="O51" s="17">
        <v>310679.23</v>
      </c>
      <c r="P51" s="19">
        <f t="shared" si="10"/>
        <v>1293123.8120833333</v>
      </c>
      <c r="R51" s="38">
        <f t="shared" ref="R51:R68" si="11">+P51</f>
        <v>1293123.8120833333</v>
      </c>
      <c r="S51" s="40"/>
      <c r="T51" s="40"/>
      <c r="U51" s="31"/>
      <c r="V51" s="32"/>
      <c r="W51" s="32"/>
      <c r="X51" s="32"/>
      <c r="Y51" s="32"/>
      <c r="Z51" s="15">
        <f t="shared" si="9"/>
        <v>0</v>
      </c>
    </row>
    <row r="52" spans="1:26" s="11" customFormat="1" x14ac:dyDescent="0.25">
      <c r="A52" s="11">
        <f t="shared" si="0"/>
        <v>45</v>
      </c>
      <c r="B52" s="12" t="s">
        <v>54</v>
      </c>
      <c r="C52" s="16">
        <v>205821664.22999999</v>
      </c>
      <c r="D52" s="16">
        <v>196173237.36000001</v>
      </c>
      <c r="E52" s="16">
        <v>196018488.59</v>
      </c>
      <c r="F52" s="16">
        <v>185727603.13</v>
      </c>
      <c r="G52" s="16">
        <v>185128094.5</v>
      </c>
      <c r="H52" s="16">
        <v>185788622.06999999</v>
      </c>
      <c r="I52" s="16">
        <v>179588705.25999999</v>
      </c>
      <c r="J52" s="30">
        <v>169481583.94</v>
      </c>
      <c r="K52" s="17">
        <v>161362191.69999999</v>
      </c>
      <c r="L52" s="30">
        <v>163054623.81</v>
      </c>
      <c r="M52" s="17">
        <v>176980736.47999999</v>
      </c>
      <c r="N52" s="17">
        <v>191825258.91</v>
      </c>
      <c r="O52" s="17">
        <v>189851169.77000001</v>
      </c>
      <c r="P52" s="19">
        <f t="shared" si="10"/>
        <v>182413796.89583337</v>
      </c>
      <c r="R52" s="38">
        <f t="shared" si="11"/>
        <v>182413796.89583337</v>
      </c>
      <c r="S52" s="40"/>
      <c r="T52" s="37"/>
      <c r="U52" s="31"/>
      <c r="V52" s="32"/>
      <c r="W52" s="32"/>
      <c r="X52" s="32"/>
      <c r="Y52" s="32"/>
      <c r="Z52" s="15">
        <f t="shared" si="9"/>
        <v>0</v>
      </c>
    </row>
    <row r="53" spans="1:26" s="11" customFormat="1" x14ac:dyDescent="0.25">
      <c r="A53" s="11">
        <f t="shared" si="0"/>
        <v>46</v>
      </c>
      <c r="B53" s="12" t="s">
        <v>55</v>
      </c>
      <c r="C53" s="24"/>
      <c r="D53" s="24"/>
      <c r="E53" s="24"/>
      <c r="F53" s="24"/>
      <c r="G53" s="24"/>
      <c r="H53" s="24"/>
      <c r="I53" s="24"/>
      <c r="J53" s="30"/>
      <c r="K53" s="17"/>
      <c r="L53" s="30"/>
      <c r="M53" s="17"/>
      <c r="N53" s="17"/>
      <c r="O53" s="17"/>
      <c r="P53" s="19">
        <f t="shared" si="10"/>
        <v>0</v>
      </c>
      <c r="R53" s="38">
        <f t="shared" si="11"/>
        <v>0</v>
      </c>
      <c r="S53" s="40"/>
      <c r="T53" s="40"/>
      <c r="U53" s="31"/>
      <c r="V53" s="32"/>
      <c r="W53" s="32"/>
      <c r="X53" s="32"/>
      <c r="Y53" s="32"/>
      <c r="Z53" s="15">
        <f t="shared" si="9"/>
        <v>0</v>
      </c>
    </row>
    <row r="54" spans="1:26" s="11" customFormat="1" x14ac:dyDescent="0.25">
      <c r="A54" s="11">
        <f t="shared" si="0"/>
        <v>47</v>
      </c>
      <c r="B54" s="12" t="s">
        <v>56</v>
      </c>
      <c r="C54" s="24"/>
      <c r="D54" s="24"/>
      <c r="E54" s="24"/>
      <c r="F54" s="24"/>
      <c r="G54" s="24"/>
      <c r="H54" s="24"/>
      <c r="I54" s="24"/>
      <c r="J54" s="30"/>
      <c r="K54" s="17"/>
      <c r="L54" s="30"/>
      <c r="M54" s="17"/>
      <c r="N54" s="17"/>
      <c r="O54" s="17"/>
      <c r="P54" s="19">
        <f t="shared" si="10"/>
        <v>0</v>
      </c>
      <c r="R54" s="38">
        <f t="shared" si="11"/>
        <v>0</v>
      </c>
      <c r="S54" s="40"/>
      <c r="T54" s="40"/>
      <c r="U54" s="31"/>
      <c r="V54" s="32"/>
      <c r="W54" s="32"/>
      <c r="X54" s="32"/>
      <c r="Y54" s="32"/>
      <c r="Z54" s="15">
        <f t="shared" si="9"/>
        <v>0</v>
      </c>
    </row>
    <row r="55" spans="1:26" s="11" customFormat="1" x14ac:dyDescent="0.25">
      <c r="A55" s="11">
        <f t="shared" si="0"/>
        <v>48</v>
      </c>
      <c r="B55" s="12" t="s">
        <v>57</v>
      </c>
      <c r="C55" s="16">
        <v>243172409.91</v>
      </c>
      <c r="D55" s="16">
        <v>244248164.81999999</v>
      </c>
      <c r="E55" s="16">
        <v>242859486.53999999</v>
      </c>
      <c r="F55" s="16">
        <v>243437593.71000001</v>
      </c>
      <c r="G55" s="16">
        <v>241823665.66</v>
      </c>
      <c r="H55" s="16">
        <v>240032750.84</v>
      </c>
      <c r="I55" s="16">
        <v>237694431.09999999</v>
      </c>
      <c r="J55" s="30">
        <v>238763099.21000001</v>
      </c>
      <c r="K55" s="17">
        <v>241016602.44</v>
      </c>
      <c r="L55" s="30">
        <v>242467061.78</v>
      </c>
      <c r="M55" s="17">
        <v>245440821.84</v>
      </c>
      <c r="N55" s="17">
        <v>247555087.75999999</v>
      </c>
      <c r="O55" s="17">
        <v>249710715.96000001</v>
      </c>
      <c r="P55" s="19">
        <f t="shared" si="10"/>
        <v>242648360.7195833</v>
      </c>
      <c r="R55" s="38">
        <f t="shared" si="11"/>
        <v>242648360.7195833</v>
      </c>
      <c r="S55" s="40"/>
      <c r="T55" s="37"/>
      <c r="U55" s="31"/>
      <c r="V55" s="32"/>
      <c r="W55" s="32"/>
      <c r="X55" s="32"/>
      <c r="Y55" s="32"/>
      <c r="Z55" s="15">
        <f t="shared" si="9"/>
        <v>0</v>
      </c>
    </row>
    <row r="56" spans="1:26" s="11" customFormat="1" x14ac:dyDescent="0.25">
      <c r="A56" s="11">
        <f t="shared" si="0"/>
        <v>49</v>
      </c>
      <c r="B56" s="12" t="s">
        <v>58</v>
      </c>
      <c r="C56" s="24"/>
      <c r="D56" s="24"/>
      <c r="E56" s="24"/>
      <c r="F56" s="24"/>
      <c r="G56" s="24"/>
      <c r="H56" s="24"/>
      <c r="I56" s="24"/>
      <c r="J56" s="30"/>
      <c r="K56" s="23"/>
      <c r="L56" s="30"/>
      <c r="M56" s="17"/>
      <c r="N56" s="17"/>
      <c r="O56" s="17"/>
      <c r="P56" s="19">
        <f t="shared" si="10"/>
        <v>0</v>
      </c>
      <c r="R56" s="38">
        <f t="shared" si="11"/>
        <v>0</v>
      </c>
      <c r="S56" s="40"/>
      <c r="T56" s="40"/>
      <c r="U56" s="31"/>
      <c r="V56" s="32"/>
      <c r="W56" s="32"/>
      <c r="X56" s="32"/>
      <c r="Y56" s="32"/>
      <c r="Z56" s="15">
        <f t="shared" si="9"/>
        <v>0</v>
      </c>
    </row>
    <row r="57" spans="1:26" s="11" customFormat="1" x14ac:dyDescent="0.25">
      <c r="A57" s="11">
        <f t="shared" si="0"/>
        <v>50</v>
      </c>
      <c r="B57" s="12" t="s">
        <v>59</v>
      </c>
      <c r="C57" s="24"/>
      <c r="D57" s="24"/>
      <c r="E57" s="24"/>
      <c r="F57" s="24"/>
      <c r="G57" s="24"/>
      <c r="H57" s="24"/>
      <c r="I57" s="24"/>
      <c r="J57" s="30"/>
      <c r="K57" s="23"/>
      <c r="L57" s="30"/>
      <c r="M57" s="17"/>
      <c r="N57" s="17"/>
      <c r="O57" s="17"/>
      <c r="P57" s="19">
        <f t="shared" si="10"/>
        <v>0</v>
      </c>
      <c r="R57" s="38">
        <f t="shared" si="11"/>
        <v>0</v>
      </c>
      <c r="S57" s="40"/>
      <c r="T57" s="40"/>
      <c r="U57" s="31"/>
      <c r="V57" s="32"/>
      <c r="W57" s="32"/>
      <c r="X57" s="32"/>
      <c r="Y57" s="32"/>
      <c r="Z57" s="15">
        <f t="shared" si="9"/>
        <v>0</v>
      </c>
    </row>
    <row r="58" spans="1:26" s="11" customFormat="1" x14ac:dyDescent="0.25">
      <c r="A58" s="11">
        <f t="shared" si="0"/>
        <v>51</v>
      </c>
      <c r="B58" s="12" t="s">
        <v>60</v>
      </c>
      <c r="C58" s="24"/>
      <c r="D58" s="24"/>
      <c r="E58" s="24"/>
      <c r="F58" s="24"/>
      <c r="G58" s="24"/>
      <c r="H58" s="24"/>
      <c r="I58" s="24"/>
      <c r="J58" s="30"/>
      <c r="K58" s="23"/>
      <c r="L58" s="30"/>
      <c r="M58" s="17"/>
      <c r="N58" s="17"/>
      <c r="O58" s="17"/>
      <c r="P58" s="19">
        <f t="shared" si="10"/>
        <v>0</v>
      </c>
      <c r="R58" s="38">
        <f t="shared" si="11"/>
        <v>0</v>
      </c>
      <c r="S58" s="40"/>
      <c r="T58" s="40"/>
      <c r="U58" s="31"/>
      <c r="V58" s="32"/>
      <c r="W58" s="32"/>
      <c r="X58" s="32"/>
      <c r="Y58" s="32"/>
      <c r="Z58" s="15">
        <f t="shared" ref="Z58:Z89" si="12">T58-Y58</f>
        <v>0</v>
      </c>
    </row>
    <row r="59" spans="1:26" s="11" customFormat="1" x14ac:dyDescent="0.25">
      <c r="A59" s="11">
        <f t="shared" si="0"/>
        <v>52</v>
      </c>
      <c r="B59" s="12" t="s">
        <v>61</v>
      </c>
      <c r="C59" s="24"/>
      <c r="D59" s="24"/>
      <c r="E59" s="24"/>
      <c r="F59" s="24"/>
      <c r="G59" s="24"/>
      <c r="H59" s="24"/>
      <c r="I59" s="24"/>
      <c r="J59" s="30"/>
      <c r="K59" s="23"/>
      <c r="L59" s="30"/>
      <c r="M59" s="17"/>
      <c r="N59" s="17"/>
      <c r="O59" s="17"/>
      <c r="P59" s="19">
        <f t="shared" si="10"/>
        <v>0</v>
      </c>
      <c r="R59" s="38">
        <f t="shared" si="11"/>
        <v>0</v>
      </c>
      <c r="S59" s="40"/>
      <c r="T59" s="40"/>
      <c r="U59" s="31"/>
      <c r="V59" s="32"/>
      <c r="W59" s="32"/>
      <c r="X59" s="32"/>
      <c r="Y59" s="32"/>
      <c r="Z59" s="15">
        <f t="shared" si="12"/>
        <v>0</v>
      </c>
    </row>
    <row r="60" spans="1:26" s="11" customFormat="1" x14ac:dyDescent="0.25">
      <c r="A60" s="11">
        <f t="shared" si="0"/>
        <v>53</v>
      </c>
      <c r="B60" s="12" t="s">
        <v>62</v>
      </c>
      <c r="C60" s="24"/>
      <c r="D60" s="24"/>
      <c r="E60" s="24"/>
      <c r="F60" s="24"/>
      <c r="G60" s="24"/>
      <c r="H60" s="24"/>
      <c r="I60" s="24"/>
      <c r="J60" s="30"/>
      <c r="K60" s="23"/>
      <c r="L60" s="30"/>
      <c r="M60" s="17"/>
      <c r="N60" s="17"/>
      <c r="O60" s="17"/>
      <c r="P60" s="19">
        <f t="shared" si="10"/>
        <v>0</v>
      </c>
      <c r="R60" s="38">
        <f t="shared" si="11"/>
        <v>0</v>
      </c>
      <c r="S60" s="40"/>
      <c r="T60" s="40"/>
      <c r="U60" s="31"/>
      <c r="V60" s="32"/>
      <c r="W60" s="32"/>
      <c r="X60" s="32"/>
      <c r="Y60" s="32"/>
      <c r="Z60" s="15">
        <f t="shared" si="12"/>
        <v>0</v>
      </c>
    </row>
    <row r="61" spans="1:26" s="11" customFormat="1" x14ac:dyDescent="0.25">
      <c r="A61" s="11">
        <f t="shared" si="0"/>
        <v>54</v>
      </c>
      <c r="B61" s="12" t="s">
        <v>63</v>
      </c>
      <c r="C61" s="24"/>
      <c r="D61" s="24"/>
      <c r="E61" s="24"/>
      <c r="F61" s="24"/>
      <c r="G61" s="24"/>
      <c r="H61" s="24"/>
      <c r="I61" s="24"/>
      <c r="J61" s="30"/>
      <c r="K61" s="23"/>
      <c r="L61" s="30"/>
      <c r="M61" s="17"/>
      <c r="N61" s="17"/>
      <c r="O61" s="17"/>
      <c r="P61" s="19">
        <f t="shared" si="10"/>
        <v>0</v>
      </c>
      <c r="R61" s="38">
        <f t="shared" si="11"/>
        <v>0</v>
      </c>
      <c r="S61" s="40"/>
      <c r="T61" s="40"/>
      <c r="U61" s="31"/>
      <c r="V61" s="32"/>
      <c r="W61" s="32"/>
      <c r="X61" s="32"/>
      <c r="Y61" s="32"/>
      <c r="Z61" s="15">
        <f t="shared" si="12"/>
        <v>0</v>
      </c>
    </row>
    <row r="62" spans="1:26" s="11" customFormat="1" x14ac:dyDescent="0.25">
      <c r="A62" s="11">
        <f t="shared" si="0"/>
        <v>55</v>
      </c>
      <c r="B62" s="12" t="s">
        <v>64</v>
      </c>
      <c r="C62" s="24"/>
      <c r="D62" s="24"/>
      <c r="E62" s="24"/>
      <c r="F62" s="24"/>
      <c r="G62" s="24"/>
      <c r="H62" s="24"/>
      <c r="I62" s="24"/>
      <c r="J62" s="30"/>
      <c r="K62" s="23"/>
      <c r="L62" s="30"/>
      <c r="M62" s="17"/>
      <c r="N62" s="17"/>
      <c r="O62" s="17"/>
      <c r="P62" s="19">
        <f t="shared" si="10"/>
        <v>0</v>
      </c>
      <c r="R62" s="38">
        <f t="shared" si="11"/>
        <v>0</v>
      </c>
      <c r="S62" s="40"/>
      <c r="T62" s="40"/>
      <c r="U62" s="31"/>
      <c r="V62" s="32"/>
      <c r="W62" s="32"/>
      <c r="X62" s="32"/>
      <c r="Y62" s="32"/>
      <c r="Z62" s="15">
        <f t="shared" si="12"/>
        <v>0</v>
      </c>
    </row>
    <row r="63" spans="1:26" s="11" customFormat="1" x14ac:dyDescent="0.25">
      <c r="A63" s="11">
        <f t="shared" si="0"/>
        <v>56</v>
      </c>
      <c r="B63" s="12" t="s">
        <v>65</v>
      </c>
      <c r="C63" s="24"/>
      <c r="D63" s="24"/>
      <c r="E63" s="24"/>
      <c r="F63" s="24"/>
      <c r="G63" s="24"/>
      <c r="H63" s="24"/>
      <c r="I63" s="24"/>
      <c r="J63" s="30"/>
      <c r="K63" s="23"/>
      <c r="L63" s="30"/>
      <c r="M63" s="17"/>
      <c r="N63" s="17"/>
      <c r="O63" s="17"/>
      <c r="P63" s="19">
        <f t="shared" si="10"/>
        <v>0</v>
      </c>
      <c r="R63" s="38">
        <f t="shared" si="11"/>
        <v>0</v>
      </c>
      <c r="S63" s="40"/>
      <c r="T63" s="40"/>
      <c r="U63" s="31"/>
      <c r="V63" s="32"/>
      <c r="W63" s="32"/>
      <c r="X63" s="32"/>
      <c r="Y63" s="32"/>
      <c r="Z63" s="15">
        <f t="shared" si="12"/>
        <v>0</v>
      </c>
    </row>
    <row r="64" spans="1:26" s="11" customFormat="1" x14ac:dyDescent="0.25">
      <c r="A64" s="11">
        <f t="shared" si="0"/>
        <v>57</v>
      </c>
      <c r="B64" s="12" t="s">
        <v>66</v>
      </c>
      <c r="C64" s="16">
        <v>64044615.509999998</v>
      </c>
      <c r="D64" s="16">
        <v>60672660.350000001</v>
      </c>
      <c r="E64" s="16">
        <v>68752248.010000005</v>
      </c>
      <c r="F64" s="16">
        <v>66360834.880000003</v>
      </c>
      <c r="G64" s="16">
        <v>37055605.770000003</v>
      </c>
      <c r="H64" s="16">
        <v>50497510.57</v>
      </c>
      <c r="I64" s="16">
        <v>48020658.579999998</v>
      </c>
      <c r="J64" s="30">
        <v>50801474.600000001</v>
      </c>
      <c r="K64" s="17">
        <v>45843871.460000001</v>
      </c>
      <c r="L64" s="30">
        <v>52059303.810000002</v>
      </c>
      <c r="M64" s="17">
        <v>46950766.07</v>
      </c>
      <c r="N64" s="17">
        <v>44559629.439999998</v>
      </c>
      <c r="O64" s="17">
        <v>47797789.560000002</v>
      </c>
      <c r="P64" s="19">
        <f t="shared" si="10"/>
        <v>52291313.83958333</v>
      </c>
      <c r="R64" s="38">
        <f t="shared" si="11"/>
        <v>52291313.83958333</v>
      </c>
      <c r="S64" s="40"/>
      <c r="T64" s="40"/>
      <c r="U64" s="31"/>
      <c r="V64" s="32"/>
      <c r="W64" s="32"/>
      <c r="X64" s="32"/>
      <c r="Y64" s="32"/>
      <c r="Z64" s="15">
        <f t="shared" si="12"/>
        <v>0</v>
      </c>
    </row>
    <row r="65" spans="1:26" s="11" customFormat="1" x14ac:dyDescent="0.25">
      <c r="A65" s="11">
        <f t="shared" si="0"/>
        <v>58</v>
      </c>
      <c r="B65" s="12" t="s">
        <v>67</v>
      </c>
      <c r="C65" s="24"/>
      <c r="D65" s="24"/>
      <c r="E65" s="24"/>
      <c r="F65" s="24"/>
      <c r="G65" s="24"/>
      <c r="H65" s="24"/>
      <c r="I65" s="24"/>
      <c r="J65" s="30"/>
      <c r="K65" s="17"/>
      <c r="L65" s="30"/>
      <c r="M65" s="17"/>
      <c r="N65" s="17"/>
      <c r="O65" s="17"/>
      <c r="P65" s="19">
        <f t="shared" si="10"/>
        <v>0</v>
      </c>
      <c r="R65" s="38">
        <f t="shared" si="11"/>
        <v>0</v>
      </c>
      <c r="S65" s="40"/>
      <c r="T65" s="40"/>
      <c r="U65" s="31"/>
      <c r="V65" s="32"/>
      <c r="W65" s="32"/>
      <c r="X65" s="32"/>
      <c r="Y65" s="32"/>
      <c r="Z65" s="15">
        <f t="shared" si="12"/>
        <v>0</v>
      </c>
    </row>
    <row r="66" spans="1:26" s="11" customFormat="1" x14ac:dyDescent="0.25">
      <c r="A66" s="11">
        <f t="shared" si="0"/>
        <v>59</v>
      </c>
      <c r="B66" s="12" t="s">
        <v>68</v>
      </c>
      <c r="C66" s="42"/>
      <c r="D66" s="42"/>
      <c r="E66" s="42"/>
      <c r="F66" s="42"/>
      <c r="G66" s="42"/>
      <c r="H66" s="42"/>
      <c r="I66" s="42"/>
      <c r="J66" s="30"/>
      <c r="K66" s="17"/>
      <c r="L66" s="30">
        <v>231706.09</v>
      </c>
      <c r="M66" s="17">
        <v>867203.54</v>
      </c>
      <c r="N66" s="17">
        <v>921580.64</v>
      </c>
      <c r="O66" s="17">
        <v>543027.09</v>
      </c>
      <c r="P66" s="19">
        <f t="shared" si="10"/>
        <v>191000.31791666665</v>
      </c>
      <c r="R66" s="38">
        <f t="shared" si="11"/>
        <v>191000.31791666665</v>
      </c>
      <c r="S66" s="40"/>
      <c r="T66" s="40"/>
      <c r="U66" s="31"/>
      <c r="V66" s="32"/>
      <c r="W66" s="32"/>
      <c r="X66" s="32"/>
      <c r="Y66" s="32"/>
      <c r="Z66" s="15">
        <f t="shared" si="12"/>
        <v>0</v>
      </c>
    </row>
    <row r="67" spans="1:26" s="11" customFormat="1" x14ac:dyDescent="0.25">
      <c r="A67" s="11">
        <f t="shared" si="0"/>
        <v>60</v>
      </c>
      <c r="B67" s="12" t="s">
        <v>69</v>
      </c>
      <c r="C67" s="16">
        <v>1168237.23</v>
      </c>
      <c r="D67" s="16">
        <v>3857070.93</v>
      </c>
      <c r="E67" s="16">
        <v>1930035.33</v>
      </c>
      <c r="F67" s="16">
        <v>1187219.04</v>
      </c>
      <c r="G67" s="16">
        <v>1340993.8999999999</v>
      </c>
      <c r="H67" s="16">
        <v>1124614.07</v>
      </c>
      <c r="I67" s="16">
        <v>1128478.25</v>
      </c>
      <c r="J67" s="30">
        <v>1287152.79</v>
      </c>
      <c r="K67" s="17">
        <v>1465345.42</v>
      </c>
      <c r="L67" s="30">
        <v>1066057.31</v>
      </c>
      <c r="M67" s="17">
        <v>799178.86</v>
      </c>
      <c r="N67" s="17">
        <v>786126.85</v>
      </c>
      <c r="O67" s="17">
        <v>887220.58</v>
      </c>
      <c r="P67" s="19">
        <f t="shared" si="10"/>
        <v>1416666.8045833332</v>
      </c>
      <c r="R67" s="38">
        <f t="shared" si="11"/>
        <v>1416666.8045833332</v>
      </c>
      <c r="S67" s="40"/>
      <c r="T67" s="40"/>
      <c r="U67" s="31"/>
      <c r="V67" s="32"/>
      <c r="W67" s="32"/>
      <c r="X67" s="32"/>
      <c r="Y67" s="32"/>
      <c r="Z67" s="15">
        <f t="shared" si="12"/>
        <v>0</v>
      </c>
    </row>
    <row r="68" spans="1:26" s="11" customFormat="1" x14ac:dyDescent="0.25">
      <c r="A68" s="11">
        <f t="shared" si="0"/>
        <v>61</v>
      </c>
      <c r="B68" s="12" t="s">
        <v>70</v>
      </c>
      <c r="C68" s="16">
        <v>271139000</v>
      </c>
      <c r="D68" s="16">
        <v>308455000</v>
      </c>
      <c r="E68" s="16">
        <v>288357000</v>
      </c>
      <c r="F68" s="16">
        <v>228738000</v>
      </c>
      <c r="G68" s="16">
        <v>239508000</v>
      </c>
      <c r="H68" s="16">
        <v>243365663</v>
      </c>
      <c r="I68" s="16">
        <v>229061000</v>
      </c>
      <c r="J68" s="30">
        <v>226930000</v>
      </c>
      <c r="K68" s="17">
        <v>222600000</v>
      </c>
      <c r="L68" s="30">
        <v>211351000</v>
      </c>
      <c r="M68" s="17">
        <v>198570000</v>
      </c>
      <c r="N68" s="17">
        <v>230210000</v>
      </c>
      <c r="O68" s="17">
        <v>254020000</v>
      </c>
      <c r="P68" s="19">
        <f t="shared" si="10"/>
        <v>240810430.25</v>
      </c>
      <c r="R68" s="38">
        <f t="shared" si="11"/>
        <v>240810430.25</v>
      </c>
      <c r="S68" s="40"/>
      <c r="T68" s="40"/>
      <c r="U68" s="31"/>
      <c r="V68" s="32"/>
      <c r="W68" s="32"/>
      <c r="X68" s="32"/>
      <c r="Y68" s="32"/>
      <c r="Z68" s="15">
        <f t="shared" si="12"/>
        <v>0</v>
      </c>
    </row>
    <row r="69" spans="1:26" s="11" customFormat="1" x14ac:dyDescent="0.25">
      <c r="A69" s="11">
        <f t="shared" si="0"/>
        <v>62</v>
      </c>
      <c r="B69" s="12" t="s">
        <v>71</v>
      </c>
      <c r="C69" s="16"/>
      <c r="D69" s="16"/>
      <c r="E69" s="16"/>
      <c r="F69" s="16"/>
      <c r="G69" s="16"/>
      <c r="H69" s="16"/>
      <c r="I69" s="16"/>
      <c r="J69" s="30"/>
      <c r="K69" s="17"/>
      <c r="L69" s="30"/>
      <c r="M69" s="17"/>
      <c r="N69" s="17"/>
      <c r="O69" s="17"/>
      <c r="P69" s="19">
        <f t="shared" si="10"/>
        <v>0</v>
      </c>
      <c r="R69" s="38"/>
      <c r="S69" s="40"/>
      <c r="T69" s="37">
        <f>P69</f>
        <v>0</v>
      </c>
      <c r="U69" s="31"/>
      <c r="V69" s="32"/>
      <c r="W69" s="32"/>
      <c r="X69" s="32">
        <f>T69-V69-W69</f>
        <v>0</v>
      </c>
      <c r="Y69" s="32">
        <f>+X69+V69+W69</f>
        <v>0</v>
      </c>
      <c r="Z69" s="15">
        <f t="shared" si="12"/>
        <v>0</v>
      </c>
    </row>
    <row r="70" spans="1:26" s="11" customFormat="1" x14ac:dyDescent="0.25">
      <c r="A70" s="11">
        <f t="shared" si="0"/>
        <v>63</v>
      </c>
      <c r="B70" s="12" t="s">
        <v>72</v>
      </c>
      <c r="C70" s="16">
        <v>7629031</v>
      </c>
      <c r="D70" s="16">
        <v>4830891</v>
      </c>
      <c r="E70" s="16">
        <v>7028359</v>
      </c>
      <c r="F70" s="16">
        <v>9946961</v>
      </c>
      <c r="G70" s="16">
        <v>52840971</v>
      </c>
      <c r="H70" s="16">
        <v>68790636</v>
      </c>
      <c r="I70" s="16">
        <v>27458631</v>
      </c>
      <c r="J70" s="30">
        <v>32050321</v>
      </c>
      <c r="K70" s="17">
        <v>60864606</v>
      </c>
      <c r="L70" s="30">
        <v>33431392</v>
      </c>
      <c r="M70" s="17">
        <v>26976072</v>
      </c>
      <c r="N70" s="17">
        <v>13575730</v>
      </c>
      <c r="O70" s="17">
        <v>9989601</v>
      </c>
      <c r="P70" s="19">
        <f t="shared" si="10"/>
        <v>28883657.166666668</v>
      </c>
      <c r="R70" s="38"/>
      <c r="S70" s="40"/>
      <c r="T70" s="65">
        <f>P70</f>
        <v>28883657.166666668</v>
      </c>
      <c r="U70" s="33"/>
      <c r="V70" s="32"/>
      <c r="W70" s="32"/>
      <c r="X70" s="32">
        <f>T70-V70-W70</f>
        <v>28883657.166666668</v>
      </c>
      <c r="Y70" s="32">
        <f>+X70+V70+W70</f>
        <v>28883657.166666668</v>
      </c>
      <c r="Z70" s="15">
        <f t="shared" si="12"/>
        <v>0</v>
      </c>
    </row>
    <row r="71" spans="1:26" s="11" customFormat="1" x14ac:dyDescent="0.25">
      <c r="A71" s="11">
        <f t="shared" si="0"/>
        <v>64</v>
      </c>
      <c r="B71" s="12" t="s">
        <v>73</v>
      </c>
      <c r="C71" s="16">
        <v>1399953</v>
      </c>
      <c r="D71" s="16">
        <v>3106190</v>
      </c>
      <c r="E71" s="16">
        <v>3313945</v>
      </c>
      <c r="F71" s="16">
        <v>5995407</v>
      </c>
      <c r="G71" s="16">
        <v>10280630</v>
      </c>
      <c r="H71" s="16">
        <v>6334482</v>
      </c>
      <c r="I71" s="16">
        <v>2565604</v>
      </c>
      <c r="J71" s="30">
        <v>6103555</v>
      </c>
      <c r="K71" s="17">
        <v>7086052</v>
      </c>
      <c r="L71" s="30">
        <v>7852761</v>
      </c>
      <c r="M71" s="17">
        <v>6754326</v>
      </c>
      <c r="N71" s="17">
        <v>3715992</v>
      </c>
      <c r="O71" s="17">
        <v>3681680</v>
      </c>
      <c r="P71" s="19">
        <f>-(C71+2*SUM(D71:N71)+O71)/24</f>
        <v>-5470813.375</v>
      </c>
      <c r="R71" s="38"/>
      <c r="S71" s="40"/>
      <c r="T71" s="37">
        <f>P71</f>
        <v>-5470813.375</v>
      </c>
      <c r="U71" s="33"/>
      <c r="V71" s="32"/>
      <c r="W71" s="32"/>
      <c r="X71" s="32">
        <f>T71-V71-W71</f>
        <v>-5470813.375</v>
      </c>
      <c r="Y71" s="32">
        <f>+X71+V71+W71</f>
        <v>-5470813.375</v>
      </c>
      <c r="Z71" s="15">
        <f t="shared" si="12"/>
        <v>0</v>
      </c>
    </row>
    <row r="72" spans="1:26" s="11" customFormat="1" x14ac:dyDescent="0.25">
      <c r="A72" s="11">
        <f t="shared" si="0"/>
        <v>65</v>
      </c>
      <c r="B72" s="12" t="s">
        <v>74</v>
      </c>
      <c r="C72" s="24"/>
      <c r="D72" s="26"/>
      <c r="E72" s="26"/>
      <c r="F72" s="26"/>
      <c r="G72" s="26"/>
      <c r="H72" s="26"/>
      <c r="I72" s="26"/>
      <c r="J72" s="30"/>
      <c r="K72" s="17"/>
      <c r="L72" s="30"/>
      <c r="M72" s="17"/>
      <c r="N72" s="17"/>
      <c r="O72" s="23"/>
      <c r="P72" s="19">
        <f>(C72+2*SUM(D72:N72)+O72)/24</f>
        <v>0</v>
      </c>
      <c r="R72" s="38">
        <f>+P72</f>
        <v>0</v>
      </c>
      <c r="S72" s="40"/>
      <c r="T72" s="40"/>
      <c r="U72" s="33"/>
      <c r="V72" s="32"/>
      <c r="W72" s="32"/>
      <c r="X72" s="32"/>
      <c r="Y72" s="32"/>
      <c r="Z72" s="15">
        <f t="shared" si="12"/>
        <v>0</v>
      </c>
    </row>
    <row r="73" spans="1:26" s="11" customFormat="1" x14ac:dyDescent="0.25">
      <c r="A73" s="11">
        <f t="shared" ref="A73:A136" si="13">+A72+1</f>
        <v>66</v>
      </c>
      <c r="B73" s="12" t="s">
        <v>75</v>
      </c>
      <c r="C73" s="24"/>
      <c r="D73" s="26"/>
      <c r="E73" s="26"/>
      <c r="F73" s="26"/>
      <c r="G73" s="26"/>
      <c r="H73" s="26"/>
      <c r="I73" s="26"/>
      <c r="J73" s="30"/>
      <c r="K73" s="17"/>
      <c r="L73" s="30"/>
      <c r="M73" s="17"/>
      <c r="N73" s="17"/>
      <c r="O73" s="23"/>
      <c r="P73" s="19">
        <f>(C73+2*SUM(D73:N73)+O73)/24</f>
        <v>0</v>
      </c>
      <c r="R73" s="38">
        <f>+P73</f>
        <v>0</v>
      </c>
      <c r="S73" s="40"/>
      <c r="T73" s="40"/>
      <c r="U73" s="31"/>
      <c r="V73" s="32"/>
      <c r="W73" s="32"/>
      <c r="X73" s="32"/>
      <c r="Y73" s="32"/>
      <c r="Z73" s="15">
        <f t="shared" si="12"/>
        <v>0</v>
      </c>
    </row>
    <row r="74" spans="1:26" s="11" customFormat="1" x14ac:dyDescent="0.25">
      <c r="A74" s="11">
        <f t="shared" si="13"/>
        <v>67</v>
      </c>
      <c r="B74" s="12" t="s">
        <v>76</v>
      </c>
      <c r="C74" s="21">
        <v>1235938181.6600001</v>
      </c>
      <c r="D74" s="21">
        <v>1395276563.6300001</v>
      </c>
      <c r="E74" s="21">
        <v>1555073975.4100001</v>
      </c>
      <c r="F74" s="21">
        <v>1532863945.5599999</v>
      </c>
      <c r="G74" s="21">
        <v>1558591882.9300001</v>
      </c>
      <c r="H74" s="21">
        <v>1614689622.0999999</v>
      </c>
      <c r="I74" s="21">
        <v>1263278900.5699999</v>
      </c>
      <c r="J74" s="21">
        <v>1211294679.1199999</v>
      </c>
      <c r="K74" s="21">
        <v>1203750988.55</v>
      </c>
      <c r="L74" s="21">
        <v>1774471528.8800001</v>
      </c>
      <c r="M74" s="21">
        <v>1689871568.1600001</v>
      </c>
      <c r="N74" s="21">
        <v>1646933971.0799999</v>
      </c>
      <c r="O74" s="21">
        <v>1621492799.8599999</v>
      </c>
      <c r="P74" s="28">
        <f>SUBTOTAL(9,P42:P73)</f>
        <v>1489567759.7291667</v>
      </c>
      <c r="R74" s="35">
        <f>SUBTOTAL(9,R42:R73)</f>
        <v>1175779870.915</v>
      </c>
      <c r="S74" s="40"/>
      <c r="T74" s="34">
        <f>SUBTOTAL(9,T42:T73)</f>
        <v>313787888.81416661</v>
      </c>
      <c r="U74" s="31"/>
      <c r="V74" s="34">
        <f>SUBTOTAL(9,V42:V73)</f>
        <v>0</v>
      </c>
      <c r="W74" s="34">
        <f>SUBTOTAL(9,W42:W73)</f>
        <v>0</v>
      </c>
      <c r="X74" s="34">
        <f>SUBTOTAL(9,X42:X73)</f>
        <v>313787888.81416661</v>
      </c>
      <c r="Y74" s="34">
        <f>SUBTOTAL(9,Y42:Y73)</f>
        <v>313787888.81416661</v>
      </c>
      <c r="Z74" s="15"/>
    </row>
    <row r="75" spans="1:26" s="11" customFormat="1" x14ac:dyDescent="0.25">
      <c r="A75" s="11">
        <f t="shared" si="13"/>
        <v>68</v>
      </c>
      <c r="B75" s="12"/>
      <c r="C75" s="24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0"/>
      <c r="R75" s="38"/>
      <c r="S75" s="40"/>
      <c r="T75" s="37"/>
      <c r="U75" s="31"/>
      <c r="V75" s="37"/>
      <c r="W75" s="37"/>
      <c r="X75" s="37"/>
      <c r="Y75" s="32"/>
      <c r="Z75" s="15">
        <f t="shared" si="12"/>
        <v>0</v>
      </c>
    </row>
    <row r="76" spans="1:26" s="11" customFormat="1" x14ac:dyDescent="0.25">
      <c r="A76" s="11">
        <f t="shared" si="13"/>
        <v>69</v>
      </c>
      <c r="B76" s="12" t="s">
        <v>77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19"/>
      <c r="R76" s="55"/>
      <c r="S76" s="40"/>
      <c r="T76" s="40"/>
      <c r="U76" s="31"/>
      <c r="V76" s="32"/>
      <c r="W76" s="32"/>
      <c r="X76" s="32"/>
      <c r="Y76" s="32"/>
      <c r="Z76" s="15">
        <f t="shared" si="12"/>
        <v>0</v>
      </c>
    </row>
    <row r="77" spans="1:26" s="11" customFormat="1" x14ac:dyDescent="0.25">
      <c r="A77" s="11">
        <f t="shared" si="13"/>
        <v>70</v>
      </c>
      <c r="B77" s="12" t="s">
        <v>78</v>
      </c>
      <c r="C77" s="16">
        <v>25245531.079999998</v>
      </c>
      <c r="D77" s="16">
        <v>29893036.899999999</v>
      </c>
      <c r="E77" s="16">
        <v>29672569.489999998</v>
      </c>
      <c r="F77" s="16">
        <v>29853556.649999999</v>
      </c>
      <c r="G77" s="16">
        <v>29719264.890000001</v>
      </c>
      <c r="H77" s="16">
        <v>29473326.379999999</v>
      </c>
      <c r="I77" s="16">
        <v>29412801.98</v>
      </c>
      <c r="J77" s="30">
        <v>29187294.52</v>
      </c>
      <c r="K77" s="17">
        <v>28961787.100000001</v>
      </c>
      <c r="L77" s="30">
        <v>35412229.649999999</v>
      </c>
      <c r="M77" s="17">
        <v>35340922.979999997</v>
      </c>
      <c r="N77" s="17">
        <v>35113757.82</v>
      </c>
      <c r="O77" s="17">
        <v>35208318.380000003</v>
      </c>
      <c r="P77" s="19">
        <f t="shared" ref="P77:P91" si="14">(C77+2*SUM(D77:N77)+O77)/24</f>
        <v>31022289.424166668</v>
      </c>
      <c r="R77" s="55"/>
      <c r="S77" s="40"/>
      <c r="T77" s="37"/>
      <c r="U77" s="33">
        <f>-P77</f>
        <v>-31022289.424166668</v>
      </c>
      <c r="V77" s="32"/>
      <c r="W77" s="32"/>
      <c r="X77" s="32"/>
      <c r="Y77" s="32"/>
      <c r="Z77" s="15">
        <f t="shared" si="12"/>
        <v>0</v>
      </c>
    </row>
    <row r="78" spans="1:26" s="11" customFormat="1" x14ac:dyDescent="0.25">
      <c r="A78" s="11">
        <f t="shared" si="13"/>
        <v>71</v>
      </c>
      <c r="B78" s="12" t="s">
        <v>79</v>
      </c>
      <c r="C78" s="24"/>
      <c r="D78" s="24"/>
      <c r="E78" s="24"/>
      <c r="F78" s="24"/>
      <c r="G78" s="24"/>
      <c r="H78" s="24"/>
      <c r="I78" s="24"/>
      <c r="J78" s="30"/>
      <c r="K78" s="17"/>
      <c r="L78" s="30"/>
      <c r="M78" s="17"/>
      <c r="N78" s="17"/>
      <c r="O78" s="17"/>
      <c r="P78" s="19">
        <f t="shared" si="14"/>
        <v>0</v>
      </c>
      <c r="R78" s="55"/>
      <c r="S78" s="40"/>
      <c r="T78" s="37">
        <f>+P78</f>
        <v>0</v>
      </c>
      <c r="U78" s="31"/>
      <c r="V78" s="32"/>
      <c r="W78" s="32"/>
      <c r="X78" s="32"/>
      <c r="Y78" s="32"/>
      <c r="Z78" s="15">
        <f t="shared" si="12"/>
        <v>0</v>
      </c>
    </row>
    <row r="79" spans="1:26" s="11" customFormat="1" x14ac:dyDescent="0.25">
      <c r="A79" s="11">
        <f t="shared" si="13"/>
        <v>72</v>
      </c>
      <c r="B79" s="12" t="s">
        <v>80</v>
      </c>
      <c r="C79" s="16"/>
      <c r="D79" s="16"/>
      <c r="E79" s="16"/>
      <c r="F79" s="16"/>
      <c r="G79" s="16"/>
      <c r="H79" s="16"/>
      <c r="I79" s="16"/>
      <c r="J79" s="30"/>
      <c r="K79" s="17"/>
      <c r="L79" s="30"/>
      <c r="M79" s="17"/>
      <c r="N79" s="17"/>
      <c r="O79" s="17"/>
      <c r="P79" s="19">
        <f t="shared" si="14"/>
        <v>0</v>
      </c>
      <c r="R79" s="55"/>
      <c r="S79" s="40"/>
      <c r="T79" s="37">
        <f>+P79</f>
        <v>0</v>
      </c>
      <c r="U79" s="31"/>
      <c r="V79" s="32">
        <f>[11]Report!$K$2652+[11]Report!$K$2646</f>
        <v>0</v>
      </c>
      <c r="W79" s="32">
        <f>[11]Report!$J$2646+[11]Report!$J$2652</f>
        <v>0</v>
      </c>
      <c r="X79" s="32">
        <f>+P79-V79-W79</f>
        <v>0</v>
      </c>
      <c r="Y79" s="32">
        <f>+X79+V79+W79</f>
        <v>0</v>
      </c>
      <c r="Z79" s="15">
        <f t="shared" si="12"/>
        <v>0</v>
      </c>
    </row>
    <row r="80" spans="1:26" s="11" customFormat="1" x14ac:dyDescent="0.25">
      <c r="A80" s="11">
        <f t="shared" si="13"/>
        <v>73</v>
      </c>
      <c r="B80" s="12" t="s">
        <v>81</v>
      </c>
      <c r="C80" s="16">
        <v>1063979945.1</v>
      </c>
      <c r="D80" s="16">
        <v>1087369478.22</v>
      </c>
      <c r="E80" s="16">
        <v>1064295612.21</v>
      </c>
      <c r="F80" s="16">
        <v>1051165316.23</v>
      </c>
      <c r="G80" s="16">
        <v>1012774197.55</v>
      </c>
      <c r="H80" s="16">
        <v>1007444951.54</v>
      </c>
      <c r="I80" s="16">
        <v>1107326144.47</v>
      </c>
      <c r="J80" s="30">
        <v>1088418690.6300001</v>
      </c>
      <c r="K80" s="17">
        <v>1096581031.23</v>
      </c>
      <c r="L80" s="30">
        <v>1128934085.4000001</v>
      </c>
      <c r="M80" s="17">
        <v>1144058708.3699999</v>
      </c>
      <c r="N80" s="17">
        <v>1147378619.48</v>
      </c>
      <c r="O80" s="17">
        <v>1128640408.3699999</v>
      </c>
      <c r="P80" s="19">
        <f t="shared" si="14"/>
        <v>1086004751.0054164</v>
      </c>
      <c r="R80" s="43">
        <v>421850577.65416664</v>
      </c>
      <c r="S80" s="40"/>
      <c r="T80" s="37">
        <f>+P80-R80</f>
        <v>664154173.35124969</v>
      </c>
      <c r="U80" s="31"/>
      <c r="V80" s="32">
        <f>[11]Report!$K$2489+[11]Report!$K$2593</f>
        <v>108754.74</v>
      </c>
      <c r="W80" s="32">
        <f>[11]Report!$J$2593+[11]Report!$J$2489</f>
        <v>299668807.47041631</v>
      </c>
      <c r="X80" s="32">
        <f>T80-V80-W80</f>
        <v>364376611.14083338</v>
      </c>
      <c r="Y80" s="32">
        <f>+X80+V80+W80</f>
        <v>664154173.35124969</v>
      </c>
      <c r="Z80" s="15">
        <f>T80-Y80</f>
        <v>0</v>
      </c>
    </row>
    <row r="81" spans="1:26" s="11" customFormat="1" x14ac:dyDescent="0.25">
      <c r="A81" s="11">
        <f t="shared" si="13"/>
        <v>74</v>
      </c>
      <c r="B81" s="12" t="s">
        <v>82</v>
      </c>
      <c r="C81" s="16">
        <v>534029.52</v>
      </c>
      <c r="D81" s="16">
        <v>536484.56000000006</v>
      </c>
      <c r="E81" s="16">
        <v>539000.16</v>
      </c>
      <c r="F81" s="16">
        <v>539010.16</v>
      </c>
      <c r="G81" s="16">
        <v>476450.16</v>
      </c>
      <c r="H81" s="16">
        <v>477354.18</v>
      </c>
      <c r="I81" s="16">
        <v>477354.18</v>
      </c>
      <c r="J81" s="30">
        <v>477354.18</v>
      </c>
      <c r="K81" s="17">
        <v>477354.18</v>
      </c>
      <c r="L81" s="30">
        <v>497707.04</v>
      </c>
      <c r="M81" s="17">
        <v>498159.32</v>
      </c>
      <c r="N81" s="17">
        <v>498159.32</v>
      </c>
      <c r="O81" s="17">
        <v>498159.32</v>
      </c>
      <c r="P81" s="19">
        <f t="shared" si="14"/>
        <v>500873.48833333346</v>
      </c>
      <c r="R81" s="55"/>
      <c r="S81" s="40"/>
      <c r="T81" s="37">
        <f>+P81</f>
        <v>500873.48833333346</v>
      </c>
      <c r="U81" s="31"/>
      <c r="V81" s="32">
        <v>0</v>
      </c>
      <c r="W81" s="32">
        <v>0</v>
      </c>
      <c r="X81" s="32">
        <f>+T81</f>
        <v>500873.48833333346</v>
      </c>
      <c r="Y81" s="32">
        <f>+X81+V81+W81</f>
        <v>500873.48833333346</v>
      </c>
      <c r="Z81" s="15">
        <f t="shared" si="12"/>
        <v>0</v>
      </c>
    </row>
    <row r="82" spans="1:26" s="11" customFormat="1" x14ac:dyDescent="0.25">
      <c r="A82" s="11">
        <f t="shared" si="13"/>
        <v>75</v>
      </c>
      <c r="B82" s="12" t="s">
        <v>83</v>
      </c>
      <c r="C82" s="24"/>
      <c r="D82" s="24"/>
      <c r="E82" s="24"/>
      <c r="F82" s="24"/>
      <c r="G82" s="24"/>
      <c r="H82" s="24"/>
      <c r="I82" s="24"/>
      <c r="J82" s="30"/>
      <c r="K82" s="17"/>
      <c r="L82" s="30"/>
      <c r="M82" s="17"/>
      <c r="N82" s="17"/>
      <c r="O82" s="17"/>
      <c r="P82" s="19">
        <f t="shared" si="14"/>
        <v>0</v>
      </c>
      <c r="R82" s="55"/>
      <c r="S82" s="40"/>
      <c r="T82" s="37">
        <f>+P82</f>
        <v>0</v>
      </c>
      <c r="U82" s="31"/>
      <c r="V82" s="32"/>
      <c r="W82" s="32"/>
      <c r="X82" s="32"/>
      <c r="Y82" s="32"/>
      <c r="Z82" s="15">
        <f t="shared" si="12"/>
        <v>0</v>
      </c>
    </row>
    <row r="83" spans="1:26" s="11" customFormat="1" x14ac:dyDescent="0.25">
      <c r="A83" s="11">
        <f t="shared" si="13"/>
        <v>76</v>
      </c>
      <c r="B83" s="12" t="s">
        <v>84</v>
      </c>
      <c r="C83" s="24"/>
      <c r="D83" s="24"/>
      <c r="E83" s="24"/>
      <c r="F83" s="24"/>
      <c r="G83" s="24"/>
      <c r="H83" s="24"/>
      <c r="I83" s="24"/>
      <c r="J83" s="30"/>
      <c r="K83" s="17"/>
      <c r="L83" s="30"/>
      <c r="M83" s="17"/>
      <c r="N83" s="17"/>
      <c r="O83" s="17"/>
      <c r="P83" s="19">
        <f t="shared" si="14"/>
        <v>0</v>
      </c>
      <c r="R83" s="55"/>
      <c r="S83" s="40"/>
      <c r="T83" s="37">
        <f>+P83</f>
        <v>0</v>
      </c>
      <c r="U83" s="31"/>
      <c r="V83" s="32"/>
      <c r="W83" s="32"/>
      <c r="X83" s="32"/>
      <c r="Y83" s="32"/>
      <c r="Z83" s="15">
        <f t="shared" si="12"/>
        <v>0</v>
      </c>
    </row>
    <row r="84" spans="1:26" s="11" customFormat="1" x14ac:dyDescent="0.25">
      <c r="A84" s="11">
        <f t="shared" si="13"/>
        <v>77</v>
      </c>
      <c r="B84" s="12" t="s">
        <v>85</v>
      </c>
      <c r="C84" s="16">
        <v>135982.13</v>
      </c>
      <c r="D84" s="16"/>
      <c r="E84" s="16"/>
      <c r="F84" s="16"/>
      <c r="G84" s="16">
        <v>-8451.44</v>
      </c>
      <c r="H84" s="16">
        <v>7220.76</v>
      </c>
      <c r="I84" s="16"/>
      <c r="J84" s="30"/>
      <c r="K84" s="17">
        <v>70.14</v>
      </c>
      <c r="L84" s="30"/>
      <c r="M84" s="17"/>
      <c r="N84" s="17"/>
      <c r="O84" s="17"/>
      <c r="P84" s="19">
        <f t="shared" si="14"/>
        <v>5569.2104166666677</v>
      </c>
      <c r="R84" s="55"/>
      <c r="S84" s="40"/>
      <c r="T84" s="37">
        <f>+P84</f>
        <v>5569.2104166666677</v>
      </c>
      <c r="U84" s="31"/>
      <c r="V84" s="32"/>
      <c r="W84" s="32"/>
      <c r="X84" s="32">
        <f>+T84</f>
        <v>5569.2104166666677</v>
      </c>
      <c r="Y84" s="32">
        <f>+X84+V84+W84</f>
        <v>5569.2104166666677</v>
      </c>
      <c r="Z84" s="15">
        <f t="shared" si="12"/>
        <v>0</v>
      </c>
    </row>
    <row r="85" spans="1:26" s="11" customFormat="1" x14ac:dyDescent="0.25">
      <c r="A85" s="11">
        <f t="shared" si="13"/>
        <v>78</v>
      </c>
      <c r="B85" s="12" t="s">
        <v>86</v>
      </c>
      <c r="C85" s="16">
        <v>22819.27</v>
      </c>
      <c r="D85" s="16">
        <v>-2652.75</v>
      </c>
      <c r="E85" s="16">
        <v>5427.33</v>
      </c>
      <c r="F85" s="16">
        <v>9477.56</v>
      </c>
      <c r="G85" s="16">
        <v>17337.060000000001</v>
      </c>
      <c r="H85" s="16">
        <v>21511.79</v>
      </c>
      <c r="I85" s="16">
        <v>26188.27</v>
      </c>
      <c r="J85" s="30">
        <v>22543.4</v>
      </c>
      <c r="K85" s="17">
        <v>51902.76</v>
      </c>
      <c r="L85" s="30">
        <v>18451.52</v>
      </c>
      <c r="M85" s="17">
        <v>25640.27</v>
      </c>
      <c r="N85" s="17">
        <v>3817.64</v>
      </c>
      <c r="O85" s="17">
        <v>18888</v>
      </c>
      <c r="P85" s="19">
        <f t="shared" si="14"/>
        <v>18374.873750000002</v>
      </c>
      <c r="R85" s="55"/>
      <c r="S85" s="40"/>
      <c r="T85" s="37">
        <f>+P85</f>
        <v>18374.873750000002</v>
      </c>
      <c r="U85" s="31"/>
      <c r="V85" s="32">
        <v>0</v>
      </c>
      <c r="W85" s="32">
        <v>0</v>
      </c>
      <c r="X85" s="32">
        <f>+T85</f>
        <v>18374.873750000002</v>
      </c>
      <c r="Y85" s="32">
        <f>+X85+V85+W85</f>
        <v>18374.873750000002</v>
      </c>
      <c r="Z85" s="15">
        <f t="shared" si="12"/>
        <v>0</v>
      </c>
    </row>
    <row r="86" spans="1:26" s="11" customFormat="1" x14ac:dyDescent="0.25">
      <c r="A86" s="11">
        <f t="shared" si="13"/>
        <v>79</v>
      </c>
      <c r="B86" s="12" t="s">
        <v>87</v>
      </c>
      <c r="C86" s="16">
        <v>66872400.340000004</v>
      </c>
      <c r="D86" s="16">
        <v>79875418.239999995</v>
      </c>
      <c r="E86" s="16">
        <v>91763308.280000001</v>
      </c>
      <c r="F86" s="16">
        <v>97690084.370000005</v>
      </c>
      <c r="G86" s="16">
        <v>94877812.870000005</v>
      </c>
      <c r="H86" s="16">
        <v>89104540.560000002</v>
      </c>
      <c r="I86" s="16">
        <v>83176008.670000002</v>
      </c>
      <c r="J86" s="30">
        <v>77763499.129999995</v>
      </c>
      <c r="K86" s="17">
        <v>79203413.049999997</v>
      </c>
      <c r="L86" s="30">
        <v>81126296.409999996</v>
      </c>
      <c r="M86" s="17">
        <v>82212970.099999994</v>
      </c>
      <c r="N86" s="17">
        <v>84570109.760000005</v>
      </c>
      <c r="O86" s="17">
        <v>91115533.650000006</v>
      </c>
      <c r="P86" s="19">
        <f t="shared" si="14"/>
        <v>85029785.702916667</v>
      </c>
      <c r="R86" s="43"/>
      <c r="S86" s="40"/>
      <c r="T86" s="37">
        <f>+P86-R86</f>
        <v>85029785.702916667</v>
      </c>
      <c r="U86" s="31"/>
      <c r="V86" s="32">
        <f>[11]Report!$K$2608+[11]Report!$K$2497</f>
        <v>4432655.0031998567</v>
      </c>
      <c r="W86" s="32">
        <f>[11]Report!$J$2608+[11]Report!$J$2497</f>
        <v>71285249.288466781</v>
      </c>
      <c r="X86" s="32">
        <f>T86-V86-W86</f>
        <v>9311881.411250025</v>
      </c>
      <c r="Y86" s="32">
        <f>+X86+V86+W86</f>
        <v>85029785.702916667</v>
      </c>
      <c r="Z86" s="15">
        <f t="shared" si="12"/>
        <v>0</v>
      </c>
    </row>
    <row r="87" spans="1:26" s="11" customFormat="1" x14ac:dyDescent="0.25">
      <c r="A87" s="11">
        <f t="shared" si="13"/>
        <v>80</v>
      </c>
      <c r="B87" s="12" t="s">
        <v>88</v>
      </c>
      <c r="C87" s="24"/>
      <c r="D87" s="24"/>
      <c r="E87" s="24"/>
      <c r="F87" s="24"/>
      <c r="G87" s="24"/>
      <c r="H87" s="24"/>
      <c r="I87" s="24"/>
      <c r="J87" s="30"/>
      <c r="K87" s="17"/>
      <c r="L87" s="30"/>
      <c r="M87" s="17"/>
      <c r="N87" s="17"/>
      <c r="O87" s="17"/>
      <c r="P87" s="19">
        <f t="shared" si="14"/>
        <v>0</v>
      </c>
      <c r="R87" s="55"/>
      <c r="S87" s="40"/>
      <c r="T87" s="37">
        <f>+P87</f>
        <v>0</v>
      </c>
      <c r="U87" s="31"/>
      <c r="V87" s="32"/>
      <c r="W87" s="32"/>
      <c r="X87" s="32"/>
      <c r="Y87" s="32"/>
      <c r="Z87" s="15">
        <f t="shared" si="12"/>
        <v>0</v>
      </c>
    </row>
    <row r="88" spans="1:26" s="11" customFormat="1" x14ac:dyDescent="0.25">
      <c r="A88" s="11">
        <f t="shared" si="13"/>
        <v>81</v>
      </c>
      <c r="B88" s="12" t="s">
        <v>89</v>
      </c>
      <c r="C88" s="24"/>
      <c r="D88" s="24"/>
      <c r="E88" s="24"/>
      <c r="F88" s="24"/>
      <c r="G88" s="24"/>
      <c r="H88" s="24"/>
      <c r="I88" s="24"/>
      <c r="J88" s="30"/>
      <c r="K88" s="17"/>
      <c r="L88" s="30"/>
      <c r="M88" s="17"/>
      <c r="N88" s="17"/>
      <c r="O88" s="17"/>
      <c r="P88" s="19">
        <f t="shared" si="14"/>
        <v>0</v>
      </c>
      <c r="R88" s="55"/>
      <c r="S88" s="40"/>
      <c r="T88" s="37">
        <f>+P88</f>
        <v>0</v>
      </c>
      <c r="U88" s="31"/>
      <c r="V88" s="32"/>
      <c r="W88" s="32"/>
      <c r="X88" s="32"/>
      <c r="Y88" s="32"/>
      <c r="Z88" s="15">
        <f t="shared" si="12"/>
        <v>0</v>
      </c>
    </row>
    <row r="89" spans="1:26" s="11" customFormat="1" x14ac:dyDescent="0.25">
      <c r="A89" s="11">
        <f t="shared" si="13"/>
        <v>82</v>
      </c>
      <c r="B89" s="12" t="s">
        <v>90</v>
      </c>
      <c r="C89" s="16">
        <v>4847332.2300000004</v>
      </c>
      <c r="D89" s="16">
        <v>4798588.68</v>
      </c>
      <c r="E89" s="16">
        <v>4749845.22</v>
      </c>
      <c r="F89" s="16">
        <v>4701101.67</v>
      </c>
      <c r="G89" s="16">
        <v>4652358.21</v>
      </c>
      <c r="H89" s="16">
        <v>4603614.67</v>
      </c>
      <c r="I89" s="16">
        <v>4554871.2</v>
      </c>
      <c r="J89" s="30">
        <v>4506127.6399999997</v>
      </c>
      <c r="K89" s="17">
        <v>4457384.1900000004</v>
      </c>
      <c r="L89" s="30">
        <v>4408640.63</v>
      </c>
      <c r="M89" s="17">
        <v>4359897.18</v>
      </c>
      <c r="N89" s="17">
        <v>4311153.62</v>
      </c>
      <c r="O89" s="17">
        <v>4262410.17</v>
      </c>
      <c r="P89" s="19">
        <f t="shared" si="14"/>
        <v>4554871.1758333333</v>
      </c>
      <c r="R89" s="55"/>
      <c r="S89" s="40"/>
      <c r="T89" s="37"/>
      <c r="U89" s="33">
        <f>-P89</f>
        <v>-4554871.1758333333</v>
      </c>
      <c r="V89" s="32"/>
      <c r="W89" s="32"/>
      <c r="X89" s="32"/>
      <c r="Y89" s="32"/>
      <c r="Z89" s="15">
        <f t="shared" si="12"/>
        <v>0</v>
      </c>
    </row>
    <row r="90" spans="1:26" s="11" customFormat="1" x14ac:dyDescent="0.25">
      <c r="A90" s="11">
        <f t="shared" si="13"/>
        <v>83</v>
      </c>
      <c r="B90" s="12" t="s">
        <v>91</v>
      </c>
      <c r="C90" s="16">
        <v>856976961.20000005</v>
      </c>
      <c r="D90" s="16">
        <v>862112848.63</v>
      </c>
      <c r="E90" s="16">
        <v>854169618.45000005</v>
      </c>
      <c r="F90" s="16">
        <v>861676616.02999997</v>
      </c>
      <c r="G90" s="16">
        <v>836558556.11000001</v>
      </c>
      <c r="H90" s="16">
        <v>843958927.25</v>
      </c>
      <c r="I90" s="16">
        <v>824459611.53999996</v>
      </c>
      <c r="J90" s="30">
        <v>817978364.30999994</v>
      </c>
      <c r="K90" s="17">
        <v>810321002.17999995</v>
      </c>
      <c r="L90" s="30">
        <v>823015892.74000001</v>
      </c>
      <c r="M90" s="17">
        <v>824290477.09000003</v>
      </c>
      <c r="N90" s="17">
        <v>825043362.14999998</v>
      </c>
      <c r="O90" s="17">
        <v>825425681.60000002</v>
      </c>
      <c r="P90" s="44">
        <f t="shared" si="14"/>
        <v>835398883.15666664</v>
      </c>
      <c r="R90" s="43">
        <v>21826296.962083332</v>
      </c>
      <c r="S90" s="40"/>
      <c r="T90" s="37">
        <f>+P90-R90</f>
        <v>813572586.1945833</v>
      </c>
      <c r="U90" s="31"/>
      <c r="V90" s="32">
        <f>[11]Report!$K$2730</f>
        <v>7613191.0420499779</v>
      </c>
      <c r="W90" s="32">
        <f>[11]Report!$J$2730</f>
        <v>130979170.13420002</v>
      </c>
      <c r="X90" s="32">
        <f>+T90-V90-W90</f>
        <v>674980225.01833332</v>
      </c>
      <c r="Y90" s="32">
        <f>+X90+V90+W90</f>
        <v>813572586.1945833</v>
      </c>
      <c r="Z90" s="15">
        <f>T90-Y90</f>
        <v>0</v>
      </c>
    </row>
    <row r="91" spans="1:26" s="11" customFormat="1" x14ac:dyDescent="0.25">
      <c r="A91" s="11">
        <f t="shared" si="13"/>
        <v>84</v>
      </c>
      <c r="B91" s="12" t="s">
        <v>92</v>
      </c>
      <c r="C91" s="24"/>
      <c r="D91" s="24"/>
      <c r="E91" s="24"/>
      <c r="F91" s="24"/>
      <c r="G91" s="24"/>
      <c r="H91" s="24"/>
      <c r="I91" s="24"/>
      <c r="J91" s="30"/>
      <c r="K91" s="17"/>
      <c r="L91" s="30"/>
      <c r="M91" s="23"/>
      <c r="N91" s="17"/>
      <c r="O91" s="17"/>
      <c r="P91" s="19">
        <f t="shared" si="14"/>
        <v>0</v>
      </c>
      <c r="R91" s="55"/>
      <c r="S91" s="40"/>
      <c r="T91" s="37">
        <f>+P91</f>
        <v>0</v>
      </c>
      <c r="U91" s="31"/>
      <c r="V91" s="32"/>
      <c r="W91" s="32"/>
      <c r="X91" s="32"/>
      <c r="Y91" s="32"/>
      <c r="Z91" s="15"/>
    </row>
    <row r="92" spans="1:26" s="11" customFormat="1" x14ac:dyDescent="0.25">
      <c r="A92" s="11">
        <f t="shared" si="13"/>
        <v>85</v>
      </c>
      <c r="B92" s="12" t="s">
        <v>93</v>
      </c>
      <c r="C92" s="21">
        <v>2018615000.8699999</v>
      </c>
      <c r="D92" s="21">
        <v>2064583202.48</v>
      </c>
      <c r="E92" s="21">
        <v>2045195381.1400001</v>
      </c>
      <c r="F92" s="21">
        <v>2045635162.6700001</v>
      </c>
      <c r="G92" s="21">
        <v>1979067525.4100001</v>
      </c>
      <c r="H92" s="21">
        <v>1975091447.1300001</v>
      </c>
      <c r="I92" s="21">
        <v>2049432980.3099999</v>
      </c>
      <c r="J92" s="21">
        <v>2018353873.8099999</v>
      </c>
      <c r="K92" s="22">
        <v>2020053944.8299999</v>
      </c>
      <c r="L92" s="21">
        <v>2073413303.3900001</v>
      </c>
      <c r="M92" s="21">
        <v>2090786775.3099999</v>
      </c>
      <c r="N92" s="21">
        <v>2096918979.79</v>
      </c>
      <c r="O92" s="21">
        <v>2085169399.49</v>
      </c>
      <c r="P92" s="28">
        <f>SUBTOTAL(9,P77:P91)</f>
        <v>2042535398.0374994</v>
      </c>
      <c r="R92" s="35">
        <f>SUBTOTAL(9,R77:R91)</f>
        <v>443676874.61624998</v>
      </c>
      <c r="S92" s="40"/>
      <c r="T92" s="34">
        <f t="shared" ref="T92:Y92" si="15">SUBTOTAL(9,T77:T91)</f>
        <v>1563281362.8212495</v>
      </c>
      <c r="U92" s="36">
        <f t="shared" si="15"/>
        <v>-35577160.600000001</v>
      </c>
      <c r="V92" s="34">
        <f t="shared" si="15"/>
        <v>12154600.785249835</v>
      </c>
      <c r="W92" s="34">
        <f t="shared" si="15"/>
        <v>501933226.89308316</v>
      </c>
      <c r="X92" s="34">
        <f t="shared" si="15"/>
        <v>1049193535.1429167</v>
      </c>
      <c r="Y92" s="34">
        <f t="shared" si="15"/>
        <v>1563281362.8212495</v>
      </c>
      <c r="Z92" s="15"/>
    </row>
    <row r="93" spans="1:26" s="11" customFormat="1" x14ac:dyDescent="0.25">
      <c r="A93" s="11">
        <f t="shared" si="13"/>
        <v>86</v>
      </c>
      <c r="B93" s="12"/>
      <c r="C93" s="24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0"/>
      <c r="R93" s="86"/>
      <c r="S93" s="40"/>
      <c r="T93" s="87"/>
      <c r="U93" s="88"/>
      <c r="V93" s="87"/>
      <c r="W93" s="87"/>
      <c r="X93" s="87"/>
      <c r="Y93" s="37"/>
      <c r="Z93" s="15"/>
    </row>
    <row r="94" spans="1:26" s="11" customFormat="1" x14ac:dyDescent="0.25">
      <c r="A94" s="11">
        <f t="shared" si="13"/>
        <v>87</v>
      </c>
      <c r="B94" s="45" t="s">
        <v>94</v>
      </c>
      <c r="C94" s="46">
        <v>21864861175.689999</v>
      </c>
      <c r="D94" s="46">
        <v>22072640510.549999</v>
      </c>
      <c r="E94" s="46">
        <v>22224933100.02</v>
      </c>
      <c r="F94" s="46">
        <v>22241230612.09</v>
      </c>
      <c r="G94" s="46">
        <v>22296684097.830002</v>
      </c>
      <c r="H94" s="46">
        <v>22467898330.23</v>
      </c>
      <c r="I94" s="46">
        <v>22205931064.009998</v>
      </c>
      <c r="J94" s="46">
        <v>22217186720.080002</v>
      </c>
      <c r="K94" s="46">
        <v>22225661918.310001</v>
      </c>
      <c r="L94" s="46">
        <v>22891883924.630001</v>
      </c>
      <c r="M94" s="46">
        <v>22984336420.599998</v>
      </c>
      <c r="N94" s="46">
        <v>23087614402.25</v>
      </c>
      <c r="O94" s="46">
        <v>23201585737.549999</v>
      </c>
      <c r="P94" s="47">
        <f>(C94+2*SUM(D94:N94)+O94)/24</f>
        <v>22454102046.435001</v>
      </c>
      <c r="Q94" s="48"/>
      <c r="R94" s="49">
        <f>SUBTOTAL(9,R8:R92)</f>
        <v>1651210063.0431943</v>
      </c>
      <c r="S94" s="40"/>
      <c r="T94" s="50">
        <f>SUBTOTAL(9,T8:T92)</f>
        <v>20767314822.791801</v>
      </c>
      <c r="U94" s="51">
        <f>SUBTOTAL(9,U8:U92)</f>
        <v>-35577160.600000001</v>
      </c>
      <c r="V94" s="50">
        <f>SUBTOTAL(9,V8:V93)</f>
        <v>1093779144.9265103</v>
      </c>
      <c r="W94" s="50">
        <f>SUBTOTAL(9,W8:W92)</f>
        <v>17023542437.036146</v>
      </c>
      <c r="X94" s="50">
        <f>SUBTOTAL(9,X8:X92)</f>
        <v>2649993240.8291512</v>
      </c>
      <c r="Y94" s="50">
        <f>SUBTOTAL(9,Y8:Y92)</f>
        <v>20767314822.791801</v>
      </c>
      <c r="Z94" s="15"/>
    </row>
    <row r="95" spans="1:26" s="11" customFormat="1" x14ac:dyDescent="0.25">
      <c r="A95" s="11">
        <f t="shared" si="13"/>
        <v>88</v>
      </c>
      <c r="B95" s="52" t="s">
        <v>95</v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4">
        <f>+R94+T94-U94</f>
        <v>22454102046.434994</v>
      </c>
      <c r="Q95" s="48"/>
      <c r="R95" s="55"/>
      <c r="S95" s="40"/>
      <c r="T95" s="37"/>
      <c r="U95" s="31"/>
      <c r="V95" s="85"/>
      <c r="W95" s="85"/>
      <c r="X95" s="85"/>
      <c r="Y95" s="32"/>
      <c r="Z95" s="15"/>
    </row>
    <row r="96" spans="1:26" s="11" customFormat="1" x14ac:dyDescent="0.25">
      <c r="A96" s="11">
        <f t="shared" si="13"/>
        <v>89</v>
      </c>
      <c r="B96" s="45"/>
      <c r="C96" s="56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7"/>
      <c r="R96" s="38"/>
      <c r="S96" s="40"/>
      <c r="T96" s="37"/>
      <c r="U96" s="31"/>
      <c r="V96" s="32"/>
      <c r="W96" s="32"/>
      <c r="X96" s="32"/>
      <c r="Y96" s="32"/>
      <c r="Z96" s="15"/>
    </row>
    <row r="97" spans="1:26" s="11" customFormat="1" x14ac:dyDescent="0.25">
      <c r="A97" s="11">
        <f t="shared" si="13"/>
        <v>90</v>
      </c>
      <c r="B97" s="45"/>
      <c r="C97" s="56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7"/>
      <c r="R97" s="38"/>
      <c r="S97" s="40"/>
      <c r="T97" s="37"/>
      <c r="U97" s="31"/>
      <c r="V97" s="32"/>
      <c r="W97" s="32"/>
      <c r="X97" s="32"/>
      <c r="Y97" s="32"/>
      <c r="Z97" s="15"/>
    </row>
    <row r="98" spans="1:26" s="11" customFormat="1" x14ac:dyDescent="0.25">
      <c r="A98" s="11">
        <f t="shared" si="13"/>
        <v>91</v>
      </c>
      <c r="B98" s="12" t="s">
        <v>96</v>
      </c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19"/>
      <c r="R98" s="55"/>
      <c r="S98" s="40"/>
      <c r="T98" s="40"/>
      <c r="U98" s="31"/>
      <c r="V98" s="32"/>
      <c r="W98" s="32"/>
      <c r="X98" s="32"/>
      <c r="Y98" s="32"/>
      <c r="Z98" s="15"/>
    </row>
    <row r="99" spans="1:26" s="11" customFormat="1" x14ac:dyDescent="0.25">
      <c r="A99" s="11">
        <f t="shared" si="13"/>
        <v>92</v>
      </c>
      <c r="B99" s="12" t="s">
        <v>97</v>
      </c>
      <c r="C99" s="16">
        <v>3417945896.2399998</v>
      </c>
      <c r="D99" s="16">
        <v>3417945896.2399998</v>
      </c>
      <c r="E99" s="16">
        <v>3417945896.2399998</v>
      </c>
      <c r="F99" s="16">
        <v>3417945896.2399998</v>
      </c>
      <c r="G99" s="16">
        <v>3417945896.2399998</v>
      </c>
      <c r="H99" s="16">
        <v>3417945896.2399998</v>
      </c>
      <c r="I99" s="16">
        <v>3417945896.2399998</v>
      </c>
      <c r="J99" s="58">
        <v>3417945896.2399998</v>
      </c>
      <c r="K99" s="58">
        <v>3417945896.2399998</v>
      </c>
      <c r="L99" s="30">
        <v>3417945896.2399998</v>
      </c>
      <c r="M99" s="58">
        <v>3417945896.2399998</v>
      </c>
      <c r="N99" s="58">
        <v>3417945896.2399998</v>
      </c>
      <c r="O99" s="58">
        <v>3417945896.2399998</v>
      </c>
      <c r="P99" s="19">
        <f t="shared" ref="P99:P105" si="16">(C99+2*SUM(D99:N99)+O99)/24</f>
        <v>3417945896.2399998</v>
      </c>
      <c r="R99" s="55"/>
      <c r="S99" s="40"/>
      <c r="T99" s="40"/>
      <c r="U99" s="33">
        <f t="shared" ref="U99:U114" si="17">+P99</f>
        <v>3417945896.2399998</v>
      </c>
      <c r="V99" s="32"/>
      <c r="W99" s="32"/>
      <c r="X99" s="32"/>
      <c r="Y99" s="32"/>
      <c r="Z99" s="15"/>
    </row>
    <row r="100" spans="1:26" s="11" customFormat="1" x14ac:dyDescent="0.25">
      <c r="A100" s="11">
        <f t="shared" si="13"/>
        <v>93</v>
      </c>
      <c r="B100" s="12" t="s">
        <v>98</v>
      </c>
      <c r="C100" s="16">
        <v>2397600</v>
      </c>
      <c r="D100" s="16">
        <v>2397600</v>
      </c>
      <c r="E100" s="16">
        <v>2397600</v>
      </c>
      <c r="F100" s="16">
        <v>2397600</v>
      </c>
      <c r="G100" s="16">
        <v>2397600</v>
      </c>
      <c r="H100" s="16">
        <v>2397600</v>
      </c>
      <c r="I100" s="16">
        <v>2397600</v>
      </c>
      <c r="J100" s="58">
        <v>2397600</v>
      </c>
      <c r="K100" s="58">
        <v>2397600</v>
      </c>
      <c r="L100" s="30">
        <v>2397600</v>
      </c>
      <c r="M100" s="58">
        <v>2397600</v>
      </c>
      <c r="N100" s="58">
        <v>2397600</v>
      </c>
      <c r="O100" s="58">
        <v>2397600</v>
      </c>
      <c r="P100" s="19">
        <f t="shared" si="16"/>
        <v>2397600</v>
      </c>
      <c r="R100" s="55"/>
      <c r="S100" s="40"/>
      <c r="T100" s="40"/>
      <c r="U100" s="33">
        <f t="shared" si="17"/>
        <v>2397600</v>
      </c>
      <c r="V100" s="32"/>
      <c r="W100" s="32"/>
      <c r="X100" s="32"/>
      <c r="Y100" s="32"/>
      <c r="Z100" s="15"/>
    </row>
    <row r="101" spans="1:26" s="11" customFormat="1" x14ac:dyDescent="0.25">
      <c r="A101" s="11">
        <f t="shared" si="13"/>
        <v>94</v>
      </c>
      <c r="B101" s="12" t="s">
        <v>99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19">
        <f t="shared" si="16"/>
        <v>0</v>
      </c>
      <c r="R101" s="55"/>
      <c r="S101" s="40"/>
      <c r="T101" s="40"/>
      <c r="U101" s="33">
        <f t="shared" si="17"/>
        <v>0</v>
      </c>
      <c r="V101" s="32"/>
      <c r="W101" s="32"/>
      <c r="X101" s="32"/>
      <c r="Y101" s="32"/>
      <c r="Z101" s="15"/>
    </row>
    <row r="102" spans="1:26" s="11" customFormat="1" x14ac:dyDescent="0.25">
      <c r="A102" s="11">
        <f t="shared" si="13"/>
        <v>95</v>
      </c>
      <c r="B102" s="12" t="s">
        <v>100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19">
        <f t="shared" si="16"/>
        <v>0</v>
      </c>
      <c r="R102" s="55"/>
      <c r="S102" s="40"/>
      <c r="T102" s="40"/>
      <c r="U102" s="33">
        <f t="shared" si="17"/>
        <v>0</v>
      </c>
      <c r="V102" s="32"/>
      <c r="W102" s="32"/>
      <c r="X102" s="32"/>
      <c r="Y102" s="32"/>
      <c r="Z102" s="15"/>
    </row>
    <row r="103" spans="1:26" s="11" customFormat="1" x14ac:dyDescent="0.25">
      <c r="A103" s="11">
        <f t="shared" si="13"/>
        <v>96</v>
      </c>
      <c r="B103" s="12" t="s">
        <v>101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58">
        <v>0</v>
      </c>
      <c r="K103" s="58">
        <v>0</v>
      </c>
      <c r="L103" s="58">
        <v>0</v>
      </c>
      <c r="M103" s="58">
        <v>0</v>
      </c>
      <c r="N103" s="58">
        <v>0</v>
      </c>
      <c r="O103" s="58">
        <v>0</v>
      </c>
      <c r="P103" s="19">
        <f t="shared" si="16"/>
        <v>0</v>
      </c>
      <c r="R103" s="55"/>
      <c r="S103" s="40"/>
      <c r="T103" s="40"/>
      <c r="U103" s="33">
        <f t="shared" si="17"/>
        <v>0</v>
      </c>
      <c r="V103" s="32"/>
      <c r="W103" s="32"/>
      <c r="X103" s="32"/>
      <c r="Y103" s="32"/>
      <c r="Z103" s="15"/>
    </row>
    <row r="104" spans="1:26" s="11" customFormat="1" x14ac:dyDescent="0.25">
      <c r="A104" s="11">
        <f t="shared" si="13"/>
        <v>97</v>
      </c>
      <c r="B104" s="12" t="s">
        <v>102</v>
      </c>
      <c r="C104" s="16">
        <v>1102063956.3800001</v>
      </c>
      <c r="D104" s="16">
        <v>1102063956.3800001</v>
      </c>
      <c r="E104" s="16">
        <v>1102063956.3800001</v>
      </c>
      <c r="F104" s="16">
        <v>1102063956.3800001</v>
      </c>
      <c r="G104" s="16">
        <v>1102063956.3800001</v>
      </c>
      <c r="H104" s="16">
        <v>1102063956.3800001</v>
      </c>
      <c r="I104" s="16">
        <v>1102063956.3800001</v>
      </c>
      <c r="J104" s="58">
        <v>1102063956.3800001</v>
      </c>
      <c r="K104" s="58">
        <v>1102063956.3800001</v>
      </c>
      <c r="L104" s="30">
        <v>1102063956.3800001</v>
      </c>
      <c r="M104" s="58">
        <v>1102063956.3800001</v>
      </c>
      <c r="N104" s="58">
        <v>1102063956.3800001</v>
      </c>
      <c r="O104" s="58">
        <v>1102063956.3800001</v>
      </c>
      <c r="P104" s="19">
        <f t="shared" si="16"/>
        <v>1102063956.3800004</v>
      </c>
      <c r="R104" s="55"/>
      <c r="S104" s="40"/>
      <c r="T104" s="40"/>
      <c r="U104" s="33">
        <f t="shared" si="17"/>
        <v>1102063956.3800004</v>
      </c>
      <c r="V104" s="32"/>
      <c r="W104" s="32"/>
      <c r="X104" s="32"/>
      <c r="Y104" s="32"/>
      <c r="Z104" s="15"/>
    </row>
    <row r="105" spans="1:26" s="11" customFormat="1" x14ac:dyDescent="0.25">
      <c r="A105" s="11">
        <f t="shared" si="13"/>
        <v>98</v>
      </c>
      <c r="B105" s="12" t="s">
        <v>103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58">
        <v>0</v>
      </c>
      <c r="K105" s="58">
        <v>0</v>
      </c>
      <c r="L105" s="30">
        <v>0</v>
      </c>
      <c r="M105" s="58">
        <v>0</v>
      </c>
      <c r="N105" s="58">
        <v>0</v>
      </c>
      <c r="O105" s="58">
        <v>0</v>
      </c>
      <c r="P105" s="19">
        <f t="shared" si="16"/>
        <v>0</v>
      </c>
      <c r="R105" s="55"/>
      <c r="S105" s="40"/>
      <c r="T105" s="40"/>
      <c r="U105" s="33">
        <f t="shared" si="17"/>
        <v>0</v>
      </c>
      <c r="V105" s="32"/>
      <c r="W105" s="32"/>
      <c r="X105" s="32"/>
      <c r="Y105" s="32"/>
      <c r="Z105" s="15"/>
    </row>
    <row r="106" spans="1:26" s="11" customFormat="1" x14ac:dyDescent="0.25">
      <c r="A106" s="11">
        <f t="shared" si="13"/>
        <v>99</v>
      </c>
      <c r="B106" s="12" t="s">
        <v>104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58">
        <v>0</v>
      </c>
      <c r="K106" s="58">
        <v>0</v>
      </c>
      <c r="L106" s="30">
        <v>0</v>
      </c>
      <c r="M106" s="58">
        <v>0</v>
      </c>
      <c r="N106" s="58">
        <v>0</v>
      </c>
      <c r="O106" s="58">
        <v>0</v>
      </c>
      <c r="P106" s="19">
        <f>-(C106+2*SUM(D106:N106)+O106)/24</f>
        <v>0</v>
      </c>
      <c r="R106" s="55"/>
      <c r="S106" s="40"/>
      <c r="T106" s="40"/>
      <c r="U106" s="33">
        <f t="shared" si="17"/>
        <v>0</v>
      </c>
      <c r="V106" s="32"/>
      <c r="W106" s="32"/>
      <c r="X106" s="32"/>
      <c r="Y106" s="32"/>
      <c r="Z106" s="15"/>
    </row>
    <row r="107" spans="1:26" s="11" customFormat="1" x14ac:dyDescent="0.25">
      <c r="A107" s="11">
        <f t="shared" si="13"/>
        <v>100</v>
      </c>
      <c r="B107" s="12" t="s">
        <v>105</v>
      </c>
      <c r="C107" s="16">
        <v>41101061.25</v>
      </c>
      <c r="D107" s="16">
        <v>41101061.25</v>
      </c>
      <c r="E107" s="16">
        <v>41101061.25</v>
      </c>
      <c r="F107" s="16">
        <v>41101061.25</v>
      </c>
      <c r="G107" s="16">
        <v>41101061.25</v>
      </c>
      <c r="H107" s="16">
        <v>41101061.25</v>
      </c>
      <c r="I107" s="16">
        <v>41101061.25</v>
      </c>
      <c r="J107" s="58">
        <v>41101061.25</v>
      </c>
      <c r="K107" s="58">
        <v>41101061.25</v>
      </c>
      <c r="L107" s="30">
        <v>41101061.25</v>
      </c>
      <c r="M107" s="58">
        <v>41101061.25</v>
      </c>
      <c r="N107" s="58">
        <v>41101061.25</v>
      </c>
      <c r="O107" s="58">
        <v>41101061.25</v>
      </c>
      <c r="P107" s="19">
        <f>-(C107+2*SUM(D107:N107)+O107)/24</f>
        <v>-41101061.25</v>
      </c>
      <c r="R107" s="55"/>
      <c r="S107" s="40"/>
      <c r="T107" s="40"/>
      <c r="U107" s="33">
        <f t="shared" si="17"/>
        <v>-41101061.25</v>
      </c>
      <c r="V107" s="32"/>
      <c r="W107" s="32"/>
      <c r="X107" s="32"/>
      <c r="Y107" s="32"/>
      <c r="Z107" s="15"/>
    </row>
    <row r="108" spans="1:26" s="11" customFormat="1" x14ac:dyDescent="0.25">
      <c r="A108" s="11">
        <f t="shared" si="13"/>
        <v>101</v>
      </c>
      <c r="B108" s="12" t="s">
        <v>106</v>
      </c>
      <c r="C108" s="16">
        <v>2653849353.46</v>
      </c>
      <c r="D108" s="16">
        <v>2653849353.46</v>
      </c>
      <c r="E108" s="16">
        <v>2603849353.46</v>
      </c>
      <c r="F108" s="16">
        <v>2604652381.46</v>
      </c>
      <c r="G108" s="16">
        <v>2604652381.46</v>
      </c>
      <c r="H108" s="16">
        <v>2554652381.46</v>
      </c>
      <c r="I108" s="16">
        <v>2555292381.46</v>
      </c>
      <c r="J108" s="58">
        <v>3271969500.3699999</v>
      </c>
      <c r="K108" s="58">
        <v>3096969500.3699999</v>
      </c>
      <c r="L108" s="30">
        <v>3096969827.3699999</v>
      </c>
      <c r="M108" s="58">
        <v>3097593827.3699999</v>
      </c>
      <c r="N108" s="58">
        <v>3097593827.3699999</v>
      </c>
      <c r="O108" s="58">
        <v>3098201827.3699999</v>
      </c>
      <c r="P108" s="19">
        <v>0</v>
      </c>
      <c r="R108" s="38"/>
      <c r="S108" s="40"/>
      <c r="T108" s="40"/>
      <c r="U108" s="33">
        <f t="shared" si="17"/>
        <v>0</v>
      </c>
      <c r="V108" s="32"/>
      <c r="W108" s="32"/>
      <c r="X108" s="32"/>
      <c r="Y108" s="32"/>
      <c r="Z108" s="15"/>
    </row>
    <row r="109" spans="1:26" s="11" customFormat="1" x14ac:dyDescent="0.25">
      <c r="A109" s="11">
        <f t="shared" si="13"/>
        <v>102</v>
      </c>
      <c r="B109" s="12" t="s">
        <v>107</v>
      </c>
      <c r="C109" s="16">
        <v>10537036.039999999</v>
      </c>
      <c r="D109" s="16">
        <v>13198472.189999999</v>
      </c>
      <c r="E109" s="16">
        <v>16642048.82</v>
      </c>
      <c r="F109" s="16">
        <v>19507162.02</v>
      </c>
      <c r="G109" s="16">
        <v>21322212.41</v>
      </c>
      <c r="H109" s="16">
        <v>23041134.199999999</v>
      </c>
      <c r="I109" s="16">
        <v>20869978.920000002</v>
      </c>
      <c r="J109" s="58">
        <v>4777986.3899999997</v>
      </c>
      <c r="K109" s="58">
        <v>7907003.0700000003</v>
      </c>
      <c r="L109" s="30">
        <v>11362142.609999999</v>
      </c>
      <c r="M109" s="58">
        <v>13027116.33</v>
      </c>
      <c r="N109" s="58">
        <v>12172432.16</v>
      </c>
      <c r="O109" s="58">
        <v>12874383.76</v>
      </c>
      <c r="P109" s="19">
        <v>0</v>
      </c>
      <c r="R109" s="38"/>
      <c r="S109" s="40"/>
      <c r="T109" s="40"/>
      <c r="U109" s="33">
        <f t="shared" si="17"/>
        <v>0</v>
      </c>
      <c r="V109" s="32"/>
      <c r="W109" s="32"/>
      <c r="X109" s="32"/>
      <c r="Y109" s="32"/>
      <c r="Z109" s="15"/>
    </row>
    <row r="110" spans="1:26" s="11" customFormat="1" x14ac:dyDescent="0.25">
      <c r="A110" s="11">
        <f t="shared" si="13"/>
        <v>103</v>
      </c>
      <c r="B110" s="12" t="s">
        <v>108</v>
      </c>
      <c r="C110" s="16">
        <v>331598452.36000001</v>
      </c>
      <c r="D110" s="16">
        <v>449917974.38</v>
      </c>
      <c r="E110" s="16">
        <v>544974683.60000002</v>
      </c>
      <c r="F110" s="16">
        <v>601924523.59000003</v>
      </c>
      <c r="G110" s="16">
        <v>642258103.01999998</v>
      </c>
      <c r="H110" s="16">
        <v>685854676.67999995</v>
      </c>
      <c r="I110" s="16">
        <v>737547097.83000004</v>
      </c>
      <c r="J110" s="58">
        <v>72634773.120000005</v>
      </c>
      <c r="K110" s="58">
        <v>127361155.29000001</v>
      </c>
      <c r="L110" s="30">
        <v>179489596.03</v>
      </c>
      <c r="M110" s="58">
        <v>211285891.25</v>
      </c>
      <c r="N110" s="58">
        <v>263080541.06</v>
      </c>
      <c r="O110" s="58">
        <v>346823275.63</v>
      </c>
      <c r="P110" s="19">
        <v>0</v>
      </c>
      <c r="R110" s="55"/>
      <c r="S110" s="40"/>
      <c r="T110" s="40"/>
      <c r="U110" s="33">
        <f t="shared" si="17"/>
        <v>0</v>
      </c>
      <c r="V110" s="32"/>
      <c r="W110" s="32"/>
      <c r="X110" s="32"/>
      <c r="Y110" s="32"/>
      <c r="Z110" s="15"/>
    </row>
    <row r="111" spans="1:26" s="11" customFormat="1" x14ac:dyDescent="0.25">
      <c r="A111" s="11">
        <f t="shared" si="13"/>
        <v>104</v>
      </c>
      <c r="B111" s="12" t="s">
        <v>109</v>
      </c>
      <c r="C111" s="16">
        <v>2974910769.7800002</v>
      </c>
      <c r="D111" s="16">
        <v>3090568855.6500001</v>
      </c>
      <c r="E111" s="16">
        <v>3132181988.2399998</v>
      </c>
      <c r="F111" s="16">
        <v>3187069743.0300002</v>
      </c>
      <c r="G111" s="16">
        <v>3225588272.0700002</v>
      </c>
      <c r="H111" s="16">
        <v>3217465923.9400001</v>
      </c>
      <c r="I111" s="16">
        <v>3271969500.3699999</v>
      </c>
      <c r="J111" s="58">
        <v>3339826287.0999999</v>
      </c>
      <c r="K111" s="58">
        <v>3216423652.5899997</v>
      </c>
      <c r="L111" s="30">
        <v>3265097280.79</v>
      </c>
      <c r="M111" s="58">
        <v>3295852602.29</v>
      </c>
      <c r="N111" s="58">
        <v>3348501936.27</v>
      </c>
      <c r="O111" s="58">
        <v>3432150719.2399998</v>
      </c>
      <c r="P111" s="19">
        <f>(C111+2*SUM(D111:N111)+O111)/24</f>
        <v>3232839732.2374997</v>
      </c>
      <c r="R111" s="55"/>
      <c r="S111" s="40"/>
      <c r="T111" s="40"/>
      <c r="U111" s="33">
        <f t="shared" si="17"/>
        <v>3232839732.2374997</v>
      </c>
      <c r="V111" s="32"/>
      <c r="W111" s="32"/>
      <c r="X111" s="32"/>
      <c r="Y111" s="32"/>
      <c r="Z111" s="15"/>
    </row>
    <row r="112" spans="1:26" s="11" customFormat="1" x14ac:dyDescent="0.25">
      <c r="A112" s="11">
        <f t="shared" si="13"/>
        <v>105</v>
      </c>
      <c r="B112" s="12" t="s">
        <v>110</v>
      </c>
      <c r="C112" s="16">
        <v>95509330.579999998</v>
      </c>
      <c r="D112" s="16">
        <v>98170766.730000004</v>
      </c>
      <c r="E112" s="16">
        <v>101614343.36</v>
      </c>
      <c r="F112" s="16">
        <v>103676428.56</v>
      </c>
      <c r="G112" s="16">
        <v>105491478.95</v>
      </c>
      <c r="H112" s="16">
        <v>107210400.73999999</v>
      </c>
      <c r="I112" s="16">
        <v>104399245.45999999</v>
      </c>
      <c r="J112" s="58">
        <v>109177231.84999999</v>
      </c>
      <c r="K112" s="58">
        <v>112306248.53</v>
      </c>
      <c r="L112" s="30">
        <v>115761061.06999999</v>
      </c>
      <c r="M112" s="58">
        <v>116802034.79000001</v>
      </c>
      <c r="N112" s="58">
        <v>115947350.62</v>
      </c>
      <c r="O112" s="58">
        <v>116041302.22</v>
      </c>
      <c r="P112" s="19">
        <f>(C112+2*SUM(D112:N112)+O112)/24</f>
        <v>108027658.92166664</v>
      </c>
      <c r="R112" s="89"/>
      <c r="S112" s="40"/>
      <c r="T112" s="40"/>
      <c r="U112" s="33">
        <f t="shared" si="17"/>
        <v>108027658.92166664</v>
      </c>
      <c r="V112" s="32"/>
      <c r="W112" s="32"/>
      <c r="X112" s="32"/>
      <c r="Y112" s="32"/>
      <c r="Z112" s="15"/>
    </row>
    <row r="113" spans="1:26" s="11" customFormat="1" x14ac:dyDescent="0.25">
      <c r="A113" s="11">
        <f t="shared" si="13"/>
        <v>106</v>
      </c>
      <c r="B113" s="12" t="s">
        <v>111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58">
        <v>0</v>
      </c>
      <c r="K113" s="58">
        <v>0</v>
      </c>
      <c r="L113" s="30">
        <v>0</v>
      </c>
      <c r="M113" s="58">
        <v>0</v>
      </c>
      <c r="N113" s="58">
        <v>0</v>
      </c>
      <c r="O113" s="58">
        <v>0</v>
      </c>
      <c r="P113" s="19">
        <f>-(C113+2*SUM(D113:N113)+O113)/24</f>
        <v>0</v>
      </c>
      <c r="R113" s="55"/>
      <c r="S113" s="40"/>
      <c r="T113" s="40"/>
      <c r="U113" s="33">
        <f t="shared" si="17"/>
        <v>0</v>
      </c>
      <c r="V113" s="32"/>
      <c r="W113" s="32"/>
      <c r="X113" s="32"/>
      <c r="Y113" s="32"/>
      <c r="Z113" s="15"/>
    </row>
    <row r="114" spans="1:26" s="11" customFormat="1" x14ac:dyDescent="0.25">
      <c r="A114" s="11">
        <f t="shared" si="13"/>
        <v>107</v>
      </c>
      <c r="B114" s="12" t="s">
        <v>112</v>
      </c>
      <c r="C114" s="16">
        <v>-14918080.5</v>
      </c>
      <c r="D114" s="16">
        <v>-14860064.189999999</v>
      </c>
      <c r="E114" s="16">
        <v>-14802047.92</v>
      </c>
      <c r="F114" s="16">
        <v>-14744031.640000001</v>
      </c>
      <c r="G114" s="16">
        <v>-14686015.34</v>
      </c>
      <c r="H114" s="16">
        <v>-14627999.050000001</v>
      </c>
      <c r="I114" s="16">
        <v>-12635042.359999999</v>
      </c>
      <c r="J114" s="58">
        <v>-12586869.52</v>
      </c>
      <c r="K114" s="58">
        <v>-12538696.710000001</v>
      </c>
      <c r="L114" s="30">
        <v>-12490523.869999999</v>
      </c>
      <c r="M114" s="58">
        <v>-12442351.07</v>
      </c>
      <c r="N114" s="58">
        <v>-12394178.24</v>
      </c>
      <c r="O114" s="58">
        <v>-12346005.42</v>
      </c>
      <c r="P114" s="19">
        <f>(C114+2*SUM(D114:N114)+O114)/24</f>
        <v>-13536655.239166668</v>
      </c>
      <c r="R114" s="38"/>
      <c r="S114" s="40"/>
      <c r="T114" s="40"/>
      <c r="U114" s="33">
        <f t="shared" si="17"/>
        <v>-13536655.239166668</v>
      </c>
      <c r="V114" s="32"/>
      <c r="W114" s="32"/>
      <c r="X114" s="32"/>
      <c r="Y114" s="32"/>
      <c r="Z114" s="15"/>
    </row>
    <row r="115" spans="1:26" s="11" customFormat="1" x14ac:dyDescent="0.25">
      <c r="A115" s="11">
        <f t="shared" si="13"/>
        <v>108</v>
      </c>
      <c r="B115" s="12" t="s">
        <v>113</v>
      </c>
      <c r="C115" s="21">
        <v>7536808411.2299995</v>
      </c>
      <c r="D115" s="21">
        <v>7655185949.5600004</v>
      </c>
      <c r="E115" s="21">
        <v>7700300675.0499992</v>
      </c>
      <c r="F115" s="21">
        <v>7757308531.3199997</v>
      </c>
      <c r="G115" s="21">
        <v>7797700127.0500002</v>
      </c>
      <c r="H115" s="21">
        <v>7791354716.999999</v>
      </c>
      <c r="I115" s="21">
        <v>7845040094.8400002</v>
      </c>
      <c r="J115" s="21">
        <v>7917723040.7999992</v>
      </c>
      <c r="K115" s="21">
        <v>7797497595.7799988</v>
      </c>
      <c r="L115" s="21">
        <v>7849674209.3599997</v>
      </c>
      <c r="M115" s="21">
        <v>7881518677.3800001</v>
      </c>
      <c r="N115" s="21">
        <v>7933361500.0199995</v>
      </c>
      <c r="O115" s="21">
        <v>8017152407.4099998</v>
      </c>
      <c r="P115" s="28">
        <f>SUBTOTAL(9,P99:P114)</f>
        <v>7808637127.2900009</v>
      </c>
      <c r="R115" s="35">
        <f>SUBTOTAL(9,R99:R114)</f>
        <v>0</v>
      </c>
      <c r="S115" s="40"/>
      <c r="T115" s="40"/>
      <c r="U115" s="36">
        <f>SUBTOTAL(9,U99:U114)</f>
        <v>7808637127.2900009</v>
      </c>
      <c r="V115" s="32"/>
      <c r="W115" s="32"/>
      <c r="X115" s="32"/>
      <c r="Y115" s="32"/>
      <c r="Z115" s="15"/>
    </row>
    <row r="116" spans="1:26" s="11" customFormat="1" x14ac:dyDescent="0.25">
      <c r="A116" s="11">
        <f t="shared" si="13"/>
        <v>109</v>
      </c>
      <c r="B116" s="12"/>
      <c r="C116" s="24"/>
      <c r="D116" s="24"/>
      <c r="E116" s="24"/>
      <c r="F116" s="24"/>
      <c r="G116" s="24"/>
      <c r="H116" s="24"/>
      <c r="I116" s="24"/>
      <c r="J116" s="26"/>
      <c r="K116" s="26"/>
      <c r="L116" s="26"/>
      <c r="M116" s="26"/>
      <c r="N116" s="26"/>
      <c r="O116" s="26"/>
      <c r="P116" s="20"/>
      <c r="R116" s="55"/>
      <c r="S116" s="40"/>
      <c r="T116" s="40"/>
      <c r="U116" s="33"/>
      <c r="V116" s="32"/>
      <c r="W116" s="32"/>
      <c r="X116" s="32"/>
      <c r="Y116" s="32"/>
      <c r="Z116" s="15"/>
    </row>
    <row r="117" spans="1:26" s="11" customFormat="1" x14ac:dyDescent="0.25">
      <c r="A117" s="11">
        <f t="shared" si="13"/>
        <v>110</v>
      </c>
      <c r="B117" s="12" t="s">
        <v>114</v>
      </c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19"/>
      <c r="R117" s="55"/>
      <c r="S117" s="40"/>
      <c r="T117" s="40"/>
      <c r="U117" s="31"/>
      <c r="V117" s="32"/>
      <c r="W117" s="32"/>
      <c r="X117" s="32"/>
      <c r="Y117" s="32"/>
      <c r="Z117" s="15"/>
    </row>
    <row r="118" spans="1:26" s="11" customFormat="1" x14ac:dyDescent="0.25">
      <c r="A118" s="11">
        <f t="shared" si="13"/>
        <v>111</v>
      </c>
      <c r="B118" s="12" t="s">
        <v>115</v>
      </c>
      <c r="C118" s="16">
        <v>6955275000</v>
      </c>
      <c r="D118" s="16">
        <v>7055275000</v>
      </c>
      <c r="E118" s="16">
        <v>7055275000</v>
      </c>
      <c r="F118" s="16">
        <v>7055275000</v>
      </c>
      <c r="G118" s="16">
        <v>7055275000</v>
      </c>
      <c r="H118" s="16">
        <v>7055275000</v>
      </c>
      <c r="I118" s="16">
        <v>7055275000</v>
      </c>
      <c r="J118" s="59">
        <v>6705275000</v>
      </c>
      <c r="K118" s="59">
        <v>6705275000</v>
      </c>
      <c r="L118" s="18">
        <v>7705275000</v>
      </c>
      <c r="M118" s="59">
        <v>7705275000</v>
      </c>
      <c r="N118" s="59">
        <v>7705275000</v>
      </c>
      <c r="O118" s="59">
        <v>7705275000</v>
      </c>
      <c r="P118" s="19">
        <f>(C118+2*SUM(D118:N118)+O118)/24</f>
        <v>7182358333.333333</v>
      </c>
      <c r="R118" s="55"/>
      <c r="S118" s="40"/>
      <c r="T118" s="40"/>
      <c r="U118" s="33">
        <f t="shared" ref="U118:U123" si="18">+P118</f>
        <v>7182358333.333333</v>
      </c>
      <c r="V118" s="32"/>
      <c r="W118" s="32"/>
      <c r="X118" s="32"/>
      <c r="Y118" s="32"/>
      <c r="Z118" s="15"/>
    </row>
    <row r="119" spans="1:26" s="11" customFormat="1" x14ac:dyDescent="0.25">
      <c r="A119" s="11">
        <f t="shared" si="13"/>
        <v>112</v>
      </c>
      <c r="B119" s="12" t="s">
        <v>116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59">
        <v>0</v>
      </c>
      <c r="K119" s="59">
        <v>0</v>
      </c>
      <c r="L119" s="59">
        <v>0</v>
      </c>
      <c r="M119" s="59">
        <v>0</v>
      </c>
      <c r="N119" s="59">
        <v>0</v>
      </c>
      <c r="O119" s="59">
        <v>0</v>
      </c>
      <c r="P119" s="19">
        <f>(C119+2*SUM(D119:N119)+O119)/24</f>
        <v>0</v>
      </c>
      <c r="R119" s="55"/>
      <c r="S119" s="40"/>
      <c r="T119" s="40"/>
      <c r="U119" s="33">
        <f t="shared" si="18"/>
        <v>0</v>
      </c>
      <c r="V119" s="32"/>
      <c r="W119" s="32"/>
      <c r="X119" s="32"/>
      <c r="Y119" s="32"/>
      <c r="Z119" s="15"/>
    </row>
    <row r="120" spans="1:26" s="11" customFormat="1" x14ac:dyDescent="0.25">
      <c r="A120" s="11">
        <f t="shared" si="13"/>
        <v>113</v>
      </c>
      <c r="B120" s="12" t="s">
        <v>117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59">
        <v>0</v>
      </c>
      <c r="K120" s="59">
        <v>0</v>
      </c>
      <c r="L120" s="59">
        <v>0</v>
      </c>
      <c r="M120" s="59">
        <v>0</v>
      </c>
      <c r="N120" s="59">
        <v>0</v>
      </c>
      <c r="O120" s="59">
        <v>0</v>
      </c>
      <c r="P120" s="19">
        <f>(C120+2*SUM(D120:N120)+O120)/24</f>
        <v>0</v>
      </c>
      <c r="R120" s="55"/>
      <c r="S120" s="40"/>
      <c r="T120" s="40"/>
      <c r="U120" s="33">
        <f t="shared" si="18"/>
        <v>0</v>
      </c>
      <c r="V120" s="32"/>
      <c r="W120" s="32"/>
      <c r="X120" s="32"/>
      <c r="Y120" s="32"/>
      <c r="Z120" s="15"/>
    </row>
    <row r="121" spans="1:26" s="11" customFormat="1" x14ac:dyDescent="0.25">
      <c r="A121" s="11">
        <f t="shared" si="13"/>
        <v>114</v>
      </c>
      <c r="B121" s="12" t="s">
        <v>118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  <c r="J121" s="59">
        <v>0</v>
      </c>
      <c r="K121" s="59">
        <v>0</v>
      </c>
      <c r="L121" s="59">
        <v>0</v>
      </c>
      <c r="M121" s="59">
        <v>0</v>
      </c>
      <c r="N121" s="59">
        <v>0</v>
      </c>
      <c r="O121" s="59">
        <v>0</v>
      </c>
      <c r="P121" s="19">
        <f>(C121+2*SUM(D121:N121)+O121)/24</f>
        <v>0</v>
      </c>
      <c r="R121" s="55"/>
      <c r="S121" s="40"/>
      <c r="T121" s="40"/>
      <c r="U121" s="33">
        <f t="shared" si="18"/>
        <v>0</v>
      </c>
      <c r="V121" s="32"/>
      <c r="W121" s="32"/>
      <c r="X121" s="32"/>
      <c r="Y121" s="32"/>
      <c r="Z121" s="15"/>
    </row>
    <row r="122" spans="1:26" s="11" customFormat="1" x14ac:dyDescent="0.25">
      <c r="A122" s="11">
        <f t="shared" si="13"/>
        <v>115</v>
      </c>
      <c r="B122" s="12" t="s">
        <v>119</v>
      </c>
      <c r="C122" s="16">
        <v>41535.129999999997</v>
      </c>
      <c r="D122" s="16">
        <v>40616.31</v>
      </c>
      <c r="E122" s="16">
        <v>39697.49</v>
      </c>
      <c r="F122" s="16">
        <v>38778.67</v>
      </c>
      <c r="G122" s="16">
        <v>37859.85</v>
      </c>
      <c r="H122" s="16">
        <v>36941.03</v>
      </c>
      <c r="I122" s="16">
        <v>36022.21</v>
      </c>
      <c r="J122" s="59">
        <v>35103.39</v>
      </c>
      <c r="K122" s="59">
        <v>34184.57</v>
      </c>
      <c r="L122" s="18">
        <v>33265.75</v>
      </c>
      <c r="M122" s="59">
        <v>32346.93</v>
      </c>
      <c r="N122" s="59">
        <v>31428.11</v>
      </c>
      <c r="O122" s="59">
        <v>30509.29</v>
      </c>
      <c r="P122" s="19">
        <f>(C122+2*SUM(D122:N122)+O122)/24</f>
        <v>36022.21</v>
      </c>
      <c r="R122" s="55"/>
      <c r="S122" s="40"/>
      <c r="T122" s="40"/>
      <c r="U122" s="33">
        <f t="shared" si="18"/>
        <v>36022.21</v>
      </c>
      <c r="V122" s="32"/>
      <c r="W122" s="32"/>
      <c r="X122" s="32"/>
      <c r="Y122" s="32"/>
      <c r="Z122" s="15"/>
    </row>
    <row r="123" spans="1:26" s="11" customFormat="1" x14ac:dyDescent="0.25">
      <c r="A123" s="11">
        <f t="shared" si="13"/>
        <v>116</v>
      </c>
      <c r="B123" s="12" t="s">
        <v>120</v>
      </c>
      <c r="C123" s="16">
        <v>9955112.3100000005</v>
      </c>
      <c r="D123" s="16">
        <v>11218078.74</v>
      </c>
      <c r="E123" s="16">
        <v>11137045.16</v>
      </c>
      <c r="F123" s="16">
        <v>11056011.59</v>
      </c>
      <c r="G123" s="16">
        <v>10974978.01</v>
      </c>
      <c r="H123" s="16">
        <v>10893944.449999999</v>
      </c>
      <c r="I123" s="16">
        <v>10793806.710000001</v>
      </c>
      <c r="J123" s="59">
        <v>10731877.300000001</v>
      </c>
      <c r="K123" s="59">
        <v>10669947.9</v>
      </c>
      <c r="L123" s="18">
        <v>14124482.01</v>
      </c>
      <c r="M123" s="59">
        <v>14049016.130000001</v>
      </c>
      <c r="N123" s="59">
        <v>13973550.24</v>
      </c>
      <c r="O123" s="59">
        <v>13898084.359999999</v>
      </c>
      <c r="P123" s="19">
        <f>-(C123+2*SUM(D123:N123)+O123)/24</f>
        <v>-11795778.047916668</v>
      </c>
      <c r="R123" s="55"/>
      <c r="S123" s="40"/>
      <c r="T123" s="40"/>
      <c r="U123" s="33">
        <f t="shared" si="18"/>
        <v>-11795778.047916668</v>
      </c>
      <c r="V123" s="32"/>
      <c r="W123" s="32"/>
      <c r="X123" s="32"/>
      <c r="Y123" s="32"/>
      <c r="Z123" s="15"/>
    </row>
    <row r="124" spans="1:26" s="11" customFormat="1" x14ac:dyDescent="0.25">
      <c r="A124" s="11">
        <f t="shared" si="13"/>
        <v>117</v>
      </c>
      <c r="B124" s="12" t="s">
        <v>121</v>
      </c>
      <c r="C124" s="21">
        <v>6945361422.8199997</v>
      </c>
      <c r="D124" s="21">
        <v>7044097537.5700006</v>
      </c>
      <c r="E124" s="21">
        <v>7044177652.3299999</v>
      </c>
      <c r="F124" s="21">
        <v>7044257767.0799999</v>
      </c>
      <c r="G124" s="21">
        <v>7044337881.8400002</v>
      </c>
      <c r="H124" s="21">
        <v>7044417996.5799999</v>
      </c>
      <c r="I124" s="21">
        <v>7044517215.5</v>
      </c>
      <c r="J124" s="21">
        <v>6694578226.0900002</v>
      </c>
      <c r="K124" s="21">
        <v>6694639236.6700001</v>
      </c>
      <c r="L124" s="21">
        <v>7691183783.7399998</v>
      </c>
      <c r="M124" s="21">
        <v>7691258330.8000002</v>
      </c>
      <c r="N124" s="21">
        <v>7691332877.8699999</v>
      </c>
      <c r="O124" s="21">
        <v>7691407424.9300003</v>
      </c>
      <c r="P124" s="28">
        <f>SUBTOTAL(9,P118:P123)</f>
        <v>7170598577.4954166</v>
      </c>
      <c r="R124" s="35">
        <f>SUBTOTAL(9,R118:R123)</f>
        <v>0</v>
      </c>
      <c r="S124" s="40"/>
      <c r="T124" s="40"/>
      <c r="U124" s="36">
        <f>SUBTOTAL(9,U118:U123)</f>
        <v>7170598577.4954166</v>
      </c>
      <c r="V124" s="32"/>
      <c r="W124" s="32"/>
      <c r="X124" s="32"/>
      <c r="Y124" s="32"/>
      <c r="Z124" s="15"/>
    </row>
    <row r="125" spans="1:26" s="11" customFormat="1" x14ac:dyDescent="0.25">
      <c r="A125" s="11">
        <f t="shared" si="13"/>
        <v>118</v>
      </c>
      <c r="B125" s="12"/>
      <c r="C125" s="24"/>
      <c r="D125" s="24"/>
      <c r="E125" s="24"/>
      <c r="F125" s="24"/>
      <c r="G125" s="24"/>
      <c r="H125" s="24"/>
      <c r="I125" s="24"/>
      <c r="J125" s="26"/>
      <c r="K125" s="26"/>
      <c r="L125" s="26"/>
      <c r="M125" s="26"/>
      <c r="N125" s="26"/>
      <c r="O125" s="26"/>
      <c r="P125" s="20"/>
      <c r="R125" s="55"/>
      <c r="S125" s="40"/>
      <c r="T125" s="40"/>
      <c r="U125" s="33"/>
      <c r="V125" s="32"/>
      <c r="W125" s="32"/>
      <c r="X125" s="32"/>
      <c r="Y125" s="32"/>
      <c r="Z125" s="15"/>
    </row>
    <row r="126" spans="1:26" s="11" customFormat="1" x14ac:dyDescent="0.25">
      <c r="A126" s="11">
        <f t="shared" si="13"/>
        <v>119</v>
      </c>
      <c r="B126" s="12" t="s">
        <v>122</v>
      </c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19"/>
      <c r="R126" s="55"/>
      <c r="S126" s="40"/>
      <c r="T126" s="40"/>
      <c r="U126" s="31"/>
      <c r="V126" s="32"/>
      <c r="W126" s="32"/>
      <c r="X126" s="32"/>
      <c r="Y126" s="32"/>
      <c r="Z126" s="15"/>
    </row>
    <row r="127" spans="1:26" s="11" customFormat="1" x14ac:dyDescent="0.25">
      <c r="A127" s="11">
        <f t="shared" si="13"/>
        <v>120</v>
      </c>
      <c r="B127" s="12" t="s">
        <v>123</v>
      </c>
      <c r="C127" s="16">
        <v>17486721.77</v>
      </c>
      <c r="D127" s="16">
        <v>17394113.949999999</v>
      </c>
      <c r="E127" s="16">
        <v>17300508.469999999</v>
      </c>
      <c r="F127" s="16">
        <v>17089247.829999998</v>
      </c>
      <c r="G127" s="16">
        <v>16992606.170000002</v>
      </c>
      <c r="H127" s="16">
        <v>16894926</v>
      </c>
      <c r="I127" s="16">
        <v>18996629.800000001</v>
      </c>
      <c r="J127" s="59">
        <v>18903944.120000001</v>
      </c>
      <c r="K127" s="59">
        <v>30354309.98</v>
      </c>
      <c r="L127" s="59">
        <v>30250715.350000001</v>
      </c>
      <c r="M127" s="59">
        <v>30029485.969999999</v>
      </c>
      <c r="N127" s="59">
        <v>29856880.350000001</v>
      </c>
      <c r="O127" s="59">
        <v>29423358.899999999</v>
      </c>
      <c r="P127" s="19">
        <f t="shared" ref="P127:P135" si="19">(C127+2*SUM(D127:N127)+O127)/24</f>
        <v>22293200.693749998</v>
      </c>
      <c r="R127" s="55"/>
      <c r="S127" s="40"/>
      <c r="T127" s="37"/>
      <c r="U127" s="33">
        <f>+P127</f>
        <v>22293200.693749998</v>
      </c>
      <c r="V127" s="32"/>
      <c r="W127" s="32"/>
      <c r="X127" s="32"/>
      <c r="Y127" s="32"/>
      <c r="Z127" s="15"/>
    </row>
    <row r="128" spans="1:26" s="11" customFormat="1" x14ac:dyDescent="0.25">
      <c r="A128" s="11">
        <f t="shared" si="13"/>
        <v>121</v>
      </c>
      <c r="B128" s="12" t="s">
        <v>124</v>
      </c>
      <c r="C128" s="24">
        <v>7285755.8300000001</v>
      </c>
      <c r="D128" s="24">
        <v>7506108.3499999996</v>
      </c>
      <c r="E128" s="24">
        <v>7719300.7999999998</v>
      </c>
      <c r="F128" s="24">
        <v>7937266.6299999999</v>
      </c>
      <c r="G128" s="24">
        <v>8155232.46</v>
      </c>
      <c r="H128" s="24">
        <v>8373198.29</v>
      </c>
      <c r="I128" s="24">
        <v>8591841.1999999993</v>
      </c>
      <c r="J128" s="59">
        <v>8809807.0299999993</v>
      </c>
      <c r="K128" s="59">
        <v>8287853.8600000003</v>
      </c>
      <c r="L128" s="59">
        <v>9245738.6899999995</v>
      </c>
      <c r="M128" s="59">
        <v>8530929.6500000004</v>
      </c>
      <c r="N128" s="59">
        <v>8741550.0500000007</v>
      </c>
      <c r="O128" s="59">
        <v>8955526.0600000005</v>
      </c>
      <c r="P128" s="19">
        <f t="shared" si="19"/>
        <v>8334955.6629166678</v>
      </c>
      <c r="R128" s="55"/>
      <c r="S128" s="40"/>
      <c r="T128" s="37">
        <f>-P128</f>
        <v>-8334955.6629166678</v>
      </c>
      <c r="U128" s="33"/>
      <c r="V128" s="32">
        <f>[11]Report!$K$2669</f>
        <v>0</v>
      </c>
      <c r="W128" s="32">
        <f>[11]Report!$J$2669</f>
        <v>-8334955.6629166594</v>
      </c>
      <c r="X128" s="32">
        <f>-P128-V128-W128</f>
        <v>-8.3819031715393066E-9</v>
      </c>
      <c r="Y128" s="32">
        <f>+X128+W128+V128</f>
        <v>-8334955.6629166678</v>
      </c>
      <c r="Z128" s="15">
        <f t="shared" ref="Z128:Z166" si="20">T128-Y128</f>
        <v>0</v>
      </c>
    </row>
    <row r="129" spans="1:26" s="11" customFormat="1" x14ac:dyDescent="0.25">
      <c r="A129" s="11">
        <f t="shared" si="13"/>
        <v>122</v>
      </c>
      <c r="B129" s="12" t="s">
        <v>125</v>
      </c>
      <c r="C129" s="16">
        <v>14525721.66</v>
      </c>
      <c r="D129" s="16">
        <v>14589797.6</v>
      </c>
      <c r="E129" s="16">
        <v>16100693.439999999</v>
      </c>
      <c r="F129" s="16">
        <v>21223122</v>
      </c>
      <c r="G129" s="16">
        <v>21579267.510000002</v>
      </c>
      <c r="H129" s="16">
        <v>21452759.280000001</v>
      </c>
      <c r="I129" s="16">
        <v>23791640.600000001</v>
      </c>
      <c r="J129" s="59">
        <v>23410137.16</v>
      </c>
      <c r="K129" s="59">
        <v>23639936.010000002</v>
      </c>
      <c r="L129" s="59">
        <v>23790214.010000002</v>
      </c>
      <c r="M129" s="59">
        <v>24386382.780000001</v>
      </c>
      <c r="N129" s="59">
        <v>24469897.109999999</v>
      </c>
      <c r="O129" s="59">
        <v>25048966.43</v>
      </c>
      <c r="P129" s="19">
        <f>(C129+2*SUM(D129:N129)+O129)/24</f>
        <v>21518432.62875</v>
      </c>
      <c r="R129" s="38"/>
      <c r="S129" s="37"/>
      <c r="T129" s="37">
        <f>-P129</f>
        <v>-21518432.62875</v>
      </c>
      <c r="U129" s="33"/>
      <c r="V129" s="32">
        <f>[11]Report!$K$2670+[11]Report!$K$2672</f>
        <v>-896257.99095594953</v>
      </c>
      <c r="W129" s="32">
        <f>[11]Report!$J$2670+[11]Report!$J$2672</f>
        <v>-20622174.637794081</v>
      </c>
      <c r="X129" s="32">
        <f>-P129-V129-W129</f>
        <v>2.9802322387695313E-8</v>
      </c>
      <c r="Y129" s="32">
        <f>+X129+W129+V129</f>
        <v>-21518432.62875</v>
      </c>
      <c r="Z129" s="15">
        <f t="shared" si="20"/>
        <v>0</v>
      </c>
    </row>
    <row r="130" spans="1:26" s="11" customFormat="1" x14ac:dyDescent="0.25">
      <c r="A130" s="11">
        <f t="shared" si="13"/>
        <v>123</v>
      </c>
      <c r="B130" s="12" t="s">
        <v>126</v>
      </c>
      <c r="C130" s="16">
        <v>149052072.91999999</v>
      </c>
      <c r="D130" s="16">
        <v>146375327.71000001</v>
      </c>
      <c r="E130" s="16">
        <v>144197013.28999999</v>
      </c>
      <c r="F130" s="16">
        <v>141303162.41</v>
      </c>
      <c r="G130" s="16">
        <v>138367282.16</v>
      </c>
      <c r="H130" s="16">
        <v>135574965.31</v>
      </c>
      <c r="I130" s="16">
        <v>190648667.78999999</v>
      </c>
      <c r="J130" s="59">
        <v>187601532.66999999</v>
      </c>
      <c r="K130" s="59">
        <v>184681247.18000001</v>
      </c>
      <c r="L130" s="59">
        <v>182545179.38</v>
      </c>
      <c r="M130" s="59">
        <v>181970413.68000001</v>
      </c>
      <c r="N130" s="59">
        <v>179610319.52000001</v>
      </c>
      <c r="O130" s="59">
        <v>177685893.19999999</v>
      </c>
      <c r="P130" s="19">
        <f t="shared" si="19"/>
        <v>164687007.84666666</v>
      </c>
      <c r="R130" s="55"/>
      <c r="S130" s="37">
        <v>84316896.700833336</v>
      </c>
      <c r="T130" s="37">
        <f>-P130+S130</f>
        <v>-80370111.145833328</v>
      </c>
      <c r="U130" s="33"/>
      <c r="V130" s="32">
        <f>[11]Report!$K$2671</f>
        <v>-162553.8700672994</v>
      </c>
      <c r="W130" s="32">
        <f>[11]Report!$J$2671</f>
        <v>-2262985.3799327007</v>
      </c>
      <c r="X130" s="32">
        <f>T130-V130-W130</f>
        <v>-77944571.895833328</v>
      </c>
      <c r="Y130" s="32">
        <f t="shared" ref="Y130:Y135" si="21">+X130+V130+W130</f>
        <v>-80370111.145833328</v>
      </c>
      <c r="Z130" s="15">
        <f t="shared" si="20"/>
        <v>0</v>
      </c>
    </row>
    <row r="131" spans="1:26" s="11" customFormat="1" x14ac:dyDescent="0.25">
      <c r="A131" s="11">
        <f t="shared" si="13"/>
        <v>124</v>
      </c>
      <c r="B131" s="12" t="s">
        <v>127</v>
      </c>
      <c r="C131" s="16">
        <v>34324163.229999997</v>
      </c>
      <c r="D131" s="16">
        <v>34256265.950000003</v>
      </c>
      <c r="E131" s="16">
        <v>34329965.369999997</v>
      </c>
      <c r="F131" s="16">
        <v>34482083.93</v>
      </c>
      <c r="G131" s="16">
        <v>34603881.18</v>
      </c>
      <c r="H131" s="16">
        <v>34692420.859999999</v>
      </c>
      <c r="I131" s="16">
        <v>34600459.439999998</v>
      </c>
      <c r="J131" s="59">
        <v>34073013.32</v>
      </c>
      <c r="K131" s="59">
        <v>34193931.68</v>
      </c>
      <c r="L131" s="59">
        <v>34345092.700000003</v>
      </c>
      <c r="M131" s="59">
        <v>34386869.130000003</v>
      </c>
      <c r="N131" s="59">
        <v>34488330.359999999</v>
      </c>
      <c r="O131" s="59">
        <v>34488343</v>
      </c>
      <c r="P131" s="19">
        <f t="shared" si="19"/>
        <v>34404880.58625</v>
      </c>
      <c r="R131" s="55"/>
      <c r="S131" s="37"/>
      <c r="T131" s="37">
        <f>-P131</f>
        <v>-34404880.58625</v>
      </c>
      <c r="U131" s="33"/>
      <c r="V131" s="32">
        <f>[11]Report!$K$2679</f>
        <v>-123389.23719499439</v>
      </c>
      <c r="W131" s="32">
        <f>[11]Report!$J$2679</f>
        <v>-448461.04280500562</v>
      </c>
      <c r="X131" s="32">
        <f>-P131-V131-W131</f>
        <v>-33833030.306249999</v>
      </c>
      <c r="Y131" s="32">
        <f t="shared" si="21"/>
        <v>-34404880.58625</v>
      </c>
      <c r="Z131" s="15">
        <f t="shared" si="20"/>
        <v>0</v>
      </c>
    </row>
    <row r="132" spans="1:26" s="11" customFormat="1" x14ac:dyDescent="0.25">
      <c r="A132" s="11">
        <f t="shared" si="13"/>
        <v>125</v>
      </c>
      <c r="B132" s="12" t="s">
        <v>128</v>
      </c>
      <c r="C132" s="60">
        <v>2010611.75</v>
      </c>
      <c r="D132" s="60">
        <v>1231061.52</v>
      </c>
      <c r="E132" s="60">
        <v>1231061.52</v>
      </c>
      <c r="F132" s="60">
        <v>1231061.52</v>
      </c>
      <c r="G132" s="60">
        <v>1231061.52</v>
      </c>
      <c r="H132" s="60">
        <v>1231061.52</v>
      </c>
      <c r="I132" s="60">
        <v>2551061.52</v>
      </c>
      <c r="J132" s="59">
        <v>2551061.52</v>
      </c>
      <c r="K132" s="59">
        <v>2551061.52</v>
      </c>
      <c r="L132" s="59">
        <v>2551061.52</v>
      </c>
      <c r="M132" s="59">
        <v>2551061.52</v>
      </c>
      <c r="N132" s="59">
        <v>1977845.05</v>
      </c>
      <c r="O132" s="59">
        <v>1231061.52</v>
      </c>
      <c r="P132" s="19">
        <f t="shared" si="19"/>
        <v>1875774.7404166667</v>
      </c>
      <c r="R132" s="55"/>
      <c r="S132" s="40"/>
      <c r="T132" s="37">
        <f>-P132</f>
        <v>-1875774.7404166667</v>
      </c>
      <c r="U132" s="33"/>
      <c r="V132" s="32"/>
      <c r="W132" s="32"/>
      <c r="X132" s="32">
        <f>-P132-V132-W132</f>
        <v>-1875774.7404166667</v>
      </c>
      <c r="Y132" s="32">
        <f t="shared" si="21"/>
        <v>-1875774.7404166667</v>
      </c>
      <c r="Z132" s="15">
        <f t="shared" si="20"/>
        <v>0</v>
      </c>
    </row>
    <row r="133" spans="1:26" s="11" customFormat="1" x14ac:dyDescent="0.25">
      <c r="A133" s="11">
        <f t="shared" si="13"/>
        <v>126</v>
      </c>
      <c r="B133" s="12" t="s">
        <v>129</v>
      </c>
      <c r="C133" s="16">
        <v>31997792.109999999</v>
      </c>
      <c r="D133" s="16">
        <v>28270625.550000001</v>
      </c>
      <c r="E133" s="16">
        <v>22290105.59</v>
      </c>
      <c r="F133" s="16">
        <v>22058042.530000001</v>
      </c>
      <c r="G133" s="16">
        <v>22368012.699999999</v>
      </c>
      <c r="H133" s="16">
        <v>21010016.670000002</v>
      </c>
      <c r="I133" s="16">
        <v>24683755.57</v>
      </c>
      <c r="J133" s="59">
        <v>23225751.219999999</v>
      </c>
      <c r="K133" s="59">
        <v>21902924.800000001</v>
      </c>
      <c r="L133" s="59">
        <v>23744036.16</v>
      </c>
      <c r="M133" s="59">
        <v>21599114.48</v>
      </c>
      <c r="N133" s="59">
        <v>24835638.57</v>
      </c>
      <c r="O133" s="59">
        <v>22366786.140000001</v>
      </c>
      <c r="P133" s="19">
        <f t="shared" si="19"/>
        <v>23597526.080416664</v>
      </c>
      <c r="R133" s="55"/>
      <c r="S133" s="37"/>
      <c r="T133" s="65">
        <f>-P133</f>
        <v>-23597526.080416664</v>
      </c>
      <c r="U133" s="33"/>
      <c r="V133" s="32"/>
      <c r="W133" s="32"/>
      <c r="X133" s="32">
        <f>T133-V133-W133</f>
        <v>-23597526.080416664</v>
      </c>
      <c r="Y133" s="32">
        <f t="shared" si="21"/>
        <v>-23597526.080416664</v>
      </c>
      <c r="Z133" s="15">
        <f t="shared" si="20"/>
        <v>0</v>
      </c>
    </row>
    <row r="134" spans="1:26" s="11" customFormat="1" x14ac:dyDescent="0.25">
      <c r="A134" s="11">
        <f t="shared" si="13"/>
        <v>127</v>
      </c>
      <c r="B134" s="12" t="s">
        <v>130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  <c r="J134" s="59">
        <v>0</v>
      </c>
      <c r="K134" s="59">
        <v>0</v>
      </c>
      <c r="L134" s="59">
        <v>0</v>
      </c>
      <c r="M134" s="59">
        <v>0</v>
      </c>
      <c r="N134" s="59">
        <v>0</v>
      </c>
      <c r="O134" s="59">
        <v>0</v>
      </c>
      <c r="P134" s="19">
        <f t="shared" si="19"/>
        <v>0</v>
      </c>
      <c r="R134" s="55"/>
      <c r="S134" s="40"/>
      <c r="T134" s="40"/>
      <c r="U134" s="33"/>
      <c r="V134" s="32"/>
      <c r="W134" s="32"/>
      <c r="X134" s="32"/>
      <c r="Y134" s="32">
        <f t="shared" si="21"/>
        <v>0</v>
      </c>
      <c r="Z134" s="15">
        <f t="shared" si="20"/>
        <v>0</v>
      </c>
    </row>
    <row r="135" spans="1:26" s="11" customFormat="1" x14ac:dyDescent="0.25">
      <c r="A135" s="11">
        <f t="shared" si="13"/>
        <v>128</v>
      </c>
      <c r="B135" s="12" t="s">
        <v>131</v>
      </c>
      <c r="C135" s="16">
        <v>227378182.77000001</v>
      </c>
      <c r="D135" s="16">
        <v>227661424.27000001</v>
      </c>
      <c r="E135" s="16">
        <v>227779667.47999999</v>
      </c>
      <c r="F135" s="16">
        <v>228314297.41</v>
      </c>
      <c r="G135" s="16">
        <v>228992529.69</v>
      </c>
      <c r="H135" s="16">
        <v>229230687.08000001</v>
      </c>
      <c r="I135" s="16">
        <v>227371810.59999999</v>
      </c>
      <c r="J135" s="59">
        <v>228007496.28999999</v>
      </c>
      <c r="K135" s="59">
        <v>228622682.68000001</v>
      </c>
      <c r="L135" s="59">
        <v>226870253.97999999</v>
      </c>
      <c r="M135" s="59">
        <v>227344127.61000001</v>
      </c>
      <c r="N135" s="59">
        <v>227525791.84</v>
      </c>
      <c r="O135" s="59">
        <v>231439623.31999999</v>
      </c>
      <c r="P135" s="19">
        <f t="shared" si="19"/>
        <v>228094139.33124998</v>
      </c>
      <c r="R135" s="55"/>
      <c r="S135" s="40"/>
      <c r="T135" s="37">
        <f>-P135</f>
        <v>-228094139.33124998</v>
      </c>
      <c r="U135" s="33"/>
      <c r="V135" s="32">
        <f>SUM([11]Report!$K$2630:$K$2633)</f>
        <v>0</v>
      </c>
      <c r="W135" s="32">
        <f>SUM([11]Report!$J$2630:$J$2633)</f>
        <v>-8267790.4500000002</v>
      </c>
      <c r="X135" s="32">
        <f>-P135-V135-W135</f>
        <v>-219826348.88124999</v>
      </c>
      <c r="Y135" s="32">
        <f t="shared" si="21"/>
        <v>-228094139.33124998</v>
      </c>
      <c r="Z135" s="15">
        <f t="shared" si="20"/>
        <v>0</v>
      </c>
    </row>
    <row r="136" spans="1:26" s="11" customFormat="1" x14ac:dyDescent="0.25">
      <c r="A136" s="11">
        <f t="shared" si="13"/>
        <v>129</v>
      </c>
      <c r="B136" s="12" t="s">
        <v>132</v>
      </c>
      <c r="C136" s="21">
        <v>484061022.03999996</v>
      </c>
      <c r="D136" s="21">
        <v>477284724.90000004</v>
      </c>
      <c r="E136" s="21">
        <v>470948315.96000004</v>
      </c>
      <c r="F136" s="21">
        <v>473638284.25999999</v>
      </c>
      <c r="G136" s="21">
        <v>472289873.38999999</v>
      </c>
      <c r="H136" s="21">
        <v>468460035.00999999</v>
      </c>
      <c r="I136" s="21">
        <v>531235866.51999998</v>
      </c>
      <c r="J136" s="21">
        <v>526582743.32999992</v>
      </c>
      <c r="K136" s="21">
        <v>534233947.71000004</v>
      </c>
      <c r="L136" s="21">
        <v>533342291.78999996</v>
      </c>
      <c r="M136" s="21">
        <v>530798384.82000005</v>
      </c>
      <c r="N136" s="21">
        <v>531506252.85000002</v>
      </c>
      <c r="O136" s="21">
        <v>530639558.56999993</v>
      </c>
      <c r="P136" s="28">
        <f>SUBTOTAL(9,P127:P135)</f>
        <v>504805917.57041669</v>
      </c>
      <c r="Q136" s="1"/>
      <c r="R136" s="35">
        <f t="shared" ref="R136:X136" si="22">SUBTOTAL(9,R127:R135)</f>
        <v>0</v>
      </c>
      <c r="S136" s="34">
        <f t="shared" si="22"/>
        <v>84316896.700833336</v>
      </c>
      <c r="T136" s="34">
        <f t="shared" si="22"/>
        <v>-398195820.17583334</v>
      </c>
      <c r="U136" s="36">
        <f t="shared" si="22"/>
        <v>22293200.693749998</v>
      </c>
      <c r="V136" s="34">
        <f t="shared" si="22"/>
        <v>-1182201.0982182433</v>
      </c>
      <c r="W136" s="34">
        <f t="shared" si="22"/>
        <v>-39936367.173448451</v>
      </c>
      <c r="X136" s="34">
        <f t="shared" si="22"/>
        <v>-357077251.90416664</v>
      </c>
      <c r="Y136" s="32"/>
      <c r="Z136" s="15"/>
    </row>
    <row r="137" spans="1:26" s="11" customFormat="1" x14ac:dyDescent="0.25">
      <c r="A137" s="11">
        <f t="shared" ref="A137:A183" si="23">+A136+1</f>
        <v>130</v>
      </c>
      <c r="B137" s="12"/>
      <c r="C137" s="24"/>
      <c r="D137" s="24"/>
      <c r="E137" s="24"/>
      <c r="F137" s="24"/>
      <c r="G137" s="24"/>
      <c r="H137" s="24"/>
      <c r="I137" s="24"/>
      <c r="J137" s="26"/>
      <c r="K137" s="26"/>
      <c r="L137" s="26"/>
      <c r="M137" s="26"/>
      <c r="N137" s="26"/>
      <c r="O137" s="26"/>
      <c r="P137" s="20"/>
      <c r="Q137" s="1"/>
      <c r="R137" s="55"/>
      <c r="S137" s="37"/>
      <c r="T137" s="37"/>
      <c r="U137" s="33"/>
      <c r="V137" s="37"/>
      <c r="W137" s="37"/>
      <c r="X137" s="37"/>
      <c r="Y137" s="32"/>
      <c r="Z137" s="15">
        <f t="shared" si="20"/>
        <v>0</v>
      </c>
    </row>
    <row r="138" spans="1:26" s="11" customFormat="1" x14ac:dyDescent="0.25">
      <c r="A138" s="11">
        <f t="shared" si="23"/>
        <v>131</v>
      </c>
      <c r="B138" s="12" t="s">
        <v>133</v>
      </c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19"/>
      <c r="R138" s="55"/>
      <c r="S138" s="40"/>
      <c r="T138" s="40"/>
      <c r="U138" s="31"/>
      <c r="V138" s="32"/>
      <c r="W138" s="32"/>
      <c r="X138" s="32"/>
      <c r="Y138" s="32"/>
      <c r="Z138" s="15">
        <f t="shared" si="20"/>
        <v>0</v>
      </c>
    </row>
    <row r="139" spans="1:26" s="11" customFormat="1" x14ac:dyDescent="0.25">
      <c r="A139" s="11">
        <f t="shared" si="23"/>
        <v>132</v>
      </c>
      <c r="B139" s="12" t="s">
        <v>134</v>
      </c>
      <c r="C139" s="24">
        <v>108000000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  <c r="I139" s="24">
        <v>30000000</v>
      </c>
      <c r="J139" s="61">
        <v>361000000</v>
      </c>
      <c r="K139" s="59">
        <v>244000000</v>
      </c>
      <c r="L139" s="59">
        <v>0</v>
      </c>
      <c r="M139" s="59">
        <v>0</v>
      </c>
      <c r="N139" s="59">
        <v>0</v>
      </c>
      <c r="O139" s="59">
        <v>0</v>
      </c>
      <c r="P139" s="19">
        <f t="shared" ref="P139:P152" si="24">(C139+2*SUM(D139:N139)+O139)/24</f>
        <v>57416666.666666664</v>
      </c>
      <c r="R139" s="55"/>
      <c r="S139" s="37"/>
      <c r="T139" s="40"/>
      <c r="U139" s="33">
        <f>+P139</f>
        <v>57416666.666666664</v>
      </c>
      <c r="V139" s="32"/>
      <c r="W139" s="32"/>
      <c r="X139" s="32"/>
      <c r="Y139" s="32"/>
      <c r="Z139" s="15">
        <f t="shared" si="20"/>
        <v>0</v>
      </c>
    </row>
    <row r="140" spans="1:26" s="11" customFormat="1" x14ac:dyDescent="0.25">
      <c r="A140" s="11">
        <f t="shared" si="23"/>
        <v>133</v>
      </c>
      <c r="B140" s="12" t="s">
        <v>135</v>
      </c>
      <c r="C140" s="16">
        <v>396263769.63</v>
      </c>
      <c r="D140" s="16">
        <v>472705799.48000002</v>
      </c>
      <c r="E140" s="16">
        <v>478553249.02999997</v>
      </c>
      <c r="F140" s="16">
        <v>451927436.19999999</v>
      </c>
      <c r="G140" s="16">
        <v>461453212.42000002</v>
      </c>
      <c r="H140" s="16">
        <v>635055939.80999994</v>
      </c>
      <c r="I140" s="16">
        <v>523289312.38999999</v>
      </c>
      <c r="J140" s="61">
        <v>502156787.01999998</v>
      </c>
      <c r="K140" s="59">
        <v>542465597.03999996</v>
      </c>
      <c r="L140" s="59">
        <v>544697546.15999997</v>
      </c>
      <c r="M140" s="59">
        <v>623718939.25999999</v>
      </c>
      <c r="N140" s="59">
        <v>661079066.82000005</v>
      </c>
      <c r="O140" s="59">
        <v>659366212.88999999</v>
      </c>
      <c r="P140" s="19">
        <f t="shared" si="24"/>
        <v>535409823.0741666</v>
      </c>
      <c r="R140" s="55"/>
      <c r="S140" s="37">
        <f>P140</f>
        <v>535409823.0741666</v>
      </c>
      <c r="T140" s="40"/>
      <c r="U140" s="31"/>
      <c r="V140" s="32"/>
      <c r="W140" s="32"/>
      <c r="X140" s="32"/>
      <c r="Y140" s="32"/>
      <c r="Z140" s="15">
        <f t="shared" si="20"/>
        <v>0</v>
      </c>
    </row>
    <row r="141" spans="1:26" s="11" customFormat="1" x14ac:dyDescent="0.25">
      <c r="A141" s="11">
        <f t="shared" si="23"/>
        <v>134</v>
      </c>
      <c r="B141" s="12" t="s">
        <v>136</v>
      </c>
      <c r="C141" s="60">
        <v>0</v>
      </c>
      <c r="D141" s="60">
        <v>0</v>
      </c>
      <c r="E141" s="60">
        <v>0</v>
      </c>
      <c r="F141" s="60">
        <v>0</v>
      </c>
      <c r="G141" s="60">
        <v>0</v>
      </c>
      <c r="H141" s="60">
        <v>0</v>
      </c>
      <c r="I141" s="60">
        <v>31009816.670000002</v>
      </c>
      <c r="J141" s="61">
        <v>31071170.829999998</v>
      </c>
      <c r="K141" s="59">
        <v>31064209.920000002</v>
      </c>
      <c r="L141" s="59">
        <v>0</v>
      </c>
      <c r="M141" s="59">
        <v>0</v>
      </c>
      <c r="N141" s="59">
        <v>0</v>
      </c>
      <c r="O141" s="59">
        <v>0</v>
      </c>
      <c r="P141" s="19">
        <f t="shared" si="24"/>
        <v>7762099.7850000001</v>
      </c>
      <c r="R141" s="55"/>
      <c r="S141" s="37">
        <f>P141</f>
        <v>7762099.7850000001</v>
      </c>
      <c r="T141" s="40"/>
      <c r="U141" s="31"/>
      <c r="V141" s="32"/>
      <c r="W141" s="32"/>
      <c r="X141" s="32"/>
      <c r="Y141" s="32"/>
      <c r="Z141" s="15">
        <f t="shared" si="20"/>
        <v>0</v>
      </c>
    </row>
    <row r="142" spans="1:26" s="11" customFormat="1" x14ac:dyDescent="0.25">
      <c r="A142" s="11">
        <f t="shared" si="23"/>
        <v>135</v>
      </c>
      <c r="B142" s="12" t="s">
        <v>137</v>
      </c>
      <c r="C142" s="16">
        <v>136852060.59999999</v>
      </c>
      <c r="D142" s="16">
        <v>139882469.43000001</v>
      </c>
      <c r="E142" s="16">
        <v>144334649.36000001</v>
      </c>
      <c r="F142" s="16">
        <v>139109202.66</v>
      </c>
      <c r="G142" s="16">
        <v>145324260.53999999</v>
      </c>
      <c r="H142" s="16">
        <v>141905095.86000001</v>
      </c>
      <c r="I142" s="16">
        <v>136903471.30000001</v>
      </c>
      <c r="J142" s="61">
        <v>145877515.91999999</v>
      </c>
      <c r="K142" s="59">
        <v>144152001.06</v>
      </c>
      <c r="L142" s="59">
        <v>144136213.97999999</v>
      </c>
      <c r="M142" s="59">
        <v>139514640.36000001</v>
      </c>
      <c r="N142" s="59">
        <v>133069816.42</v>
      </c>
      <c r="O142" s="59">
        <v>135951794.37</v>
      </c>
      <c r="P142" s="19">
        <f t="shared" si="24"/>
        <v>140884272.03125003</v>
      </c>
      <c r="R142" s="55"/>
      <c r="S142" s="37">
        <f>P142</f>
        <v>140884272.03125003</v>
      </c>
      <c r="T142" s="40"/>
      <c r="U142" s="31"/>
      <c r="V142" s="32"/>
      <c r="W142" s="32"/>
      <c r="X142" s="32"/>
      <c r="Y142" s="32"/>
      <c r="Z142" s="15">
        <f t="shared" si="20"/>
        <v>0</v>
      </c>
    </row>
    <row r="143" spans="1:26" s="11" customFormat="1" x14ac:dyDescent="0.25">
      <c r="A143" s="11">
        <f t="shared" si="23"/>
        <v>136</v>
      </c>
      <c r="B143" s="12" t="s">
        <v>138</v>
      </c>
      <c r="C143" s="16">
        <v>49938874.670000002</v>
      </c>
      <c r="D143" s="16">
        <v>46783935.210000001</v>
      </c>
      <c r="E143" s="16">
        <v>47214448.590000004</v>
      </c>
      <c r="F143" s="16">
        <v>48418079.259999998</v>
      </c>
      <c r="G143" s="16">
        <v>49007652.409999996</v>
      </c>
      <c r="H143" s="16">
        <v>49262264.100000001</v>
      </c>
      <c r="I143" s="16">
        <v>49781901.990000002</v>
      </c>
      <c r="J143" s="61">
        <v>47607028.049999997</v>
      </c>
      <c r="K143" s="59">
        <v>46263818.109999999</v>
      </c>
      <c r="L143" s="59">
        <v>49452078.659999996</v>
      </c>
      <c r="M143" s="59">
        <v>46571383.75</v>
      </c>
      <c r="N143" s="59">
        <v>46307499.759999998</v>
      </c>
      <c r="O143" s="59">
        <v>45832361.520000003</v>
      </c>
      <c r="P143" s="19">
        <f t="shared" si="24"/>
        <v>47879642.332083337</v>
      </c>
      <c r="R143" s="55"/>
      <c r="S143" s="37"/>
      <c r="T143" s="37">
        <f>-P143</f>
        <v>-47879642.332083337</v>
      </c>
      <c r="U143" s="31"/>
      <c r="V143" s="32">
        <f>[11]Report!$K$2667</f>
        <v>0</v>
      </c>
      <c r="W143" s="32">
        <f>+T143-V143</f>
        <v>-47879642.332083337</v>
      </c>
      <c r="X143" s="32"/>
      <c r="Y143" s="32">
        <f>+X143+V143+W143</f>
        <v>-47879642.332083337</v>
      </c>
      <c r="Z143" s="15">
        <f t="shared" si="20"/>
        <v>0</v>
      </c>
    </row>
    <row r="144" spans="1:26" s="11" customFormat="1" x14ac:dyDescent="0.25">
      <c r="A144" s="11">
        <f t="shared" si="23"/>
        <v>137</v>
      </c>
      <c r="B144" s="12" t="s">
        <v>139</v>
      </c>
      <c r="C144" s="16">
        <v>116555635.40000001</v>
      </c>
      <c r="D144" s="16">
        <v>140674223.61000001</v>
      </c>
      <c r="E144" s="16">
        <v>229039922.06999999</v>
      </c>
      <c r="F144" s="16">
        <v>191643497.13999999</v>
      </c>
      <c r="G144" s="16">
        <v>213660704.52000001</v>
      </c>
      <c r="H144" s="16">
        <v>110106101.45</v>
      </c>
      <c r="I144" s="16">
        <v>48581846.950000003</v>
      </c>
      <c r="J144" s="61">
        <v>75969103.739999995</v>
      </c>
      <c r="K144" s="59">
        <v>93931964.769999996</v>
      </c>
      <c r="L144" s="59">
        <v>114017537.44</v>
      </c>
      <c r="M144" s="59">
        <v>116858994.86</v>
      </c>
      <c r="N144" s="59">
        <v>128157176.98</v>
      </c>
      <c r="O144" s="59">
        <v>160667541.5</v>
      </c>
      <c r="P144" s="19">
        <f t="shared" si="24"/>
        <v>133437721.83166666</v>
      </c>
      <c r="R144" s="55"/>
      <c r="S144" s="37">
        <f t="shared" ref="S144:S149" si="25">P144</f>
        <v>133437721.83166666</v>
      </c>
      <c r="T144" s="40"/>
      <c r="U144" s="31"/>
      <c r="V144" s="32"/>
      <c r="W144" s="32"/>
      <c r="X144" s="32"/>
      <c r="Y144" s="32"/>
      <c r="Z144" s="15">
        <f t="shared" si="20"/>
        <v>0</v>
      </c>
    </row>
    <row r="145" spans="1:26" s="11" customFormat="1" x14ac:dyDescent="0.25">
      <c r="A145" s="11">
        <f t="shared" si="23"/>
        <v>138</v>
      </c>
      <c r="B145" s="12" t="s">
        <v>140</v>
      </c>
      <c r="C145" s="16">
        <v>115886363.54000001</v>
      </c>
      <c r="D145" s="16">
        <v>85230549.700000003</v>
      </c>
      <c r="E145" s="16">
        <v>77713946.200000003</v>
      </c>
      <c r="F145" s="16">
        <v>107016404.43000001</v>
      </c>
      <c r="G145" s="16">
        <v>87836524.659999996</v>
      </c>
      <c r="H145" s="16">
        <v>105680691.76000001</v>
      </c>
      <c r="I145" s="16">
        <v>114623110.93000001</v>
      </c>
      <c r="J145" s="61">
        <v>84582990.480000004</v>
      </c>
      <c r="K145" s="59">
        <v>82596304.269999996</v>
      </c>
      <c r="L145" s="59">
        <v>105973333.22</v>
      </c>
      <c r="M145" s="59">
        <v>88443191.780000001</v>
      </c>
      <c r="N145" s="59">
        <v>107779739.23</v>
      </c>
      <c r="O145" s="59">
        <v>114755188.28</v>
      </c>
      <c r="P145" s="19">
        <f t="shared" si="24"/>
        <v>96899796.880833343</v>
      </c>
      <c r="R145" s="55"/>
      <c r="S145" s="37">
        <f t="shared" si="25"/>
        <v>96899796.880833343</v>
      </c>
      <c r="T145" s="40"/>
      <c r="U145" s="31"/>
      <c r="V145" s="32"/>
      <c r="W145" s="32"/>
      <c r="X145" s="32"/>
      <c r="Y145" s="32"/>
      <c r="Z145" s="15">
        <f t="shared" si="20"/>
        <v>0</v>
      </c>
    </row>
    <row r="146" spans="1:26" s="11" customFormat="1" x14ac:dyDescent="0.25">
      <c r="A146" s="11">
        <f t="shared" si="23"/>
        <v>139</v>
      </c>
      <c r="B146" s="12" t="s">
        <v>141</v>
      </c>
      <c r="C146" s="16">
        <v>40475.49</v>
      </c>
      <c r="D146" s="16">
        <v>40475.49</v>
      </c>
      <c r="E146" s="16">
        <v>50000000</v>
      </c>
      <c r="F146" s="16">
        <v>40475.49</v>
      </c>
      <c r="G146" s="16">
        <v>40475.49</v>
      </c>
      <c r="H146" s="16">
        <v>50000000</v>
      </c>
      <c r="I146" s="16">
        <v>40475.49</v>
      </c>
      <c r="J146" s="61">
        <v>40475.49</v>
      </c>
      <c r="K146" s="59">
        <v>175000000</v>
      </c>
      <c r="L146" s="59">
        <v>40475.49</v>
      </c>
      <c r="M146" s="59">
        <v>40475.49</v>
      </c>
      <c r="N146" s="59">
        <v>0</v>
      </c>
      <c r="O146" s="59">
        <v>40475.49</v>
      </c>
      <c r="P146" s="19">
        <f t="shared" si="24"/>
        <v>22943650.326666668</v>
      </c>
      <c r="R146" s="55"/>
      <c r="S146" s="37">
        <f t="shared" si="25"/>
        <v>22943650.326666668</v>
      </c>
      <c r="T146" s="40"/>
      <c r="U146" s="31"/>
      <c r="V146" s="32"/>
      <c r="W146" s="32"/>
      <c r="X146" s="32"/>
      <c r="Y146" s="32"/>
      <c r="Z146" s="15">
        <f t="shared" si="20"/>
        <v>0</v>
      </c>
    </row>
    <row r="147" spans="1:26" s="11" customFormat="1" x14ac:dyDescent="0.25">
      <c r="A147" s="11">
        <f t="shared" si="23"/>
        <v>140</v>
      </c>
      <c r="B147" s="12" t="s">
        <v>142</v>
      </c>
      <c r="C147" s="24">
        <v>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61">
        <v>0</v>
      </c>
      <c r="K147" s="59">
        <v>0</v>
      </c>
      <c r="L147" s="59">
        <v>0</v>
      </c>
      <c r="M147" s="59">
        <v>0</v>
      </c>
      <c r="N147" s="59">
        <v>0</v>
      </c>
      <c r="O147" s="59">
        <v>0</v>
      </c>
      <c r="P147" s="19">
        <f t="shared" si="24"/>
        <v>0</v>
      </c>
      <c r="R147" s="55"/>
      <c r="S147" s="37">
        <f t="shared" si="25"/>
        <v>0</v>
      </c>
      <c r="T147" s="40"/>
      <c r="U147" s="31"/>
      <c r="V147" s="32"/>
      <c r="W147" s="32"/>
      <c r="X147" s="32"/>
      <c r="Y147" s="32"/>
      <c r="Z147" s="15">
        <f t="shared" si="20"/>
        <v>0</v>
      </c>
    </row>
    <row r="148" spans="1:26" s="11" customFormat="1" x14ac:dyDescent="0.25">
      <c r="A148" s="11">
        <f t="shared" si="23"/>
        <v>141</v>
      </c>
      <c r="B148" s="12" t="s">
        <v>143</v>
      </c>
      <c r="C148" s="24">
        <v>0</v>
      </c>
      <c r="D148" s="24">
        <v>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61">
        <v>0</v>
      </c>
      <c r="K148" s="59">
        <v>0</v>
      </c>
      <c r="L148" s="59">
        <v>0</v>
      </c>
      <c r="M148" s="59">
        <v>0</v>
      </c>
      <c r="N148" s="59">
        <v>0</v>
      </c>
      <c r="O148" s="59">
        <v>0</v>
      </c>
      <c r="P148" s="19">
        <f t="shared" si="24"/>
        <v>0</v>
      </c>
      <c r="R148" s="55"/>
      <c r="S148" s="37">
        <f t="shared" si="25"/>
        <v>0</v>
      </c>
      <c r="T148" s="40"/>
      <c r="U148" s="31"/>
      <c r="V148" s="32"/>
      <c r="W148" s="32"/>
      <c r="X148" s="32"/>
      <c r="Y148" s="32"/>
      <c r="Z148" s="15">
        <f t="shared" si="20"/>
        <v>0</v>
      </c>
    </row>
    <row r="149" spans="1:26" s="11" customFormat="1" x14ac:dyDescent="0.25">
      <c r="A149" s="11">
        <f t="shared" si="23"/>
        <v>142</v>
      </c>
      <c r="B149" s="12" t="s">
        <v>144</v>
      </c>
      <c r="C149" s="16">
        <v>19618594.09</v>
      </c>
      <c r="D149" s="16">
        <v>23090136.93</v>
      </c>
      <c r="E149" s="16">
        <v>25821153.48</v>
      </c>
      <c r="F149" s="16">
        <v>22107735.420000002</v>
      </c>
      <c r="G149" s="16">
        <v>18048750.670000002</v>
      </c>
      <c r="H149" s="16">
        <v>17495158.399999999</v>
      </c>
      <c r="I149" s="16">
        <v>20623596.960000001</v>
      </c>
      <c r="J149" s="61">
        <v>19552966.449999999</v>
      </c>
      <c r="K149" s="59">
        <v>18822468.350000001</v>
      </c>
      <c r="L149" s="59">
        <v>18834019.329999998</v>
      </c>
      <c r="M149" s="59">
        <v>16742779.310000001</v>
      </c>
      <c r="N149" s="59">
        <v>16953888.899999999</v>
      </c>
      <c r="O149" s="59">
        <v>18691760.609999999</v>
      </c>
      <c r="P149" s="19">
        <f t="shared" si="24"/>
        <v>19770652.629166666</v>
      </c>
      <c r="R149" s="55"/>
      <c r="S149" s="37">
        <f t="shared" si="25"/>
        <v>19770652.629166666</v>
      </c>
      <c r="T149" s="40"/>
      <c r="U149" s="31"/>
      <c r="V149" s="32"/>
      <c r="W149" s="32"/>
      <c r="X149" s="32"/>
      <c r="Y149" s="32"/>
      <c r="Z149" s="15">
        <f t="shared" si="20"/>
        <v>0</v>
      </c>
    </row>
    <row r="150" spans="1:26" s="11" customFormat="1" x14ac:dyDescent="0.25">
      <c r="A150" s="11">
        <f t="shared" si="23"/>
        <v>143</v>
      </c>
      <c r="B150" s="12" t="s">
        <v>145</v>
      </c>
      <c r="C150" s="16">
        <v>93341500.5</v>
      </c>
      <c r="D150" s="16">
        <v>93553228.170000002</v>
      </c>
      <c r="E150" s="16">
        <v>91802570.180000007</v>
      </c>
      <c r="F150" s="16">
        <v>94714508.510000005</v>
      </c>
      <c r="G150" s="16">
        <v>70854734.019999996</v>
      </c>
      <c r="H150" s="16">
        <v>71645453.629999995</v>
      </c>
      <c r="I150" s="16">
        <v>74069122.390000001</v>
      </c>
      <c r="J150" s="61">
        <v>77779115.290000007</v>
      </c>
      <c r="K150" s="59">
        <v>83243349.340000004</v>
      </c>
      <c r="L150" s="59">
        <v>82433698.140000001</v>
      </c>
      <c r="M150" s="59">
        <v>82997544.980000004</v>
      </c>
      <c r="N150" s="59">
        <v>83520715.299999997</v>
      </c>
      <c r="O150" s="59">
        <v>90183029.730000004</v>
      </c>
      <c r="P150" s="19">
        <f t="shared" si="24"/>
        <v>83198025.422083333</v>
      </c>
      <c r="R150" s="55"/>
      <c r="S150" s="37">
        <f>P150+T150</f>
        <v>65406307.380416662</v>
      </c>
      <c r="T150" s="65">
        <v>-17791718.041666668</v>
      </c>
      <c r="U150" s="31"/>
      <c r="V150" s="32"/>
      <c r="W150" s="32"/>
      <c r="X150" s="32">
        <f>T150-V150-W150</f>
        <v>-17791718.041666668</v>
      </c>
      <c r="Y150" s="32">
        <f>+X150+V150+W150</f>
        <v>-17791718.041666668</v>
      </c>
      <c r="Z150" s="15">
        <f t="shared" si="20"/>
        <v>0</v>
      </c>
    </row>
    <row r="151" spans="1:26" s="11" customFormat="1" x14ac:dyDescent="0.25">
      <c r="A151" s="11">
        <f t="shared" si="23"/>
        <v>144</v>
      </c>
      <c r="B151" s="12" t="s">
        <v>146</v>
      </c>
      <c r="C151" s="16">
        <v>1761939.25</v>
      </c>
      <c r="D151" s="16">
        <v>1779002.73</v>
      </c>
      <c r="E151" s="16">
        <v>1796233.06</v>
      </c>
      <c r="F151" s="16">
        <v>1813631.88</v>
      </c>
      <c r="G151" s="16">
        <v>1831200.88</v>
      </c>
      <c r="H151" s="16">
        <v>1848941.72</v>
      </c>
      <c r="I151" s="16">
        <v>1788633.58</v>
      </c>
      <c r="J151" s="61">
        <v>1804196.69</v>
      </c>
      <c r="K151" s="59">
        <v>4039254.92</v>
      </c>
      <c r="L151" s="59">
        <v>4227823.3600000003</v>
      </c>
      <c r="M151" s="59">
        <v>4232907.4400000004</v>
      </c>
      <c r="N151" s="59">
        <v>4240290.57</v>
      </c>
      <c r="O151" s="59">
        <v>4273833.51</v>
      </c>
      <c r="P151" s="19">
        <f t="shared" si="24"/>
        <v>2701666.9341666666</v>
      </c>
      <c r="R151" s="55"/>
      <c r="S151" s="37"/>
      <c r="T151" s="37"/>
      <c r="U151" s="33">
        <f>+P151</f>
        <v>2701666.9341666666</v>
      </c>
      <c r="V151" s="32"/>
      <c r="W151" s="32"/>
      <c r="X151" s="32"/>
      <c r="Y151" s="32"/>
      <c r="Z151" s="15">
        <f t="shared" si="20"/>
        <v>0</v>
      </c>
    </row>
    <row r="152" spans="1:26" s="11" customFormat="1" x14ac:dyDescent="0.25">
      <c r="A152" s="11">
        <f t="shared" si="23"/>
        <v>145</v>
      </c>
      <c r="B152" s="12" t="s">
        <v>147</v>
      </c>
      <c r="C152" s="16">
        <v>49318078.109999999</v>
      </c>
      <c r="D152" s="16">
        <v>67957256.549999997</v>
      </c>
      <c r="E152" s="16">
        <v>36526330.590000004</v>
      </c>
      <c r="F152" s="16">
        <v>44858589.530000001</v>
      </c>
      <c r="G152" s="16">
        <v>52078808.700000003</v>
      </c>
      <c r="H152" s="16">
        <v>82392937.109999999</v>
      </c>
      <c r="I152" s="16">
        <v>65799906.979999997</v>
      </c>
      <c r="J152" s="61">
        <v>51408941.189999998</v>
      </c>
      <c r="K152" s="59">
        <v>54669337.890000001</v>
      </c>
      <c r="L152" s="59">
        <v>60765531</v>
      </c>
      <c r="M152" s="59">
        <v>59525370.299999997</v>
      </c>
      <c r="N152" s="59">
        <v>59604643.740000002</v>
      </c>
      <c r="O152" s="59">
        <v>57361407.719999999</v>
      </c>
      <c r="P152" s="19">
        <f t="shared" si="24"/>
        <v>57410616.374583334</v>
      </c>
      <c r="R152" s="55"/>
      <c r="S152" s="37"/>
      <c r="T152" s="65">
        <f>-P152</f>
        <v>-57410616.374583334</v>
      </c>
      <c r="U152" s="33"/>
      <c r="V152" s="32"/>
      <c r="W152" s="32"/>
      <c r="X152" s="32">
        <f>T152-V152-W152</f>
        <v>-57410616.374583334</v>
      </c>
      <c r="Y152" s="32">
        <f>+X152+V152+W152</f>
        <v>-57410616.374583334</v>
      </c>
      <c r="Z152" s="15">
        <f t="shared" si="20"/>
        <v>0</v>
      </c>
    </row>
    <row r="153" spans="1:26" s="11" customFormat="1" x14ac:dyDescent="0.25">
      <c r="A153" s="11">
        <f t="shared" si="23"/>
        <v>146</v>
      </c>
      <c r="B153" s="12" t="s">
        <v>148</v>
      </c>
      <c r="C153" s="16">
        <v>31997792.109999999</v>
      </c>
      <c r="D153" s="16">
        <v>28270625.550000001</v>
      </c>
      <c r="E153" s="16">
        <v>22290105.59</v>
      </c>
      <c r="F153" s="16">
        <v>22058042.530000001</v>
      </c>
      <c r="G153" s="16">
        <v>22368012.699999999</v>
      </c>
      <c r="H153" s="16">
        <v>21010016.670000002</v>
      </c>
      <c r="I153" s="16">
        <v>24683755.57</v>
      </c>
      <c r="J153" s="61">
        <v>23225751.219999999</v>
      </c>
      <c r="K153" s="59">
        <v>21902924.800000001</v>
      </c>
      <c r="L153" s="59">
        <v>23744036.16</v>
      </c>
      <c r="M153" s="59">
        <v>21599114.48</v>
      </c>
      <c r="N153" s="59">
        <v>24835638.57</v>
      </c>
      <c r="O153" s="59">
        <v>22366786.140000001</v>
      </c>
      <c r="P153" s="19">
        <f>-(C153+2*SUM(D153:N153)+O153)/24</f>
        <v>-23597526.080416664</v>
      </c>
      <c r="R153" s="55"/>
      <c r="S153" s="37"/>
      <c r="T153" s="37">
        <f>-P153</f>
        <v>23597526.080416664</v>
      </c>
      <c r="U153" s="33"/>
      <c r="V153" s="32"/>
      <c r="W153" s="32"/>
      <c r="X153" s="32">
        <f>T153-V153-W153</f>
        <v>23597526.080416664</v>
      </c>
      <c r="Y153" s="32">
        <f>+X153+V153+W153</f>
        <v>23597526.080416664</v>
      </c>
      <c r="Z153" s="15">
        <f t="shared" si="20"/>
        <v>0</v>
      </c>
    </row>
    <row r="154" spans="1:26" s="11" customFormat="1" x14ac:dyDescent="0.25">
      <c r="A154" s="11">
        <f t="shared" si="23"/>
        <v>147</v>
      </c>
      <c r="B154" s="12" t="s">
        <v>149</v>
      </c>
      <c r="C154" s="24">
        <v>0</v>
      </c>
      <c r="D154" s="24">
        <v>0</v>
      </c>
      <c r="E154" s="24">
        <v>0</v>
      </c>
      <c r="F154" s="24">
        <v>0</v>
      </c>
      <c r="G154" s="24">
        <v>0</v>
      </c>
      <c r="H154" s="24">
        <v>0</v>
      </c>
      <c r="I154" s="24">
        <v>0</v>
      </c>
      <c r="J154" s="61">
        <v>0</v>
      </c>
      <c r="K154" s="59">
        <v>0</v>
      </c>
      <c r="L154" s="59">
        <v>0</v>
      </c>
      <c r="M154" s="59">
        <v>0</v>
      </c>
      <c r="N154" s="59">
        <v>0</v>
      </c>
      <c r="O154" s="61">
        <v>0</v>
      </c>
      <c r="P154" s="19">
        <f>(C154+2*SUM(D154:N154)+O154)/24</f>
        <v>0</v>
      </c>
      <c r="R154" s="55"/>
      <c r="S154" s="37">
        <f>P154</f>
        <v>0</v>
      </c>
      <c r="T154" s="40"/>
      <c r="U154" s="33"/>
      <c r="V154" s="32"/>
      <c r="W154" s="32"/>
      <c r="X154" s="32"/>
      <c r="Y154" s="32"/>
      <c r="Z154" s="15">
        <f t="shared" si="20"/>
        <v>0</v>
      </c>
    </row>
    <row r="155" spans="1:26" s="11" customFormat="1" x14ac:dyDescent="0.25">
      <c r="A155" s="11">
        <f t="shared" si="23"/>
        <v>148</v>
      </c>
      <c r="B155" s="12" t="s">
        <v>150</v>
      </c>
      <c r="C155" s="24">
        <v>0</v>
      </c>
      <c r="D155" s="24">
        <v>0</v>
      </c>
      <c r="E155" s="24">
        <v>0</v>
      </c>
      <c r="F155" s="24">
        <v>0</v>
      </c>
      <c r="G155" s="24">
        <v>0</v>
      </c>
      <c r="H155" s="24">
        <v>0</v>
      </c>
      <c r="I155" s="24">
        <v>0</v>
      </c>
      <c r="J155" s="61">
        <v>0</v>
      </c>
      <c r="K155" s="59">
        <v>0</v>
      </c>
      <c r="L155" s="59">
        <v>0</v>
      </c>
      <c r="M155" s="59">
        <v>0</v>
      </c>
      <c r="N155" s="59">
        <v>0</v>
      </c>
      <c r="O155" s="61">
        <v>0</v>
      </c>
      <c r="P155" s="19">
        <f>-(C155+2*SUM(D155:N155)+O155)/24</f>
        <v>0</v>
      </c>
      <c r="R155" s="55"/>
      <c r="S155" s="37">
        <f>P155</f>
        <v>0</v>
      </c>
      <c r="T155" s="40"/>
      <c r="U155" s="31"/>
      <c r="V155" s="32"/>
      <c r="W155" s="32"/>
      <c r="X155" s="32"/>
      <c r="Y155" s="32"/>
      <c r="Z155" s="15">
        <f t="shared" si="20"/>
        <v>0</v>
      </c>
    </row>
    <row r="156" spans="1:26" s="11" customFormat="1" x14ac:dyDescent="0.25">
      <c r="A156" s="11">
        <f t="shared" si="23"/>
        <v>149</v>
      </c>
      <c r="B156" s="12" t="s">
        <v>151</v>
      </c>
      <c r="C156" s="21">
        <v>1055579499.17</v>
      </c>
      <c r="D156" s="21">
        <v>1043426451.7500001</v>
      </c>
      <c r="E156" s="21">
        <v>1160512396.97</v>
      </c>
      <c r="F156" s="21">
        <v>1079591517.99</v>
      </c>
      <c r="G156" s="21">
        <v>1077768311.6099999</v>
      </c>
      <c r="H156" s="21">
        <v>1244382567.1700001</v>
      </c>
      <c r="I156" s="21">
        <v>1071827440.0600001</v>
      </c>
      <c r="J156" s="21">
        <v>1375624539.9300001</v>
      </c>
      <c r="K156" s="21">
        <v>1498345380.8700001</v>
      </c>
      <c r="L156" s="21">
        <v>1100834220.6200001</v>
      </c>
      <c r="M156" s="21">
        <v>1157047113.05</v>
      </c>
      <c r="N156" s="21">
        <v>1215877199.1500001</v>
      </c>
      <c r="O156" s="21">
        <v>1264756819.4799998</v>
      </c>
      <c r="P156" s="62">
        <f>SUBTOTAL(9,P139:P155)</f>
        <v>1182117108.2079167</v>
      </c>
      <c r="R156" s="90">
        <f>SUBTOTAL(9,R139:R155)</f>
        <v>0</v>
      </c>
      <c r="S156" s="91">
        <f>SUBTOTAL(9,S139:S155)</f>
        <v>1022514323.9391668</v>
      </c>
      <c r="T156" s="40"/>
      <c r="U156" s="31"/>
      <c r="V156" s="32"/>
      <c r="W156" s="32"/>
      <c r="X156" s="32"/>
      <c r="Y156" s="32"/>
      <c r="Z156" s="15">
        <f t="shared" si="20"/>
        <v>0</v>
      </c>
    </row>
    <row r="157" spans="1:26" s="11" customFormat="1" x14ac:dyDescent="0.25">
      <c r="A157" s="11">
        <f t="shared" si="23"/>
        <v>150</v>
      </c>
      <c r="B157" s="12"/>
      <c r="C157" s="24"/>
      <c r="D157" s="24"/>
      <c r="E157" s="24"/>
      <c r="F157" s="24"/>
      <c r="G157" s="24"/>
      <c r="H157" s="24"/>
      <c r="I157" s="24"/>
      <c r="J157" s="26"/>
      <c r="K157" s="26"/>
      <c r="L157" s="26"/>
      <c r="M157" s="26"/>
      <c r="N157" s="26"/>
      <c r="O157" s="26"/>
      <c r="P157" s="63"/>
      <c r="R157" s="55"/>
      <c r="S157" s="92"/>
      <c r="T157" s="40"/>
      <c r="U157" s="31"/>
      <c r="V157" s="32"/>
      <c r="W157" s="32"/>
      <c r="X157" s="32"/>
      <c r="Y157" s="32"/>
      <c r="Z157" s="15">
        <f t="shared" si="20"/>
        <v>0</v>
      </c>
    </row>
    <row r="158" spans="1:26" s="11" customFormat="1" x14ac:dyDescent="0.25">
      <c r="A158" s="11">
        <f t="shared" si="23"/>
        <v>151</v>
      </c>
      <c r="B158" s="12" t="s">
        <v>152</v>
      </c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19"/>
      <c r="R158" s="55"/>
      <c r="S158" s="40"/>
      <c r="T158" s="40"/>
      <c r="U158" s="31"/>
      <c r="V158" s="32"/>
      <c r="W158" s="32"/>
      <c r="X158" s="32"/>
      <c r="Y158" s="32"/>
      <c r="Z158" s="15">
        <f t="shared" si="20"/>
        <v>0</v>
      </c>
    </row>
    <row r="159" spans="1:26" s="11" customFormat="1" x14ac:dyDescent="0.25">
      <c r="A159" s="11">
        <f t="shared" si="23"/>
        <v>152</v>
      </c>
      <c r="B159" s="12" t="s">
        <v>153</v>
      </c>
      <c r="C159" s="16">
        <v>34139585.649999999</v>
      </c>
      <c r="D159" s="16">
        <v>33083357.920000002</v>
      </c>
      <c r="E159" s="16">
        <v>31982942.09</v>
      </c>
      <c r="F159" s="16">
        <v>31950588.449999999</v>
      </c>
      <c r="G159" s="16">
        <v>69972727.349999994</v>
      </c>
      <c r="H159" s="16">
        <v>70569161.25</v>
      </c>
      <c r="I159" s="16">
        <v>76528075.939999998</v>
      </c>
      <c r="J159" s="61">
        <v>75691554.010000005</v>
      </c>
      <c r="K159" s="59">
        <v>74411055.209999993</v>
      </c>
      <c r="L159" s="59">
        <v>72798651.310000002</v>
      </c>
      <c r="M159" s="59">
        <v>68480612.430000007</v>
      </c>
      <c r="N159" s="59">
        <v>64151360.659999996</v>
      </c>
      <c r="O159" s="61">
        <v>61755818.259999998</v>
      </c>
      <c r="P159" s="19">
        <f t="shared" ref="P159:P167" si="26">(C159+2*SUM(D159:N159)+O159)/24</f>
        <v>59797315.714583337</v>
      </c>
      <c r="R159" s="55"/>
      <c r="S159" s="40"/>
      <c r="T159" s="37">
        <f>-P159</f>
        <v>-59797315.714583337</v>
      </c>
      <c r="U159" s="33"/>
      <c r="V159" s="32">
        <f>[11]Report!$K$2695</f>
        <v>22214.951184419831</v>
      </c>
      <c r="W159" s="32">
        <f>[11]Report!$J$2695</f>
        <v>-59683306.347434379</v>
      </c>
      <c r="X159" s="32">
        <f>-P159-V159-W159</f>
        <v>-136224.31833337992</v>
      </c>
      <c r="Y159" s="32">
        <f>+X159+V159+W159</f>
        <v>-59797315.714583337</v>
      </c>
      <c r="Z159" s="15">
        <f t="shared" si="20"/>
        <v>0</v>
      </c>
    </row>
    <row r="160" spans="1:26" s="11" customFormat="1" x14ac:dyDescent="0.25">
      <c r="A160" s="11">
        <f t="shared" si="23"/>
        <v>153</v>
      </c>
      <c r="B160" s="12" t="s">
        <v>154</v>
      </c>
      <c r="C160" s="16">
        <v>14246504.189999999</v>
      </c>
      <c r="D160" s="16">
        <v>14064875.619999999</v>
      </c>
      <c r="E160" s="16">
        <v>13867469.130000001</v>
      </c>
      <c r="F160" s="16">
        <v>13632416.289999999</v>
      </c>
      <c r="G160" s="16">
        <v>13394009.75</v>
      </c>
      <c r="H160" s="16">
        <v>13247546.130000001</v>
      </c>
      <c r="I160" s="16">
        <v>13313776.560000001</v>
      </c>
      <c r="J160" s="61">
        <v>13182018.74</v>
      </c>
      <c r="K160" s="59">
        <v>13011328.859999999</v>
      </c>
      <c r="L160" s="59">
        <v>12840186.050000001</v>
      </c>
      <c r="M160" s="59">
        <v>12647290.99</v>
      </c>
      <c r="N160" s="59">
        <v>12481780.08</v>
      </c>
      <c r="O160" s="61">
        <v>12369262.140000001</v>
      </c>
      <c r="P160" s="19">
        <f t="shared" si="26"/>
        <v>13249215.113749998</v>
      </c>
      <c r="R160" s="55"/>
      <c r="S160" s="40"/>
      <c r="T160" s="37">
        <f>-P160</f>
        <v>-13249215.113749998</v>
      </c>
      <c r="U160" s="33"/>
      <c r="V160" s="32">
        <f>[11]Report!$K$2785</f>
        <v>-19597.460327859608</v>
      </c>
      <c r="W160" s="32">
        <f>[11]Report!$J$2785</f>
        <v>-259700.1259221404</v>
      </c>
      <c r="X160" s="32">
        <f>-P160-V160-W160</f>
        <v>-12969917.527499998</v>
      </c>
      <c r="Y160" s="32">
        <f>+X160+V160+W160</f>
        <v>-13249215.113749998</v>
      </c>
      <c r="Z160" s="15">
        <f t="shared" si="20"/>
        <v>0</v>
      </c>
    </row>
    <row r="161" spans="1:26" s="11" customFormat="1" x14ac:dyDescent="0.25">
      <c r="A161" s="11">
        <f t="shared" si="23"/>
        <v>154</v>
      </c>
      <c r="B161" s="12" t="s">
        <v>155</v>
      </c>
      <c r="C161" s="24">
        <v>0</v>
      </c>
      <c r="D161" s="24">
        <v>0</v>
      </c>
      <c r="E161" s="24">
        <v>0</v>
      </c>
      <c r="F161" s="24">
        <v>0</v>
      </c>
      <c r="G161" s="24">
        <v>0</v>
      </c>
      <c r="H161" s="24">
        <v>0</v>
      </c>
      <c r="I161" s="24">
        <v>0</v>
      </c>
      <c r="J161" s="61">
        <v>0</v>
      </c>
      <c r="K161" s="59">
        <v>0</v>
      </c>
      <c r="L161" s="59">
        <v>0</v>
      </c>
      <c r="M161" s="59">
        <v>0</v>
      </c>
      <c r="N161" s="59">
        <v>0</v>
      </c>
      <c r="O161" s="61">
        <v>0</v>
      </c>
      <c r="P161" s="19">
        <f t="shared" si="26"/>
        <v>0</v>
      </c>
      <c r="R161" s="55"/>
      <c r="S161" s="40"/>
      <c r="T161" s="37">
        <f>-P161</f>
        <v>0</v>
      </c>
      <c r="U161" s="33"/>
      <c r="V161" s="32"/>
      <c r="W161" s="32"/>
      <c r="X161" s="32"/>
      <c r="Y161" s="32">
        <f>+X161+V161+W161</f>
        <v>0</v>
      </c>
      <c r="Z161" s="15">
        <f t="shared" si="20"/>
        <v>0</v>
      </c>
    </row>
    <row r="162" spans="1:26" s="11" customFormat="1" x14ac:dyDescent="0.25">
      <c r="A162" s="11">
        <f t="shared" si="23"/>
        <v>155</v>
      </c>
      <c r="B162" s="12" t="s">
        <v>156</v>
      </c>
      <c r="C162" s="16">
        <v>197433560.30000001</v>
      </c>
      <c r="D162" s="16">
        <v>201085282.09999999</v>
      </c>
      <c r="E162" s="16">
        <v>199172183.49000001</v>
      </c>
      <c r="F162" s="16">
        <v>199337969.5</v>
      </c>
      <c r="G162" s="16">
        <v>201379974.30000001</v>
      </c>
      <c r="H162" s="16">
        <v>200669786.58000001</v>
      </c>
      <c r="I162" s="16">
        <v>202519682.12</v>
      </c>
      <c r="J162" s="61">
        <v>194247429.16999999</v>
      </c>
      <c r="K162" s="59">
        <v>193232441.06999999</v>
      </c>
      <c r="L162" s="59">
        <v>206648772.53999999</v>
      </c>
      <c r="M162" s="59">
        <v>209225507.49000001</v>
      </c>
      <c r="N162" s="59">
        <v>203867199.38</v>
      </c>
      <c r="O162" s="61">
        <v>204907680.28</v>
      </c>
      <c r="P162" s="19">
        <f>(C162+2*SUM(D162:N162)+O162)/24</f>
        <v>201046404.00250003</v>
      </c>
      <c r="R162" s="55"/>
      <c r="S162" s="65"/>
      <c r="T162" s="37">
        <f>-P162+S162</f>
        <v>-201046404.00250003</v>
      </c>
      <c r="U162" s="33"/>
      <c r="V162" s="32">
        <f>[11]Report!$K$2627+[11]Report!$K$2628+[11]Report!$K$2629+[11]Report!$K$2638+[11]Report!$K$2684+[11]Report!$K$2699+[11]Report!$K$2711</f>
        <v>-4665450.8070485806</v>
      </c>
      <c r="W162" s="32">
        <f>[11]Report!$J$2711+[11]Report!$J$2699+[11]Report!$J$2684+[11]Report!$J$2638+[11]Report!$J$2629+[11]Report!$J$2628+[11]Report!$J$2627</f>
        <v>-196971291.52545145</v>
      </c>
      <c r="X162" s="32">
        <f>T162-V162-W162</f>
        <v>590338.33000001311</v>
      </c>
      <c r="Y162" s="32">
        <f>+X162+V162+W162</f>
        <v>-201046404.00250003</v>
      </c>
      <c r="Z162" s="15">
        <f t="shared" si="20"/>
        <v>0</v>
      </c>
    </row>
    <row r="163" spans="1:26" s="11" customFormat="1" x14ac:dyDescent="0.25">
      <c r="A163" s="11">
        <f t="shared" si="23"/>
        <v>156</v>
      </c>
      <c r="B163" s="12" t="s">
        <v>157</v>
      </c>
      <c r="C163" s="16">
        <v>2181360053.7399998</v>
      </c>
      <c r="D163" s="16">
        <v>2183041127.02</v>
      </c>
      <c r="E163" s="16">
        <v>2188949741.6900001</v>
      </c>
      <c r="F163" s="16">
        <v>2215566603.1300001</v>
      </c>
      <c r="G163" s="16">
        <v>2219951254.5599999</v>
      </c>
      <c r="H163" s="16">
        <v>2226265024.75</v>
      </c>
      <c r="I163" s="16">
        <v>2044239906.45</v>
      </c>
      <c r="J163" s="61">
        <v>2048581502.55</v>
      </c>
      <c r="K163" s="59">
        <v>2049937909.1400001</v>
      </c>
      <c r="L163" s="59">
        <v>2039859753.4300001</v>
      </c>
      <c r="M163" s="59">
        <v>2046181830.95</v>
      </c>
      <c r="N163" s="59">
        <v>2046714666.7</v>
      </c>
      <c r="O163" s="61">
        <v>2038661132.72</v>
      </c>
      <c r="P163" s="19">
        <f t="shared" si="26"/>
        <v>2118274992.8</v>
      </c>
      <c r="R163" s="55"/>
      <c r="S163" s="40"/>
      <c r="T163" s="37">
        <f>-P163</f>
        <v>-2118274992.8</v>
      </c>
      <c r="U163" s="33"/>
      <c r="V163" s="32">
        <f>[11]Report!$K$2634+[11]Report!$K$2635+[11]Report!$K$2636+[11]Report!$K$2637+[11]Report!$K$2673+[11]Report!$K$2681+[11]Report!$K$2682+[11]Report!$K$2683+[11]Report!$K$2685+[11]Report!$K$2686</f>
        <v>-30601634.09375</v>
      </c>
      <c r="W163" s="32">
        <f>[11]Report!$J$2686+[11]Report!$J$2685+[11]Report!$J$2683+[11]Report!$J$2682+[11]Report!$J$2681+[11]Report!$J$2673+[11]Report!$J$2637+[11]Report!$J$2636+[11]Report!$J$2635+[11]Report!$J$2634</f>
        <v>-273632630.59458327</v>
      </c>
      <c r="X163" s="32">
        <f>-P163-V163-W163</f>
        <v>-1814040728.1116667</v>
      </c>
      <c r="Y163" s="32">
        <f>+X163+V163+W163</f>
        <v>-2118274992.8</v>
      </c>
      <c r="Z163" s="15">
        <f t="shared" si="20"/>
        <v>0</v>
      </c>
    </row>
    <row r="164" spans="1:26" s="11" customFormat="1" x14ac:dyDescent="0.25">
      <c r="A164" s="11">
        <f t="shared" si="23"/>
        <v>157</v>
      </c>
      <c r="B164" s="12" t="s">
        <v>158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61">
        <v>0</v>
      </c>
      <c r="K164" s="59">
        <v>0</v>
      </c>
      <c r="L164" s="59">
        <v>0</v>
      </c>
      <c r="M164" s="59">
        <v>0</v>
      </c>
      <c r="N164" s="59">
        <v>0</v>
      </c>
      <c r="O164" s="61">
        <v>0</v>
      </c>
      <c r="P164" s="19">
        <f t="shared" si="26"/>
        <v>0</v>
      </c>
      <c r="R164" s="55"/>
      <c r="S164" s="40"/>
      <c r="T164" s="40"/>
      <c r="U164" s="33">
        <f>+P164</f>
        <v>0</v>
      </c>
      <c r="V164" s="32"/>
      <c r="W164" s="32"/>
      <c r="X164" s="32"/>
      <c r="Y164" s="32"/>
      <c r="Z164" s="15">
        <f t="shared" si="20"/>
        <v>0</v>
      </c>
    </row>
    <row r="165" spans="1:26" s="11" customFormat="1" x14ac:dyDescent="0.25">
      <c r="A165" s="11">
        <f t="shared" si="23"/>
        <v>158</v>
      </c>
      <c r="B165" s="12" t="s">
        <v>159</v>
      </c>
      <c r="C165" s="16">
        <v>183513099.47999999</v>
      </c>
      <c r="D165" s="16">
        <v>183075643.66</v>
      </c>
      <c r="E165" s="16">
        <v>182638187.81</v>
      </c>
      <c r="F165" s="16">
        <v>182608894.18000001</v>
      </c>
      <c r="G165" s="16">
        <v>182216789.72</v>
      </c>
      <c r="H165" s="16">
        <v>181824685.24000001</v>
      </c>
      <c r="I165" s="16">
        <v>180339430.05000001</v>
      </c>
      <c r="J165" s="61">
        <v>180339430.05000001</v>
      </c>
      <c r="K165" s="59">
        <v>180339430.05000001</v>
      </c>
      <c r="L165" s="59">
        <v>178669857.78999999</v>
      </c>
      <c r="M165" s="59">
        <v>178113333.71000001</v>
      </c>
      <c r="N165" s="59">
        <v>177556809.63999999</v>
      </c>
      <c r="O165" s="61">
        <v>177049367.91999999</v>
      </c>
      <c r="P165" s="19">
        <f t="shared" si="26"/>
        <v>180666977.13333333</v>
      </c>
      <c r="R165" s="55"/>
      <c r="S165" s="40"/>
      <c r="T165" s="37">
        <f>-P165</f>
        <v>-180666977.13333333</v>
      </c>
      <c r="U165" s="33"/>
      <c r="V165" s="32">
        <f>[11]Report!$K$2738</f>
        <v>-1.0414779292396379E-2</v>
      </c>
      <c r="W165" s="32">
        <f>[11]Report!$J$2738</f>
        <v>-0.12291821826810471</v>
      </c>
      <c r="X165" s="32">
        <f>-P165-V165-W165</f>
        <v>-180666977.00000033</v>
      </c>
      <c r="Y165" s="32">
        <f>+X165+V165+W165</f>
        <v>-180666977.13333333</v>
      </c>
      <c r="Z165" s="15">
        <f t="shared" si="20"/>
        <v>0</v>
      </c>
    </row>
    <row r="166" spans="1:26" s="11" customFormat="1" x14ac:dyDescent="0.25">
      <c r="A166" s="11">
        <f t="shared" si="23"/>
        <v>159</v>
      </c>
      <c r="B166" s="12" t="s">
        <v>160</v>
      </c>
      <c r="C166" s="16">
        <v>2954940456.4899998</v>
      </c>
      <c r="D166" s="16">
        <v>2952555711.9299998</v>
      </c>
      <c r="E166" s="16">
        <v>2949999143.6599998</v>
      </c>
      <c r="F166" s="16">
        <v>2963844641.3699999</v>
      </c>
      <c r="G166" s="16">
        <v>2964056424.4499998</v>
      </c>
      <c r="H166" s="16">
        <v>2961453287.1700001</v>
      </c>
      <c r="I166" s="16">
        <v>2910580065.7800002</v>
      </c>
      <c r="J166" s="61">
        <v>2909458496.9899998</v>
      </c>
      <c r="K166" s="59">
        <v>2908394493.3000002</v>
      </c>
      <c r="L166" s="59">
        <v>2911878871.73</v>
      </c>
      <c r="M166" s="59">
        <v>2914416295.1199999</v>
      </c>
      <c r="N166" s="59">
        <v>2915773681.0700002</v>
      </c>
      <c r="O166" s="61">
        <v>2909515224.0100002</v>
      </c>
      <c r="P166" s="44">
        <f t="shared" si="26"/>
        <v>2932886579.4016662</v>
      </c>
      <c r="R166" s="55"/>
      <c r="S166" s="65"/>
      <c r="T166" s="37">
        <f>-P166+S166</f>
        <v>-2932886579.4016662</v>
      </c>
      <c r="U166" s="33"/>
      <c r="V166" s="32">
        <f>[11]Report!$K$2755</f>
        <v>-278862554.05749375</v>
      </c>
      <c r="W166" s="32">
        <f>[11]Report!$J$2755</f>
        <v>-4135804484.8812599</v>
      </c>
      <c r="X166" s="32">
        <f>T166-V166-W166</f>
        <v>1481780459.5370874</v>
      </c>
      <c r="Y166" s="32">
        <f>+X166+V166+W166</f>
        <v>-2932886579.4016662</v>
      </c>
      <c r="Z166" s="15">
        <f t="shared" si="20"/>
        <v>0</v>
      </c>
    </row>
    <row r="167" spans="1:26" s="11" customFormat="1" x14ac:dyDescent="0.25">
      <c r="A167" s="11">
        <f t="shared" si="23"/>
        <v>160</v>
      </c>
      <c r="B167" s="12" t="s">
        <v>161</v>
      </c>
      <c r="C167" s="16">
        <v>277417560.57999998</v>
      </c>
      <c r="D167" s="16">
        <v>285739848.51999998</v>
      </c>
      <c r="E167" s="16">
        <v>282384391.83999997</v>
      </c>
      <c r="F167" s="16">
        <v>279493398.51999998</v>
      </c>
      <c r="G167" s="16">
        <v>253616723.81</v>
      </c>
      <c r="H167" s="16">
        <v>265253523.34999999</v>
      </c>
      <c r="I167" s="16">
        <v>285789510.19</v>
      </c>
      <c r="J167" s="61">
        <v>281177738.42000002</v>
      </c>
      <c r="K167" s="59">
        <v>281619099.64999998</v>
      </c>
      <c r="L167" s="59">
        <v>294153326.26999998</v>
      </c>
      <c r="M167" s="59">
        <v>294649043.86000001</v>
      </c>
      <c r="N167" s="59">
        <v>294991074.82999998</v>
      </c>
      <c r="O167" s="61">
        <v>293371041.82999998</v>
      </c>
      <c r="P167" s="19">
        <f t="shared" si="26"/>
        <v>282021831.70541662</v>
      </c>
      <c r="R167" s="55"/>
      <c r="S167" s="92">
        <v>104001157.52708299</v>
      </c>
      <c r="T167" s="37">
        <f>-P167+S167</f>
        <v>-178020674.17833364</v>
      </c>
      <c r="U167" s="33"/>
      <c r="V167" s="32">
        <f>[11]Report!$K$2773</f>
        <v>-1451597.7337926831</v>
      </c>
      <c r="W167" s="32">
        <f>[11]Report!$J$2773</f>
        <v>-103242244.02079076</v>
      </c>
      <c r="X167" s="32">
        <f>T167-V167-W167</f>
        <v>-73326832.423750192</v>
      </c>
      <c r="Y167" s="32">
        <f>+X167+V167+W167</f>
        <v>-178020674.17833364</v>
      </c>
      <c r="Z167" s="15">
        <f>T167-Y167</f>
        <v>0</v>
      </c>
    </row>
    <row r="168" spans="1:26" s="11" customFormat="1" x14ac:dyDescent="0.25">
      <c r="A168" s="11">
        <f t="shared" si="23"/>
        <v>161</v>
      </c>
      <c r="B168" s="12" t="s">
        <v>162</v>
      </c>
      <c r="C168" s="21">
        <v>5843050820.4299994</v>
      </c>
      <c r="D168" s="21">
        <v>5852645846.7700005</v>
      </c>
      <c r="E168" s="21">
        <v>5848994059.71</v>
      </c>
      <c r="F168" s="21">
        <v>5886434511.4400005</v>
      </c>
      <c r="G168" s="21">
        <v>5904587903.9399996</v>
      </c>
      <c r="H168" s="21">
        <v>5919283014.4700003</v>
      </c>
      <c r="I168" s="21">
        <v>5713310447.0900002</v>
      </c>
      <c r="J168" s="21">
        <v>5702678169.9300003</v>
      </c>
      <c r="K168" s="21">
        <v>5700945757.2800007</v>
      </c>
      <c r="L168" s="21">
        <v>5716849419.1200008</v>
      </c>
      <c r="M168" s="21">
        <v>5723713914.5500002</v>
      </c>
      <c r="N168" s="21">
        <v>5715536572.3600006</v>
      </c>
      <c r="O168" s="21">
        <v>5697629527.1599998</v>
      </c>
      <c r="P168" s="28">
        <f>SUBTOTAL(9,P159:P167)</f>
        <v>5787943315.8712492</v>
      </c>
      <c r="R168" s="55"/>
      <c r="S168" s="40"/>
      <c r="T168" s="34">
        <f>SUBTOTAL(9,T159:T167)</f>
        <v>-5683942158.3441658</v>
      </c>
      <c r="U168" s="33"/>
      <c r="V168" s="32"/>
      <c r="W168" s="32"/>
      <c r="X168" s="32"/>
      <c r="Y168" s="32"/>
      <c r="Z168" s="15"/>
    </row>
    <row r="169" spans="1:26" s="11" customFormat="1" x14ac:dyDescent="0.25">
      <c r="A169" s="11">
        <f t="shared" si="23"/>
        <v>162</v>
      </c>
      <c r="B169" s="12"/>
      <c r="C169" s="24"/>
      <c r="D169" s="26"/>
      <c r="E169" s="26"/>
      <c r="F169" s="26"/>
      <c r="G169" s="26"/>
      <c r="H169" s="26"/>
      <c r="I169" s="26"/>
      <c r="J169" s="26">
        <v>0</v>
      </c>
      <c r="K169" s="26"/>
      <c r="L169" s="26"/>
      <c r="M169" s="26"/>
      <c r="N169" s="26"/>
      <c r="O169" s="26"/>
      <c r="P169" s="20"/>
      <c r="R169" s="55"/>
      <c r="S169" s="40"/>
      <c r="T169" s="37"/>
      <c r="U169" s="33"/>
      <c r="V169" s="32"/>
      <c r="W169" s="32"/>
      <c r="X169" s="32"/>
      <c r="Y169" s="32"/>
      <c r="Z169" s="15"/>
    </row>
    <row r="170" spans="1:26" s="11" customFormat="1" ht="16.5" thickBot="1" x14ac:dyDescent="0.3">
      <c r="A170" s="11">
        <f t="shared" si="23"/>
        <v>163</v>
      </c>
      <c r="B170" s="45" t="s">
        <v>163</v>
      </c>
      <c r="C170" s="46">
        <v>21864861175.689999</v>
      </c>
      <c r="D170" s="46">
        <v>22072640510.550003</v>
      </c>
      <c r="E170" s="46">
        <v>22224933100.02</v>
      </c>
      <c r="F170" s="46">
        <v>22241230612.09</v>
      </c>
      <c r="G170" s="46">
        <v>22296684097.829998</v>
      </c>
      <c r="H170" s="46">
        <v>22467898330.23</v>
      </c>
      <c r="I170" s="46">
        <v>22205931064.010002</v>
      </c>
      <c r="J170" s="46">
        <v>22217186720.080002</v>
      </c>
      <c r="K170" s="46">
        <v>22225661918.310001</v>
      </c>
      <c r="L170" s="46">
        <v>22891883924.630001</v>
      </c>
      <c r="M170" s="46">
        <v>22984336420.599998</v>
      </c>
      <c r="N170" s="46">
        <v>23087614402.25</v>
      </c>
      <c r="O170" s="46">
        <v>23201585737.549999</v>
      </c>
      <c r="P170" s="66">
        <f>SUBTOTAL(9,P99:P168)</f>
        <v>22454102046.434998</v>
      </c>
      <c r="Q170" s="48"/>
      <c r="R170" s="67">
        <f t="shared" ref="R170:X170" si="27">SUBTOTAL(9,R99:R168)</f>
        <v>0</v>
      </c>
      <c r="S170" s="66">
        <f t="shared" si="27"/>
        <v>1210832378.167083</v>
      </c>
      <c r="T170" s="66">
        <f>SUBTOTAL(9,T99:T168)</f>
        <v>-6181622429.1879158</v>
      </c>
      <c r="U170" s="68">
        <f t="shared" si="27"/>
        <v>15061647239.079998</v>
      </c>
      <c r="V170" s="66">
        <f>SUBTOTAL(9,V129:V169)</f>
        <v>-316760820.30986142</v>
      </c>
      <c r="W170" s="66">
        <f t="shared" si="27"/>
        <v>-4857409667.1238918</v>
      </c>
      <c r="X170" s="66">
        <f t="shared" si="27"/>
        <v>-1007451941.7541635</v>
      </c>
      <c r="Y170" s="32"/>
      <c r="Z170" s="15"/>
    </row>
    <row r="171" spans="1:26" s="11" customFormat="1" x14ac:dyDescent="0.25">
      <c r="A171" s="11">
        <f t="shared" si="23"/>
        <v>164</v>
      </c>
      <c r="B171" s="69" t="s">
        <v>164</v>
      </c>
      <c r="C171" s="70" t="s">
        <v>165</v>
      </c>
      <c r="D171" s="70" t="s">
        <v>165</v>
      </c>
      <c r="E171" s="70" t="s">
        <v>165</v>
      </c>
      <c r="F171" s="70" t="s">
        <v>165</v>
      </c>
      <c r="G171" s="70" t="s">
        <v>165</v>
      </c>
      <c r="H171" s="70" t="s">
        <v>165</v>
      </c>
      <c r="I171" s="70" t="s">
        <v>165</v>
      </c>
      <c r="J171" s="70" t="s">
        <v>165</v>
      </c>
      <c r="K171" s="70" t="s">
        <v>165</v>
      </c>
      <c r="L171" s="70" t="s">
        <v>165</v>
      </c>
      <c r="M171" s="70" t="s">
        <v>165</v>
      </c>
      <c r="N171" s="70" t="s">
        <v>165</v>
      </c>
      <c r="O171" s="70" t="s">
        <v>165</v>
      </c>
      <c r="P171" s="54">
        <f>+U170+S170-T170-R170</f>
        <v>22454102046.434998</v>
      </c>
      <c r="Q171" s="48"/>
      <c r="R171" s="48"/>
      <c r="S171" s="48"/>
      <c r="T171" s="48"/>
      <c r="U171" s="48"/>
      <c r="V171" s="32"/>
      <c r="W171" s="32"/>
      <c r="X171" s="32"/>
      <c r="Y171" s="32"/>
      <c r="Z171" s="15"/>
    </row>
    <row r="172" spans="1:26" s="11" customFormat="1" x14ac:dyDescent="0.25">
      <c r="A172" s="11">
        <f t="shared" si="23"/>
        <v>165</v>
      </c>
      <c r="B172" s="71" t="s">
        <v>166</v>
      </c>
      <c r="C172" s="70">
        <v>0</v>
      </c>
      <c r="D172" s="70">
        <v>0</v>
      </c>
      <c r="E172" s="70">
        <v>0</v>
      </c>
      <c r="F172" s="70">
        <v>0</v>
      </c>
      <c r="G172" s="70">
        <v>0</v>
      </c>
      <c r="H172" s="70">
        <v>0</v>
      </c>
      <c r="I172" s="70">
        <v>0</v>
      </c>
      <c r="J172" s="70">
        <v>0</v>
      </c>
      <c r="K172" s="70">
        <v>0</v>
      </c>
      <c r="L172" s="70">
        <v>0</v>
      </c>
      <c r="M172" s="70">
        <v>0</v>
      </c>
      <c r="N172" s="70">
        <v>0</v>
      </c>
      <c r="O172" s="70">
        <v>0</v>
      </c>
      <c r="P172" s="19">
        <f>-P171+P95</f>
        <v>0</v>
      </c>
      <c r="R172" s="48"/>
      <c r="S172" s="93"/>
      <c r="T172" s="48"/>
      <c r="U172" s="48"/>
      <c r="V172" s="32"/>
      <c r="W172" s="32"/>
      <c r="X172" s="32"/>
      <c r="Y172" s="32"/>
      <c r="Z172" s="15"/>
    </row>
    <row r="173" spans="1:26" s="11" customFormat="1" x14ac:dyDescent="0.25">
      <c r="A173" s="11">
        <f t="shared" si="23"/>
        <v>166</v>
      </c>
      <c r="B173" s="71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19"/>
      <c r="R173" s="48"/>
      <c r="S173" s="93"/>
      <c r="T173" s="48"/>
      <c r="U173" s="48"/>
      <c r="V173" s="32"/>
      <c r="W173" s="32"/>
      <c r="X173" s="32"/>
      <c r="Y173" s="32"/>
      <c r="Z173" s="15"/>
    </row>
    <row r="174" spans="1:26" s="11" customFormat="1" x14ac:dyDescent="0.25">
      <c r="A174" s="11">
        <f t="shared" si="23"/>
        <v>167</v>
      </c>
      <c r="B174" s="72" t="s">
        <v>167</v>
      </c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19">
        <v>-10750.000000001863</v>
      </c>
      <c r="R174" s="48"/>
      <c r="S174" s="93"/>
      <c r="T174" s="32">
        <f>-P174</f>
        <v>10750.000000001863</v>
      </c>
      <c r="U174" s="44"/>
      <c r="V174" s="94">
        <f>-(([11]Report!$K$2670+[11]Report!$K$2672)/([11]Report!$I$2670+[11]Report!$J$2672))*P174</f>
        <v>447.74512944337033</v>
      </c>
      <c r="W174" s="94">
        <f>-(([11]Report!$J$2670+[11]Report!$J$2672)/([11]Report!$I$2670+[11]Report!$J$2672))*P174</f>
        <v>10302.254870558492</v>
      </c>
      <c r="X174" s="32">
        <f>-P174-V174-W174</f>
        <v>0</v>
      </c>
      <c r="Y174" s="32">
        <f>+X174+W174+V174</f>
        <v>10750.000000001863</v>
      </c>
      <c r="Z174" s="15">
        <f>T174-Y174</f>
        <v>0</v>
      </c>
    </row>
    <row r="175" spans="1:26" s="11" customFormat="1" x14ac:dyDescent="0.25">
      <c r="A175" s="11">
        <f t="shared" si="23"/>
        <v>168</v>
      </c>
      <c r="B175" s="45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19"/>
      <c r="R175" s="48"/>
      <c r="S175" s="48"/>
      <c r="T175" s="48"/>
      <c r="U175" s="48"/>
      <c r="V175" s="32"/>
      <c r="W175" s="32"/>
      <c r="X175" s="32"/>
      <c r="Y175" s="32"/>
      <c r="Z175" s="15"/>
    </row>
    <row r="176" spans="1:26" s="11" customFormat="1" x14ac:dyDescent="0.25">
      <c r="A176" s="11">
        <f t="shared" si="23"/>
        <v>169</v>
      </c>
      <c r="B176" s="73" t="s">
        <v>168</v>
      </c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R176" s="32"/>
      <c r="S176" s="48"/>
      <c r="T176" s="95">
        <f>SUBTOTAL(9,T8:T170)+T174</f>
        <v>14585703143.60388</v>
      </c>
      <c r="U176" s="95">
        <f>SUBTOTAL(9,U8:U170)+U174</f>
        <v>15026070078.48</v>
      </c>
      <c r="V176" s="32">
        <f>SUBTOTAL(9,V8:V170)+V174</f>
        <v>777018772.36177826</v>
      </c>
      <c r="W176" s="32">
        <f>SUBTOTAL(9,W8:W170)+W174</f>
        <v>12166143072.167126</v>
      </c>
      <c r="X176" s="32">
        <f>SUBTOTAL(9,X8:X170)+X174</f>
        <v>1642541299.0749884</v>
      </c>
      <c r="Y176" s="32">
        <f>+X176+W176+V176</f>
        <v>14585703143.603893</v>
      </c>
      <c r="Z176" s="15">
        <f>T176-Y176</f>
        <v>0</v>
      </c>
    </row>
    <row r="177" spans="1:26" s="11" customFormat="1" x14ac:dyDescent="0.25">
      <c r="A177" s="11">
        <f t="shared" si="23"/>
        <v>170</v>
      </c>
      <c r="B177" s="73" t="s">
        <v>169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48"/>
      <c r="Q177" s="48"/>
      <c r="R177" s="77"/>
      <c r="S177" s="48"/>
      <c r="T177" s="32"/>
      <c r="U177" s="54">
        <f>+U176-T176</f>
        <v>440366934.87611961</v>
      </c>
      <c r="V177" s="32"/>
      <c r="W177" s="32"/>
      <c r="X177" s="32"/>
      <c r="Y177" s="32"/>
      <c r="Z177" s="15"/>
    </row>
    <row r="178" spans="1:26" s="11" customFormat="1" x14ac:dyDescent="0.25">
      <c r="A178" s="11">
        <f t="shared" si="23"/>
        <v>171</v>
      </c>
      <c r="B178" s="11" t="s">
        <v>170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R178" s="48"/>
      <c r="S178" s="48"/>
      <c r="T178" s="96" t="s">
        <v>171</v>
      </c>
      <c r="U178" s="74"/>
      <c r="V178" s="75">
        <f>+V176/$Y$176</f>
        <v>5.3272630377268829E-2</v>
      </c>
      <c r="W178" s="75">
        <f>+W176/$Y$176</f>
        <v>0.83411426603058281</v>
      </c>
      <c r="X178" s="75">
        <f>+X176/$Y$176</f>
        <v>0.11261310359214829</v>
      </c>
      <c r="Y178" s="32"/>
      <c r="Z178" s="15"/>
    </row>
    <row r="179" spans="1:26" s="11" customFormat="1" x14ac:dyDescent="0.25">
      <c r="A179" s="11">
        <f t="shared" si="23"/>
        <v>172</v>
      </c>
      <c r="B179" s="11" t="s">
        <v>172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R179" s="48"/>
      <c r="S179" s="48"/>
      <c r="T179" s="97" t="s">
        <v>173</v>
      </c>
      <c r="U179" s="48"/>
      <c r="V179" s="32">
        <f>+U177*V178</f>
        <v>23459504.952026334</v>
      </c>
      <c r="W179" s="32">
        <f>+W178*U177</f>
        <v>367316342.66833198</v>
      </c>
      <c r="X179" s="32">
        <f>+X178*U177</f>
        <v>49591087.255761281</v>
      </c>
      <c r="Y179" s="32">
        <f>+X179+W179+V179</f>
        <v>440366934.87611955</v>
      </c>
      <c r="Z179" s="15"/>
    </row>
    <row r="180" spans="1:26" s="11" customFormat="1" x14ac:dyDescent="0.25">
      <c r="A180" s="11">
        <f t="shared" si="23"/>
        <v>173</v>
      </c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R180" s="48"/>
      <c r="S180" s="48"/>
      <c r="T180" s="48"/>
      <c r="U180" s="48"/>
      <c r="V180" s="48"/>
      <c r="W180" s="48"/>
      <c r="X180" s="48"/>
      <c r="Y180" s="48"/>
      <c r="Z180" s="15"/>
    </row>
    <row r="181" spans="1:26" s="11" customFormat="1" x14ac:dyDescent="0.25">
      <c r="A181" s="11">
        <f t="shared" si="23"/>
        <v>174</v>
      </c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R181" s="48"/>
      <c r="S181" s="48"/>
      <c r="T181" s="48"/>
      <c r="U181" s="48" t="s">
        <v>174</v>
      </c>
      <c r="V181" s="32">
        <f>+V176</f>
        <v>777018772.36177826</v>
      </c>
      <c r="W181" s="32">
        <f>+W176</f>
        <v>12166143072.167126</v>
      </c>
      <c r="X181" s="32">
        <f>+X176</f>
        <v>1642541299.0749884</v>
      </c>
      <c r="Y181" s="32">
        <f>SUM(V181:X181)</f>
        <v>14585703143.603893</v>
      </c>
      <c r="Z181" s="15"/>
    </row>
    <row r="182" spans="1:26" s="11" customFormat="1" ht="16.5" thickBot="1" x14ac:dyDescent="0.3">
      <c r="A182" s="11">
        <f t="shared" si="23"/>
        <v>175</v>
      </c>
      <c r="B182" s="1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1"/>
      <c r="R182" s="48"/>
      <c r="S182" s="48"/>
      <c r="T182" s="84"/>
      <c r="U182" s="48" t="s">
        <v>175</v>
      </c>
      <c r="V182" s="98">
        <f>+V178*U176</f>
        <v>800478277.31380379</v>
      </c>
      <c r="W182" s="32">
        <f>+W178*U176</f>
        <v>12533459414.835447</v>
      </c>
      <c r="X182" s="32">
        <f>+X178*U176</f>
        <v>1692132386.3307481</v>
      </c>
      <c r="Y182" s="32">
        <f>SUM(V182:X182)</f>
        <v>15026070078.48</v>
      </c>
      <c r="Z182" s="15"/>
    </row>
    <row r="183" spans="1:26" s="11" customFormat="1" ht="16.5" thickBot="1" x14ac:dyDescent="0.3">
      <c r="A183" s="11">
        <f t="shared" si="23"/>
        <v>176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R183" s="48"/>
      <c r="S183" s="48"/>
      <c r="T183" s="84"/>
      <c r="U183" s="99" t="s">
        <v>176</v>
      </c>
      <c r="V183" s="100">
        <f>+V182-V181</f>
        <v>23459504.952025533</v>
      </c>
      <c r="W183" s="32">
        <f>+W182-W181</f>
        <v>367316342.66832161</v>
      </c>
      <c r="X183" s="32">
        <f>+X182-X181</f>
        <v>49591087.255759716</v>
      </c>
      <c r="Y183" s="32">
        <f>SUM(V183:X183)</f>
        <v>440366934.87610686</v>
      </c>
      <c r="Z183" s="15"/>
    </row>
    <row r="184" spans="1:26" s="11" customForma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Z184" s="15"/>
    </row>
    <row r="185" spans="1:26" s="11" customForma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T185"/>
      <c r="U185"/>
      <c r="V185"/>
      <c r="Z185" s="15"/>
    </row>
    <row r="186" spans="1:26" s="11" customForma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06" t="s">
        <v>177</v>
      </c>
      <c r="R186" s="15"/>
      <c r="S186" s="15"/>
      <c r="T186" s="76"/>
      <c r="U186" s="76"/>
      <c r="V186" s="76"/>
      <c r="W186" s="15"/>
      <c r="X186" s="15"/>
      <c r="Y186" s="15"/>
      <c r="Z186" s="15"/>
    </row>
    <row r="187" spans="1:26" s="11" customFormat="1" ht="18" x14ac:dyDescent="0.4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96" t="s">
        <v>178</v>
      </c>
      <c r="R187" s="20">
        <f>SUBTOTAL(9,R8:R170)</f>
        <v>1651210063.0431943</v>
      </c>
      <c r="S187" s="101"/>
      <c r="T187" s="20"/>
      <c r="U187" s="20"/>
      <c r="V187" s="20"/>
      <c r="W187" s="20"/>
      <c r="X187" s="20"/>
      <c r="Y187" s="63"/>
      <c r="Z187" s="15"/>
    </row>
    <row r="188" spans="1:26" s="11" customForma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96" t="s">
        <v>179</v>
      </c>
      <c r="R188" s="37">
        <f>SUBTOTAL(9,S8:S170)</f>
        <v>1210832378.167083</v>
      </c>
      <c r="S188" s="102"/>
      <c r="T188" s="102"/>
      <c r="U188" s="102"/>
      <c r="V188" s="103"/>
      <c r="W188" s="103"/>
      <c r="X188" s="103"/>
      <c r="Y188" s="63"/>
      <c r="Z188" s="15"/>
    </row>
    <row r="189" spans="1:26" s="11" customForma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96" t="s">
        <v>180</v>
      </c>
      <c r="R189" s="107">
        <f>+R187-R188</f>
        <v>440377684.87611127</v>
      </c>
      <c r="S189" s="40"/>
      <c r="T189" s="40"/>
      <c r="U189" s="40"/>
      <c r="V189" s="63"/>
      <c r="W189" s="63"/>
      <c r="X189" s="63"/>
      <c r="Y189" s="63"/>
      <c r="Z189" s="15"/>
    </row>
    <row r="190" spans="1:26" s="11" customForma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96" t="s">
        <v>181</v>
      </c>
      <c r="R190" s="20">
        <f>U177</f>
        <v>440366934.87611961</v>
      </c>
      <c r="S190" s="104"/>
      <c r="T190" s="14"/>
      <c r="U190" s="14"/>
      <c r="V190" s="63"/>
      <c r="W190" s="63"/>
      <c r="X190" s="63"/>
      <c r="Y190" s="63"/>
      <c r="Z190" s="15"/>
    </row>
    <row r="191" spans="1:26" s="11" customForma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96" t="s">
        <v>182</v>
      </c>
      <c r="R191" s="108">
        <f>R189-R190</f>
        <v>10749.99999165535</v>
      </c>
      <c r="S191" s="104"/>
      <c r="T191" s="14"/>
      <c r="U191" s="14"/>
      <c r="V191" s="63"/>
      <c r="W191" s="63"/>
      <c r="X191" s="63"/>
      <c r="Y191" s="63"/>
      <c r="Z191" s="15"/>
    </row>
    <row r="192" spans="1:26" s="11" customForma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96" t="str">
        <f>B174</f>
        <v>Adjustment to Acruals for Injuries and Damages</v>
      </c>
      <c r="R192" s="20">
        <f>P174</f>
        <v>-10750.000000001863</v>
      </c>
      <c r="S192" s="104"/>
      <c r="T192" s="63"/>
      <c r="U192" s="20"/>
      <c r="V192" s="105"/>
      <c r="W192" s="105"/>
      <c r="X192" s="63"/>
      <c r="Y192" s="63"/>
      <c r="Z192" s="15"/>
    </row>
    <row r="193" spans="2:26" s="11" customForma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96" t="s">
        <v>183</v>
      </c>
      <c r="R193" s="109">
        <f>SUM(R191:R192)</f>
        <v>-8.3465129137039185E-6</v>
      </c>
      <c r="S193" s="14"/>
      <c r="T193" s="14"/>
      <c r="U193" s="14"/>
      <c r="V193" s="63"/>
      <c r="W193" s="63"/>
      <c r="X193" s="63"/>
      <c r="Y193" s="63"/>
      <c r="Z193" s="15"/>
    </row>
  </sheetData>
  <mergeCells count="3">
    <mergeCell ref="R5:U5"/>
    <mergeCell ref="V5:X5"/>
    <mergeCell ref="V6:X6"/>
  </mergeCells>
  <pageMargins left="0" right="0" top="0" bottom="0" header="0" footer="0"/>
  <pageSetup paperSize="17" scale="39" orientation="portrait" r:id="rId1"/>
  <headerFooter alignWithMargins="0">
    <oddHeader>&amp;L&amp;"Times New Roman,Regular"PacifiCorp&amp;C&amp;"Times New Roman,Regular"Investor-supplied Working Capital&amp;R&amp;"Times New Roman,Regular"Docket No. UE-100749
Exhibit No. TES-2
October 5, 2010</oddHeader>
    <oddFooter>&amp;L&amp;"-,Regular"&amp;8&amp;F (&amp;A)&amp;R&amp;"Times New Roman,Bold"&amp;P of &amp;N</oddFooter>
  </headerFooter>
  <ignoredErrors>
    <ignoredError sqref="P27 T29 X29 X37 P49 P71 T80 T86 P113 T130 X130 P153:P154 T16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4B262F9-12FE-41CE-B8FD-F04DC8C37368}"/>
</file>

<file path=customXml/itemProps2.xml><?xml version="1.0" encoding="utf-8"?>
<ds:datastoreItem xmlns:ds="http://schemas.openxmlformats.org/officeDocument/2006/customXml" ds:itemID="{971E82B8-84B5-4BAB-A4B4-A183625DB442}"/>
</file>

<file path=customXml/itemProps3.xml><?xml version="1.0" encoding="utf-8"?>
<ds:datastoreItem xmlns:ds="http://schemas.openxmlformats.org/officeDocument/2006/customXml" ds:itemID="{80D3B12E-23C9-496B-9876-ECD417249E42}"/>
</file>

<file path=customXml/itemProps4.xml><?xml version="1.0" encoding="utf-8"?>
<ds:datastoreItem xmlns:ds="http://schemas.openxmlformats.org/officeDocument/2006/customXml" ds:itemID="{46F9800B-57A8-4153-BDD2-92663DF173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Investor Supld Working Captial</vt:lpstr>
      <vt:lpstr>'Investor Supld Working Captial'!Print_Area</vt:lpstr>
      <vt:lpstr>'Investor Supld Working Captial'!Print_Titles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2019-12-05T00:23:16Z</dcterms:created>
  <dcterms:modified xsi:type="dcterms:W3CDTF">2019-12-31T18:55:25Z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