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heets/sheet1.xml" ContentType="application/vnd.openxmlformats-officedocument.spreadsheetml.chartsheet+xml"/>
  <Override PartName="/xl/charts/chart6.xml" ContentType="application/vnd.openxmlformats-officedocument.drawingml.char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charts/chart7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780" yWindow="-60" windowWidth="23700" windowHeight="12690" tabRatio="707" firstSheet="10" activeTab="16"/>
  </bookViews>
  <sheets>
    <sheet name="Summary" sheetId="2" r:id="rId1"/>
    <sheet name="Handy-Whit T&amp;D Accts" sheetId="1" r:id="rId2"/>
    <sheet name="Depreciation" sheetId="3" r:id="rId3"/>
    <sheet name="Dist" sheetId="5" r:id="rId4"/>
    <sheet name="Sub" sheetId="6" r:id="rId5"/>
    <sheet name="Trans" sheetId="7" r:id="rId6"/>
    <sheet name="Data" sheetId="4" r:id="rId7"/>
    <sheet name="HandyWhitmanIndexValues" sheetId="8" r:id="rId8"/>
    <sheet name="Transm Sub 352-353" sheetId="10" r:id="rId9"/>
    <sheet name="Transm sub extract" sheetId="9" r:id="rId10"/>
    <sheet name="Transm Equip 354-355-356" sheetId="12" r:id="rId11"/>
    <sheet name="Transm extract 354-355-356" sheetId="11" r:id="rId12"/>
    <sheet name="Dist Sub 361-362" sheetId="14" r:id="rId13"/>
    <sheet name="Dist Sub Extract" sheetId="13" r:id="rId14"/>
    <sheet name="Dist Equip 364-365-368" sheetId="16" r:id="rId15"/>
    <sheet name="Dist extract 364-365-368" sheetId="15" r:id="rId16"/>
    <sheet name="Sheet1" sheetId="17" r:id="rId17"/>
  </sheets>
  <definedNames>
    <definedName name="_xlnm._FilterDatabase" localSheetId="1" hidden="1">'Handy-Whit T&amp;D Accts'!$A$2:$DK$114</definedName>
    <definedName name="HW_Data">HandyWhitmanIndexValues!$A$1:$S$250</definedName>
    <definedName name="HW_Year">HandyWhitmanIndexValues!$A$1:$A$250</definedName>
    <definedName name="_xlnm.Print_Area" localSheetId="6">Data!$A$2:$J$30</definedName>
    <definedName name="_xlnm.Print_Area" localSheetId="2">Depreciation!$A$2:$DK$115</definedName>
    <definedName name="_xlnm.Print_Area" localSheetId="1">'Handy-Whit T&amp;D Accts'!$A$2:$DK$115</definedName>
    <definedName name="_xlnm.Print_Titles" localSheetId="2">Depreciation!$A:$A</definedName>
    <definedName name="_xlnm.Print_Titles" localSheetId="1">'Handy-Whit T&amp;D Accts'!$A:$A</definedName>
  </definedNames>
  <calcPr calcId="125725"/>
</workbook>
</file>

<file path=xl/calcChain.xml><?xml version="1.0" encoding="utf-8"?>
<calcChain xmlns="http://schemas.openxmlformats.org/spreadsheetml/2006/main">
  <c r="W18" i="15"/>
  <c r="V18"/>
  <c r="U18"/>
  <c r="O6"/>
  <c r="I6"/>
  <c r="D6"/>
  <c r="O19" i="13"/>
  <c r="N19"/>
  <c r="G5"/>
  <c r="C5"/>
  <c r="AB20" i="11"/>
  <c r="AA20"/>
  <c r="Z20"/>
  <c r="S3"/>
  <c r="L3"/>
  <c r="E3"/>
  <c r="S21" i="9" l="1"/>
  <c r="F6"/>
  <c r="R21" s="1"/>
  <c r="M6"/>
  <c r="W12" i="15" l="1"/>
  <c r="W13"/>
  <c r="W14"/>
  <c r="W15"/>
  <c r="W16"/>
  <c r="W17"/>
  <c r="V12"/>
  <c r="V13"/>
  <c r="V14"/>
  <c r="V15"/>
  <c r="V16"/>
  <c r="V17"/>
  <c r="U12"/>
  <c r="U13"/>
  <c r="U14"/>
  <c r="U15"/>
  <c r="U16"/>
  <c r="U17"/>
  <c r="O13" i="13"/>
  <c r="O14"/>
  <c r="O15"/>
  <c r="O16"/>
  <c r="O17"/>
  <c r="O18"/>
  <c r="N13"/>
  <c r="N14"/>
  <c r="N15"/>
  <c r="N16"/>
  <c r="N17"/>
  <c r="N18"/>
  <c r="AB14" i="11"/>
  <c r="AB15"/>
  <c r="AB16"/>
  <c r="AB17"/>
  <c r="AB18"/>
  <c r="AB19"/>
  <c r="AA14"/>
  <c r="AA15"/>
  <c r="AA16"/>
  <c r="AA17"/>
  <c r="AA18"/>
  <c r="AA19"/>
  <c r="Z14"/>
  <c r="Z15"/>
  <c r="Z16"/>
  <c r="Z17"/>
  <c r="Z18"/>
  <c r="Z19"/>
  <c r="S15" i="9" l="1"/>
  <c r="S16"/>
  <c r="S17"/>
  <c r="S18"/>
  <c r="S19"/>
  <c r="S20"/>
  <c r="R15"/>
  <c r="R16"/>
  <c r="R17"/>
  <c r="R18"/>
  <c r="R19"/>
  <c r="R20"/>
  <c r="BI9" i="3" l="1"/>
  <c r="DI10" i="1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I9"/>
  <c r="DI4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DA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W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S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L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T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9"/>
  <c r="DI10" i="3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G9"/>
  <c r="DH9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R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K9"/>
  <c r="CE9"/>
  <c r="CG9" s="1"/>
  <c r="CH9" s="1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S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E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J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V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R108"/>
  <c r="R109"/>
  <c r="R110"/>
  <c r="R111"/>
  <c r="R112"/>
  <c r="R113"/>
  <c r="R114"/>
  <c r="O9"/>
  <c r="H9"/>
  <c r="D9"/>
  <c r="E9" s="1"/>
  <c r="DI9"/>
  <c r="DA9"/>
  <c r="CW9"/>
  <c r="CW4" s="1"/>
  <c r="CX9" s="1"/>
  <c r="CY9" s="1"/>
  <c r="CS9"/>
  <c r="CS4" s="1"/>
  <c r="CT9" s="1"/>
  <c r="CU9" s="1"/>
  <c r="CL9"/>
  <c r="CL4" s="1"/>
  <c r="CM9" s="1"/>
  <c r="CN9" s="1"/>
  <c r="CB9"/>
  <c r="BX9"/>
  <c r="BX4" s="1"/>
  <c r="BY9" s="1"/>
  <c r="BZ9" s="1"/>
  <c r="BT9"/>
  <c r="BT4" s="1"/>
  <c r="BU12" s="1"/>
  <c r="BV12" s="1"/>
  <c r="BN9"/>
  <c r="BJ9"/>
  <c r="BJ4" s="1"/>
  <c r="BF9"/>
  <c r="BF4" s="1"/>
  <c r="BG11" s="1"/>
  <c r="BH11" s="1"/>
  <c r="BA9"/>
  <c r="AW9"/>
  <c r="AS9"/>
  <c r="AO9"/>
  <c r="AK9"/>
  <c r="AK4" s="1"/>
  <c r="AL93" s="1"/>
  <c r="AE9"/>
  <c r="AA9"/>
  <c r="AA4" s="1"/>
  <c r="W9"/>
  <c r="I9"/>
  <c r="I4" s="1"/>
  <c r="J11" s="1"/>
  <c r="K11" s="1"/>
  <c r="P9"/>
  <c r="DM9" i="1"/>
  <c r="DO9" s="1"/>
  <c r="DN9"/>
  <c r="DP9" s="1"/>
  <c r="DH9"/>
  <c r="DG9"/>
  <c r="CR9"/>
  <c r="CK9"/>
  <c r="CE9"/>
  <c r="CG9"/>
  <c r="CH9" s="1"/>
  <c r="BS9"/>
  <c r="BE9"/>
  <c r="AJ9"/>
  <c r="V9"/>
  <c r="O9"/>
  <c r="H9"/>
  <c r="D9"/>
  <c r="E9" s="1"/>
  <c r="AW4"/>
  <c r="AO4"/>
  <c r="AP15" s="1"/>
  <c r="AQ15" s="1"/>
  <c r="AE4"/>
  <c r="AF9" s="1"/>
  <c r="AG9" s="1"/>
  <c r="AA4"/>
  <c r="W4"/>
  <c r="X9" s="1"/>
  <c r="P4"/>
  <c r="Q9" s="1"/>
  <c r="DA4"/>
  <c r="DB9" s="1"/>
  <c r="DC9" s="1"/>
  <c r="CW4"/>
  <c r="CX9" s="1"/>
  <c r="CY9" s="1"/>
  <c r="CS4"/>
  <c r="CT9" s="1"/>
  <c r="CL4"/>
  <c r="CM9" s="1"/>
  <c r="CN9" s="1"/>
  <c r="CB4"/>
  <c r="CC11" s="1"/>
  <c r="CD11" s="1"/>
  <c r="BX4"/>
  <c r="BY9" s="1"/>
  <c r="BZ9" s="1"/>
  <c r="BT4"/>
  <c r="BU9" s="1"/>
  <c r="BV9" s="1"/>
  <c r="BN4"/>
  <c r="BO9" s="1"/>
  <c r="BP9" s="1"/>
  <c r="BJ4"/>
  <c r="BK9" s="1"/>
  <c r="BL9" s="1"/>
  <c r="BF4"/>
  <c r="BG9" s="1"/>
  <c r="BH9" s="1"/>
  <c r="BA4"/>
  <c r="BB10" s="1"/>
  <c r="BC10" s="1"/>
  <c r="AS4"/>
  <c r="AT9" s="1"/>
  <c r="AU9" s="1"/>
  <c r="AK4"/>
  <c r="AL9" s="1"/>
  <c r="I4"/>
  <c r="DH11" i="3"/>
  <c r="DG11"/>
  <c r="DG10"/>
  <c r="DH10" s="1"/>
  <c r="CR11"/>
  <c r="CR10"/>
  <c r="CK11"/>
  <c r="CK10"/>
  <c r="CG11"/>
  <c r="CH11" s="1"/>
  <c r="CG10"/>
  <c r="CH10" s="1"/>
  <c r="CE10"/>
  <c r="CE11"/>
  <c r="CE12"/>
  <c r="BS11"/>
  <c r="BS10"/>
  <c r="BI11"/>
  <c r="BI10"/>
  <c r="AJ11"/>
  <c r="AJ10"/>
  <c r="V11"/>
  <c r="V10"/>
  <c r="CE10" i="1"/>
  <c r="BE10"/>
  <c r="AJ10"/>
  <c r="CE11"/>
  <c r="CG11" s="1"/>
  <c r="CH11" s="1"/>
  <c r="BI10"/>
  <c r="BI11"/>
  <c r="BE11"/>
  <c r="AJ11"/>
  <c r="BE11" i="3"/>
  <c r="BE10"/>
  <c r="H11"/>
  <c r="H10"/>
  <c r="O11"/>
  <c r="O10"/>
  <c r="D11"/>
  <c r="E11" s="1"/>
  <c r="D10"/>
  <c r="E10" s="1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L6"/>
  <c r="AG6"/>
  <c r="AF6"/>
  <c r="AC6"/>
  <c r="AB6"/>
  <c r="Y6"/>
  <c r="X6"/>
  <c r="R6"/>
  <c r="Q6"/>
  <c r="K6"/>
  <c r="J6"/>
  <c r="CZ114" i="1"/>
  <c r="CV114"/>
  <c r="CJ114"/>
  <c r="CI114"/>
  <c r="CF114"/>
  <c r="CA114"/>
  <c r="BW114"/>
  <c r="BR114"/>
  <c r="BQ114"/>
  <c r="BM114"/>
  <c r="BD114"/>
  <c r="AZ114"/>
  <c r="AV114"/>
  <c r="AR114"/>
  <c r="AN114"/>
  <c r="AI114"/>
  <c r="AH114"/>
  <c r="AD114"/>
  <c r="Z114"/>
  <c r="U114"/>
  <c r="S114"/>
  <c r="N114"/>
  <c r="M114"/>
  <c r="L114"/>
  <c r="G114"/>
  <c r="F114"/>
  <c r="C114"/>
  <c r="B114"/>
  <c r="CT104"/>
  <c r="CR11"/>
  <c r="CR10"/>
  <c r="CM10"/>
  <c r="CK11"/>
  <c r="CK10"/>
  <c r="BS11"/>
  <c r="BS10"/>
  <c r="BU104"/>
  <c r="BB32"/>
  <c r="BC32" s="1"/>
  <c r="BB64"/>
  <c r="BC64" s="1"/>
  <c r="BB96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G6"/>
  <c r="AC6"/>
  <c r="Y6"/>
  <c r="R6"/>
  <c r="K6"/>
  <c r="Q6"/>
  <c r="X6"/>
  <c r="AB6"/>
  <c r="AF6"/>
  <c r="AL6"/>
  <c r="J6"/>
  <c r="D11"/>
  <c r="D10"/>
  <c r="DG11"/>
  <c r="DH11" s="1"/>
  <c r="DN11" s="1"/>
  <c r="DG10"/>
  <c r="CG10"/>
  <c r="V11"/>
  <c r="V10"/>
  <c r="O11"/>
  <c r="O10"/>
  <c r="H11"/>
  <c r="H10"/>
  <c r="D12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G17"/>
  <c r="DH17" s="1"/>
  <c r="DG16"/>
  <c r="DH16" s="1"/>
  <c r="DG15"/>
  <c r="DH15" s="1"/>
  <c r="DG14"/>
  <c r="DH14" s="1"/>
  <c r="DG13"/>
  <c r="DH13" s="1"/>
  <c r="DG12"/>
  <c r="DH12" s="1"/>
  <c r="DG18"/>
  <c r="DH18" s="1"/>
  <c r="E36" i="4"/>
  <c r="F36"/>
  <c r="G36"/>
  <c r="H36"/>
  <c r="I36"/>
  <c r="J36"/>
  <c r="D36"/>
  <c r="E35"/>
  <c r="F35"/>
  <c r="G35"/>
  <c r="H35"/>
  <c r="I35"/>
  <c r="J35"/>
  <c r="D35"/>
  <c r="E26"/>
  <c r="E37" s="1"/>
  <c r="F26"/>
  <c r="F37" s="1"/>
  <c r="G26"/>
  <c r="G37" s="1"/>
  <c r="H26"/>
  <c r="H37"/>
  <c r="I26"/>
  <c r="I37" s="1"/>
  <c r="J26"/>
  <c r="J37" s="1"/>
  <c r="D26"/>
  <c r="D37" s="1"/>
  <c r="O18" i="1"/>
  <c r="O17"/>
  <c r="O16"/>
  <c r="O15"/>
  <c r="O13"/>
  <c r="O12"/>
  <c r="H18"/>
  <c r="H17"/>
  <c r="H16"/>
  <c r="H15"/>
  <c r="H13"/>
  <c r="H12"/>
  <c r="BI18"/>
  <c r="BI17"/>
  <c r="BI16"/>
  <c r="DN16" s="1"/>
  <c r="BI15"/>
  <c r="BI14"/>
  <c r="BI13"/>
  <c r="BI12"/>
  <c r="BE18"/>
  <c r="BE17"/>
  <c r="BE16"/>
  <c r="BE15"/>
  <c r="BE14"/>
  <c r="BE13"/>
  <c r="BE12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BS18"/>
  <c r="BS17"/>
  <c r="BS16"/>
  <c r="BS15"/>
  <c r="DN15" s="1"/>
  <c r="BS14"/>
  <c r="BS13"/>
  <c r="BS12"/>
  <c r="AJ18"/>
  <c r="AJ17"/>
  <c r="AJ16"/>
  <c r="AJ15"/>
  <c r="AJ14"/>
  <c r="DM14" s="1"/>
  <c r="AJ13"/>
  <c r="AJ12"/>
  <c r="V18"/>
  <c r="V17"/>
  <c r="V16"/>
  <c r="V15"/>
  <c r="V14"/>
  <c r="V13"/>
  <c r="V12"/>
  <c r="O14"/>
  <c r="H14"/>
  <c r="DD19"/>
  <c r="DG19" s="1"/>
  <c r="DH19" s="1"/>
  <c r="DD20"/>
  <c r="DG20" s="1"/>
  <c r="DH20" s="1"/>
  <c r="DD21"/>
  <c r="DG21" s="1"/>
  <c r="DH21" s="1"/>
  <c r="DD22"/>
  <c r="DG22" s="1"/>
  <c r="DH22" s="1"/>
  <c r="DD23"/>
  <c r="DG23" s="1"/>
  <c r="DH23" s="1"/>
  <c r="DD24"/>
  <c r="DG24" s="1"/>
  <c r="DH24" s="1"/>
  <c r="DD25"/>
  <c r="DG25" s="1"/>
  <c r="DH25" s="1"/>
  <c r="DD26"/>
  <c r="DF26"/>
  <c r="DD27"/>
  <c r="DF27"/>
  <c r="DD28"/>
  <c r="DF28"/>
  <c r="DD29"/>
  <c r="DG29" s="1"/>
  <c r="DH29" s="1"/>
  <c r="DF29"/>
  <c r="DD30"/>
  <c r="DF30"/>
  <c r="DG30" s="1"/>
  <c r="DH30" s="1"/>
  <c r="DD31"/>
  <c r="DF31"/>
  <c r="DD32"/>
  <c r="DF32"/>
  <c r="DD33"/>
  <c r="DG33" s="1"/>
  <c r="DH33" s="1"/>
  <c r="DF33"/>
  <c r="DD34"/>
  <c r="DF34"/>
  <c r="DD35"/>
  <c r="DF35"/>
  <c r="DD36"/>
  <c r="DG36" s="1"/>
  <c r="DH36" s="1"/>
  <c r="DG37"/>
  <c r="DH37" s="1"/>
  <c r="DG38"/>
  <c r="DH38" s="1"/>
  <c r="DG39"/>
  <c r="DH39" s="1"/>
  <c r="DG40"/>
  <c r="DH40" s="1"/>
  <c r="DG41"/>
  <c r="DH41" s="1"/>
  <c r="DG42"/>
  <c r="DH42" s="1"/>
  <c r="DG43"/>
  <c r="DH43" s="1"/>
  <c r="DG44"/>
  <c r="DH44" s="1"/>
  <c r="DG45"/>
  <c r="DH45" s="1"/>
  <c r="DG46"/>
  <c r="DH46" s="1"/>
  <c r="DG47"/>
  <c r="DH47" s="1"/>
  <c r="DG48"/>
  <c r="DH48" s="1"/>
  <c r="DG49"/>
  <c r="DH49" s="1"/>
  <c r="DG50"/>
  <c r="DH50" s="1"/>
  <c r="DG51"/>
  <c r="DH51" s="1"/>
  <c r="DG52"/>
  <c r="DH52" s="1"/>
  <c r="DG53"/>
  <c r="DH53" s="1"/>
  <c r="DG54"/>
  <c r="DH54" s="1"/>
  <c r="DG55"/>
  <c r="DH55" s="1"/>
  <c r="DG56"/>
  <c r="DH56" s="1"/>
  <c r="DG57"/>
  <c r="DH57" s="1"/>
  <c r="DG58"/>
  <c r="DH58" s="1"/>
  <c r="DG59"/>
  <c r="DH59" s="1"/>
  <c r="DG60"/>
  <c r="DH60" s="1"/>
  <c r="DG61"/>
  <c r="DH61" s="1"/>
  <c r="DG62"/>
  <c r="DH62" s="1"/>
  <c r="DG63"/>
  <c r="DH63" s="1"/>
  <c r="DG64"/>
  <c r="DH64" s="1"/>
  <c r="DG65"/>
  <c r="DH65" s="1"/>
  <c r="DG66"/>
  <c r="DH66" s="1"/>
  <c r="DG67"/>
  <c r="DH67" s="1"/>
  <c r="DG68"/>
  <c r="DH68" s="1"/>
  <c r="DG69"/>
  <c r="DH69" s="1"/>
  <c r="DG70"/>
  <c r="DH70" s="1"/>
  <c r="DG71"/>
  <c r="DH71" s="1"/>
  <c r="DG72"/>
  <c r="DH72" s="1"/>
  <c r="DG73"/>
  <c r="DH73" s="1"/>
  <c r="DG74"/>
  <c r="DH74" s="1"/>
  <c r="DG75"/>
  <c r="DH75" s="1"/>
  <c r="DG76"/>
  <c r="DH76" s="1"/>
  <c r="DG77"/>
  <c r="DH77" s="1"/>
  <c r="DG78"/>
  <c r="DH78" s="1"/>
  <c r="DG79"/>
  <c r="DH79" s="1"/>
  <c r="DG80"/>
  <c r="DH80" s="1"/>
  <c r="DG81"/>
  <c r="DH81" s="1"/>
  <c r="DG82"/>
  <c r="DH82" s="1"/>
  <c r="DG83"/>
  <c r="DH83" s="1"/>
  <c r="DG84"/>
  <c r="DH84" s="1"/>
  <c r="DG85"/>
  <c r="DH85" s="1"/>
  <c r="DG86"/>
  <c r="DH86" s="1"/>
  <c r="DG87"/>
  <c r="DH87" s="1"/>
  <c r="DG88"/>
  <c r="DH88" s="1"/>
  <c r="DG89"/>
  <c r="DH89" s="1"/>
  <c r="DG90"/>
  <c r="DH90" s="1"/>
  <c r="DG91"/>
  <c r="DH91" s="1"/>
  <c r="DG92"/>
  <c r="DH92" s="1"/>
  <c r="DG93"/>
  <c r="DH93" s="1"/>
  <c r="DG94"/>
  <c r="DH94"/>
  <c r="DG95"/>
  <c r="DH95" s="1"/>
  <c r="DG96"/>
  <c r="DH96" s="1"/>
  <c r="DG97"/>
  <c r="DH97" s="1"/>
  <c r="DG98"/>
  <c r="DH98" s="1"/>
  <c r="DG99"/>
  <c r="DH99" s="1"/>
  <c r="DG100"/>
  <c r="DH100" s="1"/>
  <c r="DG101"/>
  <c r="DH101" s="1"/>
  <c r="DG102"/>
  <c r="DH102" s="1"/>
  <c r="DG103"/>
  <c r="DH103" s="1"/>
  <c r="DG104"/>
  <c r="DH104" s="1"/>
  <c r="DG105"/>
  <c r="DH105" s="1"/>
  <c r="DG106"/>
  <c r="DH106" s="1"/>
  <c r="DG107"/>
  <c r="DH107" s="1"/>
  <c r="DG108"/>
  <c r="DH108" s="1"/>
  <c r="DK108" s="1"/>
  <c r="DG109"/>
  <c r="DH109" s="1"/>
  <c r="DK109" s="1"/>
  <c r="DG110"/>
  <c r="DH110"/>
  <c r="DK110" s="1"/>
  <c r="DG111"/>
  <c r="DH111" s="1"/>
  <c r="DK111" s="1"/>
  <c r="DG112"/>
  <c r="DH112" s="1"/>
  <c r="DK112" s="1"/>
  <c r="CR19"/>
  <c r="CR20"/>
  <c r="CR21"/>
  <c r="CR22"/>
  <c r="CR23"/>
  <c r="CR24"/>
  <c r="CR25"/>
  <c r="CP26"/>
  <c r="CP27"/>
  <c r="CR27" s="1"/>
  <c r="CR28"/>
  <c r="CR29"/>
  <c r="CP30"/>
  <c r="CR30" s="1"/>
  <c r="CP31"/>
  <c r="CR31" s="1"/>
  <c r="CP32"/>
  <c r="CR32" s="1"/>
  <c r="CR33"/>
  <c r="CR34"/>
  <c r="CQ35"/>
  <c r="CQ114" s="1"/>
  <c r="CR36"/>
  <c r="CR37"/>
  <c r="CR38"/>
  <c r="CR39"/>
  <c r="CR40"/>
  <c r="CR41"/>
  <c r="CR42"/>
  <c r="CR43"/>
  <c r="CR44"/>
  <c r="CR45"/>
  <c r="CR46"/>
  <c r="CR47"/>
  <c r="CR48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O72"/>
  <c r="CR72" s="1"/>
  <c r="CO73"/>
  <c r="CR73" s="1"/>
  <c r="CO74"/>
  <c r="CR74" s="1"/>
  <c r="CO75"/>
  <c r="CR75" s="1"/>
  <c r="CO76"/>
  <c r="CR76" s="1"/>
  <c r="CO77"/>
  <c r="CR77" s="1"/>
  <c r="CO78"/>
  <c r="CR78" s="1"/>
  <c r="CO79"/>
  <c r="CR79" s="1"/>
  <c r="CO80"/>
  <c r="CR80" s="1"/>
  <c r="CO81"/>
  <c r="CR81" s="1"/>
  <c r="CO82"/>
  <c r="CR82" s="1"/>
  <c r="CO83"/>
  <c r="CR83" s="1"/>
  <c r="CO84"/>
  <c r="CR84" s="1"/>
  <c r="CO85"/>
  <c r="CR85" s="1"/>
  <c r="CO86"/>
  <c r="CR86" s="1"/>
  <c r="CO87"/>
  <c r="CR87" s="1"/>
  <c r="CO88"/>
  <c r="CR88" s="1"/>
  <c r="CO89"/>
  <c r="CR89" s="1"/>
  <c r="CO90"/>
  <c r="CR90" s="1"/>
  <c r="CO91"/>
  <c r="CR91" s="1"/>
  <c r="CO92"/>
  <c r="CR92" s="1"/>
  <c r="CO93"/>
  <c r="CR93" s="1"/>
  <c r="CO94"/>
  <c r="CR94" s="1"/>
  <c r="CO95"/>
  <c r="CR95" s="1"/>
  <c r="CO96"/>
  <c r="CR96" s="1"/>
  <c r="CO97"/>
  <c r="CR97" s="1"/>
  <c r="CO98"/>
  <c r="CR98" s="1"/>
  <c r="CO99"/>
  <c r="CR99" s="1"/>
  <c r="CO100"/>
  <c r="CR100" s="1"/>
  <c r="CO101"/>
  <c r="CR101" s="1"/>
  <c r="CO102"/>
  <c r="CR102" s="1"/>
  <c r="CO103"/>
  <c r="CR103" s="1"/>
  <c r="CO104"/>
  <c r="CR104" s="1"/>
  <c r="CO105"/>
  <c r="CR105" s="1"/>
  <c r="CO106"/>
  <c r="CR106" s="1"/>
  <c r="CO107"/>
  <c r="CR107" s="1"/>
  <c r="CO108"/>
  <c r="CR108" s="1"/>
  <c r="CU108" s="1"/>
  <c r="CO109"/>
  <c r="CR109" s="1"/>
  <c r="CU109" s="1"/>
  <c r="CO110"/>
  <c r="CR110" s="1"/>
  <c r="CU110" s="1"/>
  <c r="CO111"/>
  <c r="CR111" s="1"/>
  <c r="CU111" s="1"/>
  <c r="CO112"/>
  <c r="CR112"/>
  <c r="CU112" s="1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N110" s="1"/>
  <c r="CK111"/>
  <c r="CN111" s="1"/>
  <c r="CK112"/>
  <c r="CN112" s="1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74"/>
  <c r="BS75"/>
  <c r="BS76"/>
  <c r="BS77"/>
  <c r="BS78"/>
  <c r="BS79"/>
  <c r="BS80"/>
  <c r="BS81"/>
  <c r="BS82"/>
  <c r="BS83"/>
  <c r="BS84"/>
  <c r="BS85"/>
  <c r="BS86"/>
  <c r="BS87"/>
  <c r="BS88"/>
  <c r="BS89"/>
  <c r="BS90"/>
  <c r="BS91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V108" s="1"/>
  <c r="BS109"/>
  <c r="BV109" s="1"/>
  <c r="BS110"/>
  <c r="BV110" s="1"/>
  <c r="BS111"/>
  <c r="BV111" s="1"/>
  <c r="BS112"/>
  <c r="BV112" s="1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6"/>
  <c r="AJ67"/>
  <c r="AJ89"/>
  <c r="AJ93"/>
  <c r="V19"/>
  <c r="V20"/>
  <c r="V21"/>
  <c r="V22"/>
  <c r="V23"/>
  <c r="V24"/>
  <c r="V25"/>
  <c r="V26"/>
  <c r="V27"/>
  <c r="V28"/>
  <c r="V29"/>
  <c r="T30"/>
  <c r="T114" s="1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Y108" s="1"/>
  <c r="V109"/>
  <c r="Y109" s="1"/>
  <c r="V110"/>
  <c r="Y110" s="1"/>
  <c r="V111"/>
  <c r="Y111" s="1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R108" s="1"/>
  <c r="O109"/>
  <c r="R109" s="1"/>
  <c r="O110"/>
  <c r="R110" s="1"/>
  <c r="O111"/>
  <c r="R111" s="1"/>
  <c r="O112"/>
  <c r="R112" s="1"/>
  <c r="DG14" i="3"/>
  <c r="DH14" s="1"/>
  <c r="DG13"/>
  <c r="DH13"/>
  <c r="DG12"/>
  <c r="DH12" s="1"/>
  <c r="DD18"/>
  <c r="DG18" s="1"/>
  <c r="DH18" s="1"/>
  <c r="DD17"/>
  <c r="DG17" s="1"/>
  <c r="DH17" s="1"/>
  <c r="DD16"/>
  <c r="DG16" s="1"/>
  <c r="DH16" s="1"/>
  <c r="DD15"/>
  <c r="DG15" s="1"/>
  <c r="DH15" s="1"/>
  <c r="CZ18"/>
  <c r="CZ17"/>
  <c r="CZ16"/>
  <c r="CZ15"/>
  <c r="CV18"/>
  <c r="CV17"/>
  <c r="CV16"/>
  <c r="CV15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CA18"/>
  <c r="CA17"/>
  <c r="CA16"/>
  <c r="CA15"/>
  <c r="BW18"/>
  <c r="BW17"/>
  <c r="BW16"/>
  <c r="BW15"/>
  <c r="BS14"/>
  <c r="BS13"/>
  <c r="BS12"/>
  <c r="BQ18"/>
  <c r="BS18" s="1"/>
  <c r="BQ17"/>
  <c r="BS17" s="1"/>
  <c r="BQ16"/>
  <c r="BS16" s="1"/>
  <c r="BQ15"/>
  <c r="BS15" s="1"/>
  <c r="BM18"/>
  <c r="BM17"/>
  <c r="BM16"/>
  <c r="BM15"/>
  <c r="BI13"/>
  <c r="BI14"/>
  <c r="BI12"/>
  <c r="BE14"/>
  <c r="BE13"/>
  <c r="BE12"/>
  <c r="BD18"/>
  <c r="BD17"/>
  <c r="BI17" s="1"/>
  <c r="BD16"/>
  <c r="BD15"/>
  <c r="BI15" s="1"/>
  <c r="AZ18"/>
  <c r="AZ17"/>
  <c r="AZ16"/>
  <c r="AZ15"/>
  <c r="AV18"/>
  <c r="AV17"/>
  <c r="AV16"/>
  <c r="AV15"/>
  <c r="AR18"/>
  <c r="AR17"/>
  <c r="AR16"/>
  <c r="AR15"/>
  <c r="AN18"/>
  <c r="AN17"/>
  <c r="AN16"/>
  <c r="AN15"/>
  <c r="AJ18"/>
  <c r="AJ17"/>
  <c r="AJ16"/>
  <c r="AJ15"/>
  <c r="AJ14"/>
  <c r="AJ13"/>
  <c r="AJ12"/>
  <c r="V18"/>
  <c r="V17"/>
  <c r="V16"/>
  <c r="V15"/>
  <c r="V14"/>
  <c r="V13"/>
  <c r="V12"/>
  <c r="O18"/>
  <c r="O17"/>
  <c r="O16"/>
  <c r="O15"/>
  <c r="O14"/>
  <c r="O13"/>
  <c r="O12"/>
  <c r="H18"/>
  <c r="H17"/>
  <c r="H16"/>
  <c r="H15"/>
  <c r="H14"/>
  <c r="H13"/>
  <c r="H12"/>
  <c r="D18"/>
  <c r="E18" s="1"/>
  <c r="D17"/>
  <c r="E17" s="1"/>
  <c r="D16"/>
  <c r="E16" s="1"/>
  <c r="D15"/>
  <c r="E15" s="1"/>
  <c r="D14"/>
  <c r="E14" s="1"/>
  <c r="D13"/>
  <c r="E13" s="1"/>
  <c r="D12"/>
  <c r="E12" s="1"/>
  <c r="D19"/>
  <c r="E19" s="1"/>
  <c r="H19"/>
  <c r="O19"/>
  <c r="V19"/>
  <c r="BE19"/>
  <c r="BI19"/>
  <c r="BS19"/>
  <c r="CG19"/>
  <c r="CH19" s="1"/>
  <c r="CK19"/>
  <c r="CR19"/>
  <c r="DD19"/>
  <c r="DG19" s="1"/>
  <c r="DH19" s="1"/>
  <c r="D20"/>
  <c r="E20" s="1"/>
  <c r="H20"/>
  <c r="O20"/>
  <c r="V20"/>
  <c r="BE20"/>
  <c r="BI20"/>
  <c r="BS20"/>
  <c r="CG20"/>
  <c r="CH20" s="1"/>
  <c r="CK20"/>
  <c r="CR20"/>
  <c r="DD20"/>
  <c r="DG20" s="1"/>
  <c r="DH20" s="1"/>
  <c r="D21"/>
  <c r="E21" s="1"/>
  <c r="H21"/>
  <c r="O21"/>
  <c r="V21"/>
  <c r="BE21"/>
  <c r="BI21"/>
  <c r="BS21"/>
  <c r="CG21"/>
  <c r="CH21" s="1"/>
  <c r="CK21"/>
  <c r="CR21"/>
  <c r="DD21"/>
  <c r="DG21" s="1"/>
  <c r="DH21" s="1"/>
  <c r="D22"/>
  <c r="E22" s="1"/>
  <c r="H22"/>
  <c r="O22"/>
  <c r="V22"/>
  <c r="BE22"/>
  <c r="BI22"/>
  <c r="BS22"/>
  <c r="CG22"/>
  <c r="CH22" s="1"/>
  <c r="CK22"/>
  <c r="CR22"/>
  <c r="DD22"/>
  <c r="DG22" s="1"/>
  <c r="DH22" s="1"/>
  <c r="D23"/>
  <c r="E23" s="1"/>
  <c r="H23"/>
  <c r="O23"/>
  <c r="V23"/>
  <c r="BE23"/>
  <c r="BI23"/>
  <c r="BS23"/>
  <c r="CG23"/>
  <c r="CH23" s="1"/>
  <c r="CK23"/>
  <c r="CR23"/>
  <c r="DD23"/>
  <c r="DG23" s="1"/>
  <c r="DH23" s="1"/>
  <c r="D24"/>
  <c r="E24" s="1"/>
  <c r="H24"/>
  <c r="O24"/>
  <c r="V24"/>
  <c r="BE24"/>
  <c r="BI24"/>
  <c r="BS24"/>
  <c r="CG24"/>
  <c r="CH24" s="1"/>
  <c r="CK24"/>
  <c r="CR24"/>
  <c r="DD24"/>
  <c r="DG24" s="1"/>
  <c r="DH24" s="1"/>
  <c r="D25"/>
  <c r="E25" s="1"/>
  <c r="H25"/>
  <c r="O25"/>
  <c r="V25"/>
  <c r="BE25"/>
  <c r="BI25"/>
  <c r="BS25"/>
  <c r="CG25"/>
  <c r="CH25" s="1"/>
  <c r="CK25"/>
  <c r="CR25"/>
  <c r="DD25"/>
  <c r="DG25" s="1"/>
  <c r="DH25" s="1"/>
  <c r="D26"/>
  <c r="E26" s="1"/>
  <c r="H26"/>
  <c r="O26"/>
  <c r="V26"/>
  <c r="AJ26"/>
  <c r="BE26"/>
  <c r="BI26"/>
  <c r="BS26"/>
  <c r="CG26"/>
  <c r="CH26" s="1"/>
  <c r="CK26"/>
  <c r="CP26"/>
  <c r="CR26" s="1"/>
  <c r="DD26"/>
  <c r="DF26"/>
  <c r="D27"/>
  <c r="E27" s="1"/>
  <c r="H27"/>
  <c r="O27"/>
  <c r="V27"/>
  <c r="AJ27"/>
  <c r="BE27"/>
  <c r="BI27"/>
  <c r="BS27"/>
  <c r="CG27"/>
  <c r="CH27" s="1"/>
  <c r="CK27"/>
  <c r="CP27"/>
  <c r="CR27" s="1"/>
  <c r="DD27"/>
  <c r="DF27"/>
  <c r="D28"/>
  <c r="E28" s="1"/>
  <c r="H28"/>
  <c r="O28"/>
  <c r="V28"/>
  <c r="AJ28"/>
  <c r="BE28"/>
  <c r="BI28"/>
  <c r="BS28"/>
  <c r="CG28"/>
  <c r="CH28" s="1"/>
  <c r="CK28"/>
  <c r="CR28"/>
  <c r="DD28"/>
  <c r="DF28"/>
  <c r="D29"/>
  <c r="E29" s="1"/>
  <c r="H29"/>
  <c r="O29"/>
  <c r="V29"/>
  <c r="AJ29"/>
  <c r="BE29"/>
  <c r="BI29"/>
  <c r="BS29"/>
  <c r="CG29"/>
  <c r="CH29" s="1"/>
  <c r="CK29"/>
  <c r="CR29"/>
  <c r="DD29"/>
  <c r="DF29"/>
  <c r="D30"/>
  <c r="E30" s="1"/>
  <c r="H30"/>
  <c r="O30"/>
  <c r="T30"/>
  <c r="V30" s="1"/>
  <c r="AJ30"/>
  <c r="BE30"/>
  <c r="BI30"/>
  <c r="BS30"/>
  <c r="CG30"/>
  <c r="CH30" s="1"/>
  <c r="CK30"/>
  <c r="CP30"/>
  <c r="CR30" s="1"/>
  <c r="DD30"/>
  <c r="DF30"/>
  <c r="D31"/>
  <c r="E31" s="1"/>
  <c r="H31"/>
  <c r="O31"/>
  <c r="V31"/>
  <c r="AJ31"/>
  <c r="BE31"/>
  <c r="BI31"/>
  <c r="BS31"/>
  <c r="CG31"/>
  <c r="CH31" s="1"/>
  <c r="CK31"/>
  <c r="CP31"/>
  <c r="CR31" s="1"/>
  <c r="DD31"/>
  <c r="DF31"/>
  <c r="D32"/>
  <c r="E32" s="1"/>
  <c r="H32"/>
  <c r="O32"/>
  <c r="V32"/>
  <c r="AJ32"/>
  <c r="BE32"/>
  <c r="BI32"/>
  <c r="BS32"/>
  <c r="CG32"/>
  <c r="CH32" s="1"/>
  <c r="CK32"/>
  <c r="CP32"/>
  <c r="CR32" s="1"/>
  <c r="DD32"/>
  <c r="DF32"/>
  <c r="D33"/>
  <c r="E33" s="1"/>
  <c r="H33"/>
  <c r="O33"/>
  <c r="V33"/>
  <c r="AJ33"/>
  <c r="BE33"/>
  <c r="BI33"/>
  <c r="BS33"/>
  <c r="CG33"/>
  <c r="CH33" s="1"/>
  <c r="CK33"/>
  <c r="CR33"/>
  <c r="DD33"/>
  <c r="DF33"/>
  <c r="DG33" s="1"/>
  <c r="DH33" s="1"/>
  <c r="D34"/>
  <c r="E34" s="1"/>
  <c r="H34"/>
  <c r="O34"/>
  <c r="V34"/>
  <c r="AJ34"/>
  <c r="BE34"/>
  <c r="BI34"/>
  <c r="BS34"/>
  <c r="CG34"/>
  <c r="CH34" s="1"/>
  <c r="CK34"/>
  <c r="CR34"/>
  <c r="DD34"/>
  <c r="DF34"/>
  <c r="DG34" s="1"/>
  <c r="DH34" s="1"/>
  <c r="D35"/>
  <c r="E35" s="1"/>
  <c r="H35"/>
  <c r="O35"/>
  <c r="V35"/>
  <c r="AJ35"/>
  <c r="BE35"/>
  <c r="BI35"/>
  <c r="BS35"/>
  <c r="CG35"/>
  <c r="CH35" s="1"/>
  <c r="CK35"/>
  <c r="CQ35"/>
  <c r="CR35"/>
  <c r="DD35"/>
  <c r="DF35"/>
  <c r="DG35" s="1"/>
  <c r="DH35" s="1"/>
  <c r="D36"/>
  <c r="E36" s="1"/>
  <c r="H36"/>
  <c r="O36"/>
  <c r="V36"/>
  <c r="AJ36"/>
  <c r="BE36"/>
  <c r="BI36"/>
  <c r="BS36"/>
  <c r="CG36"/>
  <c r="CH36" s="1"/>
  <c r="CK36"/>
  <c r="CR36"/>
  <c r="DD36"/>
  <c r="DG36" s="1"/>
  <c r="DH36" s="1"/>
  <c r="D37"/>
  <c r="E37" s="1"/>
  <c r="H37"/>
  <c r="O37"/>
  <c r="V37"/>
  <c r="AJ37"/>
  <c r="BE37"/>
  <c r="BI37"/>
  <c r="BS37"/>
  <c r="CG37"/>
  <c r="CH37" s="1"/>
  <c r="CK37"/>
  <c r="CR37"/>
  <c r="DG37"/>
  <c r="DH37" s="1"/>
  <c r="D38"/>
  <c r="E38" s="1"/>
  <c r="H38"/>
  <c r="O38"/>
  <c r="V38"/>
  <c r="AJ38"/>
  <c r="BE38"/>
  <c r="BI38"/>
  <c r="BS38"/>
  <c r="CG38"/>
  <c r="CH38" s="1"/>
  <c r="CK38"/>
  <c r="CR38"/>
  <c r="DG38"/>
  <c r="DH38" s="1"/>
  <c r="D39"/>
  <c r="E39" s="1"/>
  <c r="H39"/>
  <c r="O39"/>
  <c r="V39"/>
  <c r="AJ39"/>
  <c r="BE39"/>
  <c r="BI39"/>
  <c r="BS39"/>
  <c r="CG39"/>
  <c r="CH39" s="1"/>
  <c r="CK39"/>
  <c r="CR39"/>
  <c r="DG39"/>
  <c r="DH39" s="1"/>
  <c r="D40"/>
  <c r="E40" s="1"/>
  <c r="H40"/>
  <c r="O40"/>
  <c r="V40"/>
  <c r="AJ40"/>
  <c r="BE40"/>
  <c r="BI40"/>
  <c r="BS40"/>
  <c r="CG40"/>
  <c r="CH40" s="1"/>
  <c r="CK40"/>
  <c r="CR40"/>
  <c r="DG40"/>
  <c r="DH40" s="1"/>
  <c r="D41"/>
  <c r="E41" s="1"/>
  <c r="H41"/>
  <c r="O41"/>
  <c r="V41"/>
  <c r="AJ41"/>
  <c r="BE41"/>
  <c r="BI41"/>
  <c r="BS41"/>
  <c r="CG41"/>
  <c r="CH41" s="1"/>
  <c r="CK41"/>
  <c r="CR41"/>
  <c r="DG41"/>
  <c r="DH41" s="1"/>
  <c r="D42"/>
  <c r="E42" s="1"/>
  <c r="H42"/>
  <c r="O42"/>
  <c r="V42"/>
  <c r="AJ42"/>
  <c r="BE42"/>
  <c r="BI42"/>
  <c r="BS42"/>
  <c r="CG42"/>
  <c r="CH42" s="1"/>
  <c r="CK42"/>
  <c r="CR42"/>
  <c r="DG42"/>
  <c r="DH42" s="1"/>
  <c r="D43"/>
  <c r="E43" s="1"/>
  <c r="H43"/>
  <c r="O43"/>
  <c r="V43"/>
  <c r="AJ43"/>
  <c r="BE43"/>
  <c r="BI43"/>
  <c r="BS43"/>
  <c r="CG43"/>
  <c r="CH43" s="1"/>
  <c r="CK43"/>
  <c r="CR43"/>
  <c r="DG43"/>
  <c r="DH43" s="1"/>
  <c r="D44"/>
  <c r="E44" s="1"/>
  <c r="H44"/>
  <c r="O44"/>
  <c r="V44"/>
  <c r="AJ44"/>
  <c r="BE44"/>
  <c r="BI44"/>
  <c r="BS44"/>
  <c r="CG44"/>
  <c r="CH44" s="1"/>
  <c r="CK44"/>
  <c r="CR44"/>
  <c r="DG44"/>
  <c r="DH44" s="1"/>
  <c r="D45"/>
  <c r="E45" s="1"/>
  <c r="H45"/>
  <c r="O45"/>
  <c r="V45"/>
  <c r="AJ45"/>
  <c r="BE45"/>
  <c r="BI45"/>
  <c r="BS45"/>
  <c r="CG45"/>
  <c r="CH45" s="1"/>
  <c r="CK45"/>
  <c r="CR45"/>
  <c r="DG45"/>
  <c r="DH45" s="1"/>
  <c r="D46"/>
  <c r="E46" s="1"/>
  <c r="H46"/>
  <c r="O46"/>
  <c r="V46"/>
  <c r="AJ46"/>
  <c r="BE46"/>
  <c r="BI46"/>
  <c r="BS46"/>
  <c r="CG46"/>
  <c r="CH46" s="1"/>
  <c r="CK46"/>
  <c r="CR46"/>
  <c r="DG46"/>
  <c r="DH46" s="1"/>
  <c r="D47"/>
  <c r="E47" s="1"/>
  <c r="H47"/>
  <c r="O47"/>
  <c r="V47"/>
  <c r="AJ47"/>
  <c r="BE47"/>
  <c r="BI47"/>
  <c r="BS47"/>
  <c r="CG47"/>
  <c r="CH47" s="1"/>
  <c r="CK47"/>
  <c r="CR47"/>
  <c r="DG47"/>
  <c r="DH47" s="1"/>
  <c r="D48"/>
  <c r="E48" s="1"/>
  <c r="H48"/>
  <c r="O48"/>
  <c r="V48"/>
  <c r="AJ48"/>
  <c r="BE48"/>
  <c r="BI48"/>
  <c r="BS48"/>
  <c r="CG48"/>
  <c r="CH48" s="1"/>
  <c r="CK48"/>
  <c r="CR48"/>
  <c r="DG48"/>
  <c r="DH48" s="1"/>
  <c r="D49"/>
  <c r="E49" s="1"/>
  <c r="H49"/>
  <c r="AJ49"/>
  <c r="BE49"/>
  <c r="BI49"/>
  <c r="BS49"/>
  <c r="CG49"/>
  <c r="CH49" s="1"/>
  <c r="CK49"/>
  <c r="DG49"/>
  <c r="DH49" s="1"/>
  <c r="D50"/>
  <c r="E50" s="1"/>
  <c r="H50"/>
  <c r="AJ50"/>
  <c r="BE50"/>
  <c r="BI50"/>
  <c r="BS50"/>
  <c r="CG50"/>
  <c r="CH50" s="1"/>
  <c r="CK50"/>
  <c r="DG50"/>
  <c r="DH50" s="1"/>
  <c r="D51"/>
  <c r="E51" s="1"/>
  <c r="H51"/>
  <c r="O51"/>
  <c r="AJ51"/>
  <c r="BE51"/>
  <c r="BI51"/>
  <c r="BS51"/>
  <c r="CG51"/>
  <c r="CH51" s="1"/>
  <c r="CK51"/>
  <c r="DG51"/>
  <c r="DH51" s="1"/>
  <c r="D52"/>
  <c r="E52" s="1"/>
  <c r="H52"/>
  <c r="O52"/>
  <c r="V52"/>
  <c r="AJ52"/>
  <c r="BE52"/>
  <c r="BI52"/>
  <c r="BS52"/>
  <c r="CG52"/>
  <c r="CH52" s="1"/>
  <c r="CK52"/>
  <c r="DG52"/>
  <c r="DH52" s="1"/>
  <c r="D53"/>
  <c r="E53" s="1"/>
  <c r="H53"/>
  <c r="O53"/>
  <c r="V53"/>
  <c r="AJ53"/>
  <c r="BE53"/>
  <c r="BI53"/>
  <c r="BS53"/>
  <c r="CG53"/>
  <c r="CH53" s="1"/>
  <c r="CK53"/>
  <c r="DG53"/>
  <c r="DH53" s="1"/>
  <c r="D54"/>
  <c r="E54" s="1"/>
  <c r="H54"/>
  <c r="O54"/>
  <c r="V54"/>
  <c r="AJ54"/>
  <c r="BE54"/>
  <c r="BI54"/>
  <c r="BS54"/>
  <c r="CG54"/>
  <c r="CH54" s="1"/>
  <c r="CK54"/>
  <c r="DG54"/>
  <c r="DH54" s="1"/>
  <c r="D55"/>
  <c r="E55" s="1"/>
  <c r="H55"/>
  <c r="O55"/>
  <c r="V55"/>
  <c r="AJ55"/>
  <c r="BE55"/>
  <c r="BI55"/>
  <c r="BS55"/>
  <c r="CG55"/>
  <c r="CH55" s="1"/>
  <c r="CK55"/>
  <c r="CR55"/>
  <c r="DG55"/>
  <c r="DH55" s="1"/>
  <c r="D56"/>
  <c r="E56" s="1"/>
  <c r="H56"/>
  <c r="O56"/>
  <c r="V56"/>
  <c r="AJ56"/>
  <c r="BE56"/>
  <c r="BI56"/>
  <c r="BS56"/>
  <c r="CG56"/>
  <c r="CH56" s="1"/>
  <c r="CK56"/>
  <c r="CR56"/>
  <c r="DG56"/>
  <c r="DH56" s="1"/>
  <c r="D57"/>
  <c r="E57" s="1"/>
  <c r="H57"/>
  <c r="O57"/>
  <c r="V57"/>
  <c r="AJ57"/>
  <c r="BE57"/>
  <c r="BI57"/>
  <c r="BS57"/>
  <c r="CG57"/>
  <c r="CH57" s="1"/>
  <c r="CK57"/>
  <c r="CR57"/>
  <c r="DG57"/>
  <c r="DH57" s="1"/>
  <c r="D58"/>
  <c r="E58" s="1"/>
  <c r="H58"/>
  <c r="O58"/>
  <c r="V58"/>
  <c r="AJ58"/>
  <c r="BE58"/>
  <c r="BI58"/>
  <c r="BS58"/>
  <c r="CG58"/>
  <c r="CH58" s="1"/>
  <c r="CK58"/>
  <c r="CR58"/>
  <c r="DG58"/>
  <c r="DH58" s="1"/>
  <c r="D59"/>
  <c r="E59" s="1"/>
  <c r="H59"/>
  <c r="O59"/>
  <c r="V59"/>
  <c r="AJ59"/>
  <c r="BE59"/>
  <c r="BI59"/>
  <c r="BS59"/>
  <c r="CG59"/>
  <c r="CH59" s="1"/>
  <c r="CK59"/>
  <c r="CR59"/>
  <c r="DG59"/>
  <c r="DH59" s="1"/>
  <c r="D60"/>
  <c r="E60" s="1"/>
  <c r="H60"/>
  <c r="O60"/>
  <c r="V60"/>
  <c r="AJ60"/>
  <c r="BE60"/>
  <c r="BI60"/>
  <c r="BS60"/>
  <c r="CG60"/>
  <c r="CH60" s="1"/>
  <c r="CK60"/>
  <c r="CR60"/>
  <c r="DG60"/>
  <c r="DH60"/>
  <c r="D61"/>
  <c r="E61"/>
  <c r="H61"/>
  <c r="O61"/>
  <c r="V61"/>
  <c r="AJ61"/>
  <c r="BE61"/>
  <c r="BI61"/>
  <c r="BS61"/>
  <c r="CG61"/>
  <c r="CH61" s="1"/>
  <c r="CK61"/>
  <c r="CR61"/>
  <c r="DG61"/>
  <c r="DH61" s="1"/>
  <c r="D62"/>
  <c r="E62" s="1"/>
  <c r="H62"/>
  <c r="O62"/>
  <c r="V62"/>
  <c r="AJ62"/>
  <c r="BE62"/>
  <c r="BI62"/>
  <c r="BS62"/>
  <c r="CG62"/>
  <c r="CH62" s="1"/>
  <c r="CK62"/>
  <c r="CR62"/>
  <c r="DG62"/>
  <c r="DH62" s="1"/>
  <c r="D63"/>
  <c r="E63" s="1"/>
  <c r="H63"/>
  <c r="O63"/>
  <c r="V63"/>
  <c r="AJ63"/>
  <c r="BE63"/>
  <c r="BI63"/>
  <c r="BS63"/>
  <c r="CG63"/>
  <c r="CH63" s="1"/>
  <c r="CK63"/>
  <c r="CR63"/>
  <c r="DG63"/>
  <c r="DH63" s="1"/>
  <c r="D64"/>
  <c r="E64" s="1"/>
  <c r="H64"/>
  <c r="O64"/>
  <c r="V64"/>
  <c r="AJ64"/>
  <c r="BE64"/>
  <c r="BI64"/>
  <c r="BS64"/>
  <c r="CG64"/>
  <c r="CH64" s="1"/>
  <c r="CK64"/>
  <c r="CR64"/>
  <c r="DG64"/>
  <c r="DH64" s="1"/>
  <c r="D65"/>
  <c r="E65" s="1"/>
  <c r="H65"/>
  <c r="O65"/>
  <c r="V65"/>
  <c r="AJ65"/>
  <c r="BE65"/>
  <c r="BI65"/>
  <c r="BS65"/>
  <c r="CG65"/>
  <c r="CH65" s="1"/>
  <c r="CK65"/>
  <c r="CR65"/>
  <c r="DG65"/>
  <c r="DH65" s="1"/>
  <c r="D66"/>
  <c r="E66" s="1"/>
  <c r="H66"/>
  <c r="O66"/>
  <c r="V66"/>
  <c r="AJ66"/>
  <c r="BE66"/>
  <c r="BI66"/>
  <c r="BS66"/>
  <c r="CG66"/>
  <c r="CH66" s="1"/>
  <c r="CK66"/>
  <c r="CR66"/>
  <c r="DG66"/>
  <c r="DH66" s="1"/>
  <c r="D67"/>
  <c r="E67" s="1"/>
  <c r="H67"/>
  <c r="O67"/>
  <c r="V67"/>
  <c r="AJ67"/>
  <c r="BE67"/>
  <c r="BI67"/>
  <c r="BS67"/>
  <c r="CG67"/>
  <c r="CH67" s="1"/>
  <c r="CK67"/>
  <c r="CR67"/>
  <c r="DG67"/>
  <c r="DH67" s="1"/>
  <c r="D68"/>
  <c r="E68" s="1"/>
  <c r="H68"/>
  <c r="O68"/>
  <c r="V68"/>
  <c r="AJ68"/>
  <c r="BE68"/>
  <c r="BI68"/>
  <c r="BS68"/>
  <c r="CG68"/>
  <c r="CH68" s="1"/>
  <c r="CK68"/>
  <c r="CR68"/>
  <c r="DG68"/>
  <c r="DH68" s="1"/>
  <c r="D69"/>
  <c r="E69" s="1"/>
  <c r="H69"/>
  <c r="O69"/>
  <c r="V69"/>
  <c r="AJ69"/>
  <c r="BE69"/>
  <c r="BI69"/>
  <c r="BS69"/>
  <c r="CG69"/>
  <c r="CH69" s="1"/>
  <c r="CK69"/>
  <c r="CR69"/>
  <c r="DG69"/>
  <c r="DH69" s="1"/>
  <c r="D70"/>
  <c r="E70" s="1"/>
  <c r="H70"/>
  <c r="O70"/>
  <c r="V70"/>
  <c r="AJ70"/>
  <c r="BE70"/>
  <c r="BI70"/>
  <c r="BS70"/>
  <c r="CG70"/>
  <c r="CH70" s="1"/>
  <c r="CK70"/>
  <c r="CR70"/>
  <c r="DG70"/>
  <c r="DH70" s="1"/>
  <c r="D71"/>
  <c r="E71" s="1"/>
  <c r="H71"/>
  <c r="O71"/>
  <c r="V71"/>
  <c r="AJ71"/>
  <c r="BE71"/>
  <c r="BI71"/>
  <c r="BS71"/>
  <c r="CG71"/>
  <c r="CH71" s="1"/>
  <c r="CK71"/>
  <c r="CR71"/>
  <c r="DG71"/>
  <c r="DH71" s="1"/>
  <c r="D72"/>
  <c r="E72" s="1"/>
  <c r="H72"/>
  <c r="O72"/>
  <c r="V72"/>
  <c r="AJ72"/>
  <c r="BE72"/>
  <c r="BI72"/>
  <c r="BS72"/>
  <c r="CG72"/>
  <c r="CH72" s="1"/>
  <c r="CK72"/>
  <c r="CO72"/>
  <c r="CR72" s="1"/>
  <c r="DG72"/>
  <c r="DH72" s="1"/>
  <c r="D73"/>
  <c r="E73"/>
  <c r="H73"/>
  <c r="O73"/>
  <c r="V73"/>
  <c r="AJ73"/>
  <c r="BE73"/>
  <c r="BI73"/>
  <c r="BS73"/>
  <c r="CG73"/>
  <c r="CH73" s="1"/>
  <c r="CK73"/>
  <c r="CO73"/>
  <c r="CR73" s="1"/>
  <c r="DG73"/>
  <c r="DH73" s="1"/>
  <c r="D74"/>
  <c r="E74" s="1"/>
  <c r="H74"/>
  <c r="O74"/>
  <c r="V74"/>
  <c r="AJ74"/>
  <c r="BE74"/>
  <c r="BI74"/>
  <c r="BS74"/>
  <c r="CG74"/>
  <c r="CH74" s="1"/>
  <c r="CK74"/>
  <c r="CO74"/>
  <c r="CR74" s="1"/>
  <c r="DG74"/>
  <c r="DH74" s="1"/>
  <c r="D75"/>
  <c r="E75" s="1"/>
  <c r="H75"/>
  <c r="O75"/>
  <c r="V75"/>
  <c r="AJ75"/>
  <c r="BE75"/>
  <c r="BI75"/>
  <c r="BS75"/>
  <c r="CG75"/>
  <c r="CH75" s="1"/>
  <c r="CK75"/>
  <c r="CO75"/>
  <c r="CR75" s="1"/>
  <c r="DG75"/>
  <c r="DH75" s="1"/>
  <c r="D76"/>
  <c r="E76" s="1"/>
  <c r="H76"/>
  <c r="O76"/>
  <c r="V76"/>
  <c r="AJ76"/>
  <c r="BE76"/>
  <c r="BI76"/>
  <c r="BS76"/>
  <c r="CG76"/>
  <c r="CH76" s="1"/>
  <c r="CK76"/>
  <c r="CO76"/>
  <c r="CR76" s="1"/>
  <c r="DG76"/>
  <c r="DH76" s="1"/>
  <c r="D77"/>
  <c r="E77" s="1"/>
  <c r="H77"/>
  <c r="O77"/>
  <c r="V77"/>
  <c r="AJ77"/>
  <c r="BE77"/>
  <c r="BI77"/>
  <c r="BS77"/>
  <c r="CG77"/>
  <c r="CH77" s="1"/>
  <c r="CK77"/>
  <c r="CO77"/>
  <c r="CR77" s="1"/>
  <c r="DG77"/>
  <c r="DH77" s="1"/>
  <c r="D78"/>
  <c r="E78" s="1"/>
  <c r="H78"/>
  <c r="O78"/>
  <c r="V78"/>
  <c r="AJ78"/>
  <c r="BE78"/>
  <c r="BI78"/>
  <c r="BS78"/>
  <c r="CG78"/>
  <c r="CH78" s="1"/>
  <c r="CK78"/>
  <c r="CO78"/>
  <c r="CR78" s="1"/>
  <c r="DG78"/>
  <c r="DH78" s="1"/>
  <c r="D79"/>
  <c r="E79" s="1"/>
  <c r="H79"/>
  <c r="O79"/>
  <c r="V79"/>
  <c r="AJ79"/>
  <c r="BE79"/>
  <c r="BI79"/>
  <c r="BS79"/>
  <c r="CG79"/>
  <c r="CH79" s="1"/>
  <c r="CK79"/>
  <c r="CO79"/>
  <c r="CR79" s="1"/>
  <c r="DG79"/>
  <c r="DH79" s="1"/>
  <c r="D80"/>
  <c r="E80" s="1"/>
  <c r="H80"/>
  <c r="O80"/>
  <c r="V80"/>
  <c r="AJ80"/>
  <c r="BE80"/>
  <c r="BI80"/>
  <c r="BS80"/>
  <c r="CG80"/>
  <c r="CH80" s="1"/>
  <c r="CK80"/>
  <c r="CO80"/>
  <c r="CR80" s="1"/>
  <c r="DG80"/>
  <c r="DH80" s="1"/>
  <c r="D81"/>
  <c r="E81" s="1"/>
  <c r="H81"/>
  <c r="O81"/>
  <c r="V81"/>
  <c r="AJ81"/>
  <c r="BE81"/>
  <c r="BI81"/>
  <c r="BS81"/>
  <c r="CG81"/>
  <c r="CH81" s="1"/>
  <c r="CK81"/>
  <c r="CO81"/>
  <c r="CR81" s="1"/>
  <c r="DG81"/>
  <c r="DH81" s="1"/>
  <c r="D82"/>
  <c r="E82" s="1"/>
  <c r="H82"/>
  <c r="O82"/>
  <c r="V82"/>
  <c r="AJ82"/>
  <c r="BE82"/>
  <c r="BI82"/>
  <c r="BS82"/>
  <c r="CG82"/>
  <c r="CH82" s="1"/>
  <c r="CK82"/>
  <c r="CO82"/>
  <c r="CR82" s="1"/>
  <c r="DG82"/>
  <c r="DH82" s="1"/>
  <c r="D83"/>
  <c r="E83" s="1"/>
  <c r="H83"/>
  <c r="O83"/>
  <c r="V83"/>
  <c r="AJ83"/>
  <c r="BE83"/>
  <c r="BI83"/>
  <c r="BS83"/>
  <c r="CG83"/>
  <c r="CH83" s="1"/>
  <c r="CK83"/>
  <c r="CO83"/>
  <c r="CR83" s="1"/>
  <c r="DG83"/>
  <c r="DH83" s="1"/>
  <c r="D84"/>
  <c r="E84" s="1"/>
  <c r="H84"/>
  <c r="O84"/>
  <c r="V84"/>
  <c r="AJ84"/>
  <c r="BE84"/>
  <c r="BI84"/>
  <c r="BS84"/>
  <c r="CG84"/>
  <c r="CH84" s="1"/>
  <c r="CK84"/>
  <c r="CO84"/>
  <c r="CR84" s="1"/>
  <c r="DG84"/>
  <c r="DH84" s="1"/>
  <c r="D85"/>
  <c r="E85" s="1"/>
  <c r="H85"/>
  <c r="O85"/>
  <c r="V85"/>
  <c r="AJ85"/>
  <c r="BE85"/>
  <c r="BI85"/>
  <c r="BS85"/>
  <c r="CG85"/>
  <c r="CH85" s="1"/>
  <c r="CK85"/>
  <c r="CO85"/>
  <c r="CR85" s="1"/>
  <c r="DG85"/>
  <c r="DH85" s="1"/>
  <c r="D86"/>
  <c r="E86" s="1"/>
  <c r="H86"/>
  <c r="O86"/>
  <c r="V86"/>
  <c r="AJ86"/>
  <c r="BE86"/>
  <c r="BI86"/>
  <c r="BS86"/>
  <c r="CG86"/>
  <c r="CH86" s="1"/>
  <c r="CK86"/>
  <c r="CO86"/>
  <c r="CR86" s="1"/>
  <c r="DG86"/>
  <c r="DH86" s="1"/>
  <c r="D87"/>
  <c r="E87" s="1"/>
  <c r="H87"/>
  <c r="O87"/>
  <c r="V87"/>
  <c r="AJ87"/>
  <c r="BE87"/>
  <c r="BI87"/>
  <c r="BS87"/>
  <c r="CG87"/>
  <c r="CH87" s="1"/>
  <c r="CK87"/>
  <c r="CO87"/>
  <c r="CR87" s="1"/>
  <c r="DG87"/>
  <c r="DH87" s="1"/>
  <c r="D88"/>
  <c r="E88" s="1"/>
  <c r="H88"/>
  <c r="O88"/>
  <c r="V88"/>
  <c r="AJ88"/>
  <c r="BE88"/>
  <c r="BI88"/>
  <c r="BS88"/>
  <c r="CG88"/>
  <c r="CH88" s="1"/>
  <c r="CK88"/>
  <c r="CO88"/>
  <c r="CR88" s="1"/>
  <c r="DG88"/>
  <c r="DH88" s="1"/>
  <c r="D89"/>
  <c r="E89" s="1"/>
  <c r="H89"/>
  <c r="O89"/>
  <c r="V89"/>
  <c r="AJ89"/>
  <c r="BE89"/>
  <c r="BI89"/>
  <c r="BS89"/>
  <c r="CG89"/>
  <c r="CH89" s="1"/>
  <c r="CK89"/>
  <c r="CO89"/>
  <c r="CR89" s="1"/>
  <c r="DG89"/>
  <c r="DH89" s="1"/>
  <c r="D90"/>
  <c r="E90" s="1"/>
  <c r="H90"/>
  <c r="O90"/>
  <c r="V90"/>
  <c r="AJ90"/>
  <c r="BE90"/>
  <c r="BI90"/>
  <c r="BS90"/>
  <c r="CG90"/>
  <c r="CH90" s="1"/>
  <c r="CK90"/>
  <c r="CO90"/>
  <c r="CR90" s="1"/>
  <c r="DG90"/>
  <c r="DH90" s="1"/>
  <c r="D91"/>
  <c r="E91" s="1"/>
  <c r="H91"/>
  <c r="O91"/>
  <c r="V91"/>
  <c r="AJ91"/>
  <c r="BE91"/>
  <c r="BI91"/>
  <c r="BS91"/>
  <c r="CG91"/>
  <c r="CH91" s="1"/>
  <c r="CK91"/>
  <c r="CO91"/>
  <c r="CR91" s="1"/>
  <c r="DG91"/>
  <c r="DH91" s="1"/>
  <c r="D92"/>
  <c r="E92" s="1"/>
  <c r="H92"/>
  <c r="O92"/>
  <c r="V92"/>
  <c r="AJ92"/>
  <c r="BE92"/>
  <c r="BI92"/>
  <c r="BS92"/>
  <c r="CG92"/>
  <c r="CH92" s="1"/>
  <c r="CK92"/>
  <c r="CO92"/>
  <c r="CR92" s="1"/>
  <c r="DG92"/>
  <c r="DH92" s="1"/>
  <c r="D93"/>
  <c r="E93" s="1"/>
  <c r="H93"/>
  <c r="O93"/>
  <c r="V93"/>
  <c r="AJ93"/>
  <c r="BE93"/>
  <c r="BI93"/>
  <c r="BS93"/>
  <c r="CG93"/>
  <c r="CH93" s="1"/>
  <c r="CK93"/>
  <c r="CO93"/>
  <c r="CR93" s="1"/>
  <c r="DG93"/>
  <c r="DH93" s="1"/>
  <c r="D94"/>
  <c r="E94" s="1"/>
  <c r="H94"/>
  <c r="O94"/>
  <c r="V94"/>
  <c r="AJ94"/>
  <c r="BE94"/>
  <c r="BI94"/>
  <c r="BS94"/>
  <c r="CG94"/>
  <c r="CH94" s="1"/>
  <c r="CK94"/>
  <c r="CO94"/>
  <c r="CR94" s="1"/>
  <c r="DG94"/>
  <c r="DH94" s="1"/>
  <c r="D95"/>
  <c r="E95" s="1"/>
  <c r="H95"/>
  <c r="O95"/>
  <c r="V95"/>
  <c r="AJ95"/>
  <c r="BE95"/>
  <c r="BI95"/>
  <c r="BS95"/>
  <c r="CG95"/>
  <c r="CH95" s="1"/>
  <c r="CK95"/>
  <c r="CO95"/>
  <c r="CR95" s="1"/>
  <c r="DG95"/>
  <c r="DH95" s="1"/>
  <c r="D96"/>
  <c r="E96" s="1"/>
  <c r="H96"/>
  <c r="O96"/>
  <c r="V96"/>
  <c r="AJ96"/>
  <c r="BE96"/>
  <c r="BI96"/>
  <c r="BS96"/>
  <c r="CG96"/>
  <c r="CH96" s="1"/>
  <c r="CK96"/>
  <c r="CO96"/>
  <c r="CR96" s="1"/>
  <c r="DG96"/>
  <c r="DH96" s="1"/>
  <c r="D97"/>
  <c r="E97" s="1"/>
  <c r="H97"/>
  <c r="O97"/>
  <c r="V97"/>
  <c r="AJ97"/>
  <c r="BE97"/>
  <c r="BI97"/>
  <c r="BS97"/>
  <c r="CG97"/>
  <c r="CH97" s="1"/>
  <c r="CK97"/>
  <c r="CO97"/>
  <c r="CR97" s="1"/>
  <c r="DG97"/>
  <c r="DH97" s="1"/>
  <c r="D98"/>
  <c r="E98" s="1"/>
  <c r="H98"/>
  <c r="O98"/>
  <c r="V98"/>
  <c r="AJ98"/>
  <c r="BE98"/>
  <c r="BI98"/>
  <c r="BS98"/>
  <c r="CG98"/>
  <c r="CH98" s="1"/>
  <c r="CK98"/>
  <c r="CO98"/>
  <c r="CR98" s="1"/>
  <c r="DG98"/>
  <c r="DH98" s="1"/>
  <c r="D99"/>
  <c r="E99" s="1"/>
  <c r="H99"/>
  <c r="O99"/>
  <c r="V99"/>
  <c r="AJ99"/>
  <c r="BE99"/>
  <c r="BI99"/>
  <c r="BS99"/>
  <c r="CG99"/>
  <c r="CH99" s="1"/>
  <c r="CK99"/>
  <c r="CO99"/>
  <c r="CR99" s="1"/>
  <c r="DG99"/>
  <c r="DH99" s="1"/>
  <c r="D100"/>
  <c r="E100" s="1"/>
  <c r="H100"/>
  <c r="O100"/>
  <c r="V100"/>
  <c r="AJ100"/>
  <c r="BE100"/>
  <c r="BI100"/>
  <c r="BS100"/>
  <c r="CG100"/>
  <c r="CH100" s="1"/>
  <c r="CK100"/>
  <c r="CO100"/>
  <c r="CR100" s="1"/>
  <c r="DG100"/>
  <c r="DH100" s="1"/>
  <c r="D101"/>
  <c r="E101" s="1"/>
  <c r="H101"/>
  <c r="O101"/>
  <c r="V101"/>
  <c r="AJ101"/>
  <c r="BE101"/>
  <c r="BI101"/>
  <c r="BS101"/>
  <c r="CG101"/>
  <c r="CH101" s="1"/>
  <c r="CK101"/>
  <c r="CO101"/>
  <c r="CR101" s="1"/>
  <c r="DG101"/>
  <c r="DH101" s="1"/>
  <c r="D102"/>
  <c r="E102" s="1"/>
  <c r="H102"/>
  <c r="O102"/>
  <c r="V102"/>
  <c r="AJ102"/>
  <c r="BE102"/>
  <c r="BI102"/>
  <c r="BS102"/>
  <c r="CG102"/>
  <c r="CH102" s="1"/>
  <c r="CK102"/>
  <c r="CO102"/>
  <c r="CR102" s="1"/>
  <c r="DG102"/>
  <c r="DH102" s="1"/>
  <c r="D103"/>
  <c r="E103" s="1"/>
  <c r="H103"/>
  <c r="O103"/>
  <c r="V103"/>
  <c r="AJ103"/>
  <c r="BE103"/>
  <c r="BI103"/>
  <c r="BS103"/>
  <c r="CG103"/>
  <c r="CH103" s="1"/>
  <c r="CK103"/>
  <c r="CO103"/>
  <c r="CR103" s="1"/>
  <c r="DG103"/>
  <c r="DH103" s="1"/>
  <c r="D104"/>
  <c r="E104" s="1"/>
  <c r="H104"/>
  <c r="O104"/>
  <c r="V104"/>
  <c r="AJ104"/>
  <c r="BE104"/>
  <c r="BI104"/>
  <c r="BS104"/>
  <c r="CG104"/>
  <c r="CH104" s="1"/>
  <c r="CK104"/>
  <c r="CO104"/>
  <c r="CR104" s="1"/>
  <c r="DG104"/>
  <c r="DH104" s="1"/>
  <c r="D105"/>
  <c r="E105" s="1"/>
  <c r="H105"/>
  <c r="O105"/>
  <c r="V105"/>
  <c r="AJ105"/>
  <c r="BE105"/>
  <c r="BI105"/>
  <c r="BS105"/>
  <c r="CG105"/>
  <c r="CH105" s="1"/>
  <c r="CK105"/>
  <c r="CO105"/>
  <c r="CR105" s="1"/>
  <c r="DG105"/>
  <c r="DH105" s="1"/>
  <c r="D106"/>
  <c r="E106" s="1"/>
  <c r="H106"/>
  <c r="O106"/>
  <c r="V106"/>
  <c r="AJ106"/>
  <c r="BE106"/>
  <c r="BI106"/>
  <c r="BS106"/>
  <c r="CG106"/>
  <c r="CH106" s="1"/>
  <c r="CK106"/>
  <c r="CO106"/>
  <c r="CR106" s="1"/>
  <c r="DG106"/>
  <c r="DH106" s="1"/>
  <c r="D107"/>
  <c r="E107" s="1"/>
  <c r="H107"/>
  <c r="O107"/>
  <c r="V107"/>
  <c r="AJ107"/>
  <c r="BE107"/>
  <c r="BI107"/>
  <c r="BS107"/>
  <c r="CG107"/>
  <c r="CH107" s="1"/>
  <c r="CK107"/>
  <c r="CO107"/>
  <c r="CR107" s="1"/>
  <c r="DG107"/>
  <c r="DH107" s="1"/>
  <c r="D108"/>
  <c r="E108" s="1"/>
  <c r="H108"/>
  <c r="O108"/>
  <c r="V108"/>
  <c r="Y108" s="1"/>
  <c r="AJ108"/>
  <c r="BE108"/>
  <c r="BI108"/>
  <c r="BS108"/>
  <c r="BV108" s="1"/>
  <c r="CG108"/>
  <c r="CH108" s="1"/>
  <c r="CK108"/>
  <c r="CO108"/>
  <c r="CR108" s="1"/>
  <c r="CU108" s="1"/>
  <c r="DG108"/>
  <c r="DH108" s="1"/>
  <c r="DK108" s="1"/>
  <c r="D109"/>
  <c r="E109" s="1"/>
  <c r="H109"/>
  <c r="O109"/>
  <c r="V109"/>
  <c r="Y109" s="1"/>
  <c r="AJ109"/>
  <c r="BE109"/>
  <c r="BI109"/>
  <c r="BS109"/>
  <c r="BV109" s="1"/>
  <c r="CG109"/>
  <c r="CH109" s="1"/>
  <c r="CK109"/>
  <c r="CO109"/>
  <c r="CR109" s="1"/>
  <c r="CU109" s="1"/>
  <c r="DG109"/>
  <c r="DH109" s="1"/>
  <c r="DK109" s="1"/>
  <c r="D110"/>
  <c r="E110" s="1"/>
  <c r="H110"/>
  <c r="K110" s="1"/>
  <c r="O110"/>
  <c r="V110"/>
  <c r="Y110" s="1"/>
  <c r="AJ110"/>
  <c r="BE110"/>
  <c r="BI110"/>
  <c r="BS110"/>
  <c r="BV110" s="1"/>
  <c r="CG110"/>
  <c r="CH110" s="1"/>
  <c r="CK110"/>
  <c r="CN110" s="1"/>
  <c r="CO110"/>
  <c r="CR110" s="1"/>
  <c r="CU110" s="1"/>
  <c r="DG110"/>
  <c r="DH110" s="1"/>
  <c r="DK110" s="1"/>
  <c r="D111"/>
  <c r="E111" s="1"/>
  <c r="H111"/>
  <c r="K111" s="1"/>
  <c r="O111"/>
  <c r="V111"/>
  <c r="Y111" s="1"/>
  <c r="AJ111"/>
  <c r="BE111"/>
  <c r="BI111"/>
  <c r="BS111"/>
  <c r="BV111" s="1"/>
  <c r="CG111"/>
  <c r="CH111" s="1"/>
  <c r="CK111"/>
  <c r="CN111" s="1"/>
  <c r="CO111"/>
  <c r="CR111" s="1"/>
  <c r="CU111" s="1"/>
  <c r="DG111"/>
  <c r="DH111" s="1"/>
  <c r="DK111" s="1"/>
  <c r="D112"/>
  <c r="E112" s="1"/>
  <c r="H112"/>
  <c r="K112" s="1"/>
  <c r="O112"/>
  <c r="V112"/>
  <c r="AJ112"/>
  <c r="BE112"/>
  <c r="BI112"/>
  <c r="BS112"/>
  <c r="BV112" s="1"/>
  <c r="CG112"/>
  <c r="CH112" s="1"/>
  <c r="CK112"/>
  <c r="CN112" s="1"/>
  <c r="CO112"/>
  <c r="CR112" s="1"/>
  <c r="CU112" s="1"/>
  <c r="DG112"/>
  <c r="DH112" s="1"/>
  <c r="DK112" s="1"/>
  <c r="D113"/>
  <c r="E113" s="1"/>
  <c r="H113"/>
  <c r="K113" s="1"/>
  <c r="O113"/>
  <c r="V113"/>
  <c r="AJ113"/>
  <c r="BE113"/>
  <c r="BI113"/>
  <c r="BS113"/>
  <c r="CG113"/>
  <c r="CH113" s="1"/>
  <c r="CO113"/>
  <c r="DG113"/>
  <c r="DH113"/>
  <c r="B114"/>
  <c r="C114"/>
  <c r="F114"/>
  <c r="G114"/>
  <c r="L114"/>
  <c r="M114"/>
  <c r="N114"/>
  <c r="S114"/>
  <c r="T114"/>
  <c r="U114"/>
  <c r="Z114"/>
  <c r="AD114"/>
  <c r="AH114"/>
  <c r="AI114"/>
  <c r="AN114"/>
  <c r="AR114"/>
  <c r="AV114"/>
  <c r="AZ114"/>
  <c r="BD114"/>
  <c r="BE114"/>
  <c r="BM114"/>
  <c r="BQ114"/>
  <c r="BR114"/>
  <c r="BW114"/>
  <c r="CA114"/>
  <c r="CE114"/>
  <c r="CF114"/>
  <c r="CG114"/>
  <c r="CI114"/>
  <c r="CJ114"/>
  <c r="CK114"/>
  <c r="CO114"/>
  <c r="CP114"/>
  <c r="CQ114"/>
  <c r="CV114"/>
  <c r="CZ114"/>
  <c r="DD114"/>
  <c r="DF114"/>
  <c r="H19" i="1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K110" s="1"/>
  <c r="H111"/>
  <c r="K111" s="1"/>
  <c r="H112"/>
  <c r="K112" s="1"/>
  <c r="H113"/>
  <c r="K113" s="1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DH113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S113"/>
  <c r="O113"/>
  <c r="V112"/>
  <c r="V113"/>
  <c r="AJ60"/>
  <c r="AJ61"/>
  <c r="AJ62"/>
  <c r="AJ63"/>
  <c r="AJ64"/>
  <c r="AJ65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90"/>
  <c r="AJ91"/>
  <c r="AJ92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DG113"/>
  <c r="CO113"/>
  <c r="A9" i="2"/>
  <c r="A8"/>
  <c r="A7"/>
  <c r="A6"/>
  <c r="A5"/>
  <c r="A4"/>
  <c r="D114" i="3"/>
  <c r="BI16"/>
  <c r="BE16"/>
  <c r="BI18"/>
  <c r="BE18"/>
  <c r="DN18" i="1"/>
  <c r="DN13"/>
  <c r="DN17"/>
  <c r="CR35"/>
  <c r="DN12"/>
  <c r="DM20"/>
  <c r="DM19"/>
  <c r="DM16"/>
  <c r="DM15"/>
  <c r="E12"/>
  <c r="AL57" l="1"/>
  <c r="AM57" s="1"/>
  <c r="BB80"/>
  <c r="BC80" s="1"/>
  <c r="BB48"/>
  <c r="BC48" s="1"/>
  <c r="BB16"/>
  <c r="BC16" s="1"/>
  <c r="BK34" i="3"/>
  <c r="AT11" i="1"/>
  <c r="AU11" s="1"/>
  <c r="CM18"/>
  <c r="CM106"/>
  <c r="CN106" s="1"/>
  <c r="CX10"/>
  <c r="CY10" s="1"/>
  <c r="BU9" i="3"/>
  <c r="BV9" s="1"/>
  <c r="J9"/>
  <c r="K9" s="1"/>
  <c r="AL9"/>
  <c r="AM9" s="1"/>
  <c r="BK9"/>
  <c r="BL9" s="1"/>
  <c r="BG9"/>
  <c r="BH9" s="1"/>
  <c r="BB104" i="1"/>
  <c r="BB88"/>
  <c r="BC88" s="1"/>
  <c r="BB72"/>
  <c r="BC72" s="1"/>
  <c r="BB56"/>
  <c r="BC56" s="1"/>
  <c r="BB40"/>
  <c r="BC40" s="1"/>
  <c r="BB24"/>
  <c r="BC24" s="1"/>
  <c r="BU11"/>
  <c r="BV11" s="1"/>
  <c r="CT11"/>
  <c r="CU11" s="1"/>
  <c r="BV104"/>
  <c r="BB11"/>
  <c r="BC11" s="1"/>
  <c r="BB92"/>
  <c r="BC92" s="1"/>
  <c r="BB76"/>
  <c r="BC76" s="1"/>
  <c r="BB60"/>
  <c r="BC60" s="1"/>
  <c r="BB44"/>
  <c r="BC44" s="1"/>
  <c r="BB28"/>
  <c r="BC28" s="1"/>
  <c r="BB12"/>
  <c r="BC12" s="1"/>
  <c r="CX11"/>
  <c r="CY11" s="1"/>
  <c r="BB100"/>
  <c r="BB84"/>
  <c r="BC84" s="1"/>
  <c r="BB68"/>
  <c r="BC68" s="1"/>
  <c r="BB52"/>
  <c r="BC52" s="1"/>
  <c r="BB36"/>
  <c r="BC36" s="1"/>
  <c r="BB20"/>
  <c r="BC20" s="1"/>
  <c r="BU10"/>
  <c r="BV10" s="1"/>
  <c r="CT10"/>
  <c r="DJ9"/>
  <c r="DK9" s="1"/>
  <c r="DJ12"/>
  <c r="DK12" s="1"/>
  <c r="CU9"/>
  <c r="AM9"/>
  <c r="R9"/>
  <c r="AO4" i="3"/>
  <c r="AB9"/>
  <c r="AC9" s="1"/>
  <c r="AB12"/>
  <c r="AC12" s="1"/>
  <c r="W4"/>
  <c r="X9" s="1"/>
  <c r="Y9" s="1"/>
  <c r="AE4"/>
  <c r="AW4"/>
  <c r="AX9" s="1"/>
  <c r="AY9" s="1"/>
  <c r="BN4"/>
  <c r="CB4"/>
  <c r="CC33" s="1"/>
  <c r="CD33" s="1"/>
  <c r="CX14"/>
  <c r="CY14" s="1"/>
  <c r="CX18"/>
  <c r="CY18" s="1"/>
  <c r="CX22"/>
  <c r="CY22" s="1"/>
  <c r="CX26"/>
  <c r="CY26" s="1"/>
  <c r="CX30"/>
  <c r="CY30" s="1"/>
  <c r="CX34"/>
  <c r="CY34" s="1"/>
  <c r="CX38"/>
  <c r="CY38" s="1"/>
  <c r="CX42"/>
  <c r="CY42" s="1"/>
  <c r="CX46"/>
  <c r="CY46" s="1"/>
  <c r="CX50"/>
  <c r="CY50" s="1"/>
  <c r="CX54"/>
  <c r="CY54" s="1"/>
  <c r="CX58"/>
  <c r="CY58" s="1"/>
  <c r="CX62"/>
  <c r="CY62" s="1"/>
  <c r="CX66"/>
  <c r="CY66" s="1"/>
  <c r="CX70"/>
  <c r="CY70" s="1"/>
  <c r="CX74"/>
  <c r="CY74" s="1"/>
  <c r="CX78"/>
  <c r="CY78" s="1"/>
  <c r="CX82"/>
  <c r="CY82" s="1"/>
  <c r="CX86"/>
  <c r="CY86" s="1"/>
  <c r="CX90"/>
  <c r="CY90" s="1"/>
  <c r="CX94"/>
  <c r="CY94" s="1"/>
  <c r="CX98"/>
  <c r="CY98" s="1"/>
  <c r="CX102"/>
  <c r="CY102" s="1"/>
  <c r="CX106"/>
  <c r="CY106" s="1"/>
  <c r="CX10"/>
  <c r="CY10" s="1"/>
  <c r="CX15"/>
  <c r="CY15" s="1"/>
  <c r="CX23"/>
  <c r="CY23" s="1"/>
  <c r="CX27"/>
  <c r="CY27" s="1"/>
  <c r="CX35"/>
  <c r="CY35" s="1"/>
  <c r="CX43"/>
  <c r="CY43" s="1"/>
  <c r="CX51"/>
  <c r="CY51" s="1"/>
  <c r="CX59"/>
  <c r="CY59" s="1"/>
  <c r="CX67"/>
  <c r="CY67" s="1"/>
  <c r="CX75"/>
  <c r="CY75" s="1"/>
  <c r="CX83"/>
  <c r="CY83" s="1"/>
  <c r="CX91"/>
  <c r="CY91" s="1"/>
  <c r="CX99"/>
  <c r="CY99" s="1"/>
  <c r="CX107"/>
  <c r="CY107" s="1"/>
  <c r="CX13"/>
  <c r="CY13" s="1"/>
  <c r="CX17"/>
  <c r="CY17" s="1"/>
  <c r="CX21"/>
  <c r="CY21" s="1"/>
  <c r="CX25"/>
  <c r="CY25" s="1"/>
  <c r="CX29"/>
  <c r="CY29" s="1"/>
  <c r="CX33"/>
  <c r="CY33" s="1"/>
  <c r="CX37"/>
  <c r="CY37" s="1"/>
  <c r="CX41"/>
  <c r="CY41" s="1"/>
  <c r="CX45"/>
  <c r="CY45" s="1"/>
  <c r="CX49"/>
  <c r="CY49" s="1"/>
  <c r="CX53"/>
  <c r="CY53" s="1"/>
  <c r="CX57"/>
  <c r="CY57" s="1"/>
  <c r="CX61"/>
  <c r="CY61" s="1"/>
  <c r="CX65"/>
  <c r="CY65" s="1"/>
  <c r="CX69"/>
  <c r="CY69" s="1"/>
  <c r="CX73"/>
  <c r="CY73" s="1"/>
  <c r="CX77"/>
  <c r="CY77" s="1"/>
  <c r="CX81"/>
  <c r="CY81" s="1"/>
  <c r="CX85"/>
  <c r="CY85" s="1"/>
  <c r="CX89"/>
  <c r="CY89" s="1"/>
  <c r="CX93"/>
  <c r="CY93" s="1"/>
  <c r="CX97"/>
  <c r="CY97" s="1"/>
  <c r="CX101"/>
  <c r="CY101" s="1"/>
  <c r="CX105"/>
  <c r="CY105" s="1"/>
  <c r="CX109"/>
  <c r="CX11"/>
  <c r="CY11" s="1"/>
  <c r="CX19"/>
  <c r="CY19" s="1"/>
  <c r="CX31"/>
  <c r="CY31" s="1"/>
  <c r="CX39"/>
  <c r="CY39" s="1"/>
  <c r="CX47"/>
  <c r="CY47" s="1"/>
  <c r="CX55"/>
  <c r="CY55" s="1"/>
  <c r="CX63"/>
  <c r="CY63" s="1"/>
  <c r="CX71"/>
  <c r="CY71" s="1"/>
  <c r="CX79"/>
  <c r="CY79" s="1"/>
  <c r="CX87"/>
  <c r="CY87" s="1"/>
  <c r="CX95"/>
  <c r="CY95" s="1"/>
  <c r="CX103"/>
  <c r="CY103" s="1"/>
  <c r="CX12"/>
  <c r="CY12" s="1"/>
  <c r="CX16"/>
  <c r="CY16" s="1"/>
  <c r="CX20"/>
  <c r="CY20" s="1"/>
  <c r="CX24"/>
  <c r="CY24" s="1"/>
  <c r="CX28"/>
  <c r="CY28" s="1"/>
  <c r="CX32"/>
  <c r="CY32" s="1"/>
  <c r="CX36"/>
  <c r="CY36" s="1"/>
  <c r="CX40"/>
  <c r="CY40" s="1"/>
  <c r="CX44"/>
  <c r="CY44" s="1"/>
  <c r="CX48"/>
  <c r="CY48" s="1"/>
  <c r="CX52"/>
  <c r="CY52" s="1"/>
  <c r="CX56"/>
  <c r="CY56" s="1"/>
  <c r="CX60"/>
  <c r="CY60" s="1"/>
  <c r="CX64"/>
  <c r="CY64" s="1"/>
  <c r="CX68"/>
  <c r="CY68" s="1"/>
  <c r="CX72"/>
  <c r="CY72" s="1"/>
  <c r="CX76"/>
  <c r="CY76" s="1"/>
  <c r="CX80"/>
  <c r="CY80" s="1"/>
  <c r="CX84"/>
  <c r="CY84" s="1"/>
  <c r="CX88"/>
  <c r="CY88" s="1"/>
  <c r="CX92"/>
  <c r="CY92" s="1"/>
  <c r="CX96"/>
  <c r="CY96" s="1"/>
  <c r="CX100"/>
  <c r="CY100" s="1"/>
  <c r="CX104"/>
  <c r="CY104" s="1"/>
  <c r="CX108"/>
  <c r="CT14"/>
  <c r="CU14" s="1"/>
  <c r="CT18"/>
  <c r="CU18" s="1"/>
  <c r="CT22"/>
  <c r="CT26"/>
  <c r="CT30"/>
  <c r="CT34"/>
  <c r="CU34" s="1"/>
  <c r="CT38"/>
  <c r="CT42"/>
  <c r="CT46"/>
  <c r="CT50"/>
  <c r="CU50" s="1"/>
  <c r="CT54"/>
  <c r="CU54" s="1"/>
  <c r="CT58"/>
  <c r="CT62"/>
  <c r="CU62" s="1"/>
  <c r="CT66"/>
  <c r="CU66" s="1"/>
  <c r="CT70"/>
  <c r="CT74"/>
  <c r="CT78"/>
  <c r="CT82"/>
  <c r="CU82" s="1"/>
  <c r="CT86"/>
  <c r="CT90"/>
  <c r="CT94"/>
  <c r="CT98"/>
  <c r="CT102"/>
  <c r="CT106"/>
  <c r="CT13"/>
  <c r="CU13" s="1"/>
  <c r="CT17"/>
  <c r="CU17" s="1"/>
  <c r="CT21"/>
  <c r="CT25"/>
  <c r="CT29"/>
  <c r="CT33"/>
  <c r="CT37"/>
  <c r="CT41"/>
  <c r="CT45"/>
  <c r="CT49"/>
  <c r="CU49" s="1"/>
  <c r="CT53"/>
  <c r="CU53" s="1"/>
  <c r="CT57"/>
  <c r="CT61"/>
  <c r="CT65"/>
  <c r="CU65" s="1"/>
  <c r="CT69"/>
  <c r="CT73"/>
  <c r="CT77"/>
  <c r="CT81"/>
  <c r="CT85"/>
  <c r="CT89"/>
  <c r="CT93"/>
  <c r="CT97"/>
  <c r="CU97" s="1"/>
  <c r="CT101"/>
  <c r="CT105"/>
  <c r="CT12"/>
  <c r="CU12" s="1"/>
  <c r="CT16"/>
  <c r="CU16" s="1"/>
  <c r="CT20"/>
  <c r="CT24"/>
  <c r="CT28"/>
  <c r="CT32"/>
  <c r="CT36"/>
  <c r="CU36" s="1"/>
  <c r="CT40"/>
  <c r="CT44"/>
  <c r="CT48"/>
  <c r="CU48" s="1"/>
  <c r="CT52"/>
  <c r="CU52" s="1"/>
  <c r="CT56"/>
  <c r="CT60"/>
  <c r="CU60" s="1"/>
  <c r="CT64"/>
  <c r="CU64" s="1"/>
  <c r="CT68"/>
  <c r="CT72"/>
  <c r="CT76"/>
  <c r="CT80"/>
  <c r="CU80" s="1"/>
  <c r="CT84"/>
  <c r="CT88"/>
  <c r="CT92"/>
  <c r="CT96"/>
  <c r="CU96" s="1"/>
  <c r="CT100"/>
  <c r="CT104"/>
  <c r="CT10"/>
  <c r="CU10" s="1"/>
  <c r="CT11"/>
  <c r="CU11" s="1"/>
  <c r="CT15"/>
  <c r="CU15" s="1"/>
  <c r="CT19"/>
  <c r="CT23"/>
  <c r="CT27"/>
  <c r="CU27" s="1"/>
  <c r="CT31"/>
  <c r="CU31" s="1"/>
  <c r="CT35"/>
  <c r="CU35" s="1"/>
  <c r="CT39"/>
  <c r="CT43"/>
  <c r="CU43" s="1"/>
  <c r="CT47"/>
  <c r="CT51"/>
  <c r="CU51" s="1"/>
  <c r="CT55"/>
  <c r="CU55" s="1"/>
  <c r="CT59"/>
  <c r="CU59" s="1"/>
  <c r="CT63"/>
  <c r="CT67"/>
  <c r="CT71"/>
  <c r="CT75"/>
  <c r="CU75" s="1"/>
  <c r="CT79"/>
  <c r="CT83"/>
  <c r="CT87"/>
  <c r="CT91"/>
  <c r="CU91" s="1"/>
  <c r="CT95"/>
  <c r="CT99"/>
  <c r="CU99" s="1"/>
  <c r="CT103"/>
  <c r="CT107"/>
  <c r="CU107" s="1"/>
  <c r="CU100"/>
  <c r="CM14"/>
  <c r="CN14" s="1"/>
  <c r="CM18"/>
  <c r="CN18" s="1"/>
  <c r="CM22"/>
  <c r="CM26"/>
  <c r="CN26" s="1"/>
  <c r="CM30"/>
  <c r="CN30" s="1"/>
  <c r="CM34"/>
  <c r="CM38"/>
  <c r="CM42"/>
  <c r="CM46"/>
  <c r="CN46" s="1"/>
  <c r="CM50"/>
  <c r="CM54"/>
  <c r="CM58"/>
  <c r="CM62"/>
  <c r="CM66"/>
  <c r="CM70"/>
  <c r="CM74"/>
  <c r="CN74" s="1"/>
  <c r="CM78"/>
  <c r="CN78" s="1"/>
  <c r="CM82"/>
  <c r="CM86"/>
  <c r="CM90"/>
  <c r="CN90" s="1"/>
  <c r="CM94"/>
  <c r="CN94" s="1"/>
  <c r="CM98"/>
  <c r="CM102"/>
  <c r="CM106"/>
  <c r="CM10"/>
  <c r="CN10" s="1"/>
  <c r="CM13"/>
  <c r="CN13" s="1"/>
  <c r="CM17"/>
  <c r="CN17" s="1"/>
  <c r="CM21"/>
  <c r="CN21" s="1"/>
  <c r="CM25"/>
  <c r="CN25" s="1"/>
  <c r="CM29"/>
  <c r="CM33"/>
  <c r="CM37"/>
  <c r="CM41"/>
  <c r="CM45"/>
  <c r="CM49"/>
  <c r="CM53"/>
  <c r="CN53" s="1"/>
  <c r="CM57"/>
  <c r="CN57" s="1"/>
  <c r="CM61"/>
  <c r="CM65"/>
  <c r="CN65" s="1"/>
  <c r="CM69"/>
  <c r="CN69" s="1"/>
  <c r="CM73"/>
  <c r="CM77"/>
  <c r="CN77" s="1"/>
  <c r="CM81"/>
  <c r="CM85"/>
  <c r="CM89"/>
  <c r="CM93"/>
  <c r="CM97"/>
  <c r="CM101"/>
  <c r="CM105"/>
  <c r="CN105" s="1"/>
  <c r="CM109"/>
  <c r="CM12"/>
  <c r="CN12" s="1"/>
  <c r="CM16"/>
  <c r="CN16" s="1"/>
  <c r="CM20"/>
  <c r="CN20" s="1"/>
  <c r="CM24"/>
  <c r="CM28"/>
  <c r="CM32"/>
  <c r="CN32" s="1"/>
  <c r="CM36"/>
  <c r="CN36" s="1"/>
  <c r="CM40"/>
  <c r="CM44"/>
  <c r="CN44" s="1"/>
  <c r="CM48"/>
  <c r="CN48" s="1"/>
  <c r="CM52"/>
  <c r="CN52" s="1"/>
  <c r="CM56"/>
  <c r="CM60"/>
  <c r="CM64"/>
  <c r="CM68"/>
  <c r="CN68" s="1"/>
  <c r="CM72"/>
  <c r="CM76"/>
  <c r="CM80"/>
  <c r="CN80" s="1"/>
  <c r="CM84"/>
  <c r="CN84" s="1"/>
  <c r="CM88"/>
  <c r="CM92"/>
  <c r="CM96"/>
  <c r="CN96" s="1"/>
  <c r="CM100"/>
  <c r="CN100" s="1"/>
  <c r="CM104"/>
  <c r="CM108"/>
  <c r="CM11"/>
  <c r="CN11" s="1"/>
  <c r="CM15"/>
  <c r="CN15" s="1"/>
  <c r="CM19"/>
  <c r="CM23"/>
  <c r="CM27"/>
  <c r="CN27" s="1"/>
  <c r="CM31"/>
  <c r="CN31" s="1"/>
  <c r="CM35"/>
  <c r="CN35" s="1"/>
  <c r="CM39"/>
  <c r="CM43"/>
  <c r="CN43" s="1"/>
  <c r="CM47"/>
  <c r="CN47" s="1"/>
  <c r="CM51"/>
  <c r="CN51" s="1"/>
  <c r="CM55"/>
  <c r="CM59"/>
  <c r="CN59" s="1"/>
  <c r="CM63"/>
  <c r="CN63" s="1"/>
  <c r="CM67"/>
  <c r="CM71"/>
  <c r="CM75"/>
  <c r="CM79"/>
  <c r="CN79" s="1"/>
  <c r="CM83"/>
  <c r="CM87"/>
  <c r="CM91"/>
  <c r="CM95"/>
  <c r="CM99"/>
  <c r="CM103"/>
  <c r="CM107"/>
  <c r="CN107" s="1"/>
  <c r="CC23"/>
  <c r="CD23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4"/>
  <c r="BZ14" s="1"/>
  <c r="BY18"/>
  <c r="BZ18" s="1"/>
  <c r="BY22"/>
  <c r="BZ22" s="1"/>
  <c r="BY26"/>
  <c r="BZ26" s="1"/>
  <c r="BY30"/>
  <c r="BZ30" s="1"/>
  <c r="BY34"/>
  <c r="BZ34" s="1"/>
  <c r="BY38"/>
  <c r="BZ38" s="1"/>
  <c r="BY42"/>
  <c r="BZ42" s="1"/>
  <c r="BY46"/>
  <c r="BZ46" s="1"/>
  <c r="BY50"/>
  <c r="BZ50" s="1"/>
  <c r="BY54"/>
  <c r="BZ54" s="1"/>
  <c r="BY58"/>
  <c r="BY62"/>
  <c r="BY66"/>
  <c r="BY70"/>
  <c r="BY74"/>
  <c r="BY78"/>
  <c r="BY82"/>
  <c r="BY86"/>
  <c r="BY90"/>
  <c r="BY94"/>
  <c r="BY13"/>
  <c r="BZ13" s="1"/>
  <c r="BY17"/>
  <c r="BZ17" s="1"/>
  <c r="BY21"/>
  <c r="BZ21" s="1"/>
  <c r="BY25"/>
  <c r="BZ25" s="1"/>
  <c r="BY29"/>
  <c r="BZ29" s="1"/>
  <c r="BY33"/>
  <c r="BZ33" s="1"/>
  <c r="BY37"/>
  <c r="BZ37" s="1"/>
  <c r="BY41"/>
  <c r="BZ41" s="1"/>
  <c r="BY45"/>
  <c r="BZ45" s="1"/>
  <c r="BY49"/>
  <c r="BZ49" s="1"/>
  <c r="BY53"/>
  <c r="BZ53" s="1"/>
  <c r="BY57"/>
  <c r="BY61"/>
  <c r="BY65"/>
  <c r="BY69"/>
  <c r="BY73"/>
  <c r="BY77"/>
  <c r="BY81"/>
  <c r="BY85"/>
  <c r="BY89"/>
  <c r="BY93"/>
  <c r="BY12"/>
  <c r="BZ12" s="1"/>
  <c r="BY16"/>
  <c r="BZ16" s="1"/>
  <c r="BY20"/>
  <c r="BZ20" s="1"/>
  <c r="BY24"/>
  <c r="BZ24" s="1"/>
  <c r="BY28"/>
  <c r="BZ28" s="1"/>
  <c r="BY32"/>
  <c r="BZ32" s="1"/>
  <c r="BY36"/>
  <c r="BZ36" s="1"/>
  <c r="BY40"/>
  <c r="BZ40" s="1"/>
  <c r="BY44"/>
  <c r="BZ44" s="1"/>
  <c r="BY48"/>
  <c r="BZ48" s="1"/>
  <c r="BY52"/>
  <c r="BZ52" s="1"/>
  <c r="BY56"/>
  <c r="BY60"/>
  <c r="BY64"/>
  <c r="BY68"/>
  <c r="BY72"/>
  <c r="BY76"/>
  <c r="BY80"/>
  <c r="BY84"/>
  <c r="BY88"/>
  <c r="BY92"/>
  <c r="BY10"/>
  <c r="BZ10" s="1"/>
  <c r="AX113"/>
  <c r="AY113" s="1"/>
  <c r="AX16"/>
  <c r="AY16" s="1"/>
  <c r="X104"/>
  <c r="Y104" s="1"/>
  <c r="X11"/>
  <c r="Y11" s="1"/>
  <c r="J21" i="1"/>
  <c r="K21" s="1"/>
  <c r="J33"/>
  <c r="J101"/>
  <c r="K101" s="1"/>
  <c r="J49"/>
  <c r="K49" s="1"/>
  <c r="CE114"/>
  <c r="DN19"/>
  <c r="DP19" s="1"/>
  <c r="DP15"/>
  <c r="DM18"/>
  <c r="DO18" s="1"/>
  <c r="DN14"/>
  <c r="DN20"/>
  <c r="J109"/>
  <c r="K109" s="1"/>
  <c r="J105"/>
  <c r="J97"/>
  <c r="K97" s="1"/>
  <c r="J93"/>
  <c r="K93" s="1"/>
  <c r="J89"/>
  <c r="K89" s="1"/>
  <c r="J81"/>
  <c r="J77"/>
  <c r="K77" s="1"/>
  <c r="J73"/>
  <c r="J65"/>
  <c r="K65" s="1"/>
  <c r="J61"/>
  <c r="K61" s="1"/>
  <c r="J57"/>
  <c r="K57" s="1"/>
  <c r="DG31"/>
  <c r="DH31" s="1"/>
  <c r="Y9"/>
  <c r="AB9"/>
  <c r="AC9" s="1"/>
  <c r="AB66"/>
  <c r="AB98"/>
  <c r="AB106"/>
  <c r="AB90"/>
  <c r="AB82"/>
  <c r="AB18"/>
  <c r="AC18" s="1"/>
  <c r="AB74"/>
  <c r="AX10"/>
  <c r="AX13"/>
  <c r="AY13" s="1"/>
  <c r="AX9"/>
  <c r="AY9" s="1"/>
  <c r="DO20"/>
  <c r="BB9"/>
  <c r="BC9" s="1"/>
  <c r="DO19"/>
  <c r="K33"/>
  <c r="DG34"/>
  <c r="DH34" s="1"/>
  <c r="DG27"/>
  <c r="DH27" s="1"/>
  <c r="J53"/>
  <c r="K53" s="1"/>
  <c r="J37"/>
  <c r="K37" s="1"/>
  <c r="BK10"/>
  <c r="BL10" s="1"/>
  <c r="DB11"/>
  <c r="DC11" s="1"/>
  <c r="AP9"/>
  <c r="AQ9" s="1"/>
  <c r="DO15"/>
  <c r="V30"/>
  <c r="J69"/>
  <c r="K69" s="1"/>
  <c r="J41"/>
  <c r="K41" s="1"/>
  <c r="J29"/>
  <c r="K29" s="1"/>
  <c r="BO17"/>
  <c r="BP17" s="1"/>
  <c r="J9"/>
  <c r="K9" s="1"/>
  <c r="CC9"/>
  <c r="CD9" s="1"/>
  <c r="DM13"/>
  <c r="DO13" s="1"/>
  <c r="DM17"/>
  <c r="DO17" s="1"/>
  <c r="DG35"/>
  <c r="DH35" s="1"/>
  <c r="CN18"/>
  <c r="J85"/>
  <c r="K85" s="1"/>
  <c r="J45"/>
  <c r="K45" s="1"/>
  <c r="J25"/>
  <c r="K25" s="1"/>
  <c r="K81"/>
  <c r="K73"/>
  <c r="K105"/>
  <c r="CN108" i="3"/>
  <c r="CU94"/>
  <c r="CU79"/>
  <c r="CU77"/>
  <c r="CN61"/>
  <c r="CN45"/>
  <c r="CN41"/>
  <c r="CN37"/>
  <c r="X106"/>
  <c r="X102"/>
  <c r="X98"/>
  <c r="X94"/>
  <c r="Y94" s="1"/>
  <c r="X90"/>
  <c r="X86"/>
  <c r="X82"/>
  <c r="X78"/>
  <c r="X74"/>
  <c r="X70"/>
  <c r="Y70" s="1"/>
  <c r="X66"/>
  <c r="X62"/>
  <c r="X58"/>
  <c r="X54"/>
  <c r="X50"/>
  <c r="Y50" s="1"/>
  <c r="X46"/>
  <c r="Y46" s="1"/>
  <c r="X42"/>
  <c r="X38"/>
  <c r="Y38" s="1"/>
  <c r="X34"/>
  <c r="X30"/>
  <c r="Y30" s="1"/>
  <c r="X26"/>
  <c r="X22"/>
  <c r="X18"/>
  <c r="Y18" s="1"/>
  <c r="X14"/>
  <c r="Y14" s="1"/>
  <c r="AF43"/>
  <c r="AG43" s="1"/>
  <c r="AF11"/>
  <c r="AG11" s="1"/>
  <c r="AL10"/>
  <c r="AM10" s="1"/>
  <c r="AL56"/>
  <c r="AL52"/>
  <c r="AM52" s="1"/>
  <c r="AL48"/>
  <c r="AL44"/>
  <c r="AL40"/>
  <c r="AL36"/>
  <c r="AL32"/>
  <c r="AL28"/>
  <c r="AL24"/>
  <c r="AM24" s="1"/>
  <c r="AL20"/>
  <c r="AM20" s="1"/>
  <c r="AL16"/>
  <c r="AM16" s="1"/>
  <c r="AL12"/>
  <c r="AM12" s="1"/>
  <c r="AL89"/>
  <c r="AM89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P15"/>
  <c r="AQ15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0"/>
  <c r="AY40" s="1"/>
  <c r="AX24"/>
  <c r="AY24" s="1"/>
  <c r="BG10"/>
  <c r="BH10" s="1"/>
  <c r="BG104"/>
  <c r="BG100"/>
  <c r="BG96"/>
  <c r="BG92"/>
  <c r="BG88"/>
  <c r="BG84"/>
  <c r="BG80"/>
  <c r="BG76"/>
  <c r="BG72"/>
  <c r="BG68"/>
  <c r="BH68" s="1"/>
  <c r="BG64"/>
  <c r="BG60"/>
  <c r="BG56"/>
  <c r="BG52"/>
  <c r="BG48"/>
  <c r="BG44"/>
  <c r="BG40"/>
  <c r="BG36"/>
  <c r="BG32"/>
  <c r="BG28"/>
  <c r="BG24"/>
  <c r="BG20"/>
  <c r="BG16"/>
  <c r="BH16" s="1"/>
  <c r="BG12"/>
  <c r="BH12" s="1"/>
  <c r="BK74"/>
  <c r="BL74" s="1"/>
  <c r="BK58"/>
  <c r="BL58" s="1"/>
  <c r="BK42"/>
  <c r="BK26"/>
  <c r="BL26" s="1"/>
  <c r="CU26"/>
  <c r="X100"/>
  <c r="X96"/>
  <c r="X92"/>
  <c r="X88"/>
  <c r="Y88" s="1"/>
  <c r="X84"/>
  <c r="X80"/>
  <c r="Y80" s="1"/>
  <c r="X76"/>
  <c r="X72"/>
  <c r="Y72" s="1"/>
  <c r="X68"/>
  <c r="X64"/>
  <c r="X60"/>
  <c r="X56"/>
  <c r="X52"/>
  <c r="X48"/>
  <c r="Y48" s="1"/>
  <c r="X44"/>
  <c r="X40"/>
  <c r="X36"/>
  <c r="Y36" s="1"/>
  <c r="X32"/>
  <c r="Y32" s="1"/>
  <c r="X28"/>
  <c r="X24"/>
  <c r="X20"/>
  <c r="X16"/>
  <c r="Y16" s="1"/>
  <c r="X12"/>
  <c r="Y12" s="1"/>
  <c r="AF98"/>
  <c r="AF71"/>
  <c r="AF39"/>
  <c r="AG39" s="1"/>
  <c r="AL58"/>
  <c r="AL54"/>
  <c r="AL50"/>
  <c r="AM50" s="1"/>
  <c r="AL46"/>
  <c r="AL42"/>
  <c r="AL38"/>
  <c r="AM38" s="1"/>
  <c r="AL34"/>
  <c r="AM34" s="1"/>
  <c r="AL30"/>
  <c r="AL26"/>
  <c r="AL22"/>
  <c r="AM22" s="1"/>
  <c r="AL18"/>
  <c r="AM18" s="1"/>
  <c r="AL14"/>
  <c r="AM14" s="1"/>
  <c r="AL66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X97"/>
  <c r="AY97" s="1"/>
  <c r="AX89"/>
  <c r="AY89" s="1"/>
  <c r="AX81"/>
  <c r="AY81" s="1"/>
  <c r="AX73"/>
  <c r="AY73" s="1"/>
  <c r="AX65"/>
  <c r="AY65" s="1"/>
  <c r="AX57"/>
  <c r="AY57" s="1"/>
  <c r="AX48"/>
  <c r="AY48" s="1"/>
  <c r="AX32"/>
  <c r="AY32" s="1"/>
  <c r="BG106"/>
  <c r="BG102"/>
  <c r="BG98"/>
  <c r="BG94"/>
  <c r="BG90"/>
  <c r="BG86"/>
  <c r="BG82"/>
  <c r="BG78"/>
  <c r="BG74"/>
  <c r="BG70"/>
  <c r="BH70" s="1"/>
  <c r="BG66"/>
  <c r="BG62"/>
  <c r="BG58"/>
  <c r="BG54"/>
  <c r="BG50"/>
  <c r="BG46"/>
  <c r="BH46" s="1"/>
  <c r="BG42"/>
  <c r="BG38"/>
  <c r="BG34"/>
  <c r="BG30"/>
  <c r="BH30" s="1"/>
  <c r="BG26"/>
  <c r="BG22"/>
  <c r="BG18"/>
  <c r="BH18" s="1"/>
  <c r="BG14"/>
  <c r="BH14" s="1"/>
  <c r="BK66"/>
  <c r="BL66" s="1"/>
  <c r="BK50"/>
  <c r="DP16" i="1"/>
  <c r="E11"/>
  <c r="DM11"/>
  <c r="DO11" s="1"/>
  <c r="Q11"/>
  <c r="R11" s="1"/>
  <c r="Q12"/>
  <c r="R12" s="1"/>
  <c r="Q16"/>
  <c r="R16" s="1"/>
  <c r="Q20"/>
  <c r="R20" s="1"/>
  <c r="Q24"/>
  <c r="R24" s="1"/>
  <c r="Q28"/>
  <c r="R28" s="1"/>
  <c r="Q32"/>
  <c r="R32" s="1"/>
  <c r="Q36"/>
  <c r="R36" s="1"/>
  <c r="Q40"/>
  <c r="R40" s="1"/>
  <c r="Q44"/>
  <c r="Q48"/>
  <c r="R48" s="1"/>
  <c r="Q52"/>
  <c r="R52" s="1"/>
  <c r="Q56"/>
  <c r="Q60"/>
  <c r="Q64"/>
  <c r="R64" s="1"/>
  <c r="Q68"/>
  <c r="R68" s="1"/>
  <c r="Q72"/>
  <c r="X11"/>
  <c r="X19"/>
  <c r="Y19" s="1"/>
  <c r="X27"/>
  <c r="Y27" s="1"/>
  <c r="X35"/>
  <c r="Y35" s="1"/>
  <c r="X43"/>
  <c r="Y43" s="1"/>
  <c r="X51"/>
  <c r="Y51" s="1"/>
  <c r="X59"/>
  <c r="Y59" s="1"/>
  <c r="X67"/>
  <c r="Y67" s="1"/>
  <c r="X75"/>
  <c r="Y75" s="1"/>
  <c r="X83"/>
  <c r="Y83" s="1"/>
  <c r="X91"/>
  <c r="Y91" s="1"/>
  <c r="X99"/>
  <c r="Y99" s="1"/>
  <c r="X107"/>
  <c r="Y107" s="1"/>
  <c r="AF11"/>
  <c r="AG11" s="1"/>
  <c r="AF19"/>
  <c r="AG19" s="1"/>
  <c r="AF27"/>
  <c r="AG27" s="1"/>
  <c r="AF35"/>
  <c r="AG35" s="1"/>
  <c r="AF43"/>
  <c r="AG43" s="1"/>
  <c r="AF51"/>
  <c r="AF59"/>
  <c r="AF67"/>
  <c r="AF75"/>
  <c r="AF83"/>
  <c r="AF91"/>
  <c r="AF99"/>
  <c r="AF107"/>
  <c r="R44"/>
  <c r="DP11"/>
  <c r="Q106"/>
  <c r="R106" s="1"/>
  <c r="Q102"/>
  <c r="R102" s="1"/>
  <c r="Q98"/>
  <c r="R98" s="1"/>
  <c r="Q94"/>
  <c r="R94" s="1"/>
  <c r="Q90"/>
  <c r="R90" s="1"/>
  <c r="Q86"/>
  <c r="R86" s="1"/>
  <c r="Q82"/>
  <c r="R82" s="1"/>
  <c r="Q78"/>
  <c r="R78" s="1"/>
  <c r="Q74"/>
  <c r="R74" s="1"/>
  <c r="Q66"/>
  <c r="R66" s="1"/>
  <c r="Q58"/>
  <c r="R58" s="1"/>
  <c r="Q50"/>
  <c r="R50" s="1"/>
  <c r="Q42"/>
  <c r="R42" s="1"/>
  <c r="Q34"/>
  <c r="R34" s="1"/>
  <c r="Q26"/>
  <c r="R26" s="1"/>
  <c r="Q18"/>
  <c r="R18" s="1"/>
  <c r="X95"/>
  <c r="Y95" s="1"/>
  <c r="X79"/>
  <c r="Y79" s="1"/>
  <c r="X63"/>
  <c r="Y63" s="1"/>
  <c r="X47"/>
  <c r="X31"/>
  <c r="Y31" s="1"/>
  <c r="X15"/>
  <c r="Y15" s="1"/>
  <c r="AB58"/>
  <c r="AB50"/>
  <c r="AB42"/>
  <c r="AC42" s="1"/>
  <c r="AB34"/>
  <c r="AC34" s="1"/>
  <c r="AB26"/>
  <c r="AC26" s="1"/>
  <c r="AF95"/>
  <c r="AF79"/>
  <c r="AF63"/>
  <c r="AF47"/>
  <c r="AF31"/>
  <c r="AG31" s="1"/>
  <c r="AF15"/>
  <c r="AG15" s="1"/>
  <c r="AB11"/>
  <c r="AC11" s="1"/>
  <c r="AB12"/>
  <c r="AC12" s="1"/>
  <c r="AB16"/>
  <c r="AC16" s="1"/>
  <c r="AB20"/>
  <c r="AC20" s="1"/>
  <c r="AB24"/>
  <c r="AC24" s="1"/>
  <c r="AB28"/>
  <c r="AC28" s="1"/>
  <c r="AB32"/>
  <c r="AC32" s="1"/>
  <c r="AB36"/>
  <c r="AC36" s="1"/>
  <c r="AB40"/>
  <c r="AC40" s="1"/>
  <c r="AB44"/>
  <c r="AC44" s="1"/>
  <c r="AB48"/>
  <c r="AB52"/>
  <c r="AB56"/>
  <c r="AB60"/>
  <c r="AB64"/>
  <c r="AB68"/>
  <c r="AB72"/>
  <c r="AB76"/>
  <c r="AB80"/>
  <c r="AB84"/>
  <c r="AB88"/>
  <c r="AB92"/>
  <c r="AB96"/>
  <c r="AB100"/>
  <c r="AB104"/>
  <c r="AB10"/>
  <c r="AC10" s="1"/>
  <c r="AL67"/>
  <c r="AM67" s="1"/>
  <c r="AL17"/>
  <c r="AM17" s="1"/>
  <c r="AL25"/>
  <c r="AM25" s="1"/>
  <c r="AL33"/>
  <c r="AM33" s="1"/>
  <c r="AL41"/>
  <c r="AM41" s="1"/>
  <c r="AL49"/>
  <c r="AM49" s="1"/>
  <c r="AL13"/>
  <c r="AM13" s="1"/>
  <c r="AL21"/>
  <c r="AM21" s="1"/>
  <c r="AL29"/>
  <c r="AM29" s="1"/>
  <c r="AL37"/>
  <c r="AM37" s="1"/>
  <c r="AL45"/>
  <c r="AM45" s="1"/>
  <c r="AL53"/>
  <c r="AM53" s="1"/>
  <c r="AL10"/>
  <c r="AM10" s="1"/>
  <c r="R72"/>
  <c r="R60"/>
  <c r="R56"/>
  <c r="Y47"/>
  <c r="DM10"/>
  <c r="Q10"/>
  <c r="R10" s="1"/>
  <c r="Q104"/>
  <c r="R104" s="1"/>
  <c r="Q100"/>
  <c r="R100" s="1"/>
  <c r="Q96"/>
  <c r="R96" s="1"/>
  <c r="Q92"/>
  <c r="R92" s="1"/>
  <c r="Q88"/>
  <c r="R88" s="1"/>
  <c r="Q84"/>
  <c r="R84" s="1"/>
  <c r="Q80"/>
  <c r="R80" s="1"/>
  <c r="Q76"/>
  <c r="R76" s="1"/>
  <c r="Q70"/>
  <c r="R70" s="1"/>
  <c r="Q62"/>
  <c r="R62" s="1"/>
  <c r="Q54"/>
  <c r="R54" s="1"/>
  <c r="Q46"/>
  <c r="R46" s="1"/>
  <c r="Q38"/>
  <c r="R38" s="1"/>
  <c r="Q30"/>
  <c r="R30" s="1"/>
  <c r="Q22"/>
  <c r="R22" s="1"/>
  <c r="Q14"/>
  <c r="R14" s="1"/>
  <c r="X103"/>
  <c r="Y103" s="1"/>
  <c r="X87"/>
  <c r="Y87" s="1"/>
  <c r="X71"/>
  <c r="Y71" s="1"/>
  <c r="X55"/>
  <c r="Y55" s="1"/>
  <c r="X39"/>
  <c r="Y39" s="1"/>
  <c r="X23"/>
  <c r="Y23" s="1"/>
  <c r="AB102"/>
  <c r="AB94"/>
  <c r="AB86"/>
  <c r="AB78"/>
  <c r="AB70"/>
  <c r="AB62"/>
  <c r="AB54"/>
  <c r="AB46"/>
  <c r="AB38"/>
  <c r="AC38" s="1"/>
  <c r="AB30"/>
  <c r="AC30" s="1"/>
  <c r="AB22"/>
  <c r="AC22" s="1"/>
  <c r="AB14"/>
  <c r="AC14" s="1"/>
  <c r="AF103"/>
  <c r="AF87"/>
  <c r="AF71"/>
  <c r="AF55"/>
  <c r="AF39"/>
  <c r="AG39" s="1"/>
  <c r="AF23"/>
  <c r="AG23" s="1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P11"/>
  <c r="AQ11" s="1"/>
  <c r="AT10"/>
  <c r="AU10" s="1"/>
  <c r="AT104"/>
  <c r="AT100"/>
  <c r="AT96"/>
  <c r="AT92"/>
  <c r="AT88"/>
  <c r="AT84"/>
  <c r="AT80"/>
  <c r="AU80" s="1"/>
  <c r="AT76"/>
  <c r="AU76" s="1"/>
  <c r="AT72"/>
  <c r="AU72" s="1"/>
  <c r="AT68"/>
  <c r="AU68" s="1"/>
  <c r="AT64"/>
  <c r="AU64" s="1"/>
  <c r="AT60"/>
  <c r="AU60" s="1"/>
  <c r="AT56"/>
  <c r="AU56" s="1"/>
  <c r="AT52"/>
  <c r="AU52" s="1"/>
  <c r="AT48"/>
  <c r="AU48" s="1"/>
  <c r="AT44"/>
  <c r="AU44" s="1"/>
  <c r="AT40"/>
  <c r="AU40" s="1"/>
  <c r="AT36"/>
  <c r="AU36" s="1"/>
  <c r="AT32"/>
  <c r="AU32" s="1"/>
  <c r="AT28"/>
  <c r="AU28" s="1"/>
  <c r="AT24"/>
  <c r="AU24" s="1"/>
  <c r="AT20"/>
  <c r="AU20" s="1"/>
  <c r="AT16"/>
  <c r="AU16" s="1"/>
  <c r="AT12"/>
  <c r="AU12" s="1"/>
  <c r="AX113"/>
  <c r="AY113" s="1"/>
  <c r="AX105"/>
  <c r="AY105" s="1"/>
  <c r="AX97"/>
  <c r="AY97" s="1"/>
  <c r="AX89"/>
  <c r="AY89" s="1"/>
  <c r="AX81"/>
  <c r="AY81" s="1"/>
  <c r="AX73"/>
  <c r="AY73" s="1"/>
  <c r="AX65"/>
  <c r="AY65" s="1"/>
  <c r="AX57"/>
  <c r="AY57" s="1"/>
  <c r="AX49"/>
  <c r="AY49" s="1"/>
  <c r="AX41"/>
  <c r="AY41" s="1"/>
  <c r="AX33"/>
  <c r="AY33" s="1"/>
  <c r="AX25"/>
  <c r="AY25" s="1"/>
  <c r="AX17"/>
  <c r="AY17" s="1"/>
  <c r="BB106"/>
  <c r="BB102"/>
  <c r="BB98"/>
  <c r="BB94"/>
  <c r="BB90"/>
  <c r="BC90" s="1"/>
  <c r="BB86"/>
  <c r="BC86" s="1"/>
  <c r="BB82"/>
  <c r="BC82" s="1"/>
  <c r="BB78"/>
  <c r="BC78" s="1"/>
  <c r="BB74"/>
  <c r="BC74" s="1"/>
  <c r="BB70"/>
  <c r="BC70" s="1"/>
  <c r="BB66"/>
  <c r="BC66" s="1"/>
  <c r="BB62"/>
  <c r="BC62" s="1"/>
  <c r="BB58"/>
  <c r="BC58" s="1"/>
  <c r="BB54"/>
  <c r="BC54" s="1"/>
  <c r="BB50"/>
  <c r="BC50" s="1"/>
  <c r="BB46"/>
  <c r="BC46" s="1"/>
  <c r="BB42"/>
  <c r="BC42" s="1"/>
  <c r="BB38"/>
  <c r="BC38" s="1"/>
  <c r="BB34"/>
  <c r="BC34" s="1"/>
  <c r="BB30"/>
  <c r="BC30" s="1"/>
  <c r="BB26"/>
  <c r="BC26" s="1"/>
  <c r="BB22"/>
  <c r="BC22" s="1"/>
  <c r="BB18"/>
  <c r="BC18" s="1"/>
  <c r="BB14"/>
  <c r="BC14" s="1"/>
  <c r="BK76"/>
  <c r="BL76" s="1"/>
  <c r="BK72"/>
  <c r="BL72" s="1"/>
  <c r="BK68"/>
  <c r="BL68" s="1"/>
  <c r="BK64"/>
  <c r="BL64" s="1"/>
  <c r="BK60"/>
  <c r="BL60" s="1"/>
  <c r="BK56"/>
  <c r="BL56" s="1"/>
  <c r="BK52"/>
  <c r="BL52" s="1"/>
  <c r="BK48"/>
  <c r="BL48" s="1"/>
  <c r="BK44"/>
  <c r="BL44" s="1"/>
  <c r="BK40"/>
  <c r="BL40" s="1"/>
  <c r="BK36"/>
  <c r="BL36" s="1"/>
  <c r="BK32"/>
  <c r="BL32" s="1"/>
  <c r="BK28"/>
  <c r="BL28" s="1"/>
  <c r="BK24"/>
  <c r="BL24" s="1"/>
  <c r="BK20"/>
  <c r="BL20" s="1"/>
  <c r="BK16"/>
  <c r="BL16" s="1"/>
  <c r="BK12"/>
  <c r="BL12" s="1"/>
  <c r="BO105"/>
  <c r="BO89"/>
  <c r="BO73"/>
  <c r="BP73" s="1"/>
  <c r="BO57"/>
  <c r="BP57" s="1"/>
  <c r="BO41"/>
  <c r="BP41" s="1"/>
  <c r="BO25"/>
  <c r="BP25" s="1"/>
  <c r="BU106"/>
  <c r="BV106" s="1"/>
  <c r="BU102"/>
  <c r="BV102" s="1"/>
  <c r="BU98"/>
  <c r="BV98" s="1"/>
  <c r="BU94"/>
  <c r="BV94" s="1"/>
  <c r="BU90"/>
  <c r="BV90" s="1"/>
  <c r="BU86"/>
  <c r="BV86" s="1"/>
  <c r="BU82"/>
  <c r="BV82" s="1"/>
  <c r="BU78"/>
  <c r="BV78" s="1"/>
  <c r="BU74"/>
  <c r="BV74" s="1"/>
  <c r="BU70"/>
  <c r="BV70" s="1"/>
  <c r="BU66"/>
  <c r="BV66" s="1"/>
  <c r="BU62"/>
  <c r="BV62" s="1"/>
  <c r="BU58"/>
  <c r="BV58" s="1"/>
  <c r="BU54"/>
  <c r="BV54" s="1"/>
  <c r="BU50"/>
  <c r="BV50" s="1"/>
  <c r="BU46"/>
  <c r="BV46" s="1"/>
  <c r="BU42"/>
  <c r="BV42" s="1"/>
  <c r="BU38"/>
  <c r="BV38" s="1"/>
  <c r="BU34"/>
  <c r="BV34" s="1"/>
  <c r="BU30"/>
  <c r="BV30" s="1"/>
  <c r="BU26"/>
  <c r="BV26" s="1"/>
  <c r="BU22"/>
  <c r="BV22" s="1"/>
  <c r="BU18"/>
  <c r="BV18" s="1"/>
  <c r="BU14"/>
  <c r="BV14" s="1"/>
  <c r="CC10"/>
  <c r="CD10" s="1"/>
  <c r="CC34"/>
  <c r="CD34" s="1"/>
  <c r="CC30"/>
  <c r="CD30" s="1"/>
  <c r="CC26"/>
  <c r="CD26" s="1"/>
  <c r="CC22"/>
  <c r="CD22" s="1"/>
  <c r="CC18"/>
  <c r="CD18" s="1"/>
  <c r="CC14"/>
  <c r="CD14" s="1"/>
  <c r="CM108"/>
  <c r="CN108" s="1"/>
  <c r="CM104"/>
  <c r="CN104" s="1"/>
  <c r="CM100"/>
  <c r="CN100" s="1"/>
  <c r="CM96"/>
  <c r="CN96" s="1"/>
  <c r="CM92"/>
  <c r="CN92" s="1"/>
  <c r="CM88"/>
  <c r="CN88" s="1"/>
  <c r="CM84"/>
  <c r="CN84" s="1"/>
  <c r="CM80"/>
  <c r="CN80" s="1"/>
  <c r="CM76"/>
  <c r="CN76" s="1"/>
  <c r="CM72"/>
  <c r="CN72" s="1"/>
  <c r="CM68"/>
  <c r="CN68" s="1"/>
  <c r="CM64"/>
  <c r="CN64" s="1"/>
  <c r="CM60"/>
  <c r="CN60" s="1"/>
  <c r="CM56"/>
  <c r="CN56" s="1"/>
  <c r="CM52"/>
  <c r="CN52" s="1"/>
  <c r="CM48"/>
  <c r="CN48" s="1"/>
  <c r="CM44"/>
  <c r="CN44" s="1"/>
  <c r="CM40"/>
  <c r="CN40" s="1"/>
  <c r="CM36"/>
  <c r="CN36" s="1"/>
  <c r="CM32"/>
  <c r="CN32" s="1"/>
  <c r="CM28"/>
  <c r="CN28" s="1"/>
  <c r="CM22"/>
  <c r="CN22" s="1"/>
  <c r="CM14"/>
  <c r="CN14" s="1"/>
  <c r="CT106"/>
  <c r="CT102"/>
  <c r="CU102" s="1"/>
  <c r="CT98"/>
  <c r="CU98" s="1"/>
  <c r="DB108"/>
  <c r="DC108" s="1"/>
  <c r="DB104"/>
  <c r="DC104" s="1"/>
  <c r="DB100"/>
  <c r="DC100" s="1"/>
  <c r="DB96"/>
  <c r="DC96" s="1"/>
  <c r="DB92"/>
  <c r="DC92" s="1"/>
  <c r="DB88"/>
  <c r="DC88" s="1"/>
  <c r="DB84"/>
  <c r="DC84" s="1"/>
  <c r="DB80"/>
  <c r="DC80" s="1"/>
  <c r="DB76"/>
  <c r="DC76" s="1"/>
  <c r="DB72"/>
  <c r="DC72" s="1"/>
  <c r="DB68"/>
  <c r="DC68" s="1"/>
  <c r="DB64"/>
  <c r="DC64" s="1"/>
  <c r="DB60"/>
  <c r="DC60" s="1"/>
  <c r="DB56"/>
  <c r="DC56" s="1"/>
  <c r="DB52"/>
  <c r="DC52" s="1"/>
  <c r="DB48"/>
  <c r="DC48" s="1"/>
  <c r="DB44"/>
  <c r="DC44" s="1"/>
  <c r="DB40"/>
  <c r="DC40" s="1"/>
  <c r="DB36"/>
  <c r="DC36" s="1"/>
  <c r="DB32"/>
  <c r="DC32" s="1"/>
  <c r="DB28"/>
  <c r="DC28" s="1"/>
  <c r="DB24"/>
  <c r="DC24" s="1"/>
  <c r="DB20"/>
  <c r="DC20" s="1"/>
  <c r="DB16"/>
  <c r="DC16" s="1"/>
  <c r="DB12"/>
  <c r="DC12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T106"/>
  <c r="AT102"/>
  <c r="AT98"/>
  <c r="AT94"/>
  <c r="AT90"/>
  <c r="AT86"/>
  <c r="AT82"/>
  <c r="AU82" s="1"/>
  <c r="AT78"/>
  <c r="AU78" s="1"/>
  <c r="AT74"/>
  <c r="AU74" s="1"/>
  <c r="AT70"/>
  <c r="AU70" s="1"/>
  <c r="AT66"/>
  <c r="AU66" s="1"/>
  <c r="AT62"/>
  <c r="AU62" s="1"/>
  <c r="AT58"/>
  <c r="AU58" s="1"/>
  <c r="AT54"/>
  <c r="AU54" s="1"/>
  <c r="AT50"/>
  <c r="AU50" s="1"/>
  <c r="AT46"/>
  <c r="AU46" s="1"/>
  <c r="AT42"/>
  <c r="AU42" s="1"/>
  <c r="AT38"/>
  <c r="AU38" s="1"/>
  <c r="AT34"/>
  <c r="AU34" s="1"/>
  <c r="AT30"/>
  <c r="AU30" s="1"/>
  <c r="AT26"/>
  <c r="AU26" s="1"/>
  <c r="AT22"/>
  <c r="AU22" s="1"/>
  <c r="AT18"/>
  <c r="AU18" s="1"/>
  <c r="AT14"/>
  <c r="AU14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5"/>
  <c r="AY45" s="1"/>
  <c r="AX37"/>
  <c r="AY37" s="1"/>
  <c r="AX29"/>
  <c r="AY29" s="1"/>
  <c r="AX21"/>
  <c r="AY21" s="1"/>
  <c r="BK74"/>
  <c r="BK70"/>
  <c r="BK66"/>
  <c r="BK62"/>
  <c r="BK58"/>
  <c r="BK54"/>
  <c r="BK50"/>
  <c r="BK46"/>
  <c r="BK42"/>
  <c r="BK38"/>
  <c r="BK34"/>
  <c r="BK30"/>
  <c r="BK26"/>
  <c r="BK22"/>
  <c r="BK18"/>
  <c r="BL18" s="1"/>
  <c r="BK14"/>
  <c r="BL14" s="1"/>
  <c r="BO97"/>
  <c r="BO81"/>
  <c r="BO65"/>
  <c r="BP65" s="1"/>
  <c r="BO49"/>
  <c r="BP49" s="1"/>
  <c r="BO33"/>
  <c r="BP33" s="1"/>
  <c r="BU100"/>
  <c r="BV100" s="1"/>
  <c r="BU96"/>
  <c r="BV96" s="1"/>
  <c r="BU92"/>
  <c r="BV92" s="1"/>
  <c r="BU88"/>
  <c r="BV88" s="1"/>
  <c r="BU84"/>
  <c r="BV84" s="1"/>
  <c r="BU80"/>
  <c r="BV80" s="1"/>
  <c r="BU76"/>
  <c r="BV76" s="1"/>
  <c r="BU72"/>
  <c r="BV72" s="1"/>
  <c r="BU68"/>
  <c r="BV68" s="1"/>
  <c r="BU64"/>
  <c r="BV64" s="1"/>
  <c r="BU60"/>
  <c r="BV60" s="1"/>
  <c r="BU56"/>
  <c r="BV56" s="1"/>
  <c r="BU52"/>
  <c r="BV52" s="1"/>
  <c r="BU48"/>
  <c r="BV48" s="1"/>
  <c r="BU44"/>
  <c r="BV44" s="1"/>
  <c r="BU40"/>
  <c r="BV40" s="1"/>
  <c r="BU36"/>
  <c r="BV36" s="1"/>
  <c r="BU32"/>
  <c r="BV32" s="1"/>
  <c r="BU28"/>
  <c r="BV28" s="1"/>
  <c r="BU24"/>
  <c r="BV24" s="1"/>
  <c r="BU20"/>
  <c r="BV20" s="1"/>
  <c r="BU16"/>
  <c r="BV16" s="1"/>
  <c r="BU12"/>
  <c r="BV12" s="1"/>
  <c r="CC36"/>
  <c r="CD36" s="1"/>
  <c r="CC32"/>
  <c r="CD32" s="1"/>
  <c r="CC28"/>
  <c r="CD28" s="1"/>
  <c r="CC24"/>
  <c r="CD24" s="1"/>
  <c r="CC20"/>
  <c r="CD20" s="1"/>
  <c r="CC16"/>
  <c r="CD16" s="1"/>
  <c r="CC12"/>
  <c r="CD12" s="1"/>
  <c r="CM102"/>
  <c r="CN102" s="1"/>
  <c r="CM98"/>
  <c r="CN98" s="1"/>
  <c r="CM94"/>
  <c r="CN94" s="1"/>
  <c r="CM90"/>
  <c r="CN90" s="1"/>
  <c r="CM86"/>
  <c r="CN86" s="1"/>
  <c r="CM82"/>
  <c r="CN82" s="1"/>
  <c r="CM78"/>
  <c r="CN78" s="1"/>
  <c r="CM74"/>
  <c r="CN74" s="1"/>
  <c r="CM70"/>
  <c r="CN70" s="1"/>
  <c r="CM66"/>
  <c r="CN66" s="1"/>
  <c r="CM62"/>
  <c r="CN62" s="1"/>
  <c r="CM58"/>
  <c r="CN58" s="1"/>
  <c r="CM54"/>
  <c r="CN54" s="1"/>
  <c r="CM50"/>
  <c r="CN50" s="1"/>
  <c r="CM46"/>
  <c r="CN46" s="1"/>
  <c r="CM42"/>
  <c r="CN42" s="1"/>
  <c r="CM38"/>
  <c r="CN38" s="1"/>
  <c r="CM34"/>
  <c r="CN34" s="1"/>
  <c r="CM30"/>
  <c r="CN30" s="1"/>
  <c r="CM26"/>
  <c r="CN26" s="1"/>
  <c r="CT100"/>
  <c r="CU100" s="1"/>
  <c r="CT96"/>
  <c r="CU96" s="1"/>
  <c r="DB10"/>
  <c r="DC10" s="1"/>
  <c r="DB106"/>
  <c r="DC106" s="1"/>
  <c r="DB102"/>
  <c r="DC102" s="1"/>
  <c r="DB98"/>
  <c r="DC98" s="1"/>
  <c r="DB94"/>
  <c r="DC94" s="1"/>
  <c r="DB90"/>
  <c r="DC90" s="1"/>
  <c r="DB86"/>
  <c r="DC86" s="1"/>
  <c r="DB82"/>
  <c r="DC82" s="1"/>
  <c r="DB78"/>
  <c r="DC78" s="1"/>
  <c r="DB74"/>
  <c r="DC74" s="1"/>
  <c r="DB70"/>
  <c r="DC70" s="1"/>
  <c r="DB66"/>
  <c r="DC66" s="1"/>
  <c r="DB62"/>
  <c r="DC62" s="1"/>
  <c r="DB58"/>
  <c r="DC58" s="1"/>
  <c r="DB54"/>
  <c r="DC54" s="1"/>
  <c r="DB50"/>
  <c r="DC50" s="1"/>
  <c r="DB46"/>
  <c r="DC46" s="1"/>
  <c r="DB42"/>
  <c r="DC42" s="1"/>
  <c r="DB38"/>
  <c r="DC38" s="1"/>
  <c r="DB34"/>
  <c r="DC34" s="1"/>
  <c r="DB30"/>
  <c r="DC30" s="1"/>
  <c r="DB26"/>
  <c r="DC26" s="1"/>
  <c r="DB22"/>
  <c r="DC22" s="1"/>
  <c r="DB18"/>
  <c r="DC18" s="1"/>
  <c r="DB14"/>
  <c r="DC14" s="1"/>
  <c r="CU10"/>
  <c r="CN10"/>
  <c r="J12"/>
  <c r="K12" s="1"/>
  <c r="J13"/>
  <c r="K13" s="1"/>
  <c r="J19"/>
  <c r="K19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J48"/>
  <c r="K48" s="1"/>
  <c r="J50"/>
  <c r="K50" s="1"/>
  <c r="J52"/>
  <c r="K52" s="1"/>
  <c r="J54"/>
  <c r="K54" s="1"/>
  <c r="J56"/>
  <c r="K56" s="1"/>
  <c r="J58"/>
  <c r="K58" s="1"/>
  <c r="J60"/>
  <c r="K60" s="1"/>
  <c r="J62"/>
  <c r="J64"/>
  <c r="K64" s="1"/>
  <c r="J66"/>
  <c r="K66" s="1"/>
  <c r="J68"/>
  <c r="K68" s="1"/>
  <c r="J70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J96"/>
  <c r="K96" s="1"/>
  <c r="J98"/>
  <c r="K98" s="1"/>
  <c r="J100"/>
  <c r="K100" s="1"/>
  <c r="J102"/>
  <c r="K102" s="1"/>
  <c r="J104"/>
  <c r="K104" s="1"/>
  <c r="J106"/>
  <c r="K106" s="1"/>
  <c r="J108"/>
  <c r="K108" s="1"/>
  <c r="J10"/>
  <c r="K10" s="1"/>
  <c r="BG12"/>
  <c r="BG14"/>
  <c r="BH14" s="1"/>
  <c r="BG16"/>
  <c r="BH16" s="1"/>
  <c r="BG18"/>
  <c r="BG20"/>
  <c r="BH20" s="1"/>
  <c r="BG22"/>
  <c r="BH22" s="1"/>
  <c r="BG24"/>
  <c r="BH24" s="1"/>
  <c r="BG26"/>
  <c r="BH26" s="1"/>
  <c r="BG28"/>
  <c r="BH28" s="1"/>
  <c r="BG30"/>
  <c r="BH30" s="1"/>
  <c r="BG32"/>
  <c r="BH32" s="1"/>
  <c r="BG34"/>
  <c r="BH34" s="1"/>
  <c r="BG36"/>
  <c r="BH36" s="1"/>
  <c r="BG38"/>
  <c r="BH38" s="1"/>
  <c r="BG40"/>
  <c r="BH40" s="1"/>
  <c r="BG42"/>
  <c r="BH42" s="1"/>
  <c r="BG44"/>
  <c r="BH44" s="1"/>
  <c r="BG46"/>
  <c r="BH46" s="1"/>
  <c r="BG48"/>
  <c r="BH48" s="1"/>
  <c r="BG50"/>
  <c r="BH50" s="1"/>
  <c r="BG52"/>
  <c r="BH52" s="1"/>
  <c r="BG54"/>
  <c r="BH54" s="1"/>
  <c r="BG56"/>
  <c r="BH56" s="1"/>
  <c r="BG58"/>
  <c r="BH58" s="1"/>
  <c r="BG60"/>
  <c r="BH60" s="1"/>
  <c r="BG62"/>
  <c r="BH62" s="1"/>
  <c r="BG64"/>
  <c r="BH64" s="1"/>
  <c r="BG66"/>
  <c r="BH66" s="1"/>
  <c r="BG68"/>
  <c r="BH68" s="1"/>
  <c r="BG70"/>
  <c r="BH70" s="1"/>
  <c r="BG72"/>
  <c r="BH72" s="1"/>
  <c r="BG74"/>
  <c r="BH74" s="1"/>
  <c r="BG76"/>
  <c r="BH76" s="1"/>
  <c r="BG78"/>
  <c r="BG80"/>
  <c r="BG82"/>
  <c r="BG84"/>
  <c r="BG86"/>
  <c r="BG88"/>
  <c r="BG90"/>
  <c r="BG92"/>
  <c r="BG94"/>
  <c r="BG96"/>
  <c r="BG98"/>
  <c r="BG100"/>
  <c r="BG102"/>
  <c r="BG104"/>
  <c r="BG106"/>
  <c r="BG10"/>
  <c r="BH10" s="1"/>
  <c r="BG11"/>
  <c r="BH11" s="1"/>
  <c r="BG15"/>
  <c r="BH15" s="1"/>
  <c r="BG19"/>
  <c r="BH19" s="1"/>
  <c r="BG23"/>
  <c r="BG27"/>
  <c r="BH27" s="1"/>
  <c r="BG31"/>
  <c r="BH31" s="1"/>
  <c r="BG35"/>
  <c r="BH35" s="1"/>
  <c r="BG39"/>
  <c r="BG43"/>
  <c r="BH43" s="1"/>
  <c r="BG47"/>
  <c r="BH47" s="1"/>
  <c r="BG51"/>
  <c r="BH51" s="1"/>
  <c r="BG55"/>
  <c r="BH55" s="1"/>
  <c r="BG59"/>
  <c r="BH59" s="1"/>
  <c r="BG63"/>
  <c r="BH63" s="1"/>
  <c r="BG67"/>
  <c r="BH67" s="1"/>
  <c r="BG71"/>
  <c r="BG75"/>
  <c r="BH75" s="1"/>
  <c r="BG79"/>
  <c r="BG83"/>
  <c r="BG87"/>
  <c r="BG91"/>
  <c r="BG95"/>
  <c r="BG99"/>
  <c r="BG103"/>
  <c r="BG107"/>
  <c r="BY12"/>
  <c r="BZ12" s="1"/>
  <c r="BY14"/>
  <c r="BZ14" s="1"/>
  <c r="BY16"/>
  <c r="BZ16" s="1"/>
  <c r="BY18"/>
  <c r="BZ18" s="1"/>
  <c r="BY20"/>
  <c r="BZ20" s="1"/>
  <c r="BY22"/>
  <c r="BZ22" s="1"/>
  <c r="BY24"/>
  <c r="BZ24" s="1"/>
  <c r="BY26"/>
  <c r="BZ26" s="1"/>
  <c r="BY28"/>
  <c r="BZ28" s="1"/>
  <c r="BY30"/>
  <c r="BZ30" s="1"/>
  <c r="BY32"/>
  <c r="BZ32" s="1"/>
  <c r="BY34"/>
  <c r="BZ34" s="1"/>
  <c r="BY36"/>
  <c r="BZ36" s="1"/>
  <c r="BY38"/>
  <c r="BZ38" s="1"/>
  <c r="BY40"/>
  <c r="BZ40" s="1"/>
  <c r="BY42"/>
  <c r="BZ42" s="1"/>
  <c r="BY44"/>
  <c r="BZ44" s="1"/>
  <c r="BY46"/>
  <c r="BZ46" s="1"/>
  <c r="BY48"/>
  <c r="BZ48" s="1"/>
  <c r="BY50"/>
  <c r="BZ50" s="1"/>
  <c r="BY52"/>
  <c r="BZ52" s="1"/>
  <c r="BY54"/>
  <c r="BZ54" s="1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10"/>
  <c r="BZ10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3"/>
  <c r="BZ13" s="1"/>
  <c r="DP20"/>
  <c r="DP18"/>
  <c r="DP17"/>
  <c r="DO14"/>
  <c r="DO16"/>
  <c r="K70"/>
  <c r="Y11"/>
  <c r="BG101"/>
  <c r="BG93"/>
  <c r="BG85"/>
  <c r="BG77"/>
  <c r="BG69"/>
  <c r="BG61"/>
  <c r="BG53"/>
  <c r="BH53" s="1"/>
  <c r="BG45"/>
  <c r="BG37"/>
  <c r="BG29"/>
  <c r="BG21"/>
  <c r="BG13"/>
  <c r="BH13" s="1"/>
  <c r="BS114"/>
  <c r="BY89"/>
  <c r="BY81"/>
  <c r="BY73"/>
  <c r="BY65"/>
  <c r="BY57"/>
  <c r="BY49"/>
  <c r="BZ49" s="1"/>
  <c r="BY41"/>
  <c r="BZ41" s="1"/>
  <c r="BY33"/>
  <c r="BZ33" s="1"/>
  <c r="BY25"/>
  <c r="BZ25" s="1"/>
  <c r="BY17"/>
  <c r="BZ17" s="1"/>
  <c r="BE114"/>
  <c r="BH12"/>
  <c r="CH10"/>
  <c r="CH114" s="1"/>
  <c r="CG114"/>
  <c r="DH10"/>
  <c r="DN10" s="1"/>
  <c r="DP10" s="1"/>
  <c r="E10"/>
  <c r="E114" s="1"/>
  <c r="D114"/>
  <c r="X12"/>
  <c r="Y12" s="1"/>
  <c r="X14"/>
  <c r="Y14" s="1"/>
  <c r="X16"/>
  <c r="Y16" s="1"/>
  <c r="X18"/>
  <c r="Y18" s="1"/>
  <c r="X20"/>
  <c r="Y20" s="1"/>
  <c r="X22"/>
  <c r="Y22" s="1"/>
  <c r="X24"/>
  <c r="Y24" s="1"/>
  <c r="X26"/>
  <c r="Y26" s="1"/>
  <c r="X28"/>
  <c r="Y28" s="1"/>
  <c r="X30"/>
  <c r="Y30" s="1"/>
  <c r="X32"/>
  <c r="Y32" s="1"/>
  <c r="X34"/>
  <c r="Y34" s="1"/>
  <c r="X36"/>
  <c r="Y36" s="1"/>
  <c r="X38"/>
  <c r="Y38" s="1"/>
  <c r="X40"/>
  <c r="Y40" s="1"/>
  <c r="X42"/>
  <c r="Y42" s="1"/>
  <c r="X44"/>
  <c r="Y44" s="1"/>
  <c r="X46"/>
  <c r="Y46" s="1"/>
  <c r="X48"/>
  <c r="Y48" s="1"/>
  <c r="X50"/>
  <c r="Y50" s="1"/>
  <c r="X52"/>
  <c r="Y52" s="1"/>
  <c r="X54"/>
  <c r="Y54" s="1"/>
  <c r="X56"/>
  <c r="Y56" s="1"/>
  <c r="X58"/>
  <c r="Y58" s="1"/>
  <c r="X60"/>
  <c r="Y60" s="1"/>
  <c r="X62"/>
  <c r="Y62" s="1"/>
  <c r="X64"/>
  <c r="Y64" s="1"/>
  <c r="X66"/>
  <c r="Y66" s="1"/>
  <c r="X68"/>
  <c r="Y68" s="1"/>
  <c r="X70"/>
  <c r="Y70" s="1"/>
  <c r="X72"/>
  <c r="Y72" s="1"/>
  <c r="X74"/>
  <c r="Y74" s="1"/>
  <c r="X76"/>
  <c r="Y76" s="1"/>
  <c r="X78"/>
  <c r="Y78" s="1"/>
  <c r="X80"/>
  <c r="Y80" s="1"/>
  <c r="X82"/>
  <c r="Y82" s="1"/>
  <c r="X84"/>
  <c r="Y84" s="1"/>
  <c r="X86"/>
  <c r="Y86" s="1"/>
  <c r="X88"/>
  <c r="Y88" s="1"/>
  <c r="X90"/>
  <c r="Y90" s="1"/>
  <c r="X92"/>
  <c r="Y92" s="1"/>
  <c r="X94"/>
  <c r="Y94" s="1"/>
  <c r="X96"/>
  <c r="Y96" s="1"/>
  <c r="X98"/>
  <c r="Y98" s="1"/>
  <c r="X100"/>
  <c r="Y100" s="1"/>
  <c r="X102"/>
  <c r="Y102" s="1"/>
  <c r="X104"/>
  <c r="Y104" s="1"/>
  <c r="X106"/>
  <c r="Y106" s="1"/>
  <c r="X10"/>
  <c r="Y10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F94"/>
  <c r="AF96"/>
  <c r="AF98"/>
  <c r="AF100"/>
  <c r="AF102"/>
  <c r="AF104"/>
  <c r="AF106"/>
  <c r="AF10"/>
  <c r="AG10" s="1"/>
  <c r="BO12"/>
  <c r="BP12" s="1"/>
  <c r="BO14"/>
  <c r="BP14" s="1"/>
  <c r="BO16"/>
  <c r="BP16" s="1"/>
  <c r="BO18"/>
  <c r="BP18" s="1"/>
  <c r="BO20"/>
  <c r="BP20" s="1"/>
  <c r="BO22"/>
  <c r="BP22" s="1"/>
  <c r="BO24"/>
  <c r="BP24" s="1"/>
  <c r="BO26"/>
  <c r="BP26" s="1"/>
  <c r="BO28"/>
  <c r="BP28" s="1"/>
  <c r="BO30"/>
  <c r="BP30" s="1"/>
  <c r="BO32"/>
  <c r="BP32" s="1"/>
  <c r="BO34"/>
  <c r="BP34" s="1"/>
  <c r="BO36"/>
  <c r="BP36" s="1"/>
  <c r="BO38"/>
  <c r="BP38" s="1"/>
  <c r="BO40"/>
  <c r="BP40" s="1"/>
  <c r="BO42"/>
  <c r="BP42" s="1"/>
  <c r="BO44"/>
  <c r="BP44" s="1"/>
  <c r="BO46"/>
  <c r="BP46" s="1"/>
  <c r="BO48"/>
  <c r="BP48" s="1"/>
  <c r="BO50"/>
  <c r="BP50" s="1"/>
  <c r="BO52"/>
  <c r="BP52" s="1"/>
  <c r="BO54"/>
  <c r="BP54" s="1"/>
  <c r="BO56"/>
  <c r="BP56" s="1"/>
  <c r="BO58"/>
  <c r="BP58" s="1"/>
  <c r="BO60"/>
  <c r="BP60" s="1"/>
  <c r="BO62"/>
  <c r="BP62" s="1"/>
  <c r="BO64"/>
  <c r="BP64" s="1"/>
  <c r="BO66"/>
  <c r="BP66" s="1"/>
  <c r="BO68"/>
  <c r="BP68" s="1"/>
  <c r="BO70"/>
  <c r="BP70" s="1"/>
  <c r="BO72"/>
  <c r="BP72" s="1"/>
  <c r="BO74"/>
  <c r="BP74" s="1"/>
  <c r="BO76"/>
  <c r="BP76" s="1"/>
  <c r="BO78"/>
  <c r="BP78" s="1"/>
  <c r="BO80"/>
  <c r="BO82"/>
  <c r="BO84"/>
  <c r="BO86"/>
  <c r="BO88"/>
  <c r="BO90"/>
  <c r="BO92"/>
  <c r="BO94"/>
  <c r="BO96"/>
  <c r="BO98"/>
  <c r="BO100"/>
  <c r="BO102"/>
  <c r="BO104"/>
  <c r="BO106"/>
  <c r="BO10"/>
  <c r="BP10" s="1"/>
  <c r="BO11"/>
  <c r="BP11" s="1"/>
  <c r="BO15"/>
  <c r="BP15" s="1"/>
  <c r="BO19"/>
  <c r="BP19" s="1"/>
  <c r="BO23"/>
  <c r="BP23" s="1"/>
  <c r="BO27"/>
  <c r="BP27" s="1"/>
  <c r="BO31"/>
  <c r="BP31" s="1"/>
  <c r="BO35"/>
  <c r="BP35" s="1"/>
  <c r="BO39"/>
  <c r="BP39" s="1"/>
  <c r="BO43"/>
  <c r="BP43" s="1"/>
  <c r="BO47"/>
  <c r="BP47" s="1"/>
  <c r="BO51"/>
  <c r="BP51" s="1"/>
  <c r="BO55"/>
  <c r="BP55" s="1"/>
  <c r="BO59"/>
  <c r="BP59" s="1"/>
  <c r="BO63"/>
  <c r="BP63" s="1"/>
  <c r="BO67"/>
  <c r="BP67" s="1"/>
  <c r="BO71"/>
  <c r="BP71" s="1"/>
  <c r="BO75"/>
  <c r="BP75" s="1"/>
  <c r="BO79"/>
  <c r="BP79" s="1"/>
  <c r="BO83"/>
  <c r="BO87"/>
  <c r="BO91"/>
  <c r="BO95"/>
  <c r="BO99"/>
  <c r="BO103"/>
  <c r="BO107"/>
  <c r="K94"/>
  <c r="K62"/>
  <c r="K46"/>
  <c r="CN93" i="3"/>
  <c r="CN88"/>
  <c r="CU83"/>
  <c r="CU76"/>
  <c r="CU74"/>
  <c r="CU71"/>
  <c r="CN71"/>
  <c r="CN70"/>
  <c r="CU68"/>
  <c r="CN67"/>
  <c r="CN58"/>
  <c r="CN54"/>
  <c r="CN50"/>
  <c r="CU45"/>
  <c r="CU37"/>
  <c r="DG32"/>
  <c r="DH32" s="1"/>
  <c r="DG31"/>
  <c r="DH31" s="1"/>
  <c r="CN29"/>
  <c r="BH71" i="1"/>
  <c r="BH39"/>
  <c r="BH23"/>
  <c r="DF114"/>
  <c r="BH18"/>
  <c r="DM12"/>
  <c r="DO12" s="1"/>
  <c r="J107"/>
  <c r="K107" s="1"/>
  <c r="J103"/>
  <c r="K103" s="1"/>
  <c r="J99"/>
  <c r="K99" s="1"/>
  <c r="J95"/>
  <c r="K95" s="1"/>
  <c r="J91"/>
  <c r="K91" s="1"/>
  <c r="J87"/>
  <c r="K87" s="1"/>
  <c r="J83"/>
  <c r="K83" s="1"/>
  <c r="J79"/>
  <c r="K79" s="1"/>
  <c r="J75"/>
  <c r="K75" s="1"/>
  <c r="J71"/>
  <c r="K71" s="1"/>
  <c r="J67"/>
  <c r="K67" s="1"/>
  <c r="J63"/>
  <c r="K63" s="1"/>
  <c r="J59"/>
  <c r="K59" s="1"/>
  <c r="J55"/>
  <c r="K55" s="1"/>
  <c r="J51"/>
  <c r="K51" s="1"/>
  <c r="J47"/>
  <c r="K47" s="1"/>
  <c r="J43"/>
  <c r="K43" s="1"/>
  <c r="J39"/>
  <c r="K39" s="1"/>
  <c r="J35"/>
  <c r="K35" s="1"/>
  <c r="J31"/>
  <c r="K31" s="1"/>
  <c r="J27"/>
  <c r="K27" s="1"/>
  <c r="J23"/>
  <c r="K23" s="1"/>
  <c r="J17"/>
  <c r="K17" s="1"/>
  <c r="X105"/>
  <c r="Y105" s="1"/>
  <c r="X101"/>
  <c r="Y101" s="1"/>
  <c r="X97"/>
  <c r="Y97" s="1"/>
  <c r="X93"/>
  <c r="Y93" s="1"/>
  <c r="X89"/>
  <c r="Y89" s="1"/>
  <c r="X85"/>
  <c r="Y85" s="1"/>
  <c r="X81"/>
  <c r="Y81" s="1"/>
  <c r="X77"/>
  <c r="Y77" s="1"/>
  <c r="X73"/>
  <c r="Y73" s="1"/>
  <c r="X69"/>
  <c r="Y69" s="1"/>
  <c r="X65"/>
  <c r="Y65" s="1"/>
  <c r="X61"/>
  <c r="Y61" s="1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Y25" s="1"/>
  <c r="X21"/>
  <c r="Y21" s="1"/>
  <c r="X17"/>
  <c r="Y17" s="1"/>
  <c r="X13"/>
  <c r="Y13" s="1"/>
  <c r="AF105"/>
  <c r="AF101"/>
  <c r="AF97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BG105"/>
  <c r="BG97"/>
  <c r="BG89"/>
  <c r="BG81"/>
  <c r="BG73"/>
  <c r="BH73" s="1"/>
  <c r="BG65"/>
  <c r="BH65" s="1"/>
  <c r="BG57"/>
  <c r="BH57" s="1"/>
  <c r="BG49"/>
  <c r="BH49" s="1"/>
  <c r="BG41"/>
  <c r="BH41" s="1"/>
  <c r="BG33"/>
  <c r="BH33" s="1"/>
  <c r="BG25"/>
  <c r="BH25" s="1"/>
  <c r="BG17"/>
  <c r="BH17" s="1"/>
  <c r="BO101"/>
  <c r="BO93"/>
  <c r="BO85"/>
  <c r="BO77"/>
  <c r="BP77" s="1"/>
  <c r="BO69"/>
  <c r="BP69" s="1"/>
  <c r="BO61"/>
  <c r="BP61" s="1"/>
  <c r="BO53"/>
  <c r="BP53" s="1"/>
  <c r="BO45"/>
  <c r="BP45" s="1"/>
  <c r="BO37"/>
  <c r="BP37" s="1"/>
  <c r="BO29"/>
  <c r="BP29" s="1"/>
  <c r="BO21"/>
  <c r="BP21" s="1"/>
  <c r="BO13"/>
  <c r="BP13" s="1"/>
  <c r="BY93"/>
  <c r="BY85"/>
  <c r="BY77"/>
  <c r="BY69"/>
  <c r="BY61"/>
  <c r="BY53"/>
  <c r="BZ53" s="1"/>
  <c r="BY45"/>
  <c r="BZ45" s="1"/>
  <c r="BY37"/>
  <c r="BZ37" s="1"/>
  <c r="BY29"/>
  <c r="BZ29" s="1"/>
  <c r="BY21"/>
  <c r="BZ21" s="1"/>
  <c r="CR26"/>
  <c r="CP114"/>
  <c r="AL89"/>
  <c r="AM89" s="1"/>
  <c r="AL66"/>
  <c r="AM66" s="1"/>
  <c r="AL12"/>
  <c r="AM12" s="1"/>
  <c r="AL14"/>
  <c r="AM14" s="1"/>
  <c r="AL16"/>
  <c r="AM16" s="1"/>
  <c r="AL18"/>
  <c r="AM18" s="1"/>
  <c r="AL20"/>
  <c r="AM20" s="1"/>
  <c r="AL22"/>
  <c r="AM22" s="1"/>
  <c r="AL24"/>
  <c r="AM24" s="1"/>
  <c r="AL26"/>
  <c r="AM26" s="1"/>
  <c r="AL28"/>
  <c r="AM28" s="1"/>
  <c r="AL30"/>
  <c r="AM30" s="1"/>
  <c r="AL32"/>
  <c r="AM32" s="1"/>
  <c r="AL34"/>
  <c r="AM34" s="1"/>
  <c r="AL36"/>
  <c r="AM36" s="1"/>
  <c r="AL38"/>
  <c r="AM38" s="1"/>
  <c r="AL40"/>
  <c r="AM40" s="1"/>
  <c r="AL42"/>
  <c r="AM42" s="1"/>
  <c r="AL44"/>
  <c r="AM44" s="1"/>
  <c r="AL46"/>
  <c r="AM46" s="1"/>
  <c r="AL48"/>
  <c r="AM48" s="1"/>
  <c r="AL50"/>
  <c r="AM50" s="1"/>
  <c r="AL52"/>
  <c r="AM52" s="1"/>
  <c r="AL54"/>
  <c r="AM54" s="1"/>
  <c r="AL56"/>
  <c r="AM56" s="1"/>
  <c r="AL58"/>
  <c r="AM58" s="1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2"/>
  <c r="AY12" s="1"/>
  <c r="AX14"/>
  <c r="AY14" s="1"/>
  <c r="AX16"/>
  <c r="AY16" s="1"/>
  <c r="AX18"/>
  <c r="AY18" s="1"/>
  <c r="AX20"/>
  <c r="AY20" s="1"/>
  <c r="AX22"/>
  <c r="AY22" s="1"/>
  <c r="AX24"/>
  <c r="AY24" s="1"/>
  <c r="AX26"/>
  <c r="AY26" s="1"/>
  <c r="AX28"/>
  <c r="AY28" s="1"/>
  <c r="AX30"/>
  <c r="AY30" s="1"/>
  <c r="AX32"/>
  <c r="AY32" s="1"/>
  <c r="AX34"/>
  <c r="AY34" s="1"/>
  <c r="AX36"/>
  <c r="AY36" s="1"/>
  <c r="AX38"/>
  <c r="AY38" s="1"/>
  <c r="AX40"/>
  <c r="AY40" s="1"/>
  <c r="AX42"/>
  <c r="AY42" s="1"/>
  <c r="AX44"/>
  <c r="AY44" s="1"/>
  <c r="AX46"/>
  <c r="AY46" s="1"/>
  <c r="AX48"/>
  <c r="AY48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Y10"/>
  <c r="BH69"/>
  <c r="BH61"/>
  <c r="BH45"/>
  <c r="BH37"/>
  <c r="BH29"/>
  <c r="BH21"/>
  <c r="BL74"/>
  <c r="BL70"/>
  <c r="BL66"/>
  <c r="BL62"/>
  <c r="BL58"/>
  <c r="BL54"/>
  <c r="BL50"/>
  <c r="BL46"/>
  <c r="BL42"/>
  <c r="BL38"/>
  <c r="BL34"/>
  <c r="BL30"/>
  <c r="BL26"/>
  <c r="BL22"/>
  <c r="CO114"/>
  <c r="DG32"/>
  <c r="DH32" s="1"/>
  <c r="DG28"/>
  <c r="DH28" s="1"/>
  <c r="DG26"/>
  <c r="DH26" s="1"/>
  <c r="DD114"/>
  <c r="AJ114"/>
  <c r="BI114"/>
  <c r="H114"/>
  <c r="O114"/>
  <c r="V114"/>
  <c r="Q107"/>
  <c r="R107" s="1"/>
  <c r="Q105"/>
  <c r="R105" s="1"/>
  <c r="Q103"/>
  <c r="R103" s="1"/>
  <c r="Q101"/>
  <c r="R101" s="1"/>
  <c r="Q99"/>
  <c r="R99" s="1"/>
  <c r="Q97"/>
  <c r="R97" s="1"/>
  <c r="Q95"/>
  <c r="R95" s="1"/>
  <c r="Q93"/>
  <c r="R93" s="1"/>
  <c r="Q91"/>
  <c r="R91" s="1"/>
  <c r="Q89"/>
  <c r="R89" s="1"/>
  <c r="Q87"/>
  <c r="R87" s="1"/>
  <c r="Q85"/>
  <c r="R85" s="1"/>
  <c r="Q83"/>
  <c r="R83" s="1"/>
  <c r="Q81"/>
  <c r="R81" s="1"/>
  <c r="Q79"/>
  <c r="R79" s="1"/>
  <c r="Q77"/>
  <c r="R77" s="1"/>
  <c r="Q75"/>
  <c r="R75" s="1"/>
  <c r="Q73"/>
  <c r="R73" s="1"/>
  <c r="Q71"/>
  <c r="R71" s="1"/>
  <c r="Q69"/>
  <c r="R69" s="1"/>
  <c r="Q67"/>
  <c r="R67" s="1"/>
  <c r="Q65"/>
  <c r="R65" s="1"/>
  <c r="Q63"/>
  <c r="R63" s="1"/>
  <c r="Q61"/>
  <c r="R61" s="1"/>
  <c r="Q59"/>
  <c r="R59" s="1"/>
  <c r="Q57"/>
  <c r="R57" s="1"/>
  <c r="Q55"/>
  <c r="R55" s="1"/>
  <c r="Q53"/>
  <c r="R53" s="1"/>
  <c r="Q51"/>
  <c r="R51" s="1"/>
  <c r="Q49"/>
  <c r="R49" s="1"/>
  <c r="Q47"/>
  <c r="R47" s="1"/>
  <c r="Q45"/>
  <c r="R45" s="1"/>
  <c r="Q43"/>
  <c r="R43" s="1"/>
  <c r="Q41"/>
  <c r="R41" s="1"/>
  <c r="Q39"/>
  <c r="R39" s="1"/>
  <c r="Q37"/>
  <c r="R37" s="1"/>
  <c r="Q35"/>
  <c r="R35" s="1"/>
  <c r="Q33"/>
  <c r="R33" s="1"/>
  <c r="Q31"/>
  <c r="R31" s="1"/>
  <c r="Q29"/>
  <c r="R29" s="1"/>
  <c r="Q27"/>
  <c r="R27" s="1"/>
  <c r="Q25"/>
  <c r="R25" s="1"/>
  <c r="Q23"/>
  <c r="R23" s="1"/>
  <c r="Q21"/>
  <c r="R21" s="1"/>
  <c r="Q19"/>
  <c r="R19" s="1"/>
  <c r="Q17"/>
  <c r="R17" s="1"/>
  <c r="Q15"/>
  <c r="R15" s="1"/>
  <c r="Q13"/>
  <c r="R13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L59"/>
  <c r="AM59" s="1"/>
  <c r="AL55"/>
  <c r="AM55" s="1"/>
  <c r="AL51"/>
  <c r="AM51" s="1"/>
  <c r="AL47"/>
  <c r="AM47" s="1"/>
  <c r="AL43"/>
  <c r="AM43" s="1"/>
  <c r="AL39"/>
  <c r="AM39" s="1"/>
  <c r="AL35"/>
  <c r="AM35" s="1"/>
  <c r="AL31"/>
  <c r="AM31" s="1"/>
  <c r="AL27"/>
  <c r="AM27" s="1"/>
  <c r="AL23"/>
  <c r="AM23" s="1"/>
  <c r="AL19"/>
  <c r="AM19" s="1"/>
  <c r="AL15"/>
  <c r="AM15" s="1"/>
  <c r="AL11"/>
  <c r="AM11" s="1"/>
  <c r="AL93"/>
  <c r="AM9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7"/>
  <c r="AY47" s="1"/>
  <c r="AX43"/>
  <c r="AY43" s="1"/>
  <c r="AX39"/>
  <c r="AY39" s="1"/>
  <c r="AX35"/>
  <c r="AY35" s="1"/>
  <c r="AX31"/>
  <c r="AY31" s="1"/>
  <c r="AX27"/>
  <c r="AY27" s="1"/>
  <c r="AX23"/>
  <c r="AY23" s="1"/>
  <c r="AX19"/>
  <c r="AY19" s="1"/>
  <c r="AX15"/>
  <c r="AY15" s="1"/>
  <c r="AX11"/>
  <c r="AY11" s="1"/>
  <c r="CM11"/>
  <c r="CN11" s="1"/>
  <c r="CM13"/>
  <c r="CN13" s="1"/>
  <c r="CM15"/>
  <c r="CN15" s="1"/>
  <c r="CM17"/>
  <c r="CN17" s="1"/>
  <c r="CM19"/>
  <c r="CN19" s="1"/>
  <c r="CM21"/>
  <c r="CN21" s="1"/>
  <c r="CM23"/>
  <c r="CN23" s="1"/>
  <c r="CM25"/>
  <c r="CN25" s="1"/>
  <c r="AT107"/>
  <c r="AT105"/>
  <c r="AT103"/>
  <c r="AT101"/>
  <c r="AT99"/>
  <c r="AT97"/>
  <c r="AT95"/>
  <c r="AT93"/>
  <c r="AT91"/>
  <c r="AT89"/>
  <c r="AT87"/>
  <c r="AT85"/>
  <c r="AT83"/>
  <c r="AT81"/>
  <c r="AU81" s="1"/>
  <c r="AT79"/>
  <c r="AU79" s="1"/>
  <c r="AT77"/>
  <c r="AU77" s="1"/>
  <c r="AT75"/>
  <c r="AU75" s="1"/>
  <c r="AT73"/>
  <c r="AU73" s="1"/>
  <c r="AT71"/>
  <c r="AU71" s="1"/>
  <c r="AT69"/>
  <c r="AU69" s="1"/>
  <c r="AT67"/>
  <c r="AU67" s="1"/>
  <c r="AT65"/>
  <c r="AU65" s="1"/>
  <c r="AT63"/>
  <c r="AU63" s="1"/>
  <c r="AT61"/>
  <c r="AU61" s="1"/>
  <c r="AT59"/>
  <c r="AU59" s="1"/>
  <c r="AT57"/>
  <c r="AU57" s="1"/>
  <c r="AT55"/>
  <c r="AU55" s="1"/>
  <c r="AT53"/>
  <c r="AU53" s="1"/>
  <c r="AT51"/>
  <c r="AU51" s="1"/>
  <c r="AT49"/>
  <c r="AU49" s="1"/>
  <c r="AT47"/>
  <c r="AU47" s="1"/>
  <c r="AT45"/>
  <c r="AU45" s="1"/>
  <c r="AT43"/>
  <c r="AU43" s="1"/>
  <c r="AT41"/>
  <c r="AU41" s="1"/>
  <c r="AT39"/>
  <c r="AU39" s="1"/>
  <c r="AT37"/>
  <c r="AU37" s="1"/>
  <c r="AT35"/>
  <c r="AU35" s="1"/>
  <c r="AT33"/>
  <c r="AU33" s="1"/>
  <c r="AT31"/>
  <c r="AU31" s="1"/>
  <c r="AT29"/>
  <c r="AU29" s="1"/>
  <c r="AT27"/>
  <c r="AU27" s="1"/>
  <c r="AT25"/>
  <c r="AU25" s="1"/>
  <c r="AT23"/>
  <c r="AU23" s="1"/>
  <c r="AT21"/>
  <c r="AU21" s="1"/>
  <c r="AT19"/>
  <c r="AU19" s="1"/>
  <c r="AT17"/>
  <c r="AU17" s="1"/>
  <c r="AT15"/>
  <c r="AU15" s="1"/>
  <c r="AT13"/>
  <c r="AU13" s="1"/>
  <c r="BB107"/>
  <c r="BB105"/>
  <c r="BB103"/>
  <c r="BB101"/>
  <c r="BB99"/>
  <c r="BB97"/>
  <c r="BB95"/>
  <c r="BB93"/>
  <c r="BC93" s="1"/>
  <c r="BB91"/>
  <c r="BC91" s="1"/>
  <c r="BB89"/>
  <c r="BC89" s="1"/>
  <c r="BB87"/>
  <c r="BC87" s="1"/>
  <c r="BB85"/>
  <c r="BC85" s="1"/>
  <c r="BB83"/>
  <c r="BC83" s="1"/>
  <c r="BB81"/>
  <c r="BC81" s="1"/>
  <c r="BB79"/>
  <c r="BC79" s="1"/>
  <c r="BB77"/>
  <c r="BC77" s="1"/>
  <c r="BB75"/>
  <c r="BC75" s="1"/>
  <c r="BB73"/>
  <c r="BC73" s="1"/>
  <c r="BB71"/>
  <c r="BC71" s="1"/>
  <c r="BB69"/>
  <c r="BC69" s="1"/>
  <c r="BB67"/>
  <c r="BC67" s="1"/>
  <c r="BB65"/>
  <c r="BC65" s="1"/>
  <c r="BB63"/>
  <c r="BC63" s="1"/>
  <c r="BB61"/>
  <c r="BC61" s="1"/>
  <c r="BB59"/>
  <c r="BC59" s="1"/>
  <c r="BB57"/>
  <c r="BC57" s="1"/>
  <c r="BB55"/>
  <c r="BC55" s="1"/>
  <c r="BB53"/>
  <c r="BC53" s="1"/>
  <c r="BB51"/>
  <c r="BC51" s="1"/>
  <c r="BB49"/>
  <c r="BC49" s="1"/>
  <c r="BB47"/>
  <c r="BC47" s="1"/>
  <c r="BB45"/>
  <c r="BC45" s="1"/>
  <c r="BB43"/>
  <c r="BC43" s="1"/>
  <c r="BB41"/>
  <c r="BC41" s="1"/>
  <c r="BB39"/>
  <c r="BC39" s="1"/>
  <c r="BB37"/>
  <c r="BC37" s="1"/>
  <c r="BB35"/>
  <c r="BC35" s="1"/>
  <c r="BB33"/>
  <c r="BC33" s="1"/>
  <c r="BB31"/>
  <c r="BC31" s="1"/>
  <c r="BB29"/>
  <c r="BC29" s="1"/>
  <c r="BB27"/>
  <c r="BC27" s="1"/>
  <c r="BB25"/>
  <c r="BC25" s="1"/>
  <c r="BB23"/>
  <c r="BC23" s="1"/>
  <c r="BB21"/>
  <c r="BC21" s="1"/>
  <c r="BB19"/>
  <c r="BC19" s="1"/>
  <c r="BB17"/>
  <c r="BC17" s="1"/>
  <c r="BB15"/>
  <c r="BC15" s="1"/>
  <c r="BB13"/>
  <c r="BC13" s="1"/>
  <c r="BK75"/>
  <c r="BL75" s="1"/>
  <c r="BK73"/>
  <c r="BL73" s="1"/>
  <c r="BK71"/>
  <c r="BL71" s="1"/>
  <c r="BK69"/>
  <c r="BL69" s="1"/>
  <c r="BK67"/>
  <c r="BL67" s="1"/>
  <c r="BK65"/>
  <c r="BL65" s="1"/>
  <c r="BK63"/>
  <c r="BL63" s="1"/>
  <c r="BK61"/>
  <c r="BL61" s="1"/>
  <c r="BK59"/>
  <c r="BL59" s="1"/>
  <c r="BK57"/>
  <c r="BL57" s="1"/>
  <c r="BK55"/>
  <c r="BL55" s="1"/>
  <c r="BK53"/>
  <c r="BL53" s="1"/>
  <c r="BK51"/>
  <c r="BL51" s="1"/>
  <c r="BK49"/>
  <c r="BL49" s="1"/>
  <c r="BK47"/>
  <c r="BL47" s="1"/>
  <c r="BK45"/>
  <c r="BL45" s="1"/>
  <c r="BK43"/>
  <c r="BL43" s="1"/>
  <c r="BK41"/>
  <c r="BL41" s="1"/>
  <c r="BK39"/>
  <c r="BL39" s="1"/>
  <c r="BK37"/>
  <c r="BL37" s="1"/>
  <c r="BK35"/>
  <c r="BL35" s="1"/>
  <c r="BK33"/>
  <c r="BL33" s="1"/>
  <c r="BK31"/>
  <c r="BL31" s="1"/>
  <c r="BK29"/>
  <c r="BL29" s="1"/>
  <c r="BK27"/>
  <c r="BL27" s="1"/>
  <c r="BK25"/>
  <c r="BL25" s="1"/>
  <c r="BK23"/>
  <c r="BL23" s="1"/>
  <c r="BK21"/>
  <c r="BL21" s="1"/>
  <c r="BK19"/>
  <c r="BL19" s="1"/>
  <c r="BK17"/>
  <c r="BL17" s="1"/>
  <c r="BK15"/>
  <c r="BL15" s="1"/>
  <c r="BK13"/>
  <c r="BL13" s="1"/>
  <c r="BK11"/>
  <c r="BL11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V81" s="1"/>
  <c r="BU79"/>
  <c r="BV79" s="1"/>
  <c r="BU77"/>
  <c r="BV77" s="1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V55" s="1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V39" s="1"/>
  <c r="BU37"/>
  <c r="BV37" s="1"/>
  <c r="BU35"/>
  <c r="BV35" s="1"/>
  <c r="BU33"/>
  <c r="BV33" s="1"/>
  <c r="BU31"/>
  <c r="BV31" s="1"/>
  <c r="BU29"/>
  <c r="BV29" s="1"/>
  <c r="BU27"/>
  <c r="BV27" s="1"/>
  <c r="BU25"/>
  <c r="BV25" s="1"/>
  <c r="BU23"/>
  <c r="BV23" s="1"/>
  <c r="BU21"/>
  <c r="BV21" s="1"/>
  <c r="BU19"/>
  <c r="BV19" s="1"/>
  <c r="BU17"/>
  <c r="BV17" s="1"/>
  <c r="BU15"/>
  <c r="BV15" s="1"/>
  <c r="BU13"/>
  <c r="BV13" s="1"/>
  <c r="CC37"/>
  <c r="CD37" s="1"/>
  <c r="CC35"/>
  <c r="CD35" s="1"/>
  <c r="CC33"/>
  <c r="CD33" s="1"/>
  <c r="CC31"/>
  <c r="CD31" s="1"/>
  <c r="CC29"/>
  <c r="CD29" s="1"/>
  <c r="CC27"/>
  <c r="CD27" s="1"/>
  <c r="CC25"/>
  <c r="CD25" s="1"/>
  <c r="CC23"/>
  <c r="CD23" s="1"/>
  <c r="CC21"/>
  <c r="CD21" s="1"/>
  <c r="CC19"/>
  <c r="CD19" s="1"/>
  <c r="CC17"/>
  <c r="CD17" s="1"/>
  <c r="CC15"/>
  <c r="CD15" s="1"/>
  <c r="CC13"/>
  <c r="CD13" s="1"/>
  <c r="CK114"/>
  <c r="CM109"/>
  <c r="CN109" s="1"/>
  <c r="CM107"/>
  <c r="CN107" s="1"/>
  <c r="CM105"/>
  <c r="CN105" s="1"/>
  <c r="CM103"/>
  <c r="CN103" s="1"/>
  <c r="CM101"/>
  <c r="CN101" s="1"/>
  <c r="CM99"/>
  <c r="CN99" s="1"/>
  <c r="CM97"/>
  <c r="CN97" s="1"/>
  <c r="CM95"/>
  <c r="CN95" s="1"/>
  <c r="CM93"/>
  <c r="CN93" s="1"/>
  <c r="CM91"/>
  <c r="CN91" s="1"/>
  <c r="CM89"/>
  <c r="CN89" s="1"/>
  <c r="CM87"/>
  <c r="CN87" s="1"/>
  <c r="CM85"/>
  <c r="CN85" s="1"/>
  <c r="CM83"/>
  <c r="CN83" s="1"/>
  <c r="CM81"/>
  <c r="CN81" s="1"/>
  <c r="CM79"/>
  <c r="CN79" s="1"/>
  <c r="CM77"/>
  <c r="CN77" s="1"/>
  <c r="CM75"/>
  <c r="CN75" s="1"/>
  <c r="CM73"/>
  <c r="CN73" s="1"/>
  <c r="CM71"/>
  <c r="CN71" s="1"/>
  <c r="CM69"/>
  <c r="CN69" s="1"/>
  <c r="CM67"/>
  <c r="CN67" s="1"/>
  <c r="CM65"/>
  <c r="CN65" s="1"/>
  <c r="CM63"/>
  <c r="CN63" s="1"/>
  <c r="CM61"/>
  <c r="CN61" s="1"/>
  <c r="CM59"/>
  <c r="CN59" s="1"/>
  <c r="CM57"/>
  <c r="CN57" s="1"/>
  <c r="CM55"/>
  <c r="CN55" s="1"/>
  <c r="CM53"/>
  <c r="CN53" s="1"/>
  <c r="CM51"/>
  <c r="CN51" s="1"/>
  <c r="CM49"/>
  <c r="CN49" s="1"/>
  <c r="CM47"/>
  <c r="CN47" s="1"/>
  <c r="CM45"/>
  <c r="CN45" s="1"/>
  <c r="CM43"/>
  <c r="CN43" s="1"/>
  <c r="CM41"/>
  <c r="CN41" s="1"/>
  <c r="CM39"/>
  <c r="CN39" s="1"/>
  <c r="CM37"/>
  <c r="CN37" s="1"/>
  <c r="CM35"/>
  <c r="CN35" s="1"/>
  <c r="CM33"/>
  <c r="CN33" s="1"/>
  <c r="CM31"/>
  <c r="CN31" s="1"/>
  <c r="CM29"/>
  <c r="CN29" s="1"/>
  <c r="CM27"/>
  <c r="CN27" s="1"/>
  <c r="CM24"/>
  <c r="CN24" s="1"/>
  <c r="CM20"/>
  <c r="CN20" s="1"/>
  <c r="CM16"/>
  <c r="CN16" s="1"/>
  <c r="CM12"/>
  <c r="CN12" s="1"/>
  <c r="CR114"/>
  <c r="BK11" i="3"/>
  <c r="BL11" s="1"/>
  <c r="BK13"/>
  <c r="BL13" s="1"/>
  <c r="BK15"/>
  <c r="BK17"/>
  <c r="BK19"/>
  <c r="BK21"/>
  <c r="BL21" s="1"/>
  <c r="BK23"/>
  <c r="BL23" s="1"/>
  <c r="BK25"/>
  <c r="BK27"/>
  <c r="BK29"/>
  <c r="BL29" s="1"/>
  <c r="BK31"/>
  <c r="BL31" s="1"/>
  <c r="BK33"/>
  <c r="BK35"/>
  <c r="BL35" s="1"/>
  <c r="BK37"/>
  <c r="BL37" s="1"/>
  <c r="BK39"/>
  <c r="BL39" s="1"/>
  <c r="BK41"/>
  <c r="BK43"/>
  <c r="BK45"/>
  <c r="BL45" s="1"/>
  <c r="BK47"/>
  <c r="BK49"/>
  <c r="BK51"/>
  <c r="BK53"/>
  <c r="BL53" s="1"/>
  <c r="BK55"/>
  <c r="BL55" s="1"/>
  <c r="BK57"/>
  <c r="BK59"/>
  <c r="BK61"/>
  <c r="BL61" s="1"/>
  <c r="BK63"/>
  <c r="BL63" s="1"/>
  <c r="BK65"/>
  <c r="BK67"/>
  <c r="BL67" s="1"/>
  <c r="BK69"/>
  <c r="BL69" s="1"/>
  <c r="BK71"/>
  <c r="BL71" s="1"/>
  <c r="BK73"/>
  <c r="BK75"/>
  <c r="BK10"/>
  <c r="BL10" s="1"/>
  <c r="BK12"/>
  <c r="BL12" s="1"/>
  <c r="BK16"/>
  <c r="BL16" s="1"/>
  <c r="BK20"/>
  <c r="BK24"/>
  <c r="BL24" s="1"/>
  <c r="BK28"/>
  <c r="BL28" s="1"/>
  <c r="BK32"/>
  <c r="BK36"/>
  <c r="BK40"/>
  <c r="BL40" s="1"/>
  <c r="BK44"/>
  <c r="BL44" s="1"/>
  <c r="BK48"/>
  <c r="BK52"/>
  <c r="BK56"/>
  <c r="BL56" s="1"/>
  <c r="BK60"/>
  <c r="BL60" s="1"/>
  <c r="BK64"/>
  <c r="BL64" s="1"/>
  <c r="BK68"/>
  <c r="BL68" s="1"/>
  <c r="BK72"/>
  <c r="BL72" s="1"/>
  <c r="BK76"/>
  <c r="BL76" s="1"/>
  <c r="CT94" i="1"/>
  <c r="CU94" s="1"/>
  <c r="CT92"/>
  <c r="CU92" s="1"/>
  <c r="CT90"/>
  <c r="CU90" s="1"/>
  <c r="CT88"/>
  <c r="CU88" s="1"/>
  <c r="CT86"/>
  <c r="CT84"/>
  <c r="CT82"/>
  <c r="CU82" s="1"/>
  <c r="CT80"/>
  <c r="CU80" s="1"/>
  <c r="CT78"/>
  <c r="CU78" s="1"/>
  <c r="CT76"/>
  <c r="CU76" s="1"/>
  <c r="CT74"/>
  <c r="CU74" s="1"/>
  <c r="CT72"/>
  <c r="CU72" s="1"/>
  <c r="CT70"/>
  <c r="CU70" s="1"/>
  <c r="CT68"/>
  <c r="CU68" s="1"/>
  <c r="CT66"/>
  <c r="CU66" s="1"/>
  <c r="CT64"/>
  <c r="CU64" s="1"/>
  <c r="CT62"/>
  <c r="CU62" s="1"/>
  <c r="CT60"/>
  <c r="CU60" s="1"/>
  <c r="CT58"/>
  <c r="CU58" s="1"/>
  <c r="CT56"/>
  <c r="CU56" s="1"/>
  <c r="CT54"/>
  <c r="CU54" s="1"/>
  <c r="CT52"/>
  <c r="CU52" s="1"/>
  <c r="CT50"/>
  <c r="CU50" s="1"/>
  <c r="CT48"/>
  <c r="CU48" s="1"/>
  <c r="CT46"/>
  <c r="CU46" s="1"/>
  <c r="CT44"/>
  <c r="CU44" s="1"/>
  <c r="CT42"/>
  <c r="CU42" s="1"/>
  <c r="CT40"/>
  <c r="CU40" s="1"/>
  <c r="CT38"/>
  <c r="CU38" s="1"/>
  <c r="CT36"/>
  <c r="CU36" s="1"/>
  <c r="CT34"/>
  <c r="CU34" s="1"/>
  <c r="CT32"/>
  <c r="CT30"/>
  <c r="CT28"/>
  <c r="CU28" s="1"/>
  <c r="CT26"/>
  <c r="CT24"/>
  <c r="CU24" s="1"/>
  <c r="CT22"/>
  <c r="CU22" s="1"/>
  <c r="CT20"/>
  <c r="CU20" s="1"/>
  <c r="CT18"/>
  <c r="CU18" s="1"/>
  <c r="CT16"/>
  <c r="CU16" s="1"/>
  <c r="CT14"/>
  <c r="CU14" s="1"/>
  <c r="CT12"/>
  <c r="CU12" s="1"/>
  <c r="CX108"/>
  <c r="CX106"/>
  <c r="CY106" s="1"/>
  <c r="CX104"/>
  <c r="CY104" s="1"/>
  <c r="CX102"/>
  <c r="CY102" s="1"/>
  <c r="CX100"/>
  <c r="CY100" s="1"/>
  <c r="CX98"/>
  <c r="CY98" s="1"/>
  <c r="CX96"/>
  <c r="CY96" s="1"/>
  <c r="CX94"/>
  <c r="CY94" s="1"/>
  <c r="CX92"/>
  <c r="CY92" s="1"/>
  <c r="CX90"/>
  <c r="CY90" s="1"/>
  <c r="CX88"/>
  <c r="CY88" s="1"/>
  <c r="CX86"/>
  <c r="CY86" s="1"/>
  <c r="CX84"/>
  <c r="CY84" s="1"/>
  <c r="CX82"/>
  <c r="CY82" s="1"/>
  <c r="CX80"/>
  <c r="CY80" s="1"/>
  <c r="CX78"/>
  <c r="CY78" s="1"/>
  <c r="CX76"/>
  <c r="CY76" s="1"/>
  <c r="CX74"/>
  <c r="CY74" s="1"/>
  <c r="CX72"/>
  <c r="CY72" s="1"/>
  <c r="CX70"/>
  <c r="CY70" s="1"/>
  <c r="CX68"/>
  <c r="CY68" s="1"/>
  <c r="CX66"/>
  <c r="CY66" s="1"/>
  <c r="CX64"/>
  <c r="CY64" s="1"/>
  <c r="CX62"/>
  <c r="CY62" s="1"/>
  <c r="CX60"/>
  <c r="CY60" s="1"/>
  <c r="CX58"/>
  <c r="CY58" s="1"/>
  <c r="CX56"/>
  <c r="CY56" s="1"/>
  <c r="CX54"/>
  <c r="CY54" s="1"/>
  <c r="CX52"/>
  <c r="CY52" s="1"/>
  <c r="CX50"/>
  <c r="CY50" s="1"/>
  <c r="CX48"/>
  <c r="CY48" s="1"/>
  <c r="CX46"/>
  <c r="CY46" s="1"/>
  <c r="CX44"/>
  <c r="CY44" s="1"/>
  <c r="CX42"/>
  <c r="CY42" s="1"/>
  <c r="CX40"/>
  <c r="CY40" s="1"/>
  <c r="CX38"/>
  <c r="CY38" s="1"/>
  <c r="CX36"/>
  <c r="CY36" s="1"/>
  <c r="CX34"/>
  <c r="CY34" s="1"/>
  <c r="CX32"/>
  <c r="CY32" s="1"/>
  <c r="CX30"/>
  <c r="CY30" s="1"/>
  <c r="CX28"/>
  <c r="CY28" s="1"/>
  <c r="CX26"/>
  <c r="CY26" s="1"/>
  <c r="CX24"/>
  <c r="CY24" s="1"/>
  <c r="CX22"/>
  <c r="CY22" s="1"/>
  <c r="CX20"/>
  <c r="CY20" s="1"/>
  <c r="CX18"/>
  <c r="CY18" s="1"/>
  <c r="CX16"/>
  <c r="CY16" s="1"/>
  <c r="CX14"/>
  <c r="CY14" s="1"/>
  <c r="CX12"/>
  <c r="CY12" s="1"/>
  <c r="DJ107"/>
  <c r="DJ105"/>
  <c r="DK105" s="1"/>
  <c r="DJ103"/>
  <c r="DJ101"/>
  <c r="DJ99"/>
  <c r="DJ97"/>
  <c r="DK97" s="1"/>
  <c r="DJ95"/>
  <c r="DJ93"/>
  <c r="DJ91"/>
  <c r="DJ89"/>
  <c r="DK89" s="1"/>
  <c r="DJ87"/>
  <c r="DJ85"/>
  <c r="DJ83"/>
  <c r="DJ81"/>
  <c r="DK81" s="1"/>
  <c r="DJ79"/>
  <c r="DJ77"/>
  <c r="DJ75"/>
  <c r="DJ73"/>
  <c r="DK73" s="1"/>
  <c r="DJ71"/>
  <c r="DJ69"/>
  <c r="DJ67"/>
  <c r="DJ65"/>
  <c r="DK65" s="1"/>
  <c r="DJ63"/>
  <c r="DJ61"/>
  <c r="DJ59"/>
  <c r="DJ57"/>
  <c r="DK57" s="1"/>
  <c r="DJ55"/>
  <c r="DJ53"/>
  <c r="DJ51"/>
  <c r="DJ49"/>
  <c r="DK49" s="1"/>
  <c r="DJ47"/>
  <c r="DJ45"/>
  <c r="DJ43"/>
  <c r="DJ41"/>
  <c r="DK41" s="1"/>
  <c r="DJ39"/>
  <c r="DJ37"/>
  <c r="DJ35"/>
  <c r="DJ33"/>
  <c r="DK33" s="1"/>
  <c r="DJ31"/>
  <c r="DJ29"/>
  <c r="DJ27"/>
  <c r="DJ25"/>
  <c r="DK25" s="1"/>
  <c r="DJ23"/>
  <c r="DJ21"/>
  <c r="DK21" s="1"/>
  <c r="DJ19"/>
  <c r="DK19" s="1"/>
  <c r="DJ17"/>
  <c r="DK17" s="1"/>
  <c r="DJ15"/>
  <c r="DK15" s="1"/>
  <c r="DJ13"/>
  <c r="DK13" s="1"/>
  <c r="DJ11"/>
  <c r="J108" i="3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50"/>
  <c r="J48"/>
  <c r="J46"/>
  <c r="K46" s="1"/>
  <c r="J44"/>
  <c r="J42"/>
  <c r="J40"/>
  <c r="J38"/>
  <c r="J36"/>
  <c r="J34"/>
  <c r="J32"/>
  <c r="J30"/>
  <c r="J28"/>
  <c r="J26"/>
  <c r="J24"/>
  <c r="J22"/>
  <c r="J20"/>
  <c r="J18"/>
  <c r="K18" s="1"/>
  <c r="J16"/>
  <c r="K16" s="1"/>
  <c r="J14"/>
  <c r="K14" s="1"/>
  <c r="J12"/>
  <c r="K12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B11"/>
  <c r="AC11" s="1"/>
  <c r="BK70"/>
  <c r="BL70" s="1"/>
  <c r="BK62"/>
  <c r="BL62" s="1"/>
  <c r="BK54"/>
  <c r="BK46"/>
  <c r="BK38"/>
  <c r="BL38" s="1"/>
  <c r="BK30"/>
  <c r="BL30" s="1"/>
  <c r="BK22"/>
  <c r="BK14"/>
  <c r="BL14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1"/>
  <c r="AY11" s="1"/>
  <c r="AX13"/>
  <c r="AY13" s="1"/>
  <c r="AX15"/>
  <c r="AY15" s="1"/>
  <c r="AX17"/>
  <c r="AY17" s="1"/>
  <c r="AX19"/>
  <c r="AY19" s="1"/>
  <c r="AX21"/>
  <c r="AY21" s="1"/>
  <c r="AX23"/>
  <c r="AY23" s="1"/>
  <c r="AX25"/>
  <c r="AY25" s="1"/>
  <c r="AX27"/>
  <c r="AY27" s="1"/>
  <c r="AX29"/>
  <c r="AY29" s="1"/>
  <c r="AX31"/>
  <c r="AY31" s="1"/>
  <c r="AX33"/>
  <c r="AY33" s="1"/>
  <c r="AX35"/>
  <c r="AY35" s="1"/>
  <c r="AX37"/>
  <c r="AY37" s="1"/>
  <c r="AX39"/>
  <c r="AY39" s="1"/>
  <c r="AX41"/>
  <c r="AY41" s="1"/>
  <c r="AX43"/>
  <c r="AY43" s="1"/>
  <c r="AX45"/>
  <c r="AY45" s="1"/>
  <c r="AX47"/>
  <c r="AY47" s="1"/>
  <c r="AX49"/>
  <c r="AY49" s="1"/>
  <c r="AX14"/>
  <c r="AY14" s="1"/>
  <c r="AX18"/>
  <c r="AY18" s="1"/>
  <c r="AX22"/>
  <c r="AY22" s="1"/>
  <c r="AX26"/>
  <c r="AY26" s="1"/>
  <c r="AX30"/>
  <c r="AY30" s="1"/>
  <c r="AX34"/>
  <c r="AY34" s="1"/>
  <c r="AX38"/>
  <c r="AY38" s="1"/>
  <c r="AX42"/>
  <c r="AY42" s="1"/>
  <c r="AX46"/>
  <c r="AY46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X10"/>
  <c r="AY10" s="1"/>
  <c r="CT107" i="1"/>
  <c r="CT105"/>
  <c r="CT103"/>
  <c r="CT101"/>
  <c r="CT99"/>
  <c r="CT97"/>
  <c r="CT95"/>
  <c r="CT93"/>
  <c r="CT91"/>
  <c r="CT89"/>
  <c r="CT87"/>
  <c r="CT85"/>
  <c r="CT83"/>
  <c r="CT81"/>
  <c r="CT79"/>
  <c r="CT77"/>
  <c r="CT75"/>
  <c r="CT73"/>
  <c r="CT71"/>
  <c r="CU71" s="1"/>
  <c r="CT69"/>
  <c r="CU69" s="1"/>
  <c r="CT67"/>
  <c r="CU67" s="1"/>
  <c r="CT65"/>
  <c r="CU65" s="1"/>
  <c r="CT63"/>
  <c r="CU63" s="1"/>
  <c r="CT61"/>
  <c r="CU61" s="1"/>
  <c r="CT59"/>
  <c r="CU59" s="1"/>
  <c r="CT57"/>
  <c r="CU57" s="1"/>
  <c r="CT55"/>
  <c r="CU55" s="1"/>
  <c r="CT53"/>
  <c r="CU53" s="1"/>
  <c r="CT51"/>
  <c r="CU51" s="1"/>
  <c r="CT49"/>
  <c r="CU49" s="1"/>
  <c r="CT47"/>
  <c r="CU47" s="1"/>
  <c r="CT45"/>
  <c r="CU45" s="1"/>
  <c r="CT43"/>
  <c r="CU43" s="1"/>
  <c r="CT41"/>
  <c r="CU41" s="1"/>
  <c r="CT39"/>
  <c r="CU39" s="1"/>
  <c r="CT37"/>
  <c r="CU37" s="1"/>
  <c r="CT35"/>
  <c r="CU35" s="1"/>
  <c r="CT33"/>
  <c r="CU33" s="1"/>
  <c r="CT31"/>
  <c r="CT29"/>
  <c r="CU29" s="1"/>
  <c r="CT27"/>
  <c r="CT25"/>
  <c r="CU25" s="1"/>
  <c r="CT23"/>
  <c r="CU23" s="1"/>
  <c r="CT21"/>
  <c r="CU21" s="1"/>
  <c r="CT19"/>
  <c r="CU19" s="1"/>
  <c r="CT17"/>
  <c r="CU17" s="1"/>
  <c r="CT15"/>
  <c r="CU15" s="1"/>
  <c r="CT13"/>
  <c r="CU13" s="1"/>
  <c r="CX109"/>
  <c r="CX107"/>
  <c r="CY107" s="1"/>
  <c r="CX105"/>
  <c r="CY105" s="1"/>
  <c r="CX103"/>
  <c r="CY103" s="1"/>
  <c r="CX101"/>
  <c r="CY101" s="1"/>
  <c r="CX99"/>
  <c r="CY99" s="1"/>
  <c r="CX97"/>
  <c r="CY97" s="1"/>
  <c r="CX95"/>
  <c r="CY95" s="1"/>
  <c r="CX93"/>
  <c r="CY93" s="1"/>
  <c r="CX91"/>
  <c r="CY91" s="1"/>
  <c r="CX89"/>
  <c r="CY89" s="1"/>
  <c r="CX87"/>
  <c r="CY87" s="1"/>
  <c r="CX85"/>
  <c r="CY85" s="1"/>
  <c r="CX83"/>
  <c r="CY83" s="1"/>
  <c r="CX81"/>
  <c r="CY81" s="1"/>
  <c r="CX79"/>
  <c r="CY79" s="1"/>
  <c r="CX77"/>
  <c r="CY77" s="1"/>
  <c r="CX75"/>
  <c r="CY75" s="1"/>
  <c r="CX73"/>
  <c r="CY73" s="1"/>
  <c r="CX71"/>
  <c r="CY71" s="1"/>
  <c r="CX69"/>
  <c r="CY69" s="1"/>
  <c r="CX67"/>
  <c r="CY67" s="1"/>
  <c r="CX65"/>
  <c r="CY65" s="1"/>
  <c r="CX63"/>
  <c r="CY63" s="1"/>
  <c r="CX61"/>
  <c r="CY61" s="1"/>
  <c r="CX59"/>
  <c r="CY59" s="1"/>
  <c r="CX57"/>
  <c r="CY57" s="1"/>
  <c r="CX55"/>
  <c r="CY55" s="1"/>
  <c r="CX53"/>
  <c r="CY53" s="1"/>
  <c r="CX51"/>
  <c r="CY51" s="1"/>
  <c r="CX49"/>
  <c r="CY49" s="1"/>
  <c r="CX47"/>
  <c r="CY47" s="1"/>
  <c r="CX45"/>
  <c r="CY45" s="1"/>
  <c r="CX43"/>
  <c r="CY43" s="1"/>
  <c r="CX41"/>
  <c r="CY41" s="1"/>
  <c r="CX39"/>
  <c r="CY39" s="1"/>
  <c r="CX37"/>
  <c r="CY37" s="1"/>
  <c r="CX35"/>
  <c r="CY35" s="1"/>
  <c r="CX33"/>
  <c r="CY33" s="1"/>
  <c r="CX31"/>
  <c r="CY31" s="1"/>
  <c r="CX29"/>
  <c r="CY29" s="1"/>
  <c r="CX27"/>
  <c r="CY27" s="1"/>
  <c r="CX25"/>
  <c r="CY25" s="1"/>
  <c r="CX23"/>
  <c r="CY23" s="1"/>
  <c r="CX21"/>
  <c r="CY21" s="1"/>
  <c r="CX19"/>
  <c r="CY19" s="1"/>
  <c r="CX17"/>
  <c r="CY17" s="1"/>
  <c r="CX15"/>
  <c r="CY15" s="1"/>
  <c r="CX13"/>
  <c r="CY13" s="1"/>
  <c r="DJ10"/>
  <c r="DJ106"/>
  <c r="DK106" s="1"/>
  <c r="DJ104"/>
  <c r="DJ102"/>
  <c r="DJ100"/>
  <c r="DJ98"/>
  <c r="DK98" s="1"/>
  <c r="DJ96"/>
  <c r="DJ94"/>
  <c r="DJ92"/>
  <c r="DJ90"/>
  <c r="DK90" s="1"/>
  <c r="DJ88"/>
  <c r="DJ86"/>
  <c r="DJ84"/>
  <c r="DJ82"/>
  <c r="DK82" s="1"/>
  <c r="DJ80"/>
  <c r="DJ78"/>
  <c r="DJ76"/>
  <c r="DJ74"/>
  <c r="DK74" s="1"/>
  <c r="DJ72"/>
  <c r="DJ70"/>
  <c r="DJ68"/>
  <c r="DJ66"/>
  <c r="DK66" s="1"/>
  <c r="DJ64"/>
  <c r="DJ62"/>
  <c r="DJ60"/>
  <c r="DJ58"/>
  <c r="DK58" s="1"/>
  <c r="DJ56"/>
  <c r="DJ54"/>
  <c r="DJ52"/>
  <c r="DJ50"/>
  <c r="DK50" s="1"/>
  <c r="DJ48"/>
  <c r="DJ46"/>
  <c r="DJ44"/>
  <c r="DJ42"/>
  <c r="DK42" s="1"/>
  <c r="DJ40"/>
  <c r="DJ38"/>
  <c r="DJ36"/>
  <c r="DK36" s="1"/>
  <c r="DJ34"/>
  <c r="DK34" s="1"/>
  <c r="DJ32"/>
  <c r="DJ30"/>
  <c r="DJ28"/>
  <c r="DJ26"/>
  <c r="DK26" s="1"/>
  <c r="DJ24"/>
  <c r="DJ22"/>
  <c r="DJ20"/>
  <c r="DK20" s="1"/>
  <c r="DJ18"/>
  <c r="DK18" s="1"/>
  <c r="DJ16"/>
  <c r="DK16" s="1"/>
  <c r="DJ14"/>
  <c r="DK14" s="1"/>
  <c r="DB109"/>
  <c r="DC109" s="1"/>
  <c r="DB107"/>
  <c r="DC107" s="1"/>
  <c r="DB105"/>
  <c r="DC105" s="1"/>
  <c r="DB103"/>
  <c r="DC103" s="1"/>
  <c r="DB101"/>
  <c r="DC101" s="1"/>
  <c r="DB99"/>
  <c r="DC99" s="1"/>
  <c r="DB97"/>
  <c r="DC97" s="1"/>
  <c r="DB95"/>
  <c r="DC95" s="1"/>
  <c r="DB93"/>
  <c r="DC93" s="1"/>
  <c r="DB91"/>
  <c r="DC91" s="1"/>
  <c r="DB89"/>
  <c r="DC89" s="1"/>
  <c r="DB87"/>
  <c r="DC87" s="1"/>
  <c r="DB85"/>
  <c r="DC85" s="1"/>
  <c r="DB83"/>
  <c r="DC83" s="1"/>
  <c r="DB81"/>
  <c r="DC81" s="1"/>
  <c r="DB79"/>
  <c r="DC79" s="1"/>
  <c r="DB77"/>
  <c r="DC77" s="1"/>
  <c r="DB75"/>
  <c r="DC75" s="1"/>
  <c r="DB73"/>
  <c r="DC73" s="1"/>
  <c r="DB71"/>
  <c r="DC71" s="1"/>
  <c r="DB69"/>
  <c r="DC69" s="1"/>
  <c r="DB67"/>
  <c r="DC67" s="1"/>
  <c r="DB65"/>
  <c r="DC65" s="1"/>
  <c r="DB63"/>
  <c r="DC63" s="1"/>
  <c r="DB61"/>
  <c r="DC61" s="1"/>
  <c r="DB59"/>
  <c r="DC59" s="1"/>
  <c r="DB57"/>
  <c r="DC57" s="1"/>
  <c r="DB55"/>
  <c r="DC55" s="1"/>
  <c r="DB53"/>
  <c r="DC53" s="1"/>
  <c r="DB51"/>
  <c r="DC51" s="1"/>
  <c r="DB49"/>
  <c r="DC49" s="1"/>
  <c r="DB47"/>
  <c r="DC47" s="1"/>
  <c r="DB45"/>
  <c r="DC45" s="1"/>
  <c r="DB43"/>
  <c r="DC43" s="1"/>
  <c r="DB41"/>
  <c r="DC41" s="1"/>
  <c r="DB39"/>
  <c r="DC39" s="1"/>
  <c r="DB37"/>
  <c r="DC37" s="1"/>
  <c r="DB35"/>
  <c r="DC35" s="1"/>
  <c r="DB33"/>
  <c r="DC33" s="1"/>
  <c r="DB31"/>
  <c r="DC31" s="1"/>
  <c r="DB29"/>
  <c r="DC29" s="1"/>
  <c r="DB27"/>
  <c r="DC27" s="1"/>
  <c r="DB25"/>
  <c r="DC25" s="1"/>
  <c r="DB23"/>
  <c r="DC23" s="1"/>
  <c r="DB21"/>
  <c r="DC21" s="1"/>
  <c r="DB19"/>
  <c r="DC19" s="1"/>
  <c r="DB17"/>
  <c r="DC17" s="1"/>
  <c r="DB15"/>
  <c r="DC15" s="1"/>
  <c r="DB13"/>
  <c r="DC13" s="1"/>
  <c r="J109" i="3"/>
  <c r="J107"/>
  <c r="J105"/>
  <c r="J103"/>
  <c r="J101"/>
  <c r="J99"/>
  <c r="K99" s="1"/>
  <c r="J97"/>
  <c r="J95"/>
  <c r="K95" s="1"/>
  <c r="J93"/>
  <c r="J91"/>
  <c r="J89"/>
  <c r="J87"/>
  <c r="J85"/>
  <c r="J83"/>
  <c r="J81"/>
  <c r="J79"/>
  <c r="J77"/>
  <c r="J75"/>
  <c r="J73"/>
  <c r="K73" s="1"/>
  <c r="J71"/>
  <c r="J69"/>
  <c r="J67"/>
  <c r="J65"/>
  <c r="K65" s="1"/>
  <c r="J63"/>
  <c r="K63" s="1"/>
  <c r="J61"/>
  <c r="K61" s="1"/>
  <c r="J59"/>
  <c r="J57"/>
  <c r="J55"/>
  <c r="J53"/>
  <c r="J51"/>
  <c r="K51" s="1"/>
  <c r="J49"/>
  <c r="K49" s="1"/>
  <c r="J47"/>
  <c r="J45"/>
  <c r="J43"/>
  <c r="J41"/>
  <c r="J39"/>
  <c r="J37"/>
  <c r="J35"/>
  <c r="J33"/>
  <c r="J31"/>
  <c r="J29"/>
  <c r="J27"/>
  <c r="K27" s="1"/>
  <c r="J25"/>
  <c r="J23"/>
  <c r="J21"/>
  <c r="J19"/>
  <c r="J17"/>
  <c r="K17" s="1"/>
  <c r="J15"/>
  <c r="K15" s="1"/>
  <c r="J13"/>
  <c r="K13" s="1"/>
  <c r="X107"/>
  <c r="Y107" s="1"/>
  <c r="X105"/>
  <c r="Y105" s="1"/>
  <c r="X103"/>
  <c r="X101"/>
  <c r="X99"/>
  <c r="X97"/>
  <c r="Y97" s="1"/>
  <c r="X95"/>
  <c r="Y95" s="1"/>
  <c r="X93"/>
  <c r="X91"/>
  <c r="X89"/>
  <c r="Y89" s="1"/>
  <c r="X87"/>
  <c r="Y87" s="1"/>
  <c r="X85"/>
  <c r="X83"/>
  <c r="Y83" s="1"/>
  <c r="X81"/>
  <c r="Y81" s="1"/>
  <c r="X79"/>
  <c r="Y79" s="1"/>
  <c r="X77"/>
  <c r="X75"/>
  <c r="X73"/>
  <c r="X71"/>
  <c r="Y71" s="1"/>
  <c r="X69"/>
  <c r="Y69" s="1"/>
  <c r="X67"/>
  <c r="X65"/>
  <c r="Y65" s="1"/>
  <c r="X63"/>
  <c r="Y63" s="1"/>
  <c r="X61"/>
  <c r="Y61" s="1"/>
  <c r="X59"/>
  <c r="X57"/>
  <c r="Y57" s="1"/>
  <c r="X55"/>
  <c r="Y55" s="1"/>
  <c r="X53"/>
  <c r="X51"/>
  <c r="Y51" s="1"/>
  <c r="X49"/>
  <c r="Y49" s="1"/>
  <c r="X47"/>
  <c r="Y47" s="1"/>
  <c r="X45"/>
  <c r="X43"/>
  <c r="X41"/>
  <c r="X39"/>
  <c r="X37"/>
  <c r="X35"/>
  <c r="Y35" s="1"/>
  <c r="X33"/>
  <c r="Y33" s="1"/>
  <c r="X31"/>
  <c r="Y31" s="1"/>
  <c r="X29"/>
  <c r="Y29" s="1"/>
  <c r="X27"/>
  <c r="Y27" s="1"/>
  <c r="X25"/>
  <c r="Y25" s="1"/>
  <c r="X23"/>
  <c r="Y23" s="1"/>
  <c r="X21"/>
  <c r="X19"/>
  <c r="X17"/>
  <c r="Y17" s="1"/>
  <c r="X15"/>
  <c r="Y15" s="1"/>
  <c r="X13"/>
  <c r="Y13" s="1"/>
  <c r="AB10"/>
  <c r="AC10" s="1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C44" s="1"/>
  <c r="AB42"/>
  <c r="AC42" s="1"/>
  <c r="AB40"/>
  <c r="AC40" s="1"/>
  <c r="AB38"/>
  <c r="AC38" s="1"/>
  <c r="AB36"/>
  <c r="AC36" s="1"/>
  <c r="AB34"/>
  <c r="AC34" s="1"/>
  <c r="AB32"/>
  <c r="AC32" s="1"/>
  <c r="AB30"/>
  <c r="AC30" s="1"/>
  <c r="AB28"/>
  <c r="AC28" s="1"/>
  <c r="AB26"/>
  <c r="AC26" s="1"/>
  <c r="AB24"/>
  <c r="AC24" s="1"/>
  <c r="AB22"/>
  <c r="AC22" s="1"/>
  <c r="AB20"/>
  <c r="AC20" s="1"/>
  <c r="AB18"/>
  <c r="AC18" s="1"/>
  <c r="AB16"/>
  <c r="AC16" s="1"/>
  <c r="AB14"/>
  <c r="AC14" s="1"/>
  <c r="AF107"/>
  <c r="AF105"/>
  <c r="AF103"/>
  <c r="AF101"/>
  <c r="AF99"/>
  <c r="AF97"/>
  <c r="AF95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4"/>
  <c r="AY44" s="1"/>
  <c r="AX36"/>
  <c r="AY36" s="1"/>
  <c r="AX28"/>
  <c r="AY28" s="1"/>
  <c r="AX20"/>
  <c r="AY20" s="1"/>
  <c r="AX12"/>
  <c r="AY12" s="1"/>
  <c r="BK18"/>
  <c r="BL18" s="1"/>
  <c r="AL59"/>
  <c r="AM59" s="1"/>
  <c r="AL57"/>
  <c r="AM57" s="1"/>
  <c r="AL55"/>
  <c r="AL53"/>
  <c r="AL51"/>
  <c r="AM51" s="1"/>
  <c r="AL49"/>
  <c r="AM49" s="1"/>
  <c r="AL47"/>
  <c r="AL45"/>
  <c r="AM45" s="1"/>
  <c r="AL43"/>
  <c r="AM43" s="1"/>
  <c r="AL41"/>
  <c r="AM41" s="1"/>
  <c r="AL39"/>
  <c r="AM39" s="1"/>
  <c r="AL37"/>
  <c r="AL35"/>
  <c r="AL33"/>
  <c r="AM33" s="1"/>
  <c r="AL31"/>
  <c r="AM31" s="1"/>
  <c r="AL29"/>
  <c r="AM29" s="1"/>
  <c r="AL27"/>
  <c r="AM27" s="1"/>
  <c r="AL25"/>
  <c r="AM25" s="1"/>
  <c r="AL23"/>
  <c r="AM23" s="1"/>
  <c r="AL21"/>
  <c r="AM21" s="1"/>
  <c r="AL19"/>
  <c r="AM19" s="1"/>
  <c r="AL17"/>
  <c r="AM17" s="1"/>
  <c r="AL15"/>
  <c r="AM15" s="1"/>
  <c r="AL13"/>
  <c r="AM13" s="1"/>
  <c r="AL11"/>
  <c r="AM11" s="1"/>
  <c r="AL67"/>
  <c r="BG107"/>
  <c r="BG105"/>
  <c r="BG103"/>
  <c r="BG101"/>
  <c r="BG99"/>
  <c r="BG97"/>
  <c r="BG95"/>
  <c r="BG93"/>
  <c r="BG91"/>
  <c r="BG89"/>
  <c r="BG87"/>
  <c r="BG85"/>
  <c r="BG83"/>
  <c r="BG81"/>
  <c r="BG79"/>
  <c r="BG77"/>
  <c r="BG75"/>
  <c r="BG73"/>
  <c r="BH73" s="1"/>
  <c r="BG71"/>
  <c r="BH71" s="1"/>
  <c r="BG69"/>
  <c r="BH69" s="1"/>
  <c r="BG67"/>
  <c r="BH67" s="1"/>
  <c r="BG65"/>
  <c r="BH65" s="1"/>
  <c r="BG63"/>
  <c r="BH63" s="1"/>
  <c r="BG61"/>
  <c r="BG59"/>
  <c r="BG57"/>
  <c r="BH57" s="1"/>
  <c r="BG55"/>
  <c r="BH55" s="1"/>
  <c r="BG53"/>
  <c r="BH53" s="1"/>
  <c r="BG51"/>
  <c r="BG49"/>
  <c r="BH49" s="1"/>
  <c r="BG47"/>
  <c r="BH47" s="1"/>
  <c r="BG45"/>
  <c r="BH45" s="1"/>
  <c r="BG43"/>
  <c r="BG41"/>
  <c r="BH41" s="1"/>
  <c r="BG39"/>
  <c r="BH39" s="1"/>
  <c r="BG37"/>
  <c r="BG35"/>
  <c r="BG33"/>
  <c r="BH33" s="1"/>
  <c r="BG31"/>
  <c r="BH31" s="1"/>
  <c r="BG29"/>
  <c r="BH29" s="1"/>
  <c r="BG27"/>
  <c r="BH27" s="1"/>
  <c r="BG25"/>
  <c r="BH25" s="1"/>
  <c r="BG23"/>
  <c r="BH23" s="1"/>
  <c r="BG21"/>
  <c r="BG19"/>
  <c r="BH19" s="1"/>
  <c r="BG17"/>
  <c r="BG15"/>
  <c r="BG13"/>
  <c r="BH13" s="1"/>
  <c r="BO10"/>
  <c r="BP10" s="1"/>
  <c r="BO100"/>
  <c r="BO92"/>
  <c r="BO84"/>
  <c r="BO76"/>
  <c r="BP76" s="1"/>
  <c r="BO68"/>
  <c r="BP68" s="1"/>
  <c r="BO60"/>
  <c r="BP60" s="1"/>
  <c r="BO52"/>
  <c r="BP52" s="1"/>
  <c r="BO44"/>
  <c r="BP44" s="1"/>
  <c r="BO36"/>
  <c r="BP36" s="1"/>
  <c r="BO28"/>
  <c r="BP28" s="1"/>
  <c r="BO20"/>
  <c r="BP20" s="1"/>
  <c r="BO12"/>
  <c r="BP12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U79"/>
  <c r="BV79" s="1"/>
  <c r="BU77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U37"/>
  <c r="BV37" s="1"/>
  <c r="BU35"/>
  <c r="BV35" s="1"/>
  <c r="BU33"/>
  <c r="BV33" s="1"/>
  <c r="BU31"/>
  <c r="BV31" s="1"/>
  <c r="BU29"/>
  <c r="BU27"/>
  <c r="BV27" s="1"/>
  <c r="BU25"/>
  <c r="BV25" s="1"/>
  <c r="BU23"/>
  <c r="BV23" s="1"/>
  <c r="BU21"/>
  <c r="BV21" s="1"/>
  <c r="BU19"/>
  <c r="BU17"/>
  <c r="BV17" s="1"/>
  <c r="BU15"/>
  <c r="BV15" s="1"/>
  <c r="BU13"/>
  <c r="BV13" s="1"/>
  <c r="BU11"/>
  <c r="BV11" s="1"/>
  <c r="BO103"/>
  <c r="BO95"/>
  <c r="BO87"/>
  <c r="BO79"/>
  <c r="BP79" s="1"/>
  <c r="BO71"/>
  <c r="BP71" s="1"/>
  <c r="BO63"/>
  <c r="BP63" s="1"/>
  <c r="BO55"/>
  <c r="BP55" s="1"/>
  <c r="BO47"/>
  <c r="BP47" s="1"/>
  <c r="BO39"/>
  <c r="BP39" s="1"/>
  <c r="BO31"/>
  <c r="BP31" s="1"/>
  <c r="BO23"/>
  <c r="BP23" s="1"/>
  <c r="BO15"/>
  <c r="BP15" s="1"/>
  <c r="BU10"/>
  <c r="BV10" s="1"/>
  <c r="BU106"/>
  <c r="BV106" s="1"/>
  <c r="BU104"/>
  <c r="BV104" s="1"/>
  <c r="BU102"/>
  <c r="BV102" s="1"/>
  <c r="BU100"/>
  <c r="BV100" s="1"/>
  <c r="BU98"/>
  <c r="BV98" s="1"/>
  <c r="BU96"/>
  <c r="BV96" s="1"/>
  <c r="BU94"/>
  <c r="BV94" s="1"/>
  <c r="BU92"/>
  <c r="BV92" s="1"/>
  <c r="BU90"/>
  <c r="BV90" s="1"/>
  <c r="BU88"/>
  <c r="BV88" s="1"/>
  <c r="BU86"/>
  <c r="BV86" s="1"/>
  <c r="BU84"/>
  <c r="BV84" s="1"/>
  <c r="BU82"/>
  <c r="BV82" s="1"/>
  <c r="BU80"/>
  <c r="BV80" s="1"/>
  <c r="BU78"/>
  <c r="BU76"/>
  <c r="BV76" s="1"/>
  <c r="BU74"/>
  <c r="BV74" s="1"/>
  <c r="BU72"/>
  <c r="BV72" s="1"/>
  <c r="BU70"/>
  <c r="BV70" s="1"/>
  <c r="BU68"/>
  <c r="BV68" s="1"/>
  <c r="BU66"/>
  <c r="BV66" s="1"/>
  <c r="BU64"/>
  <c r="BV64" s="1"/>
  <c r="BU62"/>
  <c r="BV62" s="1"/>
  <c r="BU60"/>
  <c r="BV60" s="1"/>
  <c r="BU58"/>
  <c r="BV58" s="1"/>
  <c r="BU56"/>
  <c r="BV56" s="1"/>
  <c r="BU54"/>
  <c r="BV54" s="1"/>
  <c r="BU52"/>
  <c r="BV52" s="1"/>
  <c r="BU50"/>
  <c r="BU48"/>
  <c r="BV48" s="1"/>
  <c r="BU46"/>
  <c r="BV46" s="1"/>
  <c r="BU44"/>
  <c r="BV44" s="1"/>
  <c r="BU42"/>
  <c r="BV42" s="1"/>
  <c r="BU40"/>
  <c r="BV40" s="1"/>
  <c r="BU38"/>
  <c r="BV38" s="1"/>
  <c r="BU36"/>
  <c r="BV36" s="1"/>
  <c r="BU34"/>
  <c r="BV34" s="1"/>
  <c r="BU32"/>
  <c r="BV32" s="1"/>
  <c r="BU30"/>
  <c r="BV30" s="1"/>
  <c r="BU28"/>
  <c r="BV28" s="1"/>
  <c r="BU26"/>
  <c r="BV26" s="1"/>
  <c r="BU24"/>
  <c r="BU22"/>
  <c r="BV22" s="1"/>
  <c r="BU20"/>
  <c r="BU18"/>
  <c r="BV18" s="1"/>
  <c r="BU16"/>
  <c r="BV16" s="1"/>
  <c r="BU14"/>
  <c r="BV14" s="1"/>
  <c r="CN104"/>
  <c r="CN103"/>
  <c r="Y102"/>
  <c r="CN101"/>
  <c r="Y100"/>
  <c r="K100"/>
  <c r="CN99"/>
  <c r="Y99"/>
  <c r="CN98"/>
  <c r="CU87"/>
  <c r="CU86"/>
  <c r="Y86"/>
  <c r="K86"/>
  <c r="CU85"/>
  <c r="CU84"/>
  <c r="K84"/>
  <c r="CN83"/>
  <c r="CN82"/>
  <c r="BV81"/>
  <c r="Y59"/>
  <c r="Y58"/>
  <c r="BH56"/>
  <c r="Y56"/>
  <c r="K56"/>
  <c r="AM55"/>
  <c r="AM54"/>
  <c r="Y52"/>
  <c r="BL51"/>
  <c r="BH51"/>
  <c r="BL50"/>
  <c r="BH50"/>
  <c r="BH48"/>
  <c r="AM48"/>
  <c r="CU47"/>
  <c r="BL42"/>
  <c r="AM42"/>
  <c r="Y42"/>
  <c r="CU41"/>
  <c r="BL41"/>
  <c r="CN40"/>
  <c r="CN39"/>
  <c r="CU32"/>
  <c r="DG30"/>
  <c r="DH30" s="1"/>
  <c r="CN28"/>
  <c r="AM28"/>
  <c r="Y28"/>
  <c r="Y24"/>
  <c r="Y22"/>
  <c r="Y21"/>
  <c r="Y20"/>
  <c r="CN106"/>
  <c r="Y106"/>
  <c r="CU105"/>
  <c r="CU104"/>
  <c r="CU102"/>
  <c r="K101"/>
  <c r="CU95"/>
  <c r="AM93"/>
  <c r="Y93"/>
  <c r="CN92"/>
  <c r="Y92"/>
  <c r="CN91"/>
  <c r="Y91"/>
  <c r="Y90"/>
  <c r="CN89"/>
  <c r="CN87"/>
  <c r="CN86"/>
  <c r="K83"/>
  <c r="CU81"/>
  <c r="Y78"/>
  <c r="K78"/>
  <c r="BV77"/>
  <c r="Y76"/>
  <c r="CN75"/>
  <c r="BL75"/>
  <c r="BH75"/>
  <c r="Y74"/>
  <c r="CN73"/>
  <c r="BL73"/>
  <c r="K70"/>
  <c r="Y67"/>
  <c r="K67"/>
  <c r="AM66"/>
  <c r="Y66"/>
  <c r="Y64"/>
  <c r="CU63"/>
  <c r="Y62"/>
  <c r="CU61"/>
  <c r="BH61"/>
  <c r="Y60"/>
  <c r="BH59"/>
  <c r="CU58"/>
  <c r="BH58"/>
  <c r="AM58"/>
  <c r="CU57"/>
  <c r="BL57"/>
  <c r="CN56"/>
  <c r="BV55"/>
  <c r="BL54"/>
  <c r="BH54"/>
  <c r="Y53"/>
  <c r="K53"/>
  <c r="BH52"/>
  <c r="AM47"/>
  <c r="CU46"/>
  <c r="BL46"/>
  <c r="AM44"/>
  <c r="Y44"/>
  <c r="BL43"/>
  <c r="BH43"/>
  <c r="CN42"/>
  <c r="AM40"/>
  <c r="Y40"/>
  <c r="CU39"/>
  <c r="CN38"/>
  <c r="AM37"/>
  <c r="Y37"/>
  <c r="BH36"/>
  <c r="AM36"/>
  <c r="AM35"/>
  <c r="CN34"/>
  <c r="BL34"/>
  <c r="BH34"/>
  <c r="CN33"/>
  <c r="BL33"/>
  <c r="BH32"/>
  <c r="AM32"/>
  <c r="DG29"/>
  <c r="DH29" s="1"/>
  <c r="CU29"/>
  <c r="BV29"/>
  <c r="DG28"/>
  <c r="DH28" s="1"/>
  <c r="CU28"/>
  <c r="DG27"/>
  <c r="DH27" s="1"/>
  <c r="BL27"/>
  <c r="AM26"/>
  <c r="Y26"/>
  <c r="BL25"/>
  <c r="CN24"/>
  <c r="BH24"/>
  <c r="CN23"/>
  <c r="CN22"/>
  <c r="BL22"/>
  <c r="BH22"/>
  <c r="BH21"/>
  <c r="BL20"/>
  <c r="BH20"/>
  <c r="CN19"/>
  <c r="BL19"/>
  <c r="Y19"/>
  <c r="BZ114"/>
  <c r="CN109"/>
  <c r="BI114"/>
  <c r="K108"/>
  <c r="CU106"/>
  <c r="K106"/>
  <c r="K105"/>
  <c r="K104"/>
  <c r="CU103"/>
  <c r="Y103"/>
  <c r="CN102"/>
  <c r="CU101"/>
  <c r="Y101"/>
  <c r="V114"/>
  <c r="CU98"/>
  <c r="Y98"/>
  <c r="CN97"/>
  <c r="Y96"/>
  <c r="CN95"/>
  <c r="CU93"/>
  <c r="CU92"/>
  <c r="CU90"/>
  <c r="CU89"/>
  <c r="CU88"/>
  <c r="K88"/>
  <c r="K87"/>
  <c r="CN85"/>
  <c r="Y85"/>
  <c r="Y84"/>
  <c r="Y82"/>
  <c r="CN81"/>
  <c r="K81"/>
  <c r="K80"/>
  <c r="CU78"/>
  <c r="BV78"/>
  <c r="Y77"/>
  <c r="CN76"/>
  <c r="BH76"/>
  <c r="Y75"/>
  <c r="BH74"/>
  <c r="CU73"/>
  <c r="Y73"/>
  <c r="CN72"/>
  <c r="BH72"/>
  <c r="K72"/>
  <c r="CU70"/>
  <c r="CU69"/>
  <c r="K69"/>
  <c r="Y68"/>
  <c r="CU67"/>
  <c r="AM67"/>
  <c r="CN66"/>
  <c r="BH66"/>
  <c r="BL65"/>
  <c r="CN64"/>
  <c r="BH64"/>
  <c r="CN62"/>
  <c r="BH62"/>
  <c r="CN60"/>
  <c r="BH60"/>
  <c r="BL59"/>
  <c r="K59"/>
  <c r="K58"/>
  <c r="CU56"/>
  <c r="AM56"/>
  <c r="CN55"/>
  <c r="K55"/>
  <c r="Y54"/>
  <c r="AM53"/>
  <c r="O114"/>
  <c r="AJ114"/>
  <c r="H114"/>
  <c r="AM118" s="1"/>
  <c r="BL52"/>
  <c r="K52"/>
  <c r="BV50"/>
  <c r="CN49"/>
  <c r="BL49"/>
  <c r="BL48"/>
  <c r="K48"/>
  <c r="BL47"/>
  <c r="K47"/>
  <c r="AM46"/>
  <c r="Y45"/>
  <c r="CU44"/>
  <c r="BH44"/>
  <c r="Y43"/>
  <c r="CU42"/>
  <c r="BH42"/>
  <c r="Y41"/>
  <c r="CU40"/>
  <c r="BH40"/>
  <c r="BV39"/>
  <c r="Y39"/>
  <c r="CU38"/>
  <c r="BH38"/>
  <c r="BH37"/>
  <c r="BL36"/>
  <c r="K36"/>
  <c r="BH35"/>
  <c r="Y34"/>
  <c r="CU33"/>
  <c r="BL32"/>
  <c r="K32"/>
  <c r="CU30"/>
  <c r="AM30"/>
  <c r="BH28"/>
  <c r="DG26"/>
  <c r="DH26" s="1"/>
  <c r="BH26"/>
  <c r="K26"/>
  <c r="CU25"/>
  <c r="K25"/>
  <c r="CU24"/>
  <c r="BV24"/>
  <c r="K24"/>
  <c r="CU23"/>
  <c r="K23"/>
  <c r="CU22"/>
  <c r="K22"/>
  <c r="CU21"/>
  <c r="K21"/>
  <c r="CU20"/>
  <c r="BV20"/>
  <c r="K20"/>
  <c r="CU19"/>
  <c r="BV19"/>
  <c r="K19"/>
  <c r="BL15"/>
  <c r="DH114"/>
  <c r="E114"/>
  <c r="CY114"/>
  <c r="CH114"/>
  <c r="CU72"/>
  <c r="CR114"/>
  <c r="DG114"/>
  <c r="BS114"/>
  <c r="CD118" s="1"/>
  <c r="K109"/>
  <c r="K107"/>
  <c r="K103"/>
  <c r="K102"/>
  <c r="K98"/>
  <c r="K97"/>
  <c r="K96"/>
  <c r="K94"/>
  <c r="K93"/>
  <c r="K92"/>
  <c r="K91"/>
  <c r="K90"/>
  <c r="K89"/>
  <c r="K85"/>
  <c r="K82"/>
  <c r="K79"/>
  <c r="K77"/>
  <c r="K76"/>
  <c r="K75"/>
  <c r="K74"/>
  <c r="K71"/>
  <c r="K68"/>
  <c r="K66"/>
  <c r="K64"/>
  <c r="K62"/>
  <c r="K60"/>
  <c r="K57"/>
  <c r="K54"/>
  <c r="K50"/>
  <c r="K45"/>
  <c r="K44"/>
  <c r="K43"/>
  <c r="K42"/>
  <c r="K41"/>
  <c r="K40"/>
  <c r="K39"/>
  <c r="K38"/>
  <c r="K37"/>
  <c r="K35"/>
  <c r="K34"/>
  <c r="K33"/>
  <c r="K31"/>
  <c r="K30"/>
  <c r="K29"/>
  <c r="K28"/>
  <c r="BE17"/>
  <c r="BL17"/>
  <c r="BE15"/>
  <c r="J10"/>
  <c r="K10" s="1"/>
  <c r="DC114" i="1"/>
  <c r="CU107"/>
  <c r="CU105"/>
  <c r="CU103"/>
  <c r="CU101"/>
  <c r="CU99"/>
  <c r="CU97"/>
  <c r="CU95"/>
  <c r="CU93"/>
  <c r="CU91"/>
  <c r="CU89"/>
  <c r="CU87"/>
  <c r="CU85"/>
  <c r="CU83"/>
  <c r="CU81"/>
  <c r="CU79"/>
  <c r="CU77"/>
  <c r="CU75"/>
  <c r="CU73"/>
  <c r="CU32"/>
  <c r="CU31"/>
  <c r="CU30"/>
  <c r="CU106"/>
  <c r="CU104"/>
  <c r="CU86"/>
  <c r="CU84"/>
  <c r="CU27"/>
  <c r="CU26"/>
  <c r="CD118"/>
  <c r="B7" i="2" s="1"/>
  <c r="J15" i="1"/>
  <c r="K15" s="1"/>
  <c r="J11"/>
  <c r="K11" s="1"/>
  <c r="J20"/>
  <c r="K20" s="1"/>
  <c r="J18"/>
  <c r="K18" s="1"/>
  <c r="J16"/>
  <c r="K16" s="1"/>
  <c r="J14"/>
  <c r="K14" s="1"/>
  <c r="DP13"/>
  <c r="DP14"/>
  <c r="DK107"/>
  <c r="DK103"/>
  <c r="DK101"/>
  <c r="DK99"/>
  <c r="DK95"/>
  <c r="DK93"/>
  <c r="DK91"/>
  <c r="DK87"/>
  <c r="DK85"/>
  <c r="DK83"/>
  <c r="DK79"/>
  <c r="DK77"/>
  <c r="DK75"/>
  <c r="DK71"/>
  <c r="DK69"/>
  <c r="DK67"/>
  <c r="DK63"/>
  <c r="DK61"/>
  <c r="DK59"/>
  <c r="DK55"/>
  <c r="DK53"/>
  <c r="DK51"/>
  <c r="DK47"/>
  <c r="DK45"/>
  <c r="DK43"/>
  <c r="DK39"/>
  <c r="DK37"/>
  <c r="DK35"/>
  <c r="DK31"/>
  <c r="DK29"/>
  <c r="DK27"/>
  <c r="DK10"/>
  <c r="DK104"/>
  <c r="DK102"/>
  <c r="DK100"/>
  <c r="DK96"/>
  <c r="DK94"/>
  <c r="DK92"/>
  <c r="DK88"/>
  <c r="DK86"/>
  <c r="DK84"/>
  <c r="DK80"/>
  <c r="DK78"/>
  <c r="DK76"/>
  <c r="DK72"/>
  <c r="DK70"/>
  <c r="DK68"/>
  <c r="DK64"/>
  <c r="DK62"/>
  <c r="DK60"/>
  <c r="DK56"/>
  <c r="DK54"/>
  <c r="DK52"/>
  <c r="DK48"/>
  <c r="DK46"/>
  <c r="DK44"/>
  <c r="DK40"/>
  <c r="DK38"/>
  <c r="DK32"/>
  <c r="DK30"/>
  <c r="DK28"/>
  <c r="DK24"/>
  <c r="DK23"/>
  <c r="DK22"/>
  <c r="DK11"/>
  <c r="AX105" i="3" l="1"/>
  <c r="AY105" s="1"/>
  <c r="AY114" s="1"/>
  <c r="X10"/>
  <c r="Y10" s="1"/>
  <c r="BH114"/>
  <c r="BO11"/>
  <c r="BP11" s="1"/>
  <c r="BO9"/>
  <c r="BP9" s="1"/>
  <c r="CC15"/>
  <c r="CD15" s="1"/>
  <c r="CC9"/>
  <c r="CD9" s="1"/>
  <c r="AF15"/>
  <c r="AG15" s="1"/>
  <c r="AF9"/>
  <c r="AG9" s="1"/>
  <c r="AP11"/>
  <c r="AQ11" s="1"/>
  <c r="AP9"/>
  <c r="AQ9" s="1"/>
  <c r="CC20"/>
  <c r="CD20" s="1"/>
  <c r="CC14"/>
  <c r="CD14" s="1"/>
  <c r="CC36"/>
  <c r="CD36" s="1"/>
  <c r="CC30"/>
  <c r="CD30" s="1"/>
  <c r="CC17"/>
  <c r="CD17" s="1"/>
  <c r="BO19"/>
  <c r="BP19" s="1"/>
  <c r="BO27"/>
  <c r="BP27" s="1"/>
  <c r="BO35"/>
  <c r="BP35" s="1"/>
  <c r="BO43"/>
  <c r="BP43" s="1"/>
  <c r="BO51"/>
  <c r="BP51" s="1"/>
  <c r="BO59"/>
  <c r="BP59" s="1"/>
  <c r="BO67"/>
  <c r="BP67" s="1"/>
  <c r="BO75"/>
  <c r="BP75" s="1"/>
  <c r="BO83"/>
  <c r="BO91"/>
  <c r="BO99"/>
  <c r="BO107"/>
  <c r="BO16"/>
  <c r="BP16" s="1"/>
  <c r="BO24"/>
  <c r="BP24" s="1"/>
  <c r="BO32"/>
  <c r="BP32" s="1"/>
  <c r="BO40"/>
  <c r="BP40" s="1"/>
  <c r="BO48"/>
  <c r="BP48" s="1"/>
  <c r="BO56"/>
  <c r="BP56" s="1"/>
  <c r="BO64"/>
  <c r="BP64" s="1"/>
  <c r="BO72"/>
  <c r="BP72" s="1"/>
  <c r="BO80"/>
  <c r="BO88"/>
  <c r="BO96"/>
  <c r="BO104"/>
  <c r="BO17"/>
  <c r="BP17" s="1"/>
  <c r="BO25"/>
  <c r="BP25" s="1"/>
  <c r="BO33"/>
  <c r="BP33" s="1"/>
  <c r="BO41"/>
  <c r="BP41" s="1"/>
  <c r="BO49"/>
  <c r="BP49" s="1"/>
  <c r="BO57"/>
  <c r="BP57" s="1"/>
  <c r="BO65"/>
  <c r="BP65" s="1"/>
  <c r="BO73"/>
  <c r="BP73" s="1"/>
  <c r="BO81"/>
  <c r="BO89"/>
  <c r="BO97"/>
  <c r="BO105"/>
  <c r="BO14"/>
  <c r="BP14" s="1"/>
  <c r="BO22"/>
  <c r="BP22" s="1"/>
  <c r="BO30"/>
  <c r="BP30" s="1"/>
  <c r="BO38"/>
  <c r="BP38" s="1"/>
  <c r="BO46"/>
  <c r="BP46" s="1"/>
  <c r="BO54"/>
  <c r="BP54" s="1"/>
  <c r="BO62"/>
  <c r="BP62" s="1"/>
  <c r="BO70"/>
  <c r="BP70" s="1"/>
  <c r="BO78"/>
  <c r="BP78" s="1"/>
  <c r="BO86"/>
  <c r="BO94"/>
  <c r="BO102"/>
  <c r="BO13"/>
  <c r="BP13" s="1"/>
  <c r="BO21"/>
  <c r="BP21" s="1"/>
  <c r="BO29"/>
  <c r="BP29" s="1"/>
  <c r="BO37"/>
  <c r="BP37" s="1"/>
  <c r="BO45"/>
  <c r="BP45" s="1"/>
  <c r="BO53"/>
  <c r="BP53" s="1"/>
  <c r="BO61"/>
  <c r="BP61" s="1"/>
  <c r="BO69"/>
  <c r="BP69" s="1"/>
  <c r="BO77"/>
  <c r="BP77" s="1"/>
  <c r="BO85"/>
  <c r="BO93"/>
  <c r="BO101"/>
  <c r="BO18"/>
  <c r="BP18" s="1"/>
  <c r="BO26"/>
  <c r="BP26" s="1"/>
  <c r="BO34"/>
  <c r="BP34" s="1"/>
  <c r="BO42"/>
  <c r="BP42" s="1"/>
  <c r="BO50"/>
  <c r="BP50" s="1"/>
  <c r="BO58"/>
  <c r="BP58" s="1"/>
  <c r="BO66"/>
  <c r="BP66" s="1"/>
  <c r="BO74"/>
  <c r="BP74" s="1"/>
  <c r="BO82"/>
  <c r="BO90"/>
  <c r="BO98"/>
  <c r="BO106"/>
  <c r="AF100"/>
  <c r="AF75"/>
  <c r="CC32"/>
  <c r="CD32" s="1"/>
  <c r="CC16"/>
  <c r="CD16" s="1"/>
  <c r="CC29"/>
  <c r="CD29" s="1"/>
  <c r="CC13"/>
  <c r="CD13" s="1"/>
  <c r="CC26"/>
  <c r="CD26" s="1"/>
  <c r="CC35"/>
  <c r="CD35" s="1"/>
  <c r="CC19"/>
  <c r="CD19" s="1"/>
  <c r="CC24"/>
  <c r="CD24" s="1"/>
  <c r="CC37"/>
  <c r="CD37" s="1"/>
  <c r="CC21"/>
  <c r="CD21" s="1"/>
  <c r="CC34"/>
  <c r="CD34" s="1"/>
  <c r="CC18"/>
  <c r="CD18" s="1"/>
  <c r="CC27"/>
  <c r="CD27" s="1"/>
  <c r="CC11"/>
  <c r="CD11" s="1"/>
  <c r="BL114"/>
  <c r="CC28"/>
  <c r="CD28" s="1"/>
  <c r="CC12"/>
  <c r="CD12" s="1"/>
  <c r="CC25"/>
  <c r="CD25" s="1"/>
  <c r="CC10"/>
  <c r="CD10" s="1"/>
  <c r="CC22"/>
  <c r="CD22" s="1"/>
  <c r="CC31"/>
  <c r="CD31" s="1"/>
  <c r="BH15"/>
  <c r="AF47"/>
  <c r="AF79"/>
  <c r="AF102"/>
  <c r="AF19"/>
  <c r="AG19" s="1"/>
  <c r="AF51"/>
  <c r="AF83"/>
  <c r="AF104"/>
  <c r="AF31"/>
  <c r="AG31" s="1"/>
  <c r="AF63"/>
  <c r="AF94"/>
  <c r="AF35"/>
  <c r="AG35" s="1"/>
  <c r="AF67"/>
  <c r="AF96"/>
  <c r="AF23"/>
  <c r="AG23" s="1"/>
  <c r="AF55"/>
  <c r="AF87"/>
  <c r="AF106"/>
  <c r="AF27"/>
  <c r="AG27" s="1"/>
  <c r="AF59"/>
  <c r="AF91"/>
  <c r="AF10"/>
  <c r="AG10" s="1"/>
  <c r="AQ114"/>
  <c r="BH17"/>
  <c r="DA4"/>
  <c r="DB9" s="1"/>
  <c r="DC9" s="1"/>
  <c r="DI4"/>
  <c r="DJ9" s="1"/>
  <c r="DK9" s="1"/>
  <c r="AS4"/>
  <c r="AT9" s="1"/>
  <c r="AU9" s="1"/>
  <c r="BA4"/>
  <c r="BB9" s="1"/>
  <c r="BC9" s="1"/>
  <c r="CU114"/>
  <c r="BV114"/>
  <c r="Y114"/>
  <c r="AM114"/>
  <c r="CY114" i="1"/>
  <c r="CD114"/>
  <c r="BC114"/>
  <c r="AU114"/>
  <c r="AC114"/>
  <c r="R114"/>
  <c r="DO10"/>
  <c r="BV114"/>
  <c r="BL114"/>
  <c r="CU114"/>
  <c r="CN114"/>
  <c r="AM114"/>
  <c r="DK114"/>
  <c r="AC114" i="3"/>
  <c r="DP12" i="1"/>
  <c r="BP114"/>
  <c r="Y114"/>
  <c r="DH114"/>
  <c r="DK118" s="1"/>
  <c r="B9" i="2" s="1"/>
  <c r="K114" i="1"/>
  <c r="AG114" i="3"/>
  <c r="AY114" i="1"/>
  <c r="AQ114"/>
  <c r="AG114"/>
  <c r="AM118"/>
  <c r="B5" i="2" s="1"/>
  <c r="DG114" i="1"/>
  <c r="BZ114"/>
  <c r="BH114"/>
  <c r="K114" i="3"/>
  <c r="CN114"/>
  <c r="DK118"/>
  <c r="DN13" l="1"/>
  <c r="DO13"/>
  <c r="CD114"/>
  <c r="BP114"/>
  <c r="AT11"/>
  <c r="AU11" s="1"/>
  <c r="AT106"/>
  <c r="AT90"/>
  <c r="AT74"/>
  <c r="AU74" s="1"/>
  <c r="AT58"/>
  <c r="AU58" s="1"/>
  <c r="AT42"/>
  <c r="AU42" s="1"/>
  <c r="AT26"/>
  <c r="AU26" s="1"/>
  <c r="AT92"/>
  <c r="AT76"/>
  <c r="AU76" s="1"/>
  <c r="AT60"/>
  <c r="AU60" s="1"/>
  <c r="AT44"/>
  <c r="AU44" s="1"/>
  <c r="AT28"/>
  <c r="AU28" s="1"/>
  <c r="AT12"/>
  <c r="AU12" s="1"/>
  <c r="AT105"/>
  <c r="AT97"/>
  <c r="AT89"/>
  <c r="AT81"/>
  <c r="AU81" s="1"/>
  <c r="AT73"/>
  <c r="AU73" s="1"/>
  <c r="AT65"/>
  <c r="AU65" s="1"/>
  <c r="AT57"/>
  <c r="AU57" s="1"/>
  <c r="AT49"/>
  <c r="AU49" s="1"/>
  <c r="AT41"/>
  <c r="AU41" s="1"/>
  <c r="AT33"/>
  <c r="AU33" s="1"/>
  <c r="AT25"/>
  <c r="AU25" s="1"/>
  <c r="AT17"/>
  <c r="AU17" s="1"/>
  <c r="AT94"/>
  <c r="AT78"/>
  <c r="AU78" s="1"/>
  <c r="AT62"/>
  <c r="AU62" s="1"/>
  <c r="AT46"/>
  <c r="AU46" s="1"/>
  <c r="AT30"/>
  <c r="AU30" s="1"/>
  <c r="AT14"/>
  <c r="AU14" s="1"/>
  <c r="AT96"/>
  <c r="AT80"/>
  <c r="AU80" s="1"/>
  <c r="AT64"/>
  <c r="AU64" s="1"/>
  <c r="AT48"/>
  <c r="AU48" s="1"/>
  <c r="AT32"/>
  <c r="AU32" s="1"/>
  <c r="AT16"/>
  <c r="AU16" s="1"/>
  <c r="AT107"/>
  <c r="AT99"/>
  <c r="AT91"/>
  <c r="AT83"/>
  <c r="AT75"/>
  <c r="AU75" s="1"/>
  <c r="AT67"/>
  <c r="AU67" s="1"/>
  <c r="AT59"/>
  <c r="AU59" s="1"/>
  <c r="AT51"/>
  <c r="AU51" s="1"/>
  <c r="AT43"/>
  <c r="AU43" s="1"/>
  <c r="AT35"/>
  <c r="AU35" s="1"/>
  <c r="AT27"/>
  <c r="AU27" s="1"/>
  <c r="AT19"/>
  <c r="AU19" s="1"/>
  <c r="AT98"/>
  <c r="AT82"/>
  <c r="AU82" s="1"/>
  <c r="AT66"/>
  <c r="AU66" s="1"/>
  <c r="AT50"/>
  <c r="AU50" s="1"/>
  <c r="AT34"/>
  <c r="AU34" s="1"/>
  <c r="AT18"/>
  <c r="AU18" s="1"/>
  <c r="AT100"/>
  <c r="AT84"/>
  <c r="AT68"/>
  <c r="AU68" s="1"/>
  <c r="AT52"/>
  <c r="AU52" s="1"/>
  <c r="AT36"/>
  <c r="AU36" s="1"/>
  <c r="AT20"/>
  <c r="AU20" s="1"/>
  <c r="AT101"/>
  <c r="AT93"/>
  <c r="AT85"/>
  <c r="AT77"/>
  <c r="AU77" s="1"/>
  <c r="AT69"/>
  <c r="AU69" s="1"/>
  <c r="AT61"/>
  <c r="AU61" s="1"/>
  <c r="AT53"/>
  <c r="AU53" s="1"/>
  <c r="AT45"/>
  <c r="AU45" s="1"/>
  <c r="AT37"/>
  <c r="AU37" s="1"/>
  <c r="AT29"/>
  <c r="AU29" s="1"/>
  <c r="AT21"/>
  <c r="AU21" s="1"/>
  <c r="AT13"/>
  <c r="AU13" s="1"/>
  <c r="AT10"/>
  <c r="AU10" s="1"/>
  <c r="AT102"/>
  <c r="AT86"/>
  <c r="AT70"/>
  <c r="AU70" s="1"/>
  <c r="AT54"/>
  <c r="AU54" s="1"/>
  <c r="AT38"/>
  <c r="AU38" s="1"/>
  <c r="AT22"/>
  <c r="AU22" s="1"/>
  <c r="AT104"/>
  <c r="AT88"/>
  <c r="AT72"/>
  <c r="AU72" s="1"/>
  <c r="AT56"/>
  <c r="AU56" s="1"/>
  <c r="AT40"/>
  <c r="AU40" s="1"/>
  <c r="AT24"/>
  <c r="AU24" s="1"/>
  <c r="AT103"/>
  <c r="AT95"/>
  <c r="AT87"/>
  <c r="AT79"/>
  <c r="AU79" s="1"/>
  <c r="AT71"/>
  <c r="AU71" s="1"/>
  <c r="AT63"/>
  <c r="AU63" s="1"/>
  <c r="AT55"/>
  <c r="AU55" s="1"/>
  <c r="AT47"/>
  <c r="AU47" s="1"/>
  <c r="AT39"/>
  <c r="AU39" s="1"/>
  <c r="AT31"/>
  <c r="AU31" s="1"/>
  <c r="AT23"/>
  <c r="AU23" s="1"/>
  <c r="AT15"/>
  <c r="AU15" s="1"/>
  <c r="DB14"/>
  <c r="DC14" s="1"/>
  <c r="DB30"/>
  <c r="DC30" s="1"/>
  <c r="DB46"/>
  <c r="DC46" s="1"/>
  <c r="DB62"/>
  <c r="DC62" s="1"/>
  <c r="DB78"/>
  <c r="DC78" s="1"/>
  <c r="DB94"/>
  <c r="DC94" s="1"/>
  <c r="DB10"/>
  <c r="DC10" s="1"/>
  <c r="DB25"/>
  <c r="DC25" s="1"/>
  <c r="DB41"/>
  <c r="DC41" s="1"/>
  <c r="DB57"/>
  <c r="DC57" s="1"/>
  <c r="DB73"/>
  <c r="DC73" s="1"/>
  <c r="DB89"/>
  <c r="DC89" s="1"/>
  <c r="DB105"/>
  <c r="DC105" s="1"/>
  <c r="DB20"/>
  <c r="DC20" s="1"/>
  <c r="DB36"/>
  <c r="DC36" s="1"/>
  <c r="DB52"/>
  <c r="DC52" s="1"/>
  <c r="DB68"/>
  <c r="DC68" s="1"/>
  <c r="DB84"/>
  <c r="DC84" s="1"/>
  <c r="DB100"/>
  <c r="DC100" s="1"/>
  <c r="DB15"/>
  <c r="DC15" s="1"/>
  <c r="DB31"/>
  <c r="DC31" s="1"/>
  <c r="DB47"/>
  <c r="DC47" s="1"/>
  <c r="DB63"/>
  <c r="DC63" s="1"/>
  <c r="DB79"/>
  <c r="DC79" s="1"/>
  <c r="DB95"/>
  <c r="DC95" s="1"/>
  <c r="DB26"/>
  <c r="DC26" s="1"/>
  <c r="DB42"/>
  <c r="DC42" s="1"/>
  <c r="DB58"/>
  <c r="DC58" s="1"/>
  <c r="DB74"/>
  <c r="DC74" s="1"/>
  <c r="DB90"/>
  <c r="DC90" s="1"/>
  <c r="DB106"/>
  <c r="DC106" s="1"/>
  <c r="DB21"/>
  <c r="DC21" s="1"/>
  <c r="DB37"/>
  <c r="DC37" s="1"/>
  <c r="DB53"/>
  <c r="DC53" s="1"/>
  <c r="DB69"/>
  <c r="DC69" s="1"/>
  <c r="DB85"/>
  <c r="DC85" s="1"/>
  <c r="DB101"/>
  <c r="DC101" s="1"/>
  <c r="DB16"/>
  <c r="DC16" s="1"/>
  <c r="DB32"/>
  <c r="DC32" s="1"/>
  <c r="DB48"/>
  <c r="DC48" s="1"/>
  <c r="DB64"/>
  <c r="DC64" s="1"/>
  <c r="DB80"/>
  <c r="DC80" s="1"/>
  <c r="DB96"/>
  <c r="DC96" s="1"/>
  <c r="DB11"/>
  <c r="DC11" s="1"/>
  <c r="DB27"/>
  <c r="DC27" s="1"/>
  <c r="DB43"/>
  <c r="DC43" s="1"/>
  <c r="DB59"/>
  <c r="DC59" s="1"/>
  <c r="DB75"/>
  <c r="DC75" s="1"/>
  <c r="DB91"/>
  <c r="DC91" s="1"/>
  <c r="DB107"/>
  <c r="DC107" s="1"/>
  <c r="DB22"/>
  <c r="DC22" s="1"/>
  <c r="DB38"/>
  <c r="DC38" s="1"/>
  <c r="DB54"/>
  <c r="DC54" s="1"/>
  <c r="DB70"/>
  <c r="DC70" s="1"/>
  <c r="DB86"/>
  <c r="DC86" s="1"/>
  <c r="DB102"/>
  <c r="DC102" s="1"/>
  <c r="DB17"/>
  <c r="DC17" s="1"/>
  <c r="DB33"/>
  <c r="DC33" s="1"/>
  <c r="DB49"/>
  <c r="DC49" s="1"/>
  <c r="DB65"/>
  <c r="DC65" s="1"/>
  <c r="DB81"/>
  <c r="DC81" s="1"/>
  <c r="DB97"/>
  <c r="DC97" s="1"/>
  <c r="DB12"/>
  <c r="DC12" s="1"/>
  <c r="DB28"/>
  <c r="DC28" s="1"/>
  <c r="DB44"/>
  <c r="DC44" s="1"/>
  <c r="DB60"/>
  <c r="DC60" s="1"/>
  <c r="DB76"/>
  <c r="DC76" s="1"/>
  <c r="DB92"/>
  <c r="DC92" s="1"/>
  <c r="DB108"/>
  <c r="DC108" s="1"/>
  <c r="DB23"/>
  <c r="DC23" s="1"/>
  <c r="DB39"/>
  <c r="DC39" s="1"/>
  <c r="DB55"/>
  <c r="DC55" s="1"/>
  <c r="DB71"/>
  <c r="DC71" s="1"/>
  <c r="DB87"/>
  <c r="DC87" s="1"/>
  <c r="DB103"/>
  <c r="DC103" s="1"/>
  <c r="DB18"/>
  <c r="DC18" s="1"/>
  <c r="DB34"/>
  <c r="DC34" s="1"/>
  <c r="DB50"/>
  <c r="DC50" s="1"/>
  <c r="DB66"/>
  <c r="DC66" s="1"/>
  <c r="DB82"/>
  <c r="DC82" s="1"/>
  <c r="DB98"/>
  <c r="DC98" s="1"/>
  <c r="DB13"/>
  <c r="DC13" s="1"/>
  <c r="DB29"/>
  <c r="DC29" s="1"/>
  <c r="DB45"/>
  <c r="DC45" s="1"/>
  <c r="DB61"/>
  <c r="DC61" s="1"/>
  <c r="DB77"/>
  <c r="DC77" s="1"/>
  <c r="DB93"/>
  <c r="DC93" s="1"/>
  <c r="DB109"/>
  <c r="DC109" s="1"/>
  <c r="DB24"/>
  <c r="DC24" s="1"/>
  <c r="DB40"/>
  <c r="DC40" s="1"/>
  <c r="DB56"/>
  <c r="DC56" s="1"/>
  <c r="DB72"/>
  <c r="DC72" s="1"/>
  <c r="DB88"/>
  <c r="DC88" s="1"/>
  <c r="DB104"/>
  <c r="DC104" s="1"/>
  <c r="DB19"/>
  <c r="DC19" s="1"/>
  <c r="DB35"/>
  <c r="DC35" s="1"/>
  <c r="DB51"/>
  <c r="DC51" s="1"/>
  <c r="DB67"/>
  <c r="DC67" s="1"/>
  <c r="DB83"/>
  <c r="DC83" s="1"/>
  <c r="DB99"/>
  <c r="DC99" s="1"/>
  <c r="BB16"/>
  <c r="BC16" s="1"/>
  <c r="BB24"/>
  <c r="BC24" s="1"/>
  <c r="BB32"/>
  <c r="BC32" s="1"/>
  <c r="BB40"/>
  <c r="BC40" s="1"/>
  <c r="BB48"/>
  <c r="BC48" s="1"/>
  <c r="BB56"/>
  <c r="BC56" s="1"/>
  <c r="BB64"/>
  <c r="BC64" s="1"/>
  <c r="BB72"/>
  <c r="BC72" s="1"/>
  <c r="BB80"/>
  <c r="BC80" s="1"/>
  <c r="BB88"/>
  <c r="BC88" s="1"/>
  <c r="BB96"/>
  <c r="BB104"/>
  <c r="BB15"/>
  <c r="BC15" s="1"/>
  <c r="BB31"/>
  <c r="BC31" s="1"/>
  <c r="BB47"/>
  <c r="BC47" s="1"/>
  <c r="BB63"/>
  <c r="BC63" s="1"/>
  <c r="BB79"/>
  <c r="BC79" s="1"/>
  <c r="BB95"/>
  <c r="BB77"/>
  <c r="BC77" s="1"/>
  <c r="BB45"/>
  <c r="BC45" s="1"/>
  <c r="BB13"/>
  <c r="BC13" s="1"/>
  <c r="BB105"/>
  <c r="BB73"/>
  <c r="BC73" s="1"/>
  <c r="BB41"/>
  <c r="BC41" s="1"/>
  <c r="BB14"/>
  <c r="BC14" s="1"/>
  <c r="BB22"/>
  <c r="BC22" s="1"/>
  <c r="BB30"/>
  <c r="BC30" s="1"/>
  <c r="BB38"/>
  <c r="BC38" s="1"/>
  <c r="BB46"/>
  <c r="BC46" s="1"/>
  <c r="BB54"/>
  <c r="BC54" s="1"/>
  <c r="BB62"/>
  <c r="BC62" s="1"/>
  <c r="BB70"/>
  <c r="BC70" s="1"/>
  <c r="BB78"/>
  <c r="BC78" s="1"/>
  <c r="BB86"/>
  <c r="BC86" s="1"/>
  <c r="BB94"/>
  <c r="BB102"/>
  <c r="BB11"/>
  <c r="BC11" s="1"/>
  <c r="BB27"/>
  <c r="BC27" s="1"/>
  <c r="BB43"/>
  <c r="BC43" s="1"/>
  <c r="BB59"/>
  <c r="BC59" s="1"/>
  <c r="BB75"/>
  <c r="BC75" s="1"/>
  <c r="BB91"/>
  <c r="BC91" s="1"/>
  <c r="BB107"/>
  <c r="BB85"/>
  <c r="BC85" s="1"/>
  <c r="BB53"/>
  <c r="BC53" s="1"/>
  <c r="BB21"/>
  <c r="BC21" s="1"/>
  <c r="BB81"/>
  <c r="BC81" s="1"/>
  <c r="BB49"/>
  <c r="BC49" s="1"/>
  <c r="BB17"/>
  <c r="BC17" s="1"/>
  <c r="BB12"/>
  <c r="BC12" s="1"/>
  <c r="BB20"/>
  <c r="BC20" s="1"/>
  <c r="BB28"/>
  <c r="BC28" s="1"/>
  <c r="BB36"/>
  <c r="BC36" s="1"/>
  <c r="BB44"/>
  <c r="BC44" s="1"/>
  <c r="BB52"/>
  <c r="BC52" s="1"/>
  <c r="BB60"/>
  <c r="BC60" s="1"/>
  <c r="BB68"/>
  <c r="BC68" s="1"/>
  <c r="BB76"/>
  <c r="BC76" s="1"/>
  <c r="BB84"/>
  <c r="BC84" s="1"/>
  <c r="BB92"/>
  <c r="BC92" s="1"/>
  <c r="BB100"/>
  <c r="BB10"/>
  <c r="BC10" s="1"/>
  <c r="BB23"/>
  <c r="BC23" s="1"/>
  <c r="BB39"/>
  <c r="BC39" s="1"/>
  <c r="BB55"/>
  <c r="BC55" s="1"/>
  <c r="BB71"/>
  <c r="BC71" s="1"/>
  <c r="BB87"/>
  <c r="BC87" s="1"/>
  <c r="BB103"/>
  <c r="BB93"/>
  <c r="BC93" s="1"/>
  <c r="BB61"/>
  <c r="BC61" s="1"/>
  <c r="BB29"/>
  <c r="BC29" s="1"/>
  <c r="BB89"/>
  <c r="BC89" s="1"/>
  <c r="BB57"/>
  <c r="BC57" s="1"/>
  <c r="BB25"/>
  <c r="BC25" s="1"/>
  <c r="BB18"/>
  <c r="BC18" s="1"/>
  <c r="BB26"/>
  <c r="BC26" s="1"/>
  <c r="BB34"/>
  <c r="BC34" s="1"/>
  <c r="BB42"/>
  <c r="BC42" s="1"/>
  <c r="BB50"/>
  <c r="BC50" s="1"/>
  <c r="BB58"/>
  <c r="BC58" s="1"/>
  <c r="BB66"/>
  <c r="BC66" s="1"/>
  <c r="BB74"/>
  <c r="BC74" s="1"/>
  <c r="BB82"/>
  <c r="BC82" s="1"/>
  <c r="BB90"/>
  <c r="BC90" s="1"/>
  <c r="BB98"/>
  <c r="BB106"/>
  <c r="BB19"/>
  <c r="BC19" s="1"/>
  <c r="BB35"/>
  <c r="BC35" s="1"/>
  <c r="BB51"/>
  <c r="BC51" s="1"/>
  <c r="BB67"/>
  <c r="BC67" s="1"/>
  <c r="BB83"/>
  <c r="BC83" s="1"/>
  <c r="BB99"/>
  <c r="BB101"/>
  <c r="BB69"/>
  <c r="BC69" s="1"/>
  <c r="BB37"/>
  <c r="BC37" s="1"/>
  <c r="BB97"/>
  <c r="BB65"/>
  <c r="BC65" s="1"/>
  <c r="BB33"/>
  <c r="BC33" s="1"/>
  <c r="DJ17"/>
  <c r="DK17" s="1"/>
  <c r="DJ33"/>
  <c r="DK33" s="1"/>
  <c r="DJ49"/>
  <c r="DK49" s="1"/>
  <c r="DJ65"/>
  <c r="DK65" s="1"/>
  <c r="DJ81"/>
  <c r="DK81" s="1"/>
  <c r="DJ97"/>
  <c r="DK97" s="1"/>
  <c r="DJ16"/>
  <c r="DK16" s="1"/>
  <c r="DO20" s="1"/>
  <c r="DJ32"/>
  <c r="DK32" s="1"/>
  <c r="DJ48"/>
  <c r="DK48" s="1"/>
  <c r="DJ64"/>
  <c r="DK64" s="1"/>
  <c r="DJ80"/>
  <c r="DK80" s="1"/>
  <c r="DJ96"/>
  <c r="DK96" s="1"/>
  <c r="DJ11"/>
  <c r="DK11" s="1"/>
  <c r="DJ27"/>
  <c r="DK27" s="1"/>
  <c r="DJ43"/>
  <c r="DK43" s="1"/>
  <c r="DJ59"/>
  <c r="DK59" s="1"/>
  <c r="DJ75"/>
  <c r="DK75" s="1"/>
  <c r="DJ91"/>
  <c r="DK91" s="1"/>
  <c r="DJ107"/>
  <c r="DK107" s="1"/>
  <c r="DJ26"/>
  <c r="DK26" s="1"/>
  <c r="DJ42"/>
  <c r="DK42" s="1"/>
  <c r="DJ58"/>
  <c r="DK58" s="1"/>
  <c r="DJ74"/>
  <c r="DK74" s="1"/>
  <c r="DJ90"/>
  <c r="DK90" s="1"/>
  <c r="DJ106"/>
  <c r="DK106" s="1"/>
  <c r="DJ13"/>
  <c r="DK13" s="1"/>
  <c r="DJ29"/>
  <c r="DK29" s="1"/>
  <c r="DJ45"/>
  <c r="DK45" s="1"/>
  <c r="DJ61"/>
  <c r="DK61" s="1"/>
  <c r="DJ77"/>
  <c r="DK77" s="1"/>
  <c r="DJ93"/>
  <c r="DK93" s="1"/>
  <c r="DJ12"/>
  <c r="DK12" s="1"/>
  <c r="DJ28"/>
  <c r="DK28" s="1"/>
  <c r="DJ44"/>
  <c r="DK44" s="1"/>
  <c r="DJ60"/>
  <c r="DK60" s="1"/>
  <c r="DJ76"/>
  <c r="DK76" s="1"/>
  <c r="DJ92"/>
  <c r="DK92" s="1"/>
  <c r="DJ10"/>
  <c r="DK10" s="1"/>
  <c r="DJ23"/>
  <c r="DK23" s="1"/>
  <c r="DJ39"/>
  <c r="DK39" s="1"/>
  <c r="DJ55"/>
  <c r="DK55" s="1"/>
  <c r="DJ71"/>
  <c r="DK71" s="1"/>
  <c r="DJ87"/>
  <c r="DK87" s="1"/>
  <c r="DJ103"/>
  <c r="DK103" s="1"/>
  <c r="DJ22"/>
  <c r="DK22" s="1"/>
  <c r="DJ38"/>
  <c r="DK38" s="1"/>
  <c r="DJ54"/>
  <c r="DK54" s="1"/>
  <c r="DJ70"/>
  <c r="DK70" s="1"/>
  <c r="DJ86"/>
  <c r="DK86" s="1"/>
  <c r="DJ102"/>
  <c r="DK102" s="1"/>
  <c r="DJ25"/>
  <c r="DK25" s="1"/>
  <c r="DJ41"/>
  <c r="DK41" s="1"/>
  <c r="DJ57"/>
  <c r="DK57" s="1"/>
  <c r="DJ73"/>
  <c r="DK73" s="1"/>
  <c r="DJ89"/>
  <c r="DK89" s="1"/>
  <c r="DJ105"/>
  <c r="DK105" s="1"/>
  <c r="DJ24"/>
  <c r="DK24" s="1"/>
  <c r="DJ40"/>
  <c r="DK40" s="1"/>
  <c r="DJ56"/>
  <c r="DK56" s="1"/>
  <c r="DJ72"/>
  <c r="DK72" s="1"/>
  <c r="DJ88"/>
  <c r="DK88" s="1"/>
  <c r="DJ104"/>
  <c r="DK104" s="1"/>
  <c r="DJ19"/>
  <c r="DK19" s="1"/>
  <c r="DJ35"/>
  <c r="DK35" s="1"/>
  <c r="DJ51"/>
  <c r="DK51" s="1"/>
  <c r="DJ67"/>
  <c r="DK67" s="1"/>
  <c r="DJ83"/>
  <c r="DK83" s="1"/>
  <c r="DJ99"/>
  <c r="DK99" s="1"/>
  <c r="DJ18"/>
  <c r="DK18" s="1"/>
  <c r="DO22" s="1"/>
  <c r="DJ34"/>
  <c r="DK34" s="1"/>
  <c r="DJ50"/>
  <c r="DK50" s="1"/>
  <c r="DJ66"/>
  <c r="DK66" s="1"/>
  <c r="DJ82"/>
  <c r="DK82" s="1"/>
  <c r="DJ98"/>
  <c r="DK98" s="1"/>
  <c r="DJ21"/>
  <c r="DK21" s="1"/>
  <c r="DJ37"/>
  <c r="DK37" s="1"/>
  <c r="DJ53"/>
  <c r="DK53" s="1"/>
  <c r="DJ69"/>
  <c r="DK69" s="1"/>
  <c r="DJ85"/>
  <c r="DK85" s="1"/>
  <c r="DJ101"/>
  <c r="DK101" s="1"/>
  <c r="DJ20"/>
  <c r="DK20" s="1"/>
  <c r="DJ36"/>
  <c r="DK36" s="1"/>
  <c r="DJ52"/>
  <c r="DK52" s="1"/>
  <c r="DJ68"/>
  <c r="DK68" s="1"/>
  <c r="DJ84"/>
  <c r="DK84" s="1"/>
  <c r="DJ100"/>
  <c r="DK100" s="1"/>
  <c r="DJ15"/>
  <c r="DK15" s="1"/>
  <c r="DJ31"/>
  <c r="DK31" s="1"/>
  <c r="DJ47"/>
  <c r="DK47" s="1"/>
  <c r="DJ63"/>
  <c r="DK63" s="1"/>
  <c r="DJ79"/>
  <c r="DK79" s="1"/>
  <c r="DJ95"/>
  <c r="DK95" s="1"/>
  <c r="DJ14"/>
  <c r="DK14" s="1"/>
  <c r="DJ30"/>
  <c r="DK30" s="1"/>
  <c r="DJ46"/>
  <c r="DK46" s="1"/>
  <c r="DJ62"/>
  <c r="DK62" s="1"/>
  <c r="DJ78"/>
  <c r="DK78" s="1"/>
  <c r="DJ94"/>
  <c r="DK94" s="1"/>
  <c r="DK117" i="1"/>
  <c r="B8" i="2" s="1"/>
  <c r="P8" s="1"/>
  <c r="CD117" i="1"/>
  <c r="B6" i="2" s="1"/>
  <c r="P6" s="1"/>
  <c r="AM117" i="1"/>
  <c r="B4" i="2" s="1"/>
  <c r="I4" s="1"/>
  <c r="B11"/>
  <c r="DK114" i="3" l="1"/>
  <c r="DO21"/>
  <c r="DO18"/>
  <c r="DO17"/>
  <c r="DC114"/>
  <c r="DO16"/>
  <c r="D8" i="2" s="1"/>
  <c r="DO14" i="3"/>
  <c r="DO15"/>
  <c r="DO19"/>
  <c r="BC114"/>
  <c r="DN17"/>
  <c r="DN20"/>
  <c r="DN21"/>
  <c r="DN16"/>
  <c r="D6" i="2" s="1"/>
  <c r="DN15" i="3"/>
  <c r="DN19"/>
  <c r="DN14"/>
  <c r="DN22"/>
  <c r="DN18"/>
  <c r="AU114"/>
  <c r="F4" i="2"/>
  <c r="J4"/>
  <c r="N4"/>
  <c r="M4"/>
  <c r="P4"/>
  <c r="M8"/>
  <c r="G4"/>
  <c r="L4"/>
  <c r="E8"/>
  <c r="I8"/>
  <c r="O8"/>
  <c r="F8"/>
  <c r="G8"/>
  <c r="N8"/>
  <c r="H8"/>
  <c r="L8"/>
  <c r="K8"/>
  <c r="J8"/>
  <c r="I6"/>
  <c r="H6"/>
  <c r="G6"/>
  <c r="B10"/>
  <c r="O6"/>
  <c r="K6"/>
  <c r="F6"/>
  <c r="J6"/>
  <c r="N6"/>
  <c r="L6"/>
  <c r="E6"/>
  <c r="M6"/>
  <c r="H4"/>
  <c r="E4"/>
  <c r="K4"/>
  <c r="O4"/>
  <c r="P4" i="3"/>
  <c r="Q14" s="1"/>
  <c r="R14" s="1"/>
  <c r="DM18" s="1"/>
  <c r="DK117" l="1"/>
  <c r="CD117"/>
  <c r="Q107"/>
  <c r="R107" s="1"/>
  <c r="Q88"/>
  <c r="R88" s="1"/>
  <c r="Q38"/>
  <c r="R38" s="1"/>
  <c r="Q9"/>
  <c r="R9" s="1"/>
  <c r="DM13" s="1"/>
  <c r="Q89"/>
  <c r="R89" s="1"/>
  <c r="Q40"/>
  <c r="R40" s="1"/>
  <c r="Q42"/>
  <c r="R42" s="1"/>
  <c r="Q43"/>
  <c r="R43" s="1"/>
  <c r="Q23"/>
  <c r="R23" s="1"/>
  <c r="Q66"/>
  <c r="R66" s="1"/>
  <c r="Q57"/>
  <c r="R57" s="1"/>
  <c r="Q87"/>
  <c r="R87" s="1"/>
  <c r="Q62"/>
  <c r="R62" s="1"/>
  <c r="Q53"/>
  <c r="R53" s="1"/>
  <c r="Q71"/>
  <c r="R71" s="1"/>
  <c r="Q19"/>
  <c r="R19" s="1"/>
  <c r="Q10"/>
  <c r="R10" s="1"/>
  <c r="DM14" s="1"/>
  <c r="Q77"/>
  <c r="R77" s="1"/>
  <c r="Q65"/>
  <c r="R65" s="1"/>
  <c r="Q18"/>
  <c r="R18" s="1"/>
  <c r="DM22" s="1"/>
  <c r="Q82"/>
  <c r="R82" s="1"/>
  <c r="Q22"/>
  <c r="R22" s="1"/>
  <c r="Q33"/>
  <c r="R33" s="1"/>
  <c r="Q44"/>
  <c r="R44" s="1"/>
  <c r="Q81"/>
  <c r="R81" s="1"/>
  <c r="Q56"/>
  <c r="R56" s="1"/>
  <c r="Q104"/>
  <c r="R104" s="1"/>
  <c r="Q41"/>
  <c r="R41" s="1"/>
  <c r="Q61"/>
  <c r="R61" s="1"/>
  <c r="Q102"/>
  <c r="R102" s="1"/>
  <c r="Q97"/>
  <c r="R97" s="1"/>
  <c r="Q26"/>
  <c r="R26" s="1"/>
  <c r="Q45"/>
  <c r="R45" s="1"/>
  <c r="Q21"/>
  <c r="R21" s="1"/>
  <c r="Q103"/>
  <c r="R103" s="1"/>
  <c r="Q35"/>
  <c r="R35" s="1"/>
  <c r="Q58"/>
  <c r="R58" s="1"/>
  <c r="Q54"/>
  <c r="R54" s="1"/>
  <c r="Q69"/>
  <c r="R69" s="1"/>
  <c r="Q55"/>
  <c r="R55" s="1"/>
  <c r="Q63"/>
  <c r="R63" s="1"/>
  <c r="Q13"/>
  <c r="R13" s="1"/>
  <c r="DM17" s="1"/>
  <c r="Q17"/>
  <c r="R17" s="1"/>
  <c r="DM21" s="1"/>
  <c r="Q100"/>
  <c r="R100" s="1"/>
  <c r="Q106"/>
  <c r="R106" s="1"/>
  <c r="Q20"/>
  <c r="R20" s="1"/>
  <c r="Q29"/>
  <c r="R29" s="1"/>
  <c r="Q31"/>
  <c r="R31" s="1"/>
  <c r="Q47"/>
  <c r="R47" s="1"/>
  <c r="Q51"/>
  <c r="R51" s="1"/>
  <c r="Q32"/>
  <c r="R32" s="1"/>
  <c r="Q28"/>
  <c r="R28" s="1"/>
  <c r="Q73"/>
  <c r="R73" s="1"/>
  <c r="Q49"/>
  <c r="R49" s="1"/>
  <c r="Q99"/>
  <c r="R99" s="1"/>
  <c r="Q86"/>
  <c r="R86" s="1"/>
  <c r="Q67"/>
  <c r="R67" s="1"/>
  <c r="Q93"/>
  <c r="R93" s="1"/>
  <c r="Q101"/>
  <c r="R101" s="1"/>
  <c r="Q36"/>
  <c r="R36" s="1"/>
  <c r="Q37"/>
  <c r="R37" s="1"/>
  <c r="Q25"/>
  <c r="R25" s="1"/>
  <c r="Q75"/>
  <c r="R75" s="1"/>
  <c r="Q46"/>
  <c r="R46" s="1"/>
  <c r="Q72"/>
  <c r="R72" s="1"/>
  <c r="Q50"/>
  <c r="R50" s="1"/>
  <c r="Q91"/>
  <c r="R91" s="1"/>
  <c r="Q80"/>
  <c r="R80" s="1"/>
  <c r="Q70"/>
  <c r="R70" s="1"/>
  <c r="Q84"/>
  <c r="R84" s="1"/>
  <c r="Q95"/>
  <c r="R95" s="1"/>
  <c r="Q11"/>
  <c r="R11" s="1"/>
  <c r="DM15" s="1"/>
  <c r="Q98"/>
  <c r="R98" s="1"/>
  <c r="Q24"/>
  <c r="R24" s="1"/>
  <c r="Q79"/>
  <c r="R79" s="1"/>
  <c r="Q27"/>
  <c r="R27" s="1"/>
  <c r="Q94"/>
  <c r="R94" s="1"/>
  <c r="Q39"/>
  <c r="R39" s="1"/>
  <c r="Q85"/>
  <c r="R85" s="1"/>
  <c r="Q59"/>
  <c r="R59" s="1"/>
  <c r="Q48"/>
  <c r="R48" s="1"/>
  <c r="Q74"/>
  <c r="R74" s="1"/>
  <c r="Q83"/>
  <c r="R83" s="1"/>
  <c r="Q90"/>
  <c r="R90" s="1"/>
  <c r="Q78"/>
  <c r="R78" s="1"/>
  <c r="Q12"/>
  <c r="R12" s="1"/>
  <c r="DM16" s="1"/>
  <c r="D4" i="2" s="1"/>
  <c r="Q15" i="3"/>
  <c r="R15" s="1"/>
  <c r="DM19" s="1"/>
  <c r="Q30"/>
  <c r="R30" s="1"/>
  <c r="Q16"/>
  <c r="R16" s="1"/>
  <c r="DM20" s="1"/>
  <c r="Q34"/>
  <c r="R34" s="1"/>
  <c r="Q64"/>
  <c r="R64" s="1"/>
  <c r="Q52"/>
  <c r="R52" s="1"/>
  <c r="Q92"/>
  <c r="R92" s="1"/>
  <c r="Q60"/>
  <c r="R60" s="1"/>
  <c r="Q105"/>
  <c r="R105" s="1"/>
  <c r="Q76"/>
  <c r="R76" s="1"/>
  <c r="Q68"/>
  <c r="R68" s="1"/>
  <c r="Q96"/>
  <c r="R96" s="1"/>
  <c r="AM117" l="1"/>
</calcChain>
</file>

<file path=xl/comments1.xml><?xml version="1.0" encoding="utf-8"?>
<comments xmlns="http://schemas.openxmlformats.org/spreadsheetml/2006/main">
  <authors>
    <author>Debbie Deubel</author>
  </authors>
  <commentList>
    <comment ref="I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10"/>
            <color indexed="81"/>
            <rFont val="Tahoma"/>
            <family val="2"/>
          </rPr>
          <t>Talk with Kellee Quick to determine if this is correct or if we include any gas $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Debbie Deubel</author>
  </authors>
  <commentLis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jww0439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(H-W Section B-6, Line 17 - Heavy Contr. Trades Labor)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Overhead H-W Values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H-W  O.H. St. Ltg.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FERC Acct #315, "Accessory Electrical Equipment" used</t>
        </r>
      </text>
    </comment>
  </commentList>
</comments>
</file>

<file path=xl/sharedStrings.xml><?xml version="1.0" encoding="utf-8"?>
<sst xmlns="http://schemas.openxmlformats.org/spreadsheetml/2006/main" count="513" uniqueCount="137">
  <si>
    <t xml:space="preserve"> </t>
  </si>
  <si>
    <t>FERC Acct #315, "Accessory Electrical Equipment" used</t>
  </si>
  <si>
    <t>XMission Accounts: (350), 354-59</t>
  </si>
  <si>
    <t>Dist. Accts: 364-70, 373</t>
  </si>
  <si>
    <t>Subst. Accts: 352-53, 361-62, (397)</t>
  </si>
  <si>
    <t>(per Handy-Whit) for corrections</t>
  </si>
  <si>
    <t>FERC AC</t>
  </si>
  <si>
    <t>Acct #350 = 70% XMission</t>
  </si>
  <si>
    <t>368 (Line XFmrs=82.4% of total)</t>
  </si>
  <si>
    <t>368 (Pad XFmrs =17.6% of total)</t>
  </si>
  <si>
    <t>Overhead H-W Values</t>
  </si>
  <si>
    <t>Acct #350 = 30% Subst</t>
  </si>
  <si>
    <t>YEAR</t>
  </si>
  <si>
    <t>Actual $$$</t>
  </si>
  <si>
    <t>corr $$$</t>
  </si>
  <si>
    <t>XMiss $$</t>
  </si>
  <si>
    <t>corr  $$$</t>
  </si>
  <si>
    <t>H-W</t>
  </si>
  <si>
    <t>retire</t>
  </si>
  <si>
    <t>correct $$$</t>
  </si>
  <si>
    <t>corr. $$</t>
  </si>
  <si>
    <t>col add</t>
  </si>
  <si>
    <t>corr $$</t>
  </si>
  <si>
    <t>Total Actual $$</t>
  </si>
  <si>
    <t>Line $$$</t>
  </si>
  <si>
    <t>Pad $$$</t>
  </si>
  <si>
    <t>Subst 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</si>
  <si>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</si>
  <si>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</si>
  <si>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</si>
  <si>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</si>
  <si>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</si>
  <si>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</si>
  <si>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</si>
  <si>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</si>
  <si>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</si>
  <si>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</si>
  <si>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</si>
  <si>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</si>
  <si>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397(All)</t>
  </si>
  <si>
    <t>397(elect. Only)</t>
  </si>
  <si>
    <t>(H-W p.B6,line 17)</t>
  </si>
  <si>
    <t>(H-W acct #354)</t>
  </si>
  <si>
    <t>Substation $$ = 50% of corr $$(25% from 1990)</t>
  </si>
  <si>
    <t>( H-W  O.H. St. Ltg.)</t>
  </si>
  <si>
    <t>( H-W O.H. Accts )</t>
  </si>
  <si>
    <t>(est)</t>
  </si>
  <si>
    <t>col, add</t>
  </si>
  <si>
    <t xml:space="preserve">TX Total Replacement = </t>
  </si>
  <si>
    <t xml:space="preserve">TX Total Investment = </t>
  </si>
  <si>
    <t xml:space="preserve">DX Total Replacement = </t>
  </si>
  <si>
    <t xml:space="preserve">DX Total Investment = </t>
  </si>
  <si>
    <t xml:space="preserve">Sub Total Replacement = </t>
  </si>
  <si>
    <t xml:space="preserve">Sub Total Investment = </t>
  </si>
  <si>
    <t>Year</t>
  </si>
  <si>
    <t>Total Replacement</t>
  </si>
  <si>
    <t>Total Investment</t>
  </si>
  <si>
    <t>07</t>
  </si>
  <si>
    <t>Towers &amp; Fixtures</t>
  </si>
  <si>
    <t>Poles &amp; Fixtures</t>
  </si>
  <si>
    <t>OH Conductors &amp; Devices</t>
  </si>
  <si>
    <t>UG Conduit</t>
  </si>
  <si>
    <t>Poles, Towers &amp; Fixtures</t>
  </si>
  <si>
    <t>UG Conductors &amp; Devices</t>
  </si>
  <si>
    <t>Services-OH</t>
  </si>
  <si>
    <t>Meters Installed</t>
  </si>
  <si>
    <t>Street Lighting-OH</t>
  </si>
  <si>
    <t>Mast Arms &amp; Luminaries Installed</t>
  </si>
  <si>
    <t>Pad Xfrmr</t>
  </si>
  <si>
    <t>Line Xfrmr</t>
  </si>
  <si>
    <t>Dist</t>
  </si>
  <si>
    <t>Trans</t>
  </si>
  <si>
    <t>Sub</t>
  </si>
  <si>
    <t>Towers, Poles &amp; Fixtures</t>
  </si>
  <si>
    <t>354 &amp; 355</t>
  </si>
  <si>
    <t>Communication Equipment</t>
  </si>
  <si>
    <t>Roads &amp; Trails</t>
  </si>
  <si>
    <t>Land &amp; Land Rights - Sub</t>
  </si>
  <si>
    <t>Structures &amp; Improvements - Trans</t>
  </si>
  <si>
    <t>Station Equipment - Trans</t>
  </si>
  <si>
    <t>Structures &amp; Improvements - Dist</t>
  </si>
  <si>
    <t>Station Equipment - Dist</t>
  </si>
  <si>
    <t>Land &amp; Land Rights -Trans</t>
  </si>
  <si>
    <t>Aggregate Distribution Depreciation</t>
  </si>
  <si>
    <t>Aggregate Substation Depreciation</t>
  </si>
  <si>
    <t>Aggregate Transmission Depreciation</t>
  </si>
  <si>
    <t>Distribution</t>
  </si>
  <si>
    <t>Substation</t>
  </si>
  <si>
    <t>Transmission</t>
  </si>
  <si>
    <t>All</t>
  </si>
  <si>
    <t>Depreciation</t>
  </si>
  <si>
    <t>Depreciation to Replacement Ratio 2007</t>
  </si>
  <si>
    <t>Budget to Replacement Ratio 2008</t>
  </si>
  <si>
    <t>Budget to Replacement Ratio 2009</t>
  </si>
  <si>
    <t>Budget to Replacement Ratio 2010</t>
  </si>
  <si>
    <t>Budget to Replacement Ratio 2011</t>
  </si>
  <si>
    <t>Budget to Replacement Ratio 2012</t>
  </si>
  <si>
    <t>Budget to Replacement Ratio 2013</t>
  </si>
  <si>
    <t>Budget without Growth</t>
  </si>
  <si>
    <t>Budget with Growth</t>
  </si>
  <si>
    <t>Substations</t>
  </si>
  <si>
    <t>System</t>
  </si>
  <si>
    <t>AGE DATED PLANT BALANCE - SURVIVORS----End of 2009</t>
  </si>
  <si>
    <t>H-W # from most current year</t>
  </si>
  <si>
    <t>H-W = These numbers come from the Handy Whitman books - Pacific Region - by FERC Number / Use the Jul.1 numbers / The updated Handy Whitman arrives at Avista in May of each year</t>
  </si>
  <si>
    <t>FERC #</t>
  </si>
  <si>
    <t>FERC # 366</t>
  </si>
  <si>
    <t>FERC # 367</t>
  </si>
  <si>
    <t>FERC # 365</t>
  </si>
  <si>
    <t>FERC # 370</t>
  </si>
  <si>
    <t>H-W = These numbers come from the Handy Whitman books - Pacific Region - by FERC Number / Use the July1 numbers / The updated Handy Whitman arrives at Avista in May of each year</t>
  </si>
  <si>
    <t>FERC # 364</t>
  </si>
  <si>
    <t>FERC # 368 (Line XFmrs=82.4% of total)</t>
  </si>
  <si>
    <t>FERC # 368 (Pad XFmrs =17.6% of total)</t>
  </si>
  <si>
    <t>FERC # 369  Overhead H-W Values</t>
  </si>
  <si>
    <t>FERC # 352     (H-W acct #354)</t>
  </si>
  <si>
    <t>FERC # 353</t>
  </si>
  <si>
    <t>FERC # 361     (H-W Acct #354)</t>
  </si>
  <si>
    <t>368 Line XFmrs</t>
  </si>
  <si>
    <t>368 Pad XFmrs</t>
  </si>
  <si>
    <t>(H-W Section B-6, Line 17 - Heavy Contr. Trades Labor)</t>
  </si>
  <si>
    <t>to '10</t>
  </si>
  <si>
    <t>Equiv '10 $$</t>
  </si>
  <si>
    <t>HW_Data Column</t>
  </si>
  <si>
    <t>Leave Line 8 blank, insert new line at line 9 when update for new year</t>
  </si>
  <si>
    <t>HW data column for lookup</t>
  </si>
  <si>
    <t>year</t>
  </si>
  <si>
    <t>Towers &amp; Fixtures (FERC Acct. 354)</t>
  </si>
  <si>
    <t>Poles &amp; Fixtures (FERC Acct. 355)</t>
  </si>
  <si>
    <t>OH Conductors (FERC Acct. 356)</t>
  </si>
  <si>
    <t>Structures &amp; Improvements (FERC Acct. 361)</t>
  </si>
  <si>
    <t>Station Equip. (FERC Acct. 362)</t>
  </si>
  <si>
    <t>Poles (FERC Acct. 364)</t>
  </si>
  <si>
    <t>OH Line Transformers (FERC Acct. 368)</t>
  </si>
  <si>
    <t>Structures &amp; Improvements (FERC Acct. 352)</t>
  </si>
  <si>
    <t>Station Equip. (FERC Acct. 353)</t>
  </si>
  <si>
    <t>OH Conductors (FERC Acct. 365)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</si>
</sst>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"/>
    <numFmt numFmtId="166" formatCode="&quot;$&quot;#,##0.00"/>
    <numFmt numFmtId="167" formatCode="_(* #,##0_);_(* \(#,##0\);_(* &quot;-&quot;??_);_(@_)"/>
  </numFmts>
  <fonts count="2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b/>
      <u/>
      <sz val="9"/>
      <name val="Geneva"/>
    </font>
    <font>
      <b/>
      <sz val="9"/>
      <name val="Geneva"/>
    </font>
    <font>
      <b/>
      <u/>
      <sz val="12"/>
      <name val="Geneva"/>
    </font>
    <font>
      <sz val="1"/>
      <name val="Geneva"/>
    </font>
    <font>
      <sz val="8"/>
      <name val="Geneva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sz val="10"/>
      <color theme="0"/>
      <name val="Geneva"/>
    </font>
    <font>
      <b/>
      <sz val="11"/>
      <name val="Geneva"/>
    </font>
    <font>
      <sz val="11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353">
    <xf numFmtId="0" fontId="0" fillId="0" borderId="0" xfId="0"/>
    <xf numFmtId="16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  <xf numFmtId="5" fontId="0" fillId="0" borderId="0" xfId="0" applyNumberForma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3" xfId="0" applyNumberFormat="1" applyFont="1" applyFill="1" applyBorder="1"/>
    <xf numFmtId="0" fontId="0" fillId="0" borderId="4" xfId="0" applyBorder="1"/>
    <xf numFmtId="5" fontId="0" fillId="0" borderId="4" xfId="0" applyNumberFormat="1" applyBorder="1" applyAlignment="1">
      <alignment horizontal="right"/>
    </xf>
    <xf numFmtId="5" fontId="0" fillId="0" borderId="4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/>
    </xf>
    <xf numFmtId="5" fontId="0" fillId="0" borderId="4" xfId="0" applyNumberFormat="1" applyBorder="1" applyAlignment="1"/>
    <xf numFmtId="0" fontId="0" fillId="0" borderId="4" xfId="0" applyBorder="1" applyAlignment="1">
      <alignment horizontal="left"/>
    </xf>
    <xf numFmtId="5" fontId="3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5" fontId="1" fillId="0" borderId="6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5" fontId="1" fillId="0" borderId="6" xfId="0" applyNumberFormat="1" applyFont="1" applyFill="1" applyBorder="1" applyAlignment="1">
      <alignment horizontal="right"/>
    </xf>
    <xf numFmtId="5" fontId="8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5" fontId="0" fillId="2" borderId="0" xfId="0" applyNumberFormat="1" applyFill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3" borderId="0" xfId="0" applyNumberFormat="1" applyFill="1" applyAlignment="1">
      <alignment horizontal="right"/>
    </xf>
    <xf numFmtId="5" fontId="3" fillId="0" borderId="0" xfId="0" applyNumberFormat="1" applyFont="1" applyBorder="1"/>
    <xf numFmtId="5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right"/>
    </xf>
    <xf numFmtId="5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5" fontId="1" fillId="0" borderId="4" xfId="0" applyNumberFormat="1" applyFont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  <xf numFmtId="2" fontId="0" fillId="0" borderId="7" xfId="0" applyNumberFormat="1" applyBorder="1"/>
    <xf numFmtId="165" fontId="0" fillId="0" borderId="7" xfId="0" applyNumberFormat="1" applyBorder="1"/>
    <xf numFmtId="165" fontId="1" fillId="0" borderId="0" xfId="0" applyNumberFormat="1" applyFont="1"/>
    <xf numFmtId="166" fontId="1" fillId="0" borderId="0" xfId="0" applyNumberFormat="1" applyFont="1"/>
    <xf numFmtId="6" fontId="1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quotePrefix="1" applyBorder="1"/>
    <xf numFmtId="1" fontId="1" fillId="0" borderId="0" xfId="0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167" fontId="0" fillId="0" borderId="0" xfId="0" applyNumberFormat="1"/>
    <xf numFmtId="167" fontId="0" fillId="4" borderId="0" xfId="1" applyNumberFormat="1" applyFont="1" applyFill="1"/>
    <xf numFmtId="6" fontId="1" fillId="0" borderId="4" xfId="2" applyNumberFormat="1" applyFont="1" applyBorder="1" applyAlignment="1"/>
    <xf numFmtId="6" fontId="1" fillId="0" borderId="0" xfId="2" applyNumberFormat="1" applyFont="1" applyAlignment="1"/>
    <xf numFmtId="0" fontId="1" fillId="5" borderId="0" xfId="0" applyFont="1" applyFill="1" applyAlignment="1">
      <alignment horizontal="center"/>
    </xf>
    <xf numFmtId="5" fontId="1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7" fontId="0" fillId="2" borderId="0" xfId="0" applyNumberFormat="1" applyFill="1"/>
    <xf numFmtId="167" fontId="0" fillId="2" borderId="8" xfId="1" applyNumberFormat="1" applyFont="1" applyFill="1" applyBorder="1"/>
    <xf numFmtId="167" fontId="0" fillId="2" borderId="0" xfId="1" applyNumberFormat="1" applyFont="1" applyFill="1"/>
    <xf numFmtId="0" fontId="0" fillId="0" borderId="0" xfId="0" applyAlignment="1">
      <alignment horizontal="right"/>
    </xf>
    <xf numFmtId="165" fontId="3" fillId="6" borderId="0" xfId="0" applyNumberFormat="1" applyFont="1" applyFill="1" applyAlignment="1">
      <alignment horizontal="center"/>
    </xf>
    <xf numFmtId="5" fontId="0" fillId="6" borderId="0" xfId="0" applyNumberFormat="1" applyFill="1" applyAlignment="1">
      <alignment horizontal="right"/>
    </xf>
    <xf numFmtId="38" fontId="1" fillId="0" borderId="0" xfId="1" applyNumberFormat="1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10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10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/>
    <xf numFmtId="10" fontId="0" fillId="0" borderId="37" xfId="0" applyNumberFormat="1" applyBorder="1"/>
    <xf numFmtId="0" fontId="0" fillId="0" borderId="38" xfId="0" applyBorder="1"/>
    <xf numFmtId="10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5" fontId="1" fillId="0" borderId="4" xfId="0" applyNumberFormat="1" applyFont="1" applyFill="1" applyBorder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0" fillId="9" borderId="2" xfId="0" applyFill="1" applyBorder="1"/>
    <xf numFmtId="0" fontId="1" fillId="9" borderId="5" xfId="0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/>
    </xf>
    <xf numFmtId="0" fontId="0" fillId="9" borderId="5" xfId="0" applyFill="1" applyBorder="1"/>
    <xf numFmtId="1" fontId="1" fillId="9" borderId="2" xfId="0" applyNumberFormat="1" applyFont="1" applyFill="1" applyBorder="1" applyAlignment="1">
      <alignment horizontal="left"/>
    </xf>
    <xf numFmtId="0" fontId="1" fillId="9" borderId="5" xfId="0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center"/>
    </xf>
    <xf numFmtId="5" fontId="1" fillId="9" borderId="5" xfId="0" applyNumberFormat="1" applyFont="1" applyFill="1" applyBorder="1" applyAlignment="1">
      <alignment horizontal="right"/>
    </xf>
    <xf numFmtId="0" fontId="0" fillId="9" borderId="0" xfId="0" applyFill="1"/>
    <xf numFmtId="165" fontId="0" fillId="7" borderId="0" xfId="0" applyNumberFormat="1" applyFill="1" applyAlignment="1">
      <alignment horizontal="right"/>
    </xf>
    <xf numFmtId="165" fontId="0" fillId="7" borderId="4" xfId="0" applyNumberFormat="1" applyFill="1" applyBorder="1" applyAlignment="1">
      <alignment horizontal="right"/>
    </xf>
    <xf numFmtId="2" fontId="1" fillId="8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5" fontId="1" fillId="10" borderId="44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right"/>
    </xf>
    <xf numFmtId="165" fontId="3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7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NumberFormat="1" applyFill="1" applyAlignment="1">
      <alignment horizontal="center"/>
    </xf>
    <xf numFmtId="5" fontId="0" fillId="0" borderId="4" xfId="0" applyNumberForma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6" fontId="0" fillId="0" borderId="0" xfId="2" applyNumberFormat="1" applyFont="1" applyFill="1"/>
    <xf numFmtId="5" fontId="0" fillId="0" borderId="0" xfId="0" applyNumberFormat="1" applyFill="1" applyAlignment="1"/>
    <xf numFmtId="6" fontId="3" fillId="0" borderId="4" xfId="2" applyNumberFormat="1" applyFont="1" applyFill="1" applyBorder="1" applyAlignment="1"/>
    <xf numFmtId="5" fontId="0" fillId="0" borderId="4" xfId="0" applyNumberFormat="1" applyFill="1" applyBorder="1" applyAlignment="1"/>
    <xf numFmtId="5" fontId="0" fillId="0" borderId="0" xfId="0" applyNumberFormat="1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5" fontId="0" fillId="0" borderId="12" xfId="0" applyNumberFormat="1" applyFill="1" applyBorder="1"/>
    <xf numFmtId="6" fontId="0" fillId="0" borderId="13" xfId="0" applyNumberFormat="1" applyFill="1" applyBorder="1"/>
    <xf numFmtId="5" fontId="0" fillId="0" borderId="14" xfId="0" applyNumberFormat="1" applyFill="1" applyBorder="1"/>
    <xf numFmtId="165" fontId="0" fillId="0" borderId="15" xfId="0" applyNumberFormat="1" applyFill="1" applyBorder="1"/>
    <xf numFmtId="6" fontId="0" fillId="0" borderId="16" xfId="0" applyNumberFormat="1" applyFill="1" applyBorder="1"/>
    <xf numFmtId="5" fontId="0" fillId="0" borderId="17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4" xfId="0" applyNumberFormat="1" applyFill="1" applyBorder="1" applyAlignment="1">
      <alignment horizontal="right"/>
    </xf>
    <xf numFmtId="5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5" fontId="0" fillId="0" borderId="4" xfId="0" applyNumberFormat="1" applyFill="1" applyBorder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8" fillId="0" borderId="0" xfId="0" applyNumberFormat="1" applyFont="1" applyFill="1" applyAlignment="1">
      <alignment horizontal="right"/>
    </xf>
    <xf numFmtId="5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5" fontId="3" fillId="0" borderId="4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Alignment="1">
      <alignment horizontal="right"/>
    </xf>
    <xf numFmtId="5" fontId="1" fillId="0" borderId="4" xfId="0" applyNumberFormat="1" applyFont="1" applyFill="1" applyBorder="1"/>
    <xf numFmtId="0" fontId="0" fillId="0" borderId="3" xfId="0" applyFill="1" applyBorder="1"/>
    <xf numFmtId="6" fontId="1" fillId="0" borderId="1" xfId="2" applyNumberFormat="1" applyFont="1" applyFill="1" applyBorder="1"/>
    <xf numFmtId="6" fontId="1" fillId="0" borderId="0" xfId="2" applyNumberFormat="1" applyFont="1" applyFill="1"/>
    <xf numFmtId="6" fontId="1" fillId="0" borderId="4" xfId="2" applyNumberFormat="1" applyFont="1" applyFill="1" applyBorder="1"/>
    <xf numFmtId="6" fontId="1" fillId="0" borderId="0" xfId="2" applyNumberFormat="1" applyFont="1" applyFill="1" applyBorder="1" applyAlignment="1">
      <alignment horizontal="center"/>
    </xf>
    <xf numFmtId="6" fontId="1" fillId="0" borderId="4" xfId="2" applyNumberFormat="1" applyFont="1" applyFill="1" applyBorder="1" applyAlignment="1">
      <alignment horizontal="right"/>
    </xf>
    <xf numFmtId="0" fontId="0" fillId="0" borderId="1" xfId="0" quotePrefix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4" xfId="0" applyNumberFormat="1" applyFill="1" applyBorder="1"/>
    <xf numFmtId="164" fontId="0" fillId="0" borderId="4" xfId="0" applyNumberFormat="1" applyFill="1" applyBorder="1" applyAlignment="1">
      <alignment horizontal="right"/>
    </xf>
    <xf numFmtId="0" fontId="4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" xfId="0" applyFill="1" applyBorder="1"/>
    <xf numFmtId="0" fontId="4" fillId="12" borderId="0" xfId="0" applyFont="1" applyFill="1" applyAlignment="1">
      <alignment horizontal="center"/>
    </xf>
    <xf numFmtId="2" fontId="0" fillId="12" borderId="0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1" fontId="0" fillId="12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right"/>
    </xf>
    <xf numFmtId="1" fontId="14" fillId="11" borderId="2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6" fillId="11" borderId="2" xfId="0" applyNumberFormat="1" applyFont="1" applyFill="1" applyBorder="1" applyAlignment="1">
      <alignment horizontal="center"/>
    </xf>
    <xf numFmtId="5" fontId="14" fillId="11" borderId="44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4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0" fontId="1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left"/>
    </xf>
    <xf numFmtId="2" fontId="0" fillId="13" borderId="0" xfId="0" applyNumberFormat="1" applyFill="1" applyAlignment="1">
      <alignment horizontal="center"/>
    </xf>
    <xf numFmtId="0" fontId="0" fillId="13" borderId="0" xfId="0" applyFill="1"/>
    <xf numFmtId="2" fontId="1" fillId="13" borderId="0" xfId="0" applyNumberFormat="1" applyFont="1" applyFill="1" applyBorder="1" applyAlignment="1">
      <alignment horizontal="center"/>
    </xf>
    <xf numFmtId="5" fontId="1" fillId="13" borderId="4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4" xfId="0" applyFont="1" applyFill="1" applyBorder="1" applyAlignment="1">
      <alignment horizontal="center"/>
    </xf>
    <xf numFmtId="1" fontId="1" fillId="12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4" fillId="14" borderId="0" xfId="0" applyFont="1" applyFill="1" applyAlignment="1">
      <alignment horizontal="left"/>
    </xf>
    <xf numFmtId="1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4" xfId="0" applyFill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0" fillId="14" borderId="4" xfId="0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2" fontId="1" fillId="14" borderId="0" xfId="0" applyNumberFormat="1" applyFont="1" applyFill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7" fillId="13" borderId="5" xfId="0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center"/>
    </xf>
    <xf numFmtId="2" fontId="17" fillId="13" borderId="2" xfId="0" applyNumberFormat="1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left"/>
    </xf>
    <xf numFmtId="0" fontId="17" fillId="13" borderId="2" xfId="0" applyNumberFormat="1" applyFont="1" applyFill="1" applyBorder="1" applyAlignment="1">
      <alignment horizontal="center"/>
    </xf>
    <xf numFmtId="5" fontId="17" fillId="13" borderId="5" xfId="0" applyNumberFormat="1" applyFont="1" applyFill="1" applyBorder="1" applyAlignment="1">
      <alignment horizontal="right"/>
    </xf>
    <xf numFmtId="0" fontId="18" fillId="0" borderId="0" xfId="0" applyFont="1" applyFill="1"/>
    <xf numFmtId="6" fontId="1" fillId="8" borderId="0" xfId="2" applyNumberFormat="1" applyFont="1" applyFill="1" applyAlignment="1">
      <alignment horizontal="center"/>
    </xf>
    <xf numFmtId="5" fontId="0" fillId="8" borderId="0" xfId="0" applyNumberFormat="1" applyFill="1" applyAlignment="1">
      <alignment horizontal="center"/>
    </xf>
    <xf numFmtId="38" fontId="1" fillId="8" borderId="0" xfId="1" applyNumberFormat="1" applyFont="1" applyFill="1" applyAlignment="1">
      <alignment horizontal="center"/>
    </xf>
    <xf numFmtId="5" fontId="0" fillId="8" borderId="0" xfId="0" applyNumberFormat="1" applyFill="1" applyAlignment="1">
      <alignment horizontal="right"/>
    </xf>
    <xf numFmtId="6" fontId="1" fillId="8" borderId="0" xfId="2" applyNumberFormat="1" applyFont="1" applyFill="1" applyAlignment="1"/>
    <xf numFmtId="5" fontId="1" fillId="8" borderId="0" xfId="0" applyNumberFormat="1" applyFont="1" applyFill="1" applyAlignment="1">
      <alignment horizontal="right"/>
    </xf>
    <xf numFmtId="5" fontId="0" fillId="8" borderId="0" xfId="0" applyNumberFormat="1" applyFill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5" borderId="0" xfId="0" applyFill="1"/>
    <xf numFmtId="0" fontId="0" fillId="15" borderId="4" xfId="0" applyFill="1" applyBorder="1"/>
    <xf numFmtId="0" fontId="4" fillId="15" borderId="0" xfId="0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0" fontId="4" fillId="15" borderId="4" xfId="0" applyFont="1" applyFill="1" applyBorder="1" applyAlignment="1">
      <alignment horizontal="left"/>
    </xf>
    <xf numFmtId="1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0" fillId="15" borderId="0" xfId="0" applyNumberFormat="1" applyFill="1" applyAlignment="1">
      <alignment horizontal="center"/>
    </xf>
    <xf numFmtId="2" fontId="0" fillId="15" borderId="0" xfId="0" applyNumberFormat="1" applyFill="1" applyBorder="1" applyAlignment="1">
      <alignment horizontal="center"/>
    </xf>
    <xf numFmtId="5" fontId="0" fillId="15" borderId="4" xfId="0" applyNumberFormat="1" applyFill="1" applyBorder="1" applyAlignment="1">
      <alignment horizontal="right"/>
    </xf>
    <xf numFmtId="0" fontId="1" fillId="15" borderId="4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1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0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Border="1" applyAlignment="1">
      <alignment horizontal="center"/>
    </xf>
    <xf numFmtId="5" fontId="1" fillId="15" borderId="4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right"/>
    </xf>
    <xf numFmtId="6" fontId="0" fillId="8" borderId="0" xfId="2" applyNumberFormat="1" applyFont="1" applyFill="1"/>
    <xf numFmtId="6" fontId="0" fillId="7" borderId="0" xfId="2" applyNumberFormat="1" applyFont="1" applyFill="1"/>
    <xf numFmtId="167" fontId="0" fillId="8" borderId="0" xfId="1" applyNumberFormat="1" applyFont="1" applyFill="1"/>
    <xf numFmtId="2" fontId="0" fillId="8" borderId="0" xfId="0" applyNumberFormat="1" applyFill="1" applyAlignment="1">
      <alignment horizontal="center"/>
    </xf>
    <xf numFmtId="6" fontId="3" fillId="8" borderId="4" xfId="2" applyNumberFormat="1" applyFont="1" applyFill="1" applyBorder="1" applyAlignment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6" fontId="1" fillId="16" borderId="0" xfId="2" applyNumberFormat="1" applyFont="1" applyFill="1" applyAlignment="1">
      <alignment horizontal="center"/>
    </xf>
    <xf numFmtId="6" fontId="1" fillId="16" borderId="0" xfId="2" applyNumberFormat="1" applyFont="1" applyFill="1" applyAlignment="1"/>
    <xf numFmtId="6" fontId="1" fillId="17" borderId="0" xfId="2" applyNumberFormat="1" applyFont="1" applyFill="1" applyAlignment="1"/>
    <xf numFmtId="6" fontId="1" fillId="17" borderId="0" xfId="2" applyNumberFormat="1" applyFont="1" applyFill="1" applyAlignment="1">
      <alignment horizontal="center"/>
    </xf>
    <xf numFmtId="6" fontId="1" fillId="18" borderId="0" xfId="2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8" fontId="0" fillId="0" borderId="0" xfId="2" applyFont="1" applyAlignment="1">
      <alignment horizontal="center"/>
    </xf>
    <xf numFmtId="1" fontId="0" fillId="0" borderId="0" xfId="0" applyNumberFormat="1"/>
    <xf numFmtId="6" fontId="0" fillId="0" borderId="0" xfId="0" applyNumberFormat="1"/>
    <xf numFmtId="38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13" borderId="45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0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5.xml"/><Relationship Id="rId24" Type="http://schemas.openxmlformats.org/officeDocument/2006/relationships/customXml" Target="../customXml/item3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6.xml"/><Relationship Id="rId19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ustomXml" Target="../customXml/item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62316476345840421"/>
        </c:manualLayout>
      </c:layout>
      <c:lineChart>
        <c:grouping val="standard"/>
        <c:ser>
          <c:idx val="0"/>
          <c:order val="0"/>
          <c:tx>
            <c:strRef>
              <c:f>Data!$B$3</c:f>
              <c:strCache>
                <c:ptCount val="1"/>
                <c:pt idx="0">
                  <c:v>Poles, Towers &amp; Fixtures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Data!$D$3:$J$3</c:f>
              <c:numCache>
                <c:formatCode>_(* #,##0_);_(* \(#,##0\);_(* "-"??_);_(@_)</c:formatCode>
                <c:ptCount val="7"/>
                <c:pt idx="0">
                  <c:v>3340296.488635235</c:v>
                </c:pt>
                <c:pt idx="1">
                  <c:v>3284008.503661972</c:v>
                </c:pt>
                <c:pt idx="2">
                  <c:v>3315109.1854462237</c:v>
                </c:pt>
                <c:pt idx="3">
                  <c:v>3355804.9645535718</c:v>
                </c:pt>
                <c:pt idx="4">
                  <c:v>3307392.4989999994</c:v>
                </c:pt>
                <c:pt idx="5">
                  <c:v>3295719.82967347</c:v>
                </c:pt>
                <c:pt idx="6">
                  <c:v>3369983.94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Data!$D$4:$J$4</c:f>
              <c:numCache>
                <c:formatCode>_(* #,##0_);_(* \(#,##0\);_(* "-"??_);_(@_)</c:formatCode>
                <c:ptCount val="7"/>
                <c:pt idx="0">
                  <c:v>1852448.6812500004</c:v>
                </c:pt>
                <c:pt idx="1">
                  <c:v>1820754.6129061787</c:v>
                </c:pt>
                <c:pt idx="2">
                  <c:v>1819023.6494900223</c:v>
                </c:pt>
                <c:pt idx="3">
                  <c:v>1768948.566289308</c:v>
                </c:pt>
                <c:pt idx="4">
                  <c:v>1670967.5326937984</c:v>
                </c:pt>
                <c:pt idx="5">
                  <c:v>1542359.7987456445</c:v>
                </c:pt>
                <c:pt idx="6">
                  <c:v>1537335.23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UG Conduit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Data!$D$5:$J$5</c:f>
              <c:numCache>
                <c:formatCode>_(* #,##0_);_(* \(#,##0\);_(* "-"??_);_(@_)</c:formatCode>
                <c:ptCount val="7"/>
                <c:pt idx="0">
                  <c:v>1093024.7602209945</c:v>
                </c:pt>
                <c:pt idx="1">
                  <c:v>1072573.8940874035</c:v>
                </c:pt>
                <c:pt idx="2">
                  <c:v>1113768.5116751271</c:v>
                </c:pt>
                <c:pt idx="3">
                  <c:v>1165475.0896551725</c:v>
                </c:pt>
                <c:pt idx="4">
                  <c:v>1181198.0896073903</c:v>
                </c:pt>
                <c:pt idx="5">
                  <c:v>1174710.3097613882</c:v>
                </c:pt>
                <c:pt idx="6">
                  <c:v>1195501.26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UG Conductors &amp; Devices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Data!$D$6:$J$6</c:f>
              <c:numCache>
                <c:formatCode>_(* #,##0_);_(* \(#,##0\);_(* "-"??_);_(@_)</c:formatCode>
                <c:ptCount val="7"/>
                <c:pt idx="0">
                  <c:v>2874834.6187155969</c:v>
                </c:pt>
                <c:pt idx="1">
                  <c:v>2827099.4253061228</c:v>
                </c:pt>
                <c:pt idx="2">
                  <c:v>2877803.6489398279</c:v>
                </c:pt>
                <c:pt idx="3">
                  <c:v>2795652.4172357726</c:v>
                </c:pt>
                <c:pt idx="4">
                  <c:v>2559082.360074074</c:v>
                </c:pt>
                <c:pt idx="5">
                  <c:v>2507873.5804347824</c:v>
                </c:pt>
                <c:pt idx="6">
                  <c:v>2316004.15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Line Xfrmr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Data!$D$7:$J$7</c:f>
              <c:numCache>
                <c:formatCode>_(* #,##0_);_(* \(#,##0\);_(* "-"??_);_(@_)</c:formatCode>
                <c:ptCount val="7"/>
                <c:pt idx="0">
                  <c:v>4297583.0346756298</c:v>
                </c:pt>
                <c:pt idx="1">
                  <c:v>4170319.2304127994</c:v>
                </c:pt>
                <c:pt idx="2">
                  <c:v>4152417.310393774</c:v>
                </c:pt>
                <c:pt idx="3">
                  <c:v>4128097.6313168537</c:v>
                </c:pt>
                <c:pt idx="4">
                  <c:v>4004060.5908587407</c:v>
                </c:pt>
                <c:pt idx="5">
                  <c:v>3325634.6410842976</c:v>
                </c:pt>
                <c:pt idx="6">
                  <c:v>3162339.2236799998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Pad Xfrmr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Data!$D$8:$J$8</c:f>
              <c:numCache>
                <c:formatCode>_(* #,##0_);_(* \(#,##0\);_(* "-"??_);_(@_)</c:formatCode>
                <c:ptCount val="7"/>
                <c:pt idx="0">
                  <c:v>1044441.5840711111</c:v>
                </c:pt>
                <c:pt idx="1">
                  <c:v>1023779.6261102465</c:v>
                </c:pt>
                <c:pt idx="2">
                  <c:v>1056612.1084746961</c:v>
                </c:pt>
                <c:pt idx="3">
                  <c:v>858802.75173286966</c:v>
                </c:pt>
                <c:pt idx="4">
                  <c:v>757281.63533933565</c:v>
                </c:pt>
                <c:pt idx="5">
                  <c:v>662610.0469885451</c:v>
                </c:pt>
                <c:pt idx="6">
                  <c:v>675451.0963199999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Services-OH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Data!$D$9:$J$9</c:f>
              <c:numCache>
                <c:formatCode>_(* #,##0_);_(* \(#,##0\);_(* "-"??_);_(@_)</c:formatCode>
                <c:ptCount val="7"/>
                <c:pt idx="0">
                  <c:v>2280716.0396501459</c:v>
                </c:pt>
                <c:pt idx="1">
                  <c:v>2253087.4076033058</c:v>
                </c:pt>
                <c:pt idx="2">
                  <c:v>2283804.1343999999</c:v>
                </c:pt>
                <c:pt idx="3">
                  <c:v>2249425.1651908397</c:v>
                </c:pt>
                <c:pt idx="4">
                  <c:v>982533.22086956527</c:v>
                </c:pt>
                <c:pt idx="5">
                  <c:v>922547.12311926601</c:v>
                </c:pt>
                <c:pt idx="6">
                  <c:v>932347.37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Meters Installed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Data!$D$10:$J$10</c:f>
              <c:numCache>
                <c:formatCode>_(* #,##0_);_(* \(#,##0\);_(* "-"??_);_(@_)</c:formatCode>
                <c:ptCount val="7"/>
                <c:pt idx="0">
                  <c:v>1010137.9665822785</c:v>
                </c:pt>
                <c:pt idx="1">
                  <c:v>882521.58196363633</c:v>
                </c:pt>
                <c:pt idx="2">
                  <c:v>861013.63902439037</c:v>
                </c:pt>
                <c:pt idx="3">
                  <c:v>786835.82098765427</c:v>
                </c:pt>
                <c:pt idx="4">
                  <c:v>832313.24102893902</c:v>
                </c:pt>
                <c:pt idx="5">
                  <c:v>787036.91203761753</c:v>
                </c:pt>
                <c:pt idx="6">
                  <c:v>767552.35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Street Lighting-OH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Data!$D$11:$J$11</c:f>
              <c:numCache>
                <c:formatCode>_(* #,##0_);_(* \(#,##0\);_(* "-"??_);_(@_)</c:formatCode>
                <c:ptCount val="7"/>
                <c:pt idx="0">
                  <c:v>344935.39618138428</c:v>
                </c:pt>
                <c:pt idx="1">
                  <c:v>337692.49119999999</c:v>
                </c:pt>
                <c:pt idx="2">
                  <c:v>335208.66502092051</c:v>
                </c:pt>
                <c:pt idx="3">
                  <c:v>334303.49631147541</c:v>
                </c:pt>
                <c:pt idx="4">
                  <c:v>316435.77461988304</c:v>
                </c:pt>
                <c:pt idx="5">
                  <c:v>286250.72119127517</c:v>
                </c:pt>
                <c:pt idx="6">
                  <c:v>292045.63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Mast Arms &amp; Luminaries Installed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Data!$D$12:$J$12</c:f>
              <c:numCache>
                <c:formatCode>_(* #,##0_);_(* \(#,##0\);_(* "-"??_);_(@_)</c:formatCode>
                <c:ptCount val="7"/>
                <c:pt idx="0">
                  <c:v>664937.15971360391</c:v>
                </c:pt>
                <c:pt idx="1">
                  <c:v>662972.25866666669</c:v>
                </c:pt>
                <c:pt idx="2">
                  <c:v>667892.689958159</c:v>
                </c:pt>
                <c:pt idx="3">
                  <c:v>708521.53180327883</c:v>
                </c:pt>
                <c:pt idx="4">
                  <c:v>779315.88584795315</c:v>
                </c:pt>
                <c:pt idx="5">
                  <c:v>712011.07427852356</c:v>
                </c:pt>
                <c:pt idx="6">
                  <c:v>738602.03</c:v>
                </c:pt>
              </c:numCache>
            </c:numRef>
          </c:val>
        </c:ser>
        <c:marker val="1"/>
        <c:axId val="85415040"/>
        <c:axId val="85416576"/>
      </c:lineChart>
      <c:catAx>
        <c:axId val="85415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6576"/>
        <c:crosses val="autoZero"/>
        <c:auto val="1"/>
        <c:lblAlgn val="ctr"/>
        <c:lblOffset val="100"/>
        <c:tickLblSkip val="1"/>
        <c:tickMarkSkip val="1"/>
      </c:catAx>
      <c:valAx>
        <c:axId val="8541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5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75582685904554"/>
          <c:y val="0.76998368678629692"/>
          <c:w val="0.71032186459490021"/>
          <c:h val="0.225122349102773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 sz="1200"/>
              <a:t>(Published in</a:t>
            </a:r>
            <a:r>
              <a:rPr lang="en-US" sz="1200" baseline="0"/>
              <a:t> May 2013)</a:t>
            </a:r>
            <a:endParaRPr lang="en-US" sz="1200"/>
          </a:p>
          <a:p>
            <a:pPr>
              <a:defRPr/>
            </a:pPr>
            <a:r>
              <a:rPr lang="en-US"/>
              <a:t>Distribution Substations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4855695114454793E-2"/>
          <c:y val="0.13821587847364084"/>
          <c:w val="0.8617396775168259"/>
          <c:h val="0.75773561303459103"/>
        </c:manualLayout>
      </c:layout>
      <c:barChart>
        <c:barDir val="col"/>
        <c:grouping val="clustered"/>
        <c:ser>
          <c:idx val="1"/>
          <c:order val="0"/>
          <c:tx>
            <c:strRef>
              <c:f>'Dist Sub Extract'!$N$12</c:f>
              <c:strCache>
                <c:ptCount val="1"/>
                <c:pt idx="0">
                  <c:v>Structures &amp; Improvements (FERC Acct. 361)</c:v>
                </c:pt>
              </c:strCache>
            </c:strRef>
          </c:tx>
          <c:spPr>
            <a:solidFill>
              <a:schemeClr val="tx2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Extract'!$N$13:$N$19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'Dist Sub Extract'!$O$12</c:f>
              <c:strCache>
                <c:ptCount val="1"/>
                <c:pt idx="0">
                  <c:v>Station Equip. (FERC Acct. 362)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Extract'!$O$13:$O$19</c:f>
              <c:numCache>
                <c:formatCode>"$"#,##0.00_);[Red]\("$"#,##0.00\)</c:formatCode>
                <c:ptCount val="7"/>
                <c:pt idx="0">
                  <c:v>10.998552821997105</c:v>
                </c:pt>
                <c:pt idx="1">
                  <c:v>13.024602026049203</c:v>
                </c:pt>
                <c:pt idx="2">
                  <c:v>29.522431259044861</c:v>
                </c:pt>
                <c:pt idx="3">
                  <c:v>46.020260492040521</c:v>
                </c:pt>
                <c:pt idx="4">
                  <c:v>54.848046309696095</c:v>
                </c:pt>
                <c:pt idx="5">
                  <c:v>94.066570188133142</c:v>
                </c:pt>
                <c:pt idx="6">
                  <c:v>100</c:v>
                </c:pt>
              </c:numCache>
            </c:numRef>
          </c:val>
        </c:ser>
        <c:axId val="102002688"/>
        <c:axId val="102004224"/>
      </c:barChart>
      <c:catAx>
        <c:axId val="102002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2004224"/>
        <c:crosses val="autoZero"/>
        <c:auto val="1"/>
        <c:lblAlgn val="ctr"/>
        <c:lblOffset val="100"/>
      </c:catAx>
      <c:valAx>
        <c:axId val="102004224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2002688"/>
        <c:crosses val="autoZero"/>
        <c:crossBetween val="between"/>
      </c:valAx>
    </c:plotArea>
    <c:legend>
      <c:legendPos val="b"/>
      <c:layout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Handy Whitman Cost Index</a:t>
            </a:r>
          </a:p>
          <a:p>
            <a:pPr>
              <a:defRPr/>
            </a:pPr>
            <a:r>
              <a:rPr lang="en-US" sz="1200"/>
              <a:t>(Published in May 2013)</a:t>
            </a:r>
          </a:p>
          <a:p>
            <a:pPr>
              <a:defRPr/>
            </a:pPr>
            <a:r>
              <a:rPr lang="en-US" sz="1600"/>
              <a:t>Distribution</a:t>
            </a:r>
            <a:r>
              <a:rPr lang="en-US" sz="1600" baseline="0"/>
              <a:t> Equipment - Accts 364, 365 &amp; 368</a:t>
            </a:r>
            <a:endParaRPr lang="en-US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063857587576374E-2"/>
          <c:y val="0.12449467302076613"/>
          <c:w val="0.90291284135067307"/>
          <c:h val="0.7631419533839231"/>
        </c:manualLayout>
      </c:layout>
      <c:barChart>
        <c:barDir val="col"/>
        <c:grouping val="clustered"/>
        <c:ser>
          <c:idx val="0"/>
          <c:order val="0"/>
          <c:tx>
            <c:strRef>
              <c:f>'Dist extract 364-365-368'!$U$11</c:f>
              <c:strCache>
                <c:ptCount val="1"/>
                <c:pt idx="0">
                  <c:v>Poles (FERC Acct. 364)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364-365-368'!$U$12:$U$18</c:f>
              <c:numCache>
                <c:formatCode>"$"#,##0.00_);[Red]\("$"#,##0.00\)</c:formatCode>
                <c:ptCount val="7"/>
                <c:pt idx="0">
                  <c:v>8.8737201365187719</c:v>
                </c:pt>
                <c:pt idx="1">
                  <c:v>12.969283276450511</c:v>
                </c:pt>
                <c:pt idx="2">
                  <c:v>37.542662116040951</c:v>
                </c:pt>
                <c:pt idx="3">
                  <c:v>50.341296928327651</c:v>
                </c:pt>
                <c:pt idx="4">
                  <c:v>67.918088737201359</c:v>
                </c:pt>
                <c:pt idx="5">
                  <c:v>96.928327645051198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'Dist extract 364-365-368'!$V$11</c:f>
              <c:strCache>
                <c:ptCount val="1"/>
                <c:pt idx="0">
                  <c:v>OH Conductors (FERC Acct. 365)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364-365-368'!$V$12:$V$18</c:f>
              <c:numCache>
                <c:formatCode>"$"#,##0.00_);[Red]\("$"#,##0.00\)</c:formatCode>
                <c:ptCount val="7"/>
                <c:pt idx="0">
                  <c:v>7.2423398328690807</c:v>
                </c:pt>
                <c:pt idx="1">
                  <c:v>12.116991643454039</c:v>
                </c:pt>
                <c:pt idx="2">
                  <c:v>30.779944289693596</c:v>
                </c:pt>
                <c:pt idx="3">
                  <c:v>43.871866295264624</c:v>
                </c:pt>
                <c:pt idx="4">
                  <c:v>57.103064066852369</c:v>
                </c:pt>
                <c:pt idx="5">
                  <c:v>95.264623955431759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'Dist extract 364-365-368'!$W$11</c:f>
              <c:strCache>
                <c:ptCount val="1"/>
                <c:pt idx="0">
                  <c:v>OH Line Transformers (FERC Acct. 368)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Pt>
            <c:idx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effectLst>
                <a:outerShdw blurRad="50800" dist="50800" dir="5400000" algn="ctr" rotWithShape="0">
                  <a:schemeClr val="tx1"/>
                </a:outerShdw>
              </a:effectLst>
            </c:spPr>
          </c:dPt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364-365-368'!$W$12:$W$18</c:f>
              <c:numCache>
                <c:formatCode>"$"#,##0.00_);[Red]\("$"#,##0.00\)</c:formatCode>
                <c:ptCount val="7"/>
                <c:pt idx="0">
                  <c:v>16.472303206997086</c:v>
                </c:pt>
                <c:pt idx="1">
                  <c:v>14.868804664723031</c:v>
                </c:pt>
                <c:pt idx="2">
                  <c:v>24.781341107871722</c:v>
                </c:pt>
                <c:pt idx="3">
                  <c:v>33.819241982507286</c:v>
                </c:pt>
                <c:pt idx="4">
                  <c:v>33.673469387755098</c:v>
                </c:pt>
                <c:pt idx="5">
                  <c:v>89.212827988338191</c:v>
                </c:pt>
                <c:pt idx="6">
                  <c:v>100</c:v>
                </c:pt>
              </c:numCache>
            </c:numRef>
          </c:val>
        </c:ser>
        <c:axId val="107291392"/>
        <c:axId val="107292928"/>
      </c:barChart>
      <c:catAx>
        <c:axId val="107291392"/>
        <c:scaling>
          <c:orientation val="minMax"/>
        </c:scaling>
        <c:axPos val="b"/>
        <c:numFmt formatCode="General" sourceLinked="1"/>
        <c:tickLblPos val="nextTo"/>
        <c:crossAx val="107292928"/>
        <c:crosses val="autoZero"/>
        <c:auto val="1"/>
        <c:lblAlgn val="ctr"/>
        <c:lblOffset val="100"/>
      </c:catAx>
      <c:valAx>
        <c:axId val="107292928"/>
        <c:scaling>
          <c:orientation val="minMax"/>
          <c:max val="110"/>
          <c:min val="0"/>
        </c:scaling>
        <c:axPos val="l"/>
        <c:majorGridlines/>
        <c:numFmt formatCode="&quot;$&quot;#,##0.00_);[Red]\(&quot;$&quot;#,##0.00\)" sourceLinked="1"/>
        <c:tickLblPos val="nextTo"/>
        <c:crossAx val="107291392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1125611745513861"/>
        </c:manualLayout>
      </c:layout>
      <c:lineChart>
        <c:grouping val="standard"/>
        <c:ser>
          <c:idx val="0"/>
          <c:order val="0"/>
          <c:tx>
            <c:strRef>
              <c:f>Data!$B$15</c:f>
              <c:strCache>
                <c:ptCount val="1"/>
                <c:pt idx="0">
                  <c:v>Land &amp; Land Rights - Sub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Data!$D$15:$J$15</c:f>
              <c:numCache>
                <c:formatCode>_(* #,##0_);_(* \(#,##0\);_(* "-"??_);_(@_)</c:formatCode>
                <c:ptCount val="7"/>
                <c:pt idx="0">
                  <c:v>37490.94</c:v>
                </c:pt>
                <c:pt idx="1">
                  <c:v>37516.572</c:v>
                </c:pt>
                <c:pt idx="2">
                  <c:v>38422.224000000002</c:v>
                </c:pt>
                <c:pt idx="3">
                  <c:v>39317.796000000002</c:v>
                </c:pt>
                <c:pt idx="4">
                  <c:v>39337.398000000001</c:v>
                </c:pt>
                <c:pt idx="5">
                  <c:v>39464.483999999997</c:v>
                </c:pt>
                <c:pt idx="6">
                  <c:v>41732.312999999995</c:v>
                </c:pt>
              </c:numCache>
            </c:numRef>
          </c:val>
        </c:ser>
        <c:ser>
          <c:idx val="1"/>
          <c:order val="1"/>
          <c:tx>
            <c:strRef>
              <c:f>Data!$B$16</c:f>
              <c:strCache>
                <c:ptCount val="1"/>
                <c:pt idx="0">
                  <c:v>Structures &amp; Improvements - Trans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Data!$D$16:$J$16</c:f>
              <c:numCache>
                <c:formatCode>_(* #,##0_);_(* \(#,##0\);_(* "-"??_);_(@_)</c:formatCode>
                <c:ptCount val="7"/>
                <c:pt idx="0">
                  <c:v>237606.3023872679</c:v>
                </c:pt>
                <c:pt idx="1">
                  <c:v>236819.19584415585</c:v>
                </c:pt>
                <c:pt idx="2">
                  <c:v>239632.62848329049</c:v>
                </c:pt>
                <c:pt idx="3">
                  <c:v>241297.49535545026</c:v>
                </c:pt>
                <c:pt idx="4">
                  <c:v>285984.57318077807</c:v>
                </c:pt>
                <c:pt idx="5">
                  <c:v>281738.05455337692</c:v>
                </c:pt>
                <c:pt idx="6">
                  <c:v>293722.49</c:v>
                </c:pt>
              </c:numCache>
            </c:numRef>
          </c:val>
        </c:ser>
        <c:ser>
          <c:idx val="2"/>
          <c:order val="2"/>
          <c:tx>
            <c:strRef>
              <c:f>Data!$B$17</c:f>
              <c:strCache>
                <c:ptCount val="1"/>
                <c:pt idx="0">
                  <c:v>Station Equipment - Trans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Data!$D$17:$J$17</c:f>
              <c:numCache>
                <c:formatCode>_(* #,##0_);_(* \(#,##0\);_(* "-"??_);_(@_)</c:formatCode>
                <c:ptCount val="7"/>
                <c:pt idx="0">
                  <c:v>4022377.590498812</c:v>
                </c:pt>
                <c:pt idx="1">
                  <c:v>4083760.5953917052</c:v>
                </c:pt>
                <c:pt idx="2">
                  <c:v>4231975.8</c:v>
                </c:pt>
                <c:pt idx="3">
                  <c:v>4075015.555555556</c:v>
                </c:pt>
                <c:pt idx="4">
                  <c:v>4329564.6437869826</c:v>
                </c:pt>
                <c:pt idx="5">
                  <c:v>4277132.1355311358</c:v>
                </c:pt>
                <c:pt idx="6">
                  <c:v>4278976.55</c:v>
                </c:pt>
              </c:numCache>
            </c:numRef>
          </c:val>
        </c:ser>
        <c:ser>
          <c:idx val="3"/>
          <c:order val="3"/>
          <c:tx>
            <c:strRef>
              <c:f>Data!$B$18</c:f>
              <c:strCache>
                <c:ptCount val="1"/>
                <c:pt idx="0">
                  <c:v>Structures &amp; Improvements - Dist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Data!$D$18:$J$18</c:f>
              <c:numCache>
                <c:formatCode>_(* #,##0_);_(* \(#,##0\);_(* "-"??_);_(@_)</c:formatCode>
                <c:ptCount val="7"/>
                <c:pt idx="0">
                  <c:v>249095.65877984086</c:v>
                </c:pt>
                <c:pt idx="1">
                  <c:v>255431.98254545452</c:v>
                </c:pt>
                <c:pt idx="2">
                  <c:v>260581.12904884317</c:v>
                </c:pt>
                <c:pt idx="3">
                  <c:v>242631.80132701423</c:v>
                </c:pt>
                <c:pt idx="4">
                  <c:v>237075.19871853548</c:v>
                </c:pt>
                <c:pt idx="5">
                  <c:v>224090.68932461875</c:v>
                </c:pt>
                <c:pt idx="6">
                  <c:v>225329.96</c:v>
                </c:pt>
              </c:numCache>
            </c:numRef>
          </c:val>
        </c:ser>
        <c:ser>
          <c:idx val="4"/>
          <c:order val="4"/>
          <c:tx>
            <c:strRef>
              <c:f>Data!$B$19</c:f>
              <c:strCache>
                <c:ptCount val="1"/>
                <c:pt idx="0">
                  <c:v>Station Equipment - Dist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Data!$D$19:$J$19</c:f>
              <c:numCache>
                <c:formatCode>_(* #,##0_);_(* \(#,##0\);_(* "-"??_);_(@_)</c:formatCode>
                <c:ptCount val="7"/>
                <c:pt idx="0">
                  <c:v>2305327.675926893</c:v>
                </c:pt>
                <c:pt idx="1">
                  <c:v>2377538.5478851176</c:v>
                </c:pt>
                <c:pt idx="2">
                  <c:v>2395510.2558139535</c:v>
                </c:pt>
                <c:pt idx="3">
                  <c:v>2148521.0152252256</c:v>
                </c:pt>
                <c:pt idx="4">
                  <c:v>2088543.5626068374</c:v>
                </c:pt>
                <c:pt idx="5">
                  <c:v>2031638.4161067195</c:v>
                </c:pt>
                <c:pt idx="6">
                  <c:v>1987852.27</c:v>
                </c:pt>
              </c:numCache>
            </c:numRef>
          </c:val>
        </c:ser>
        <c:ser>
          <c:idx val="5"/>
          <c:order val="5"/>
          <c:tx>
            <c:strRef>
              <c:f>Data!$B$20</c:f>
              <c:strCache>
                <c:ptCount val="1"/>
                <c:pt idx="0">
                  <c:v>Communication Equipment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Data!$D$20:$J$20</c:f>
              <c:numCache>
                <c:formatCode>_(* #,##0_);_(* \(#,##0\);_(* "-"??_);_(@_)</c:formatCode>
                <c:ptCount val="7"/>
                <c:pt idx="0">
                  <c:v>1070601.8237288136</c:v>
                </c:pt>
                <c:pt idx="1">
                  <c:v>994277.64046966727</c:v>
                </c:pt>
                <c:pt idx="2">
                  <c:v>1003361.6424903476</c:v>
                </c:pt>
                <c:pt idx="3">
                  <c:v>991571.9816759777</c:v>
                </c:pt>
                <c:pt idx="4">
                  <c:v>1007152.005229202</c:v>
                </c:pt>
                <c:pt idx="5">
                  <c:v>1069347.0721518986</c:v>
                </c:pt>
                <c:pt idx="6">
                  <c:v>1069240.72</c:v>
                </c:pt>
              </c:numCache>
            </c:numRef>
          </c:val>
        </c:ser>
        <c:marker val="1"/>
        <c:axId val="101951744"/>
        <c:axId val="101961728"/>
      </c:lineChart>
      <c:catAx>
        <c:axId val="101951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61728"/>
        <c:crosses val="autoZero"/>
        <c:auto val="1"/>
        <c:lblAlgn val="ctr"/>
        <c:lblOffset val="100"/>
        <c:tickLblSkip val="1"/>
        <c:tickMarkSkip val="1"/>
      </c:catAx>
      <c:valAx>
        <c:axId val="10196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51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1753607103338"/>
          <c:y val="0.85807504078303465"/>
          <c:w val="0.74139844617092165"/>
          <c:h val="0.137030995106036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9934747145187923"/>
        </c:manualLayout>
      </c:layout>
      <c:lineChart>
        <c:grouping val="standard"/>
        <c:ser>
          <c:idx val="0"/>
          <c:order val="0"/>
          <c:tx>
            <c:strRef>
              <c:f>Data!$B$23</c:f>
              <c:strCache>
                <c:ptCount val="1"/>
                <c:pt idx="0">
                  <c:v>Land &amp; Land Rights -Trans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Data!$D$23:$J$23</c:f>
              <c:numCache>
                <c:formatCode>_(* #,##0_);_(* \(#,##0\);_(* "-"??_);_(@_)</c:formatCode>
                <c:ptCount val="7"/>
                <c:pt idx="0">
                  <c:v>87478.86</c:v>
                </c:pt>
                <c:pt idx="1">
                  <c:v>87538.668000000005</c:v>
                </c:pt>
                <c:pt idx="2">
                  <c:v>89651.856</c:v>
                </c:pt>
                <c:pt idx="3">
                  <c:v>91741.524000000005</c:v>
                </c:pt>
                <c:pt idx="4">
                  <c:v>91787.262000000002</c:v>
                </c:pt>
                <c:pt idx="5">
                  <c:v>92083.795999999988</c:v>
                </c:pt>
                <c:pt idx="6">
                  <c:v>97375.396999999983</c:v>
                </c:pt>
              </c:numCache>
            </c:numRef>
          </c:val>
        </c:ser>
        <c:ser>
          <c:idx val="1"/>
          <c:order val="1"/>
          <c:tx>
            <c:strRef>
              <c:f>Data!$B$26</c:f>
              <c:strCache>
                <c:ptCount val="1"/>
                <c:pt idx="0">
                  <c:v>Towers, Poles &amp; Fixtures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Data!$D$26:$J$26</c:f>
              <c:numCache>
                <c:formatCode>_(* #,##0_);_(* \(#,##0\);_(* "-"??_);_(@_)</c:formatCode>
                <c:ptCount val="7"/>
                <c:pt idx="0">
                  <c:v>3049364.4826193633</c:v>
                </c:pt>
                <c:pt idx="1">
                  <c:v>2997211.803160714</c:v>
                </c:pt>
                <c:pt idx="2">
                  <c:v>2993874.5132553102</c:v>
                </c:pt>
                <c:pt idx="3">
                  <c:v>3121788.3892257735</c:v>
                </c:pt>
                <c:pt idx="4">
                  <c:v>3153220.507690243</c:v>
                </c:pt>
                <c:pt idx="5">
                  <c:v>3307887.6642483659</c:v>
                </c:pt>
                <c:pt idx="6">
                  <c:v>3573246.46</c:v>
                </c:pt>
              </c:numCache>
            </c:numRef>
          </c:val>
        </c:ser>
        <c:ser>
          <c:idx val="2"/>
          <c:order val="2"/>
          <c:tx>
            <c:strRef>
              <c:f>Data!$B$27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Data!$D$27:$J$27</c:f>
              <c:numCache>
                <c:formatCode>_(* #,##0_);_(* \(#,##0\);_(* "-"??_);_(@_)</c:formatCode>
                <c:ptCount val="7"/>
                <c:pt idx="0">
                  <c:v>1734423.9960297768</c:v>
                </c:pt>
                <c:pt idx="1">
                  <c:v>1746221.8862068963</c:v>
                </c:pt>
                <c:pt idx="2">
                  <c:v>1747220.5616504855</c:v>
                </c:pt>
                <c:pt idx="3">
                  <c:v>1643540.3946067414</c:v>
                </c:pt>
                <c:pt idx="4">
                  <c:v>1514200.3512269936</c:v>
                </c:pt>
                <c:pt idx="5">
                  <c:v>1372124.2727992961</c:v>
                </c:pt>
                <c:pt idx="6">
                  <c:v>1501043.99</c:v>
                </c:pt>
              </c:numCache>
            </c:numRef>
          </c:val>
        </c:ser>
        <c:marker val="1"/>
        <c:axId val="103117952"/>
        <c:axId val="103119488"/>
      </c:lineChart>
      <c:catAx>
        <c:axId val="103117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19488"/>
        <c:crosses val="autoZero"/>
        <c:auto val="1"/>
        <c:lblAlgn val="ctr"/>
        <c:lblOffset val="100"/>
        <c:tickLblSkip val="1"/>
        <c:tickMarkSkip val="1"/>
      </c:catAx>
      <c:valAx>
        <c:axId val="103119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17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92674805771968E-2"/>
          <c:y val="0.94616639477977149"/>
          <c:w val="0.8645948945616021"/>
          <c:h val="4.8939641109298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marker val="1"/>
        <c:axId val="103323904"/>
        <c:axId val="103337984"/>
      </c:lineChart>
      <c:catAx>
        <c:axId val="103323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37984"/>
        <c:crosses val="autoZero"/>
        <c:auto val="1"/>
        <c:lblAlgn val="ctr"/>
        <c:lblOffset val="100"/>
        <c:tickLblSkip val="1"/>
        <c:tickMarkSkip val="1"/>
      </c:catAx>
      <c:valAx>
        <c:axId val="103337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23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Data!$B$36:$C$36</c:f>
              <c:strCache>
                <c:ptCount val="1"/>
                <c:pt idx="0">
                  <c:v>Roads &amp; Trails Aggregate Substation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marker val="1"/>
        <c:axId val="103373440"/>
        <c:axId val="103383424"/>
      </c:lineChart>
      <c:catAx>
        <c:axId val="103373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3424"/>
        <c:crosses val="autoZero"/>
        <c:auto val="1"/>
        <c:lblAlgn val="ctr"/>
        <c:lblOffset val="100"/>
        <c:tickLblSkip val="1"/>
        <c:tickMarkSkip val="1"/>
      </c:catAx>
      <c:valAx>
        <c:axId val="103383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73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03389824"/>
        <c:axId val="103408000"/>
      </c:lineChart>
      <c:catAx>
        <c:axId val="1033898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08000"/>
        <c:crosses val="autoZero"/>
        <c:auto val="1"/>
        <c:lblAlgn val="ctr"/>
        <c:lblOffset val="100"/>
        <c:tickLblSkip val="1"/>
        <c:tickMarkSkip val="1"/>
      </c:catAx>
      <c:valAx>
        <c:axId val="103408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ser>
          <c:idx val="1"/>
          <c:order val="1"/>
          <c:tx>
            <c:strRef>
              <c:f>Data!$C$36</c:f>
              <c:strCache>
                <c:ptCount val="1"/>
                <c:pt idx="0">
                  <c:v>Aggregate Substation Depreciation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ser>
          <c:idx val="2"/>
          <c:order val="2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03449344"/>
        <c:axId val="103450880"/>
      </c:lineChart>
      <c:catAx>
        <c:axId val="103449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50880"/>
        <c:crosses val="autoZero"/>
        <c:auto val="1"/>
        <c:lblAlgn val="ctr"/>
        <c:lblOffset val="100"/>
        <c:tickLblSkip val="1"/>
        <c:tickMarkSkip val="1"/>
      </c:catAx>
      <c:valAx>
        <c:axId val="10345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49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  <a:endParaRPr lang="en-US" sz="1200"/>
          </a:p>
          <a:p>
            <a:pPr>
              <a:defRPr/>
            </a:pPr>
            <a:r>
              <a:rPr lang="en-US" sz="1200"/>
              <a:t>(Published May 2013)</a:t>
            </a:r>
            <a:r>
              <a:rPr lang="en-US"/>
              <a:t>  </a:t>
            </a:r>
          </a:p>
          <a:p>
            <a:pPr>
              <a:defRPr/>
            </a:pPr>
            <a:r>
              <a:rPr lang="en-US"/>
              <a:t>Transmission Substations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675228378356316E-2"/>
          <c:y val="0.14856625509162907"/>
          <c:w val="0.82358919035042877"/>
          <c:h val="0.74213317125447942"/>
        </c:manualLayout>
      </c:layout>
      <c:barChart>
        <c:barDir val="col"/>
        <c:grouping val="clustered"/>
        <c:ser>
          <c:idx val="0"/>
          <c:order val="0"/>
          <c:tx>
            <c:strRef>
              <c:f>'Transm sub extract'!$R$14</c:f>
              <c:strCache>
                <c:ptCount val="1"/>
                <c:pt idx="0">
                  <c:v>Structures &amp; Improvements (FERC Acct. 352)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extract'!$R$15:$R$21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16.457960644007155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'Transm sub extract'!$S$14</c:f>
              <c:strCache>
                <c:ptCount val="1"/>
                <c:pt idx="0">
                  <c:v>Station Equip. (FERC Acct. 353)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extract'!$S$15:$S$21</c:f>
              <c:numCache>
                <c:formatCode>"$"#,##0.00_);[Red]\("$"#,##0.00\)</c:formatCode>
                <c:ptCount val="7"/>
                <c:pt idx="0">
                  <c:v>10.39136302294197</c:v>
                </c:pt>
                <c:pt idx="1">
                  <c:v>12.010796221322536</c:v>
                </c:pt>
                <c:pt idx="2">
                  <c:v>29.41970310391363</c:v>
                </c:pt>
                <c:pt idx="3">
                  <c:v>42.105263157894733</c:v>
                </c:pt>
                <c:pt idx="4">
                  <c:v>56.005398110661261</c:v>
                </c:pt>
                <c:pt idx="5">
                  <c:v>93.252361673414313</c:v>
                </c:pt>
                <c:pt idx="6">
                  <c:v>100</c:v>
                </c:pt>
              </c:numCache>
            </c:numRef>
          </c:val>
        </c:ser>
        <c:axId val="104964096"/>
        <c:axId val="104965632"/>
      </c:barChart>
      <c:catAx>
        <c:axId val="1049640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965632"/>
        <c:crosses val="autoZero"/>
        <c:auto val="1"/>
        <c:lblAlgn val="ctr"/>
        <c:lblOffset val="100"/>
      </c:catAx>
      <c:valAx>
        <c:axId val="104965632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964096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</a:t>
            </a:r>
            <a:r>
              <a:rPr lang="en-US" baseline="0"/>
              <a:t> Whitman Cost Index</a:t>
            </a:r>
          </a:p>
          <a:p>
            <a:pPr>
              <a:defRPr/>
            </a:pPr>
            <a:r>
              <a:rPr lang="en-US" sz="1200" baseline="0"/>
              <a:t>(Published in May 2013)</a:t>
            </a:r>
          </a:p>
          <a:p>
            <a:pPr>
              <a:defRPr/>
            </a:pPr>
            <a:r>
              <a:rPr lang="en-US" baseline="0"/>
              <a:t>Transmission Equipment - Accts 354, 355 &amp; 356</a:t>
            </a:r>
            <a:endParaRPr lang="en-US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4855695114454793E-2"/>
          <c:y val="0.13792186703690998"/>
          <c:w val="0.86923024470336852"/>
          <c:h val="0.7861817433027265"/>
        </c:manualLayout>
      </c:layout>
      <c:barChart>
        <c:barDir val="col"/>
        <c:grouping val="clustered"/>
        <c:ser>
          <c:idx val="1"/>
          <c:order val="0"/>
          <c:tx>
            <c:strRef>
              <c:f>'Transm extract 354-355-356'!$Z$13</c:f>
              <c:strCache>
                <c:ptCount val="1"/>
                <c:pt idx="0">
                  <c:v>Towers &amp; Fixtures (FERC Acct. 354)</c:v>
                </c:pt>
              </c:strCache>
            </c:strRef>
          </c:tx>
          <c:spPr>
            <a:solidFill>
              <a:srgbClr val="1F497D"/>
            </a:solidFill>
          </c:spPr>
          <c:dLbls>
            <c:dLbl>
              <c:idx val="5"/>
              <c:layout>
                <c:manualLayout>
                  <c:x val="-1.4641463980384588E-2"/>
                  <c:y val="2.0181968253605038E-3"/>
                </c:manualLayout>
              </c:layout>
              <c:showVal val="1"/>
            </c:dLbl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354-355-356'!$Z$14:$Z$20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'Transm extract 354-355-356'!$AA$13</c:f>
              <c:strCache>
                <c:ptCount val="1"/>
                <c:pt idx="0">
                  <c:v>Poles &amp; Fixtures (FERC Acct. 355)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354-355-356'!$AA$14:$AA$20</c:f>
              <c:numCache>
                <c:formatCode>"$"#,##0.00_);[Red]\("$"#,##0.00\)</c:formatCode>
                <c:ptCount val="7"/>
                <c:pt idx="0">
                  <c:v>8.4828711256117462</c:v>
                </c:pt>
                <c:pt idx="1">
                  <c:v>12.398042414355629</c:v>
                </c:pt>
                <c:pt idx="2">
                  <c:v>34.420880913539968</c:v>
                </c:pt>
                <c:pt idx="3">
                  <c:v>50.897226753670481</c:v>
                </c:pt>
                <c:pt idx="4">
                  <c:v>68.841761827079935</c:v>
                </c:pt>
                <c:pt idx="5">
                  <c:v>97.063621533442088</c:v>
                </c:pt>
                <c:pt idx="6">
                  <c:v>100</c:v>
                </c:pt>
              </c:numCache>
            </c:numRef>
          </c:val>
        </c:ser>
        <c:ser>
          <c:idx val="3"/>
          <c:order val="2"/>
          <c:tx>
            <c:strRef>
              <c:f>'Transm extract 354-355-356'!$AB$13</c:f>
              <c:strCache>
                <c:ptCount val="1"/>
                <c:pt idx="0">
                  <c:v>OH Conductors (FERC Acct. 356)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dLbl>
              <c:idx val="5"/>
              <c:layout>
                <c:manualLayout>
                  <c:x val="1.3177317582346014E-2"/>
                  <c:y val="0"/>
                </c:manualLayout>
              </c:layout>
              <c:showVal val="1"/>
            </c:dLbl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354-355-356'!$AB$14:$AB$20</c:f>
              <c:numCache>
                <c:formatCode>"$"#,##0.00_);[Red]\("$"#,##0.00\)</c:formatCode>
                <c:ptCount val="7"/>
                <c:pt idx="0">
                  <c:v>10.5</c:v>
                </c:pt>
                <c:pt idx="1">
                  <c:v>14.833333333333334</c:v>
                </c:pt>
                <c:pt idx="2">
                  <c:v>36.666666666666664</c:v>
                </c:pt>
                <c:pt idx="3">
                  <c:v>53.833333333333336</c:v>
                </c:pt>
                <c:pt idx="4">
                  <c:v>66.333333333333329</c:v>
                </c:pt>
                <c:pt idx="5">
                  <c:v>101.66666666666666</c:v>
                </c:pt>
                <c:pt idx="6">
                  <c:v>100</c:v>
                </c:pt>
              </c:numCache>
            </c:numRef>
          </c:val>
        </c:ser>
        <c:axId val="103219584"/>
        <c:axId val="103221120"/>
      </c:barChart>
      <c:catAx>
        <c:axId val="103219584"/>
        <c:scaling>
          <c:orientation val="minMax"/>
        </c:scaling>
        <c:axPos val="b"/>
        <c:numFmt formatCode="General" sourceLinked="1"/>
        <c:tickLblPos val="nextTo"/>
        <c:crossAx val="103221120"/>
        <c:crosses val="autoZero"/>
        <c:auto val="1"/>
        <c:lblAlgn val="ctr"/>
        <c:lblOffset val="100"/>
      </c:catAx>
      <c:valAx>
        <c:axId val="103221120"/>
        <c:scaling>
          <c:orientation val="minMax"/>
          <c:max val="105"/>
        </c:scaling>
        <c:axPos val="l"/>
        <c:majorGridlines/>
        <c:numFmt formatCode="&quot;$&quot;#,##0.00_);[Red]\(&quot;$&quot;#,##0.00\)" sourceLinked="1"/>
        <c:tickLblPos val="nextTo"/>
        <c:crossAx val="103219584"/>
        <c:crosses val="autoZero"/>
        <c:crossBetween val="between"/>
      </c:valAx>
    </c:plotArea>
    <c:legend>
      <c:legendPos val="b"/>
      <c:layout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 i="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28575</xdr:rowOff>
    </xdr:from>
    <xdr:to>
      <xdr:col>6</xdr:col>
      <xdr:colOff>485775</xdr:colOff>
      <xdr:row>63</xdr:row>
      <xdr:rowOff>133350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40</xdr:row>
      <xdr:rowOff>38100</xdr:rowOff>
    </xdr:from>
    <xdr:to>
      <xdr:col>15</xdr:col>
      <xdr:colOff>266700</xdr:colOff>
      <xdr:row>63</xdr:row>
      <xdr:rowOff>142875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38100</xdr:rowOff>
    </xdr:from>
    <xdr:to>
      <xdr:col>6</xdr:col>
      <xdr:colOff>447675</xdr:colOff>
      <xdr:row>89</xdr:row>
      <xdr:rowOff>142875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66</xdr:row>
      <xdr:rowOff>9525</xdr:rowOff>
    </xdr:from>
    <xdr:to>
      <xdr:col>15</xdr:col>
      <xdr:colOff>285750</xdr:colOff>
      <xdr:row>89</xdr:row>
      <xdr:rowOff>114300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0.24026</cdr:x>
      <cdr:y>0.17624</cdr:y>
    </cdr:from>
    <cdr:to>
      <cdr:x>0.39694</cdr:x>
      <cdr:y>0.2328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019" y="679679"/>
          <a:ext cx="925282" cy="217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Distribution</a:t>
          </a:r>
        </a:p>
      </cdr:txBody>
    </cdr:sp>
  </cdr:relSizeAnchor>
  <cdr:relSizeAnchor xmlns:cdr="http://schemas.openxmlformats.org/drawingml/2006/chartDrawing">
    <cdr:from>
      <cdr:x>0.24838</cdr:x>
      <cdr:y>0.46904</cdr:y>
    </cdr:from>
    <cdr:to>
      <cdr:x>0.40752</cdr:x>
      <cdr:y>0.52584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1803612"/>
          <a:ext cx="939808" cy="218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Substation</a:t>
          </a:r>
        </a:p>
      </cdr:txBody>
    </cdr:sp>
  </cdr:relSizeAnchor>
  <cdr:relSizeAnchor xmlns:cdr="http://schemas.openxmlformats.org/drawingml/2006/chartDrawing">
    <cdr:from>
      <cdr:x>0.24838</cdr:x>
      <cdr:y>0.69504</cdr:y>
    </cdr:from>
    <cdr:to>
      <cdr:x>0.43506</cdr:x>
      <cdr:y>0.75087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2671128"/>
          <a:ext cx="1102495" cy="21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Transmission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36072"/>
    <xdr:ext cx="8564940" cy="61566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9821" cy="62063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20952" y="68036"/>
    <xdr:ext cx="8459108" cy="6145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6463" y="704695"/>
    <xdr:ext cx="8247258" cy="55770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A36" sqref="A36"/>
    </sheetView>
  </sheetViews>
  <sheetFormatPr defaultRowHeight="12.75"/>
  <cols>
    <col min="1" max="1" width="21.7109375" bestFit="1" customWidth="1"/>
    <col min="2" max="2" width="13.85546875" bestFit="1" customWidth="1"/>
    <col min="3" max="3" width="16.42578125" bestFit="1" customWidth="1"/>
    <col min="4" max="4" width="12.140625" customWidth="1"/>
    <col min="5" max="15" width="11.85546875" customWidth="1"/>
  </cols>
  <sheetData>
    <row r="1" spans="1:16" ht="14.25" thickTop="1" thickBot="1">
      <c r="C1" s="102"/>
      <c r="D1" s="119"/>
      <c r="E1" s="346" t="s">
        <v>98</v>
      </c>
      <c r="F1" s="347"/>
      <c r="G1" s="347"/>
      <c r="H1" s="347"/>
      <c r="I1" s="347"/>
      <c r="J1" s="348"/>
      <c r="K1" s="346" t="s">
        <v>99</v>
      </c>
      <c r="L1" s="347"/>
      <c r="M1" s="347"/>
      <c r="N1" s="347"/>
      <c r="O1" s="347"/>
      <c r="P1" s="349"/>
    </row>
    <row r="2" spans="1:16" ht="63.75">
      <c r="A2" t="s">
        <v>54</v>
      </c>
      <c r="B2">
        <v>2009</v>
      </c>
      <c r="C2" s="109" t="s">
        <v>101</v>
      </c>
      <c r="D2" s="115" t="s">
        <v>91</v>
      </c>
      <c r="E2" s="120" t="s">
        <v>92</v>
      </c>
      <c r="F2" s="121" t="s">
        <v>93</v>
      </c>
      <c r="G2" s="121" t="s">
        <v>94</v>
      </c>
      <c r="H2" s="121" t="s">
        <v>95</v>
      </c>
      <c r="I2" s="121" t="s">
        <v>96</v>
      </c>
      <c r="J2" s="123" t="s">
        <v>97</v>
      </c>
      <c r="K2" s="120" t="s">
        <v>92</v>
      </c>
      <c r="L2" s="121" t="s">
        <v>93</v>
      </c>
      <c r="M2" s="121" t="s">
        <v>94</v>
      </c>
      <c r="N2" s="121" t="s">
        <v>95</v>
      </c>
      <c r="O2" s="121" t="s">
        <v>96</v>
      </c>
      <c r="P2" s="122" t="s">
        <v>97</v>
      </c>
    </row>
    <row r="3" spans="1:16">
      <c r="C3" s="109"/>
      <c r="D3" s="116"/>
      <c r="E3" s="112"/>
      <c r="F3" s="103"/>
      <c r="G3" s="103"/>
      <c r="H3" s="103"/>
      <c r="I3" s="103"/>
      <c r="J3" s="124"/>
      <c r="K3" s="112"/>
      <c r="L3" s="103"/>
      <c r="M3" s="103"/>
      <c r="N3" s="103"/>
      <c r="O3" s="103"/>
      <c r="P3" s="104"/>
    </row>
    <row r="4" spans="1:16">
      <c r="A4" s="2" t="str">
        <f>'Handy-Whit T&amp;D Accts'!AL117</f>
        <v xml:space="preserve">TX Total Replacement = </v>
      </c>
      <c r="B4" s="72">
        <f>'Handy-Whit T&amp;D Accts'!AM117</f>
        <v>641200991.95383549</v>
      </c>
      <c r="C4" s="110" t="s">
        <v>88</v>
      </c>
      <c r="D4" s="117">
        <f>Depreciation!$DM$16/Summary!B4</f>
        <v>8.786555030814611E-3</v>
      </c>
      <c r="E4" s="113">
        <f t="shared" ref="E4:J4" si="0">B15/$B$4</f>
        <v>0</v>
      </c>
      <c r="F4" s="105">
        <f t="shared" si="0"/>
        <v>0</v>
      </c>
      <c r="G4" s="105">
        <f t="shared" si="0"/>
        <v>0</v>
      </c>
      <c r="H4" s="105">
        <f t="shared" si="0"/>
        <v>0</v>
      </c>
      <c r="I4" s="105">
        <f t="shared" si="0"/>
        <v>0</v>
      </c>
      <c r="J4" s="125">
        <f t="shared" si="0"/>
        <v>0</v>
      </c>
      <c r="K4" s="113">
        <f t="shared" ref="K4:P4" si="1">B21/$B$4</f>
        <v>0</v>
      </c>
      <c r="L4" s="105">
        <f t="shared" si="1"/>
        <v>0</v>
      </c>
      <c r="M4" s="105">
        <f t="shared" si="1"/>
        <v>0</v>
      </c>
      <c r="N4" s="105">
        <f t="shared" si="1"/>
        <v>0</v>
      </c>
      <c r="O4" s="105">
        <f t="shared" si="1"/>
        <v>0</v>
      </c>
      <c r="P4" s="106">
        <f t="shared" si="1"/>
        <v>0</v>
      </c>
    </row>
    <row r="5" spans="1:16">
      <c r="A5" s="2" t="str">
        <f>'Handy-Whit T&amp;D Accts'!AL118</f>
        <v xml:space="preserve">TX Total Investment = </v>
      </c>
      <c r="B5" s="72">
        <f>'Handy-Whit T&amp;D Accts'!AM118</f>
        <v>252584070.54099995</v>
      </c>
      <c r="C5" s="110"/>
      <c r="D5" s="117"/>
      <c r="E5" s="112"/>
      <c r="F5" s="103"/>
      <c r="G5" s="103"/>
      <c r="H5" s="103"/>
      <c r="I5" s="103"/>
      <c r="J5" s="124"/>
      <c r="K5" s="112"/>
      <c r="L5" s="103"/>
      <c r="M5" s="103"/>
      <c r="N5" s="103"/>
      <c r="O5" s="103"/>
      <c r="P5" s="104"/>
    </row>
    <row r="6" spans="1:16">
      <c r="A6" s="71" t="str">
        <f>'Handy-Whit T&amp;D Accts'!CC117</f>
        <v xml:space="preserve">DX Total Replacement = </v>
      </c>
      <c r="B6" s="72">
        <f>'Handy-Whit T&amp;D Accts'!CD117</f>
        <v>2299288193.1542211</v>
      </c>
      <c r="C6" s="110" t="s">
        <v>86</v>
      </c>
      <c r="D6" s="117">
        <f>Depreciation!$DN$16/Summary!B6</f>
        <v>7.7558532771522803E-3</v>
      </c>
      <c r="E6" s="113">
        <f t="shared" ref="E6:J6" si="2">B16/$B$6</f>
        <v>0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0</v>
      </c>
      <c r="J6" s="125">
        <f t="shared" si="2"/>
        <v>0</v>
      </c>
      <c r="K6" s="113">
        <f t="shared" ref="K6:P6" si="3">B22/$B$6</f>
        <v>0</v>
      </c>
      <c r="L6" s="105">
        <f t="shared" si="3"/>
        <v>0</v>
      </c>
      <c r="M6" s="105">
        <f t="shared" si="3"/>
        <v>0</v>
      </c>
      <c r="N6" s="105">
        <f t="shared" si="3"/>
        <v>0</v>
      </c>
      <c r="O6" s="105">
        <f t="shared" si="3"/>
        <v>0</v>
      </c>
      <c r="P6" s="106">
        <f t="shared" si="3"/>
        <v>0</v>
      </c>
    </row>
    <row r="7" spans="1:16">
      <c r="A7" s="71" t="str">
        <f>'Handy-Whit T&amp;D Accts'!CC118</f>
        <v xml:space="preserve">DX Total Investment = </v>
      </c>
      <c r="B7" s="72">
        <f>'Handy-Whit T&amp;D Accts'!CD118</f>
        <v>974660255.26240003</v>
      </c>
      <c r="C7" s="110"/>
      <c r="D7" s="117"/>
      <c r="E7" s="113"/>
      <c r="F7" s="105"/>
      <c r="G7" s="103"/>
      <c r="H7" s="103"/>
      <c r="I7" s="103"/>
      <c r="J7" s="124"/>
      <c r="K7" s="112"/>
      <c r="L7" s="103"/>
      <c r="M7" s="103"/>
      <c r="N7" s="103"/>
      <c r="O7" s="103"/>
      <c r="P7" s="104"/>
    </row>
    <row r="8" spans="1:16">
      <c r="A8" s="71" t="str">
        <f>'Handy-Whit T&amp;D Accts'!DJ117</f>
        <v xml:space="preserve">Sub Total Replacement = </v>
      </c>
      <c r="B8" s="72">
        <f>'Handy-Whit T&amp;D Accts'!DK117</f>
        <v>839266235.13370597</v>
      </c>
      <c r="C8" s="110" t="s">
        <v>100</v>
      </c>
      <c r="D8" s="117">
        <f>Depreciation!$DO$16/Summary!B8</f>
        <v>1.0927394462989556E-2</v>
      </c>
      <c r="E8" s="113">
        <f t="shared" ref="E8:J8" si="4">B17/$B$8</f>
        <v>0</v>
      </c>
      <c r="F8" s="105">
        <f t="shared" si="4"/>
        <v>0</v>
      </c>
      <c r="G8" s="105">
        <f t="shared" si="4"/>
        <v>0</v>
      </c>
      <c r="H8" s="105">
        <f t="shared" si="4"/>
        <v>0</v>
      </c>
      <c r="I8" s="105">
        <f t="shared" si="4"/>
        <v>0</v>
      </c>
      <c r="J8" s="125">
        <f t="shared" si="4"/>
        <v>0</v>
      </c>
      <c r="K8" s="113">
        <f t="shared" ref="K8:P8" si="5">B23/$B$8</f>
        <v>0</v>
      </c>
      <c r="L8" s="105">
        <f t="shared" si="5"/>
        <v>0</v>
      </c>
      <c r="M8" s="105">
        <f t="shared" si="5"/>
        <v>0</v>
      </c>
      <c r="N8" s="105">
        <f t="shared" si="5"/>
        <v>0</v>
      </c>
      <c r="O8" s="105">
        <f t="shared" si="5"/>
        <v>0</v>
      </c>
      <c r="P8" s="106">
        <f t="shared" si="5"/>
        <v>0</v>
      </c>
    </row>
    <row r="9" spans="1:16" ht="13.5" thickBot="1">
      <c r="A9" s="73" t="str">
        <f>'Handy-Whit T&amp;D Accts'!DJ118</f>
        <v xml:space="preserve">Sub Total Investment = </v>
      </c>
      <c r="B9" s="74">
        <f>'Handy-Whit T&amp;D Accts'!DK118</f>
        <v>363898625.42000008</v>
      </c>
      <c r="C9" s="111"/>
      <c r="D9" s="118"/>
      <c r="E9" s="114"/>
      <c r="F9" s="107"/>
      <c r="G9" s="107"/>
      <c r="H9" s="107"/>
      <c r="I9" s="107"/>
      <c r="J9" s="126"/>
      <c r="K9" s="114"/>
      <c r="L9" s="107"/>
      <c r="M9" s="107"/>
      <c r="N9" s="107"/>
      <c r="O9" s="107"/>
      <c r="P9" s="108"/>
    </row>
    <row r="10" spans="1:16" ht="13.5" thickTop="1">
      <c r="A10" s="35" t="s">
        <v>55</v>
      </c>
      <c r="B10" s="75">
        <f>B8+B6+B4</f>
        <v>3779755420.2417626</v>
      </c>
      <c r="C10" s="76"/>
    </row>
    <row r="11" spans="1:16">
      <c r="A11" s="35" t="s">
        <v>56</v>
      </c>
      <c r="B11" s="75">
        <f>B9+B7+B5</f>
        <v>1591142951.2234001</v>
      </c>
      <c r="C11" s="35"/>
    </row>
    <row r="13" spans="1:16">
      <c r="B13" t="s">
        <v>98</v>
      </c>
    </row>
    <row r="14" spans="1:16">
      <c r="B14">
        <v>2008</v>
      </c>
      <c r="C14">
        <v>2009</v>
      </c>
      <c r="D14">
        <v>2010</v>
      </c>
      <c r="E14">
        <v>2011</v>
      </c>
      <c r="F14">
        <v>2012</v>
      </c>
      <c r="G14">
        <v>2013</v>
      </c>
    </row>
    <row r="15" spans="1:16">
      <c r="A15" t="s">
        <v>88</v>
      </c>
      <c r="B15" s="103"/>
      <c r="C15" s="103"/>
      <c r="D15" s="103"/>
      <c r="E15" s="103"/>
      <c r="F15" s="103"/>
      <c r="G15" s="103"/>
    </row>
    <row r="16" spans="1:16">
      <c r="A16" t="s">
        <v>86</v>
      </c>
      <c r="B16" s="103"/>
      <c r="C16" s="103"/>
      <c r="D16" s="103"/>
      <c r="E16" s="103"/>
      <c r="F16" s="103"/>
      <c r="G16" s="103"/>
    </row>
    <row r="17" spans="1:7">
      <c r="A17" t="s">
        <v>87</v>
      </c>
      <c r="B17" s="103"/>
      <c r="C17" s="103"/>
      <c r="D17" s="103"/>
      <c r="E17" s="103"/>
      <c r="F17" s="103"/>
      <c r="G17" s="103"/>
    </row>
    <row r="19" spans="1:7">
      <c r="B19" t="s">
        <v>99</v>
      </c>
    </row>
    <row r="20" spans="1:7">
      <c r="B20">
        <v>2008</v>
      </c>
      <c r="C20">
        <v>2009</v>
      </c>
      <c r="D20">
        <v>2010</v>
      </c>
      <c r="E20">
        <v>2011</v>
      </c>
      <c r="F20">
        <v>2012</v>
      </c>
      <c r="G20">
        <v>2013</v>
      </c>
    </row>
    <row r="21" spans="1:7">
      <c r="A21" t="s">
        <v>88</v>
      </c>
      <c r="B21" s="103"/>
      <c r="C21" s="103"/>
      <c r="D21" s="103"/>
      <c r="E21" s="103"/>
      <c r="F21" s="103"/>
      <c r="G21" s="103"/>
    </row>
    <row r="22" spans="1:7">
      <c r="A22" t="s">
        <v>86</v>
      </c>
      <c r="B22" s="103"/>
      <c r="C22" s="103"/>
      <c r="D22" s="103"/>
      <c r="E22" s="103"/>
      <c r="F22" s="103"/>
      <c r="G22" s="103"/>
    </row>
    <row r="23" spans="1:7">
      <c r="A23" t="s">
        <v>87</v>
      </c>
      <c r="B23" s="103"/>
      <c r="C23" s="103"/>
      <c r="D23" s="103"/>
      <c r="E23" s="103"/>
      <c r="F23" s="103"/>
      <c r="G23" s="103"/>
    </row>
  </sheetData>
  <mergeCells count="2">
    <mergeCell ref="E1:J1"/>
    <mergeCell ref="K1:P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P42" sqref="P4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61"/>
  <sheetViews>
    <sheetView zoomScaleNormal="100" workbookViewId="0">
      <pane xSplit="1" ySplit="18" topLeftCell="AU39" activePane="bottomRight" state="frozen"/>
      <selection pane="topRight" activeCell="B1" sqref="B1"/>
      <selection pane="bottomLeft" activeCell="A7" sqref="A7"/>
      <selection pane="bottomRight" activeCell="BD4" sqref="BD4:BH59"/>
    </sheetView>
  </sheetViews>
  <sheetFormatPr defaultColWidth="9.140625" defaultRowHeight="12.75"/>
  <cols>
    <col min="1" max="1" width="7.28515625" style="9" customWidth="1"/>
    <col min="2" max="2" width="12.7109375" customWidth="1"/>
    <col min="3" max="3" width="11.7109375" style="14" customWidth="1"/>
    <col min="4" max="4" width="12.7109375" customWidth="1"/>
    <col min="5" max="5" width="13.7109375" style="20" customWidth="1"/>
    <col min="6" max="6" width="13.7109375" customWidth="1"/>
    <col min="7" max="7" width="11.7109375" style="14" customWidth="1"/>
    <col min="8" max="8" width="13.7109375" style="14" customWidth="1"/>
    <col min="9" max="9" width="7.7109375" style="13" customWidth="1"/>
    <col min="10" max="10" width="7.7109375" style="30" customWidth="1"/>
    <col min="11" max="11" width="14.7109375" style="20" customWidth="1"/>
    <col min="12" max="12" width="13.7109375" customWidth="1"/>
    <col min="13" max="13" width="11.7109375" style="14" customWidth="1"/>
    <col min="14" max="14" width="9.7109375" style="14" customWidth="1"/>
    <col min="15" max="15" width="13.7109375" customWidth="1"/>
    <col min="16" max="16" width="7.7109375" style="12" customWidth="1"/>
    <col min="17" max="17" width="7.7109375" style="29" customWidth="1"/>
    <col min="18" max="18" width="14.7109375" style="20" customWidth="1"/>
    <col min="19" max="19" width="13.7109375" customWidth="1"/>
    <col min="20" max="21" width="11.7109375" style="14" customWidth="1"/>
    <col min="22" max="22" width="13.7109375" customWidth="1"/>
    <col min="23" max="23" width="7.7109375" style="12" customWidth="1"/>
    <col min="24" max="24" width="7.7109375" style="29" customWidth="1"/>
    <col min="25" max="25" width="14.7109375" style="20" customWidth="1"/>
    <col min="26" max="26" width="12.7109375" customWidth="1"/>
    <col min="27" max="27" width="7.7109375" style="12" customWidth="1"/>
    <col min="28" max="28" width="7.7109375" style="29" customWidth="1"/>
    <col min="29" max="29" width="14.7109375" style="20" customWidth="1"/>
    <col min="30" max="30" width="12.7109375" customWidth="1"/>
    <col min="31" max="31" width="7.7109375" style="12" customWidth="1"/>
    <col min="32" max="32" width="7.7109375" style="29" customWidth="1"/>
    <col min="33" max="33" width="14.7109375" style="20" customWidth="1"/>
    <col min="34" max="34" width="12.7109375" customWidth="1"/>
    <col min="35" max="35" width="11.7109375" style="14" customWidth="1"/>
    <col min="36" max="36" width="13.7109375" customWidth="1"/>
    <col min="37" max="37" width="7.7109375" style="12" customWidth="1"/>
    <col min="38" max="38" width="8.7109375" style="29" customWidth="1"/>
    <col min="39" max="39" width="14.7109375" style="20" customWidth="1"/>
    <col min="40" max="40" width="13.7109375" customWidth="1"/>
    <col min="41" max="41" width="7.7109375" style="12" customWidth="1"/>
    <col min="42" max="42" width="7.7109375" style="29" customWidth="1"/>
    <col min="43" max="43" width="14.7109375" style="20" customWidth="1"/>
    <col min="44" max="44" width="13.7109375" customWidth="1"/>
    <col min="45" max="45" width="7.7109375" style="12" customWidth="1"/>
    <col min="46" max="46" width="7.7109375" style="29" customWidth="1"/>
    <col min="47" max="47" width="14.7109375" style="20" customWidth="1"/>
    <col min="48" max="48" width="13.7109375" customWidth="1"/>
    <col min="49" max="49" width="7.7109375" style="12" customWidth="1"/>
    <col min="50" max="50" width="7.7109375" style="29" customWidth="1"/>
    <col min="51" max="51" width="14.7109375" style="20" customWidth="1"/>
    <col min="52" max="52" width="13.7109375" customWidth="1"/>
    <col min="53" max="53" width="7.7109375" style="12" customWidth="1"/>
    <col min="54" max="54" width="7.7109375" style="29" customWidth="1"/>
    <col min="55" max="55" width="14.7109375" style="20" customWidth="1"/>
    <col min="56" max="56" width="13.7109375" style="14" customWidth="1"/>
    <col min="57" max="57" width="13.7109375" customWidth="1"/>
    <col min="58" max="58" width="7.7109375" style="12" customWidth="1"/>
    <col min="59" max="59" width="7.7109375" style="29" customWidth="1"/>
    <col min="60" max="60" width="14.7109375" style="20" customWidth="1"/>
    <col min="61" max="61" width="13.7109375" customWidth="1"/>
    <col min="62" max="62" width="7.7109375" customWidth="1"/>
    <col min="63" max="63" width="7.7109375" style="29" customWidth="1"/>
    <col min="64" max="64" width="14.7109375" style="20" customWidth="1"/>
    <col min="65" max="65" width="13.7109375" customWidth="1"/>
    <col min="66" max="66" width="7.7109375" style="12" customWidth="1"/>
    <col min="67" max="67" width="7.7109375" style="29" customWidth="1"/>
    <col min="68" max="68" width="14.7109375" style="20" customWidth="1"/>
    <col min="69" max="69" width="13.7109375" customWidth="1"/>
    <col min="70" max="70" width="11.7109375" style="14" customWidth="1"/>
    <col min="71" max="71" width="13.7109375" customWidth="1"/>
    <col min="72" max="72" width="7.7109375" style="12" customWidth="1"/>
    <col min="73" max="73" width="7.7109375" style="29" customWidth="1"/>
    <col min="74" max="74" width="14.7109375" style="32" customWidth="1"/>
    <col min="75" max="75" width="12.7109375" customWidth="1"/>
    <col min="76" max="76" width="7.7109375" style="12" customWidth="1"/>
    <col min="77" max="77" width="7.7109375" style="29" customWidth="1"/>
    <col min="78" max="78" width="14.7109375" style="20" customWidth="1"/>
    <col min="79" max="79" width="12.7109375" customWidth="1"/>
    <col min="80" max="80" width="7.7109375" customWidth="1"/>
    <col min="81" max="81" width="7.7109375" style="29" customWidth="1"/>
    <col min="82" max="82" width="14.7109375" style="20" customWidth="1"/>
    <col min="83" max="83" width="12.7109375" customWidth="1"/>
    <col min="84" max="84" width="11.7109375" style="14" customWidth="1"/>
    <col min="85" max="85" width="13.7109375" customWidth="1"/>
    <col min="86" max="86" width="13.7109375" style="20" customWidth="1"/>
    <col min="87" max="87" width="12.7109375" customWidth="1"/>
    <col min="88" max="88" width="11.7109375" style="14" customWidth="1"/>
    <col min="89" max="89" width="13.7109375" customWidth="1"/>
    <col min="90" max="90" width="7.7109375" customWidth="1"/>
    <col min="91" max="91" width="7.7109375" style="29" customWidth="1"/>
    <col min="92" max="92" width="14.7109375" style="20" customWidth="1"/>
    <col min="93" max="93" width="13.7109375" customWidth="1"/>
    <col min="94" max="95" width="11.42578125" customWidth="1"/>
    <col min="96" max="96" width="13.7109375" customWidth="1"/>
    <col min="97" max="97" width="7.7109375" style="12" customWidth="1"/>
    <col min="98" max="98" width="7.7109375" style="29" customWidth="1"/>
    <col min="99" max="99" width="14.7109375" style="20" customWidth="1"/>
    <col min="100" max="100" width="12.7109375" customWidth="1"/>
    <col min="101" max="101" width="7.7109375" customWidth="1"/>
    <col min="102" max="102" width="7.7109375" style="29" customWidth="1"/>
    <col min="103" max="103" width="14.7109375" style="20" customWidth="1"/>
    <col min="104" max="104" width="13.7109375" customWidth="1"/>
    <col min="105" max="105" width="7.7109375" style="12" customWidth="1"/>
    <col min="106" max="106" width="7.7109375" style="29" customWidth="1"/>
    <col min="107" max="107" width="14.7109375" style="20" customWidth="1"/>
    <col min="108" max="108" width="13.7109375" customWidth="1"/>
    <col min="109" max="109" width="15.28515625" customWidth="1"/>
    <col min="110" max="110" width="11.7109375" style="14" customWidth="1"/>
    <col min="111" max="111" width="13.7109375" style="14" customWidth="1"/>
    <col min="112" max="112" width="13.7109375" customWidth="1"/>
    <col min="113" max="113" width="7.7109375" style="36" customWidth="1"/>
    <col min="114" max="114" width="7.7109375" style="30" customWidth="1"/>
    <col min="115" max="115" width="14.7109375" style="21" customWidth="1"/>
    <col min="116" max="116" width="12.7109375" customWidth="1"/>
    <col min="117" max="185" width="11.42578125" customWidth="1"/>
    <col min="186" max="186" width="11.7109375" customWidth="1"/>
  </cols>
  <sheetData>
    <row r="1" spans="1:120" hidden="1">
      <c r="A1" s="340" t="s">
        <v>125</v>
      </c>
      <c r="I1" s="13">
        <v>3</v>
      </c>
      <c r="P1" s="12">
        <v>4</v>
      </c>
      <c r="W1" s="12">
        <v>5</v>
      </c>
      <c r="AA1" s="12">
        <v>6</v>
      </c>
      <c r="AE1" s="12">
        <v>7</v>
      </c>
      <c r="AK1" s="12">
        <v>8</v>
      </c>
      <c r="AO1" s="12">
        <v>10</v>
      </c>
      <c r="AS1" s="12">
        <v>11</v>
      </c>
      <c r="AW1" s="12">
        <v>12</v>
      </c>
      <c r="BA1" s="12">
        <v>13</v>
      </c>
      <c r="BF1" s="12">
        <v>14</v>
      </c>
      <c r="BJ1">
        <v>15</v>
      </c>
      <c r="BN1" s="12">
        <v>16</v>
      </c>
      <c r="BT1" s="12">
        <v>17</v>
      </c>
      <c r="BX1" s="12">
        <v>18</v>
      </c>
      <c r="CB1">
        <v>18</v>
      </c>
      <c r="CL1">
        <v>3</v>
      </c>
      <c r="CS1" s="12">
        <v>2</v>
      </c>
      <c r="CW1">
        <v>3</v>
      </c>
      <c r="DA1" s="12">
        <v>9</v>
      </c>
      <c r="DI1" s="36">
        <v>19</v>
      </c>
    </row>
    <row r="2" spans="1:120" ht="17.100000000000001" customHeight="1">
      <c r="A2"/>
      <c r="B2" s="34" t="s">
        <v>102</v>
      </c>
      <c r="G2" s="44"/>
      <c r="H2" s="44"/>
      <c r="I2" t="s">
        <v>121</v>
      </c>
      <c r="K2" s="26" t="s">
        <v>122</v>
      </c>
      <c r="R2" s="20" t="s">
        <v>0</v>
      </c>
      <c r="BE2" s="6" t="s">
        <v>0</v>
      </c>
      <c r="CI2" s="5"/>
      <c r="CJ2" s="45"/>
      <c r="CK2" s="5"/>
      <c r="CL2" s="5"/>
      <c r="CM2" s="28"/>
      <c r="CN2" s="24"/>
      <c r="DF2" s="17"/>
      <c r="DG2" s="17" t="s">
        <v>1</v>
      </c>
      <c r="DH2" s="35"/>
    </row>
    <row r="3" spans="1:120" ht="17.100000000000001" customHeight="1" thickBot="1">
      <c r="A3"/>
      <c r="B3" s="5" t="s">
        <v>2</v>
      </c>
      <c r="F3" s="5" t="s">
        <v>0</v>
      </c>
      <c r="G3" s="45"/>
      <c r="H3" s="45"/>
      <c r="I3" t="s">
        <v>104</v>
      </c>
      <c r="K3" s="26"/>
      <c r="AN3" s="5" t="s">
        <v>3</v>
      </c>
      <c r="BE3" s="6"/>
      <c r="CE3" s="5" t="s">
        <v>4</v>
      </c>
      <c r="CI3" s="5" t="s">
        <v>0</v>
      </c>
      <c r="CJ3" s="45"/>
      <c r="CK3" s="5"/>
      <c r="CL3" s="5"/>
      <c r="CM3" s="28"/>
      <c r="CN3" s="24"/>
      <c r="DD3" s="35"/>
      <c r="DE3" s="35"/>
      <c r="DF3" s="17"/>
      <c r="DG3" s="17" t="s">
        <v>5</v>
      </c>
    </row>
    <row r="4" spans="1:120" ht="13.5" thickBot="1">
      <c r="A4" s="158"/>
      <c r="B4" s="159"/>
      <c r="C4" s="159"/>
      <c r="D4" s="159"/>
      <c r="E4" s="160"/>
      <c r="F4" s="159"/>
      <c r="G4" s="159"/>
      <c r="H4" s="165" t="s">
        <v>103</v>
      </c>
      <c r="I4" s="161">
        <f>I9</f>
        <v>520</v>
      </c>
      <c r="J4" s="162"/>
      <c r="K4" s="160"/>
      <c r="L4" s="159"/>
      <c r="M4" s="159"/>
      <c r="N4" s="159"/>
      <c r="O4" s="165" t="s">
        <v>103</v>
      </c>
      <c r="P4" s="161">
        <f>P9</f>
        <v>595</v>
      </c>
      <c r="Q4" s="162"/>
      <c r="R4" s="160"/>
      <c r="S4" s="159"/>
      <c r="T4" s="159"/>
      <c r="U4" s="159"/>
      <c r="V4" s="165" t="s">
        <v>103</v>
      </c>
      <c r="W4" s="161">
        <f>W9</f>
        <v>610</v>
      </c>
      <c r="X4" s="162"/>
      <c r="Y4" s="160"/>
      <c r="Z4" s="165" t="s">
        <v>103</v>
      </c>
      <c r="AA4" s="161">
        <f>AA9</f>
        <v>548</v>
      </c>
      <c r="AB4" s="162"/>
      <c r="AC4" s="160"/>
      <c r="AD4" s="165" t="s">
        <v>103</v>
      </c>
      <c r="AE4" s="161">
        <f>AE9</f>
        <v>829</v>
      </c>
      <c r="AF4" s="162"/>
      <c r="AG4" s="160"/>
      <c r="AH4" s="159"/>
      <c r="AI4" s="159"/>
      <c r="AJ4" s="165" t="s">
        <v>103</v>
      </c>
      <c r="AK4" s="161">
        <f>AK9</f>
        <v>525</v>
      </c>
      <c r="AL4" s="162"/>
      <c r="AM4" s="160"/>
      <c r="AN4" s="165" t="s">
        <v>103</v>
      </c>
      <c r="AO4" s="161">
        <f>AO9</f>
        <v>568</v>
      </c>
      <c r="AP4" s="162"/>
      <c r="AQ4" s="160"/>
      <c r="AR4" s="165" t="s">
        <v>103</v>
      </c>
      <c r="AS4" s="161">
        <f>AS9</f>
        <v>684</v>
      </c>
      <c r="AT4" s="161"/>
      <c r="AU4" s="160"/>
      <c r="AV4" s="165" t="s">
        <v>103</v>
      </c>
      <c r="AW4" s="161">
        <f>AW9</f>
        <v>526</v>
      </c>
      <c r="AX4" s="162"/>
      <c r="AY4" s="160"/>
      <c r="AZ4" s="165" t="s">
        <v>103</v>
      </c>
      <c r="BA4" s="161">
        <f>BA9</f>
        <v>614</v>
      </c>
      <c r="BB4" s="162"/>
      <c r="BC4" s="160"/>
      <c r="BD4" s="159"/>
      <c r="BE4" s="165" t="s">
        <v>103</v>
      </c>
      <c r="BF4" s="161">
        <f>BF9</f>
        <v>612</v>
      </c>
      <c r="BG4" s="162"/>
      <c r="BH4" s="160"/>
      <c r="BI4" s="165" t="s">
        <v>103</v>
      </c>
      <c r="BJ4" s="161">
        <f>BJ9</f>
        <v>652</v>
      </c>
      <c r="BK4" s="162"/>
      <c r="BL4" s="160"/>
      <c r="BM4" s="165" t="s">
        <v>103</v>
      </c>
      <c r="BN4" s="161">
        <f>BN9</f>
        <v>509</v>
      </c>
      <c r="BO4" s="162"/>
      <c r="BP4" s="160"/>
      <c r="BQ4" s="159"/>
      <c r="BR4" s="159"/>
      <c r="BS4" s="165" t="s">
        <v>103</v>
      </c>
      <c r="BT4" s="161">
        <f>BT9</f>
        <v>355</v>
      </c>
      <c r="BU4" s="162"/>
      <c r="BV4" s="160"/>
      <c r="BW4" s="165" t="s">
        <v>103</v>
      </c>
      <c r="BX4" s="161">
        <f>BX9</f>
        <v>730</v>
      </c>
      <c r="BY4" s="162"/>
      <c r="BZ4" s="160"/>
      <c r="CA4" s="165" t="s">
        <v>103</v>
      </c>
      <c r="CB4" s="161">
        <f>CB9</f>
        <v>730</v>
      </c>
      <c r="CC4" s="162"/>
      <c r="CD4" s="160"/>
      <c r="CE4" s="159"/>
      <c r="CF4" s="159"/>
      <c r="CG4" s="159"/>
      <c r="CH4" s="160"/>
      <c r="CI4" s="159"/>
      <c r="CJ4" s="159"/>
      <c r="CK4" s="165" t="s">
        <v>103</v>
      </c>
      <c r="CL4" s="161">
        <f>CL9</f>
        <v>520</v>
      </c>
      <c r="CM4" s="163"/>
      <c r="CN4" s="160"/>
      <c r="CO4" s="159"/>
      <c r="CP4" s="159"/>
      <c r="CQ4" s="159"/>
      <c r="CR4" s="165" t="s">
        <v>103</v>
      </c>
      <c r="CS4" s="161">
        <f>CS9</f>
        <v>691</v>
      </c>
      <c r="CT4" s="162"/>
      <c r="CU4" s="160"/>
      <c r="CV4" s="165" t="s">
        <v>103</v>
      </c>
      <c r="CW4" s="161">
        <f>CW9</f>
        <v>520</v>
      </c>
      <c r="CX4" s="163"/>
      <c r="CY4" s="160"/>
      <c r="CZ4" s="165" t="s">
        <v>103</v>
      </c>
      <c r="DA4" s="161">
        <f>DA9</f>
        <v>650</v>
      </c>
      <c r="DB4" s="162"/>
      <c r="DC4" s="160"/>
      <c r="DD4" s="159"/>
      <c r="DE4" s="159"/>
      <c r="DF4" s="159"/>
      <c r="DG4" s="159"/>
      <c r="DH4" s="165" t="s">
        <v>103</v>
      </c>
      <c r="DI4" s="161">
        <f>DI9</f>
        <v>868</v>
      </c>
      <c r="DJ4" s="162"/>
      <c r="DK4" s="164"/>
    </row>
    <row r="5" spans="1:120" s="153" customFormat="1" ht="13.5" thickBot="1">
      <c r="A5" s="140" t="s">
        <v>6</v>
      </c>
      <c r="B5" s="141">
        <v>350</v>
      </c>
      <c r="C5" s="142" t="s">
        <v>7</v>
      </c>
      <c r="D5" s="143"/>
      <c r="E5" s="144"/>
      <c r="F5" s="141">
        <v>354</v>
      </c>
      <c r="G5" s="141"/>
      <c r="H5" s="141"/>
      <c r="I5" s="145"/>
      <c r="J5" s="146"/>
      <c r="K5" s="144"/>
      <c r="L5" s="141">
        <v>355</v>
      </c>
      <c r="M5" s="141"/>
      <c r="N5" s="141"/>
      <c r="O5" s="141"/>
      <c r="P5" s="145"/>
      <c r="Q5" s="146"/>
      <c r="R5" s="144"/>
      <c r="S5" s="141">
        <v>356</v>
      </c>
      <c r="T5" s="141"/>
      <c r="U5" s="141"/>
      <c r="V5" s="141"/>
      <c r="W5" s="145"/>
      <c r="X5" s="146"/>
      <c r="Y5" s="144"/>
      <c r="Z5" s="141">
        <v>357</v>
      </c>
      <c r="AA5" s="145"/>
      <c r="AB5" s="146"/>
      <c r="AC5" s="144"/>
      <c r="AD5" s="141">
        <v>358</v>
      </c>
      <c r="AE5" s="145"/>
      <c r="AF5" s="146"/>
      <c r="AG5" s="144"/>
      <c r="AH5" s="141">
        <v>359</v>
      </c>
      <c r="AI5" s="142" t="s">
        <v>120</v>
      </c>
      <c r="AJ5" s="141"/>
      <c r="AK5" s="145"/>
      <c r="AL5" s="146"/>
      <c r="AM5" s="144"/>
      <c r="AN5" s="141">
        <v>364</v>
      </c>
      <c r="AO5" s="145"/>
      <c r="AP5" s="146"/>
      <c r="AQ5" s="144"/>
      <c r="AR5" s="141">
        <v>365</v>
      </c>
      <c r="AS5" s="145"/>
      <c r="AT5" s="146"/>
      <c r="AU5" s="144"/>
      <c r="AV5" s="141">
        <v>366</v>
      </c>
      <c r="AW5" s="145"/>
      <c r="AX5" s="146"/>
      <c r="AY5" s="144"/>
      <c r="AZ5" s="141">
        <v>367</v>
      </c>
      <c r="BA5" s="145"/>
      <c r="BB5" s="146"/>
      <c r="BC5" s="144"/>
      <c r="BD5" s="141">
        <v>368</v>
      </c>
      <c r="BE5" s="142" t="s">
        <v>8</v>
      </c>
      <c r="BF5" s="147"/>
      <c r="BG5" s="146"/>
      <c r="BH5" s="148"/>
      <c r="BI5" s="142" t="s">
        <v>9</v>
      </c>
      <c r="BJ5" s="141"/>
      <c r="BK5" s="146"/>
      <c r="BL5" s="144"/>
      <c r="BM5" s="141">
        <v>369</v>
      </c>
      <c r="BN5" s="149" t="s">
        <v>10</v>
      </c>
      <c r="BO5" s="146"/>
      <c r="BP5" s="144"/>
      <c r="BQ5" s="141">
        <v>370</v>
      </c>
      <c r="BR5" s="141"/>
      <c r="BS5" s="141"/>
      <c r="BT5" s="145"/>
      <c r="BU5" s="146"/>
      <c r="BV5" s="150"/>
      <c r="BW5" s="141">
        <v>373</v>
      </c>
      <c r="BX5" s="149" t="s">
        <v>44</v>
      </c>
      <c r="BY5" s="146"/>
      <c r="BZ5" s="144"/>
      <c r="CA5" s="141">
        <v>373.4</v>
      </c>
      <c r="CB5" s="149" t="s">
        <v>45</v>
      </c>
      <c r="CC5" s="146"/>
      <c r="CD5" s="144"/>
      <c r="CE5" s="141">
        <v>350</v>
      </c>
      <c r="CF5" s="142" t="s">
        <v>11</v>
      </c>
      <c r="CG5" s="143"/>
      <c r="CH5" s="144"/>
      <c r="CI5" s="141">
        <v>352</v>
      </c>
      <c r="CJ5" s="142" t="s">
        <v>42</v>
      </c>
      <c r="CK5" s="141"/>
      <c r="CL5" s="141"/>
      <c r="CM5" s="146"/>
      <c r="CN5" s="144"/>
      <c r="CO5" s="141">
        <v>353</v>
      </c>
      <c r="CP5" s="141"/>
      <c r="CQ5" s="141"/>
      <c r="CR5" s="141"/>
      <c r="CS5" s="145"/>
      <c r="CT5" s="146"/>
      <c r="CU5" s="144"/>
      <c r="CV5" s="141">
        <v>361</v>
      </c>
      <c r="CW5" s="142" t="s">
        <v>27</v>
      </c>
      <c r="CX5" s="146"/>
      <c r="CY5" s="144"/>
      <c r="CZ5" s="141">
        <v>362</v>
      </c>
      <c r="DA5" s="145"/>
      <c r="DB5" s="146"/>
      <c r="DC5" s="144"/>
      <c r="DD5" s="141" t="s">
        <v>39</v>
      </c>
      <c r="DE5" s="141" t="s">
        <v>40</v>
      </c>
      <c r="DF5" s="141"/>
      <c r="DG5" s="142" t="s">
        <v>43</v>
      </c>
      <c r="DH5" s="142"/>
      <c r="DI5" s="151"/>
      <c r="DJ5" s="146"/>
      <c r="DK5" s="152"/>
    </row>
    <row r="6" spans="1:120">
      <c r="A6" s="10" t="s">
        <v>12</v>
      </c>
      <c r="B6" s="17" t="s">
        <v>13</v>
      </c>
      <c r="C6" s="17" t="s">
        <v>47</v>
      </c>
      <c r="D6" s="17" t="s">
        <v>14</v>
      </c>
      <c r="E6" s="40" t="s">
        <v>15</v>
      </c>
      <c r="F6" s="17" t="s">
        <v>13</v>
      </c>
      <c r="G6" s="17" t="s">
        <v>47</v>
      </c>
      <c r="H6" s="17" t="s">
        <v>16</v>
      </c>
      <c r="I6" s="18" t="s">
        <v>17</v>
      </c>
      <c r="J6" s="31" t="str">
        <f>I2</f>
        <v>to '10</v>
      </c>
      <c r="K6" s="40" t="str">
        <f>K2</f>
        <v>Equiv '10 $$</v>
      </c>
      <c r="L6" s="17" t="s">
        <v>13</v>
      </c>
      <c r="M6" s="17" t="s">
        <v>47</v>
      </c>
      <c r="N6" s="17" t="s">
        <v>18</v>
      </c>
      <c r="O6" s="17" t="s">
        <v>19</v>
      </c>
      <c r="P6" s="18" t="s">
        <v>17</v>
      </c>
      <c r="Q6" s="31" t="str">
        <f>I2</f>
        <v>to '10</v>
      </c>
      <c r="R6" s="40" t="str">
        <f>K2</f>
        <v>Equiv '10 $$</v>
      </c>
      <c r="S6" s="17" t="s">
        <v>13</v>
      </c>
      <c r="T6" s="17" t="s">
        <v>47</v>
      </c>
      <c r="U6" s="17" t="s">
        <v>18</v>
      </c>
      <c r="V6" s="17" t="s">
        <v>20</v>
      </c>
      <c r="W6" s="18" t="s">
        <v>17</v>
      </c>
      <c r="X6" s="31" t="str">
        <f>I2</f>
        <v>to '10</v>
      </c>
      <c r="Y6" s="40" t="str">
        <f>K2</f>
        <v>Equiv '10 $$</v>
      </c>
      <c r="Z6" s="17" t="s">
        <v>13</v>
      </c>
      <c r="AA6" s="18" t="s">
        <v>17</v>
      </c>
      <c r="AB6" s="31" t="str">
        <f>I2</f>
        <v>to '10</v>
      </c>
      <c r="AC6" s="40" t="str">
        <f>K2</f>
        <v>Equiv '10 $$</v>
      </c>
      <c r="AD6" s="17" t="s">
        <v>13</v>
      </c>
      <c r="AE6" s="18" t="s">
        <v>17</v>
      </c>
      <c r="AF6" s="31" t="str">
        <f>I2</f>
        <v>to '10</v>
      </c>
      <c r="AG6" s="40" t="str">
        <f>K2</f>
        <v>Equiv '10 $$</v>
      </c>
      <c r="AH6" s="17" t="s">
        <v>13</v>
      </c>
      <c r="AI6" s="17" t="s">
        <v>47</v>
      </c>
      <c r="AJ6" s="17" t="s">
        <v>22</v>
      </c>
      <c r="AK6" s="18" t="s">
        <v>17</v>
      </c>
      <c r="AL6" s="31" t="str">
        <f>I2</f>
        <v>to '10</v>
      </c>
      <c r="AM6" s="40" t="str">
        <f>K2</f>
        <v>Equiv '10 $$</v>
      </c>
      <c r="AN6" s="17" t="s">
        <v>13</v>
      </c>
      <c r="AO6" s="18" t="s">
        <v>17</v>
      </c>
      <c r="AP6" s="31" t="str">
        <f>I2</f>
        <v>to '10</v>
      </c>
      <c r="AQ6" s="40" t="str">
        <f>K2</f>
        <v>Equiv '10 $$</v>
      </c>
      <c r="AR6" s="17" t="s">
        <v>13</v>
      </c>
      <c r="AS6" s="18" t="s">
        <v>17</v>
      </c>
      <c r="AT6" s="31" t="str">
        <f>I2</f>
        <v>to '10</v>
      </c>
      <c r="AU6" s="40" t="str">
        <f>K2</f>
        <v>Equiv '10 $$</v>
      </c>
      <c r="AV6" s="17" t="s">
        <v>13</v>
      </c>
      <c r="AW6" s="18" t="s">
        <v>17</v>
      </c>
      <c r="AX6" s="31" t="str">
        <f>I2</f>
        <v>to '10</v>
      </c>
      <c r="AY6" s="40" t="str">
        <f>K2</f>
        <v>Equiv '10 $$</v>
      </c>
      <c r="AZ6" s="17" t="s">
        <v>13</v>
      </c>
      <c r="BA6" s="18" t="s">
        <v>17</v>
      </c>
      <c r="BB6" s="31" t="str">
        <f>I2</f>
        <v>to '10</v>
      </c>
      <c r="BC6" s="40" t="str">
        <f>K2</f>
        <v>Equiv '10 $$</v>
      </c>
      <c r="BD6" s="17" t="s">
        <v>23</v>
      </c>
      <c r="BE6" s="17" t="s">
        <v>24</v>
      </c>
      <c r="BF6" s="18" t="s">
        <v>17</v>
      </c>
      <c r="BG6" s="31" t="str">
        <f>I2</f>
        <v>to '10</v>
      </c>
      <c r="BH6" s="40" t="str">
        <f>K2</f>
        <v>Equiv '10 $$</v>
      </c>
      <c r="BI6" s="17" t="s">
        <v>25</v>
      </c>
      <c r="BJ6" s="18" t="s">
        <v>17</v>
      </c>
      <c r="BK6" s="31" t="str">
        <f>I2</f>
        <v>to '10</v>
      </c>
      <c r="BL6" s="40" t="str">
        <f>K2</f>
        <v>Equiv '10 $$</v>
      </c>
      <c r="BM6" s="17" t="s">
        <v>13</v>
      </c>
      <c r="BN6" s="18" t="s">
        <v>17</v>
      </c>
      <c r="BO6" s="31" t="str">
        <f>I2</f>
        <v>to '10</v>
      </c>
      <c r="BP6" s="40" t="str">
        <f>K2</f>
        <v>Equiv '10 $$</v>
      </c>
      <c r="BQ6" s="17" t="s">
        <v>13</v>
      </c>
      <c r="BR6" s="17" t="s">
        <v>21</v>
      </c>
      <c r="BS6" s="17" t="s">
        <v>22</v>
      </c>
      <c r="BT6" s="18" t="s">
        <v>17</v>
      </c>
      <c r="BU6" s="31" t="str">
        <f>I2</f>
        <v>to '10</v>
      </c>
      <c r="BV6" s="40" t="str">
        <f>K2</f>
        <v>Equiv '10 $$</v>
      </c>
      <c r="BW6" s="17" t="s">
        <v>13</v>
      </c>
      <c r="BX6" s="18" t="s">
        <v>17</v>
      </c>
      <c r="BY6" s="31" t="str">
        <f>I2</f>
        <v>to '10</v>
      </c>
      <c r="BZ6" s="40" t="str">
        <f>K2</f>
        <v>Equiv '10 $$</v>
      </c>
      <c r="CA6" s="17" t="s">
        <v>13</v>
      </c>
      <c r="CB6" s="18" t="s">
        <v>17</v>
      </c>
      <c r="CC6" s="31" t="str">
        <f>I2</f>
        <v>to '10</v>
      </c>
      <c r="CD6" s="40" t="str">
        <f>K2</f>
        <v>Equiv '10 $$</v>
      </c>
      <c r="CE6" s="17" t="s">
        <v>13</v>
      </c>
      <c r="CF6" s="17" t="s">
        <v>47</v>
      </c>
      <c r="CG6" s="17" t="s">
        <v>14</v>
      </c>
      <c r="CH6" s="40" t="s">
        <v>26</v>
      </c>
      <c r="CI6" s="17" t="s">
        <v>13</v>
      </c>
      <c r="CJ6" s="17" t="s">
        <v>47</v>
      </c>
      <c r="CK6" s="17" t="s">
        <v>22</v>
      </c>
      <c r="CL6" s="18" t="s">
        <v>17</v>
      </c>
      <c r="CM6" s="31" t="str">
        <f>I2</f>
        <v>to '10</v>
      </c>
      <c r="CN6" s="40" t="str">
        <f>K2</f>
        <v>Equiv '10 $$</v>
      </c>
      <c r="CO6" s="17" t="s">
        <v>13</v>
      </c>
      <c r="CP6" s="17" t="s">
        <v>47</v>
      </c>
      <c r="CQ6" s="17" t="s">
        <v>18</v>
      </c>
      <c r="CR6" s="17" t="s">
        <v>22</v>
      </c>
      <c r="CS6" s="18" t="s">
        <v>17</v>
      </c>
      <c r="CT6" s="31" t="str">
        <f>I2</f>
        <v>to '10</v>
      </c>
      <c r="CU6" s="40" t="str">
        <f>K2</f>
        <v>Equiv '10 $$</v>
      </c>
      <c r="CV6" s="17" t="s">
        <v>13</v>
      </c>
      <c r="CW6" s="18" t="s">
        <v>17</v>
      </c>
      <c r="CX6" s="31" t="str">
        <f>I2</f>
        <v>to '10</v>
      </c>
      <c r="CY6" s="40" t="str">
        <f>K2</f>
        <v>Equiv '10 $$</v>
      </c>
      <c r="CZ6" s="17" t="s">
        <v>13</v>
      </c>
      <c r="DA6" s="18" t="s">
        <v>17</v>
      </c>
      <c r="DB6" s="31" t="str">
        <f>I2</f>
        <v>to '10</v>
      </c>
      <c r="DC6" s="40" t="str">
        <f>K2</f>
        <v>Equiv '10 $$</v>
      </c>
      <c r="DD6" s="17" t="s">
        <v>13</v>
      </c>
      <c r="DE6" s="17"/>
      <c r="DF6" s="17" t="s">
        <v>47</v>
      </c>
      <c r="DG6" s="17" t="s">
        <v>22</v>
      </c>
      <c r="DH6" s="17" t="s">
        <v>26</v>
      </c>
      <c r="DI6" s="43" t="s">
        <v>17</v>
      </c>
      <c r="DJ6" s="31" t="str">
        <f>I2</f>
        <v>to '10</v>
      </c>
      <c r="DK6" s="40" t="str">
        <f>K2</f>
        <v>Equiv '10 $$</v>
      </c>
    </row>
    <row r="7" spans="1:120">
      <c r="A7" s="10"/>
      <c r="B7" s="17"/>
      <c r="C7" s="17" t="s">
        <v>46</v>
      </c>
      <c r="D7" s="17"/>
      <c r="E7" s="40"/>
      <c r="F7" s="17"/>
      <c r="G7" s="17" t="s">
        <v>46</v>
      </c>
      <c r="H7" s="17"/>
      <c r="I7" s="18"/>
      <c r="J7" s="31"/>
      <c r="K7" s="40"/>
      <c r="L7" s="17"/>
      <c r="M7" s="17" t="s">
        <v>46</v>
      </c>
      <c r="N7" s="17"/>
      <c r="O7" s="17"/>
      <c r="P7" s="18"/>
      <c r="Q7" s="31"/>
      <c r="R7" s="40"/>
      <c r="S7" s="17"/>
      <c r="T7" s="17" t="s">
        <v>46</v>
      </c>
      <c r="U7" s="17"/>
      <c r="V7" s="17"/>
      <c r="W7" s="18"/>
      <c r="X7" s="31"/>
      <c r="Y7" s="40"/>
      <c r="Z7" s="17"/>
      <c r="AA7" s="18"/>
      <c r="AB7" s="31"/>
      <c r="AC7" s="40"/>
      <c r="AD7" s="17"/>
      <c r="AE7" s="18"/>
      <c r="AF7" s="31"/>
      <c r="AG7" s="40"/>
      <c r="AH7" s="17"/>
      <c r="AI7" s="17" t="s">
        <v>46</v>
      </c>
      <c r="AJ7" s="17"/>
      <c r="AK7" s="18"/>
      <c r="AL7" s="31"/>
      <c r="AM7" s="40"/>
      <c r="AN7" s="17"/>
      <c r="AO7" s="18"/>
      <c r="AP7" s="31"/>
      <c r="AQ7" s="40"/>
      <c r="AR7" s="17"/>
      <c r="AS7" s="18"/>
      <c r="AT7" s="31"/>
      <c r="AU7" s="40"/>
      <c r="AV7" s="17"/>
      <c r="AW7" s="18"/>
      <c r="AX7" s="31"/>
      <c r="AY7" s="40"/>
      <c r="AZ7" s="17"/>
      <c r="BA7" s="18"/>
      <c r="BB7" s="31"/>
      <c r="BC7" s="40"/>
      <c r="BD7" s="17"/>
      <c r="BE7" s="17"/>
      <c r="BF7" s="18"/>
      <c r="BG7" s="31"/>
      <c r="BH7" s="40"/>
      <c r="BI7" s="17"/>
      <c r="BJ7" s="18"/>
      <c r="BK7" s="31"/>
      <c r="BL7" s="40"/>
      <c r="BM7" s="17"/>
      <c r="BN7" s="18"/>
      <c r="BO7" s="31"/>
      <c r="BP7" s="40"/>
      <c r="BQ7" s="17"/>
      <c r="BR7" s="17"/>
      <c r="BS7" s="17"/>
      <c r="BT7" s="18"/>
      <c r="BU7" s="31"/>
      <c r="BV7" s="40"/>
      <c r="BW7" s="17"/>
      <c r="BX7" s="18"/>
      <c r="BY7" s="31"/>
      <c r="BZ7" s="40"/>
      <c r="CA7" s="17"/>
      <c r="CB7" s="18"/>
      <c r="CC7" s="31"/>
      <c r="CD7" s="40"/>
      <c r="CE7" s="17"/>
      <c r="CF7" s="17" t="s">
        <v>46</v>
      </c>
      <c r="CG7" s="17"/>
      <c r="CH7" s="40"/>
      <c r="CI7" s="17"/>
      <c r="CJ7" s="17" t="s">
        <v>46</v>
      </c>
      <c r="CK7" s="17"/>
      <c r="CL7" s="6"/>
      <c r="CN7" s="40"/>
      <c r="CO7" s="17"/>
      <c r="CP7" s="17" t="s">
        <v>46</v>
      </c>
      <c r="CQ7" s="17"/>
      <c r="CR7" s="17"/>
      <c r="CS7" s="18"/>
      <c r="CT7" s="31"/>
      <c r="CU7" s="40"/>
      <c r="CV7" s="17"/>
      <c r="CY7" s="40"/>
      <c r="CZ7" s="17"/>
      <c r="DA7" s="18"/>
      <c r="DB7" s="31"/>
      <c r="DC7" s="40"/>
      <c r="DD7" s="17"/>
      <c r="DE7" s="17"/>
      <c r="DF7" s="17" t="s">
        <v>46</v>
      </c>
      <c r="DG7" s="17"/>
      <c r="DH7" s="17"/>
      <c r="DI7" s="43"/>
      <c r="DJ7" s="41"/>
      <c r="DK7" s="48"/>
      <c r="DM7" t="s">
        <v>88</v>
      </c>
      <c r="DN7" t="s">
        <v>86</v>
      </c>
      <c r="DO7" t="s">
        <v>88</v>
      </c>
      <c r="DP7" t="s">
        <v>86</v>
      </c>
    </row>
    <row r="8" spans="1:120" s="92" customFormat="1">
      <c r="A8" s="166" t="s">
        <v>124</v>
      </c>
      <c r="B8" s="130"/>
      <c r="C8" s="130"/>
      <c r="D8" s="130"/>
      <c r="E8" s="131"/>
      <c r="F8" s="130"/>
      <c r="G8" s="130"/>
      <c r="H8" s="130"/>
      <c r="I8" s="80"/>
      <c r="J8" s="132"/>
      <c r="K8" s="131"/>
      <c r="L8" s="130"/>
      <c r="M8" s="130"/>
      <c r="N8" s="130"/>
      <c r="O8" s="130"/>
      <c r="P8" s="80"/>
      <c r="Q8" s="132"/>
      <c r="R8" s="131"/>
      <c r="S8" s="130"/>
      <c r="T8" s="130"/>
      <c r="U8" s="130"/>
      <c r="V8" s="130"/>
      <c r="W8" s="80"/>
      <c r="X8" s="132"/>
      <c r="Y8" s="131"/>
      <c r="Z8" s="130"/>
      <c r="AA8" s="80"/>
      <c r="AB8" s="132"/>
      <c r="AC8" s="131"/>
      <c r="AD8" s="130"/>
      <c r="AE8" s="80"/>
      <c r="AF8" s="132"/>
      <c r="AG8" s="131"/>
      <c r="AH8" s="130"/>
      <c r="AI8" s="130"/>
      <c r="AJ8" s="130"/>
      <c r="AK8" s="80"/>
      <c r="AL8" s="132"/>
      <c r="AM8" s="131"/>
      <c r="AN8" s="130"/>
      <c r="AO8" s="80"/>
      <c r="AP8" s="132"/>
      <c r="AQ8" s="131"/>
      <c r="AR8" s="130"/>
      <c r="AS8" s="80"/>
      <c r="AT8" s="132"/>
      <c r="AU8" s="131"/>
      <c r="AV8" s="130"/>
      <c r="AW8" s="80"/>
      <c r="AX8" s="132"/>
      <c r="AY8" s="131"/>
      <c r="AZ8" s="130"/>
      <c r="BA8" s="80"/>
      <c r="BB8" s="132"/>
      <c r="BC8" s="131"/>
      <c r="BD8" s="130"/>
      <c r="BE8" s="130"/>
      <c r="BF8" s="80"/>
      <c r="BG8" s="132"/>
      <c r="BH8" s="131"/>
      <c r="BI8" s="130"/>
      <c r="BJ8" s="80"/>
      <c r="BK8" s="132"/>
      <c r="BL8" s="131"/>
      <c r="BM8" s="130"/>
      <c r="BN8" s="80"/>
      <c r="BO8" s="132"/>
      <c r="BP8" s="131"/>
      <c r="BQ8" s="130"/>
      <c r="BR8" s="130"/>
      <c r="BS8" s="130"/>
      <c r="BT8" s="80"/>
      <c r="BU8" s="132"/>
      <c r="BV8" s="131"/>
      <c r="BW8" s="130"/>
      <c r="BX8" s="80"/>
      <c r="BY8" s="132"/>
      <c r="BZ8" s="131"/>
      <c r="CA8" s="130"/>
      <c r="CB8" s="80"/>
      <c r="CC8" s="132"/>
      <c r="CD8" s="131"/>
      <c r="CE8" s="130"/>
      <c r="CF8" s="130"/>
      <c r="CG8" s="130"/>
      <c r="CH8" s="131"/>
      <c r="CI8" s="130"/>
      <c r="CJ8" s="130"/>
      <c r="CK8" s="130"/>
      <c r="CL8" s="134"/>
      <c r="CM8" s="135"/>
      <c r="CN8" s="131"/>
      <c r="CO8" s="130"/>
      <c r="CP8" s="130"/>
      <c r="CQ8" s="130"/>
      <c r="CR8" s="130"/>
      <c r="CS8" s="80"/>
      <c r="CT8" s="132"/>
      <c r="CU8" s="131"/>
      <c r="CV8" s="130"/>
      <c r="CX8" s="135"/>
      <c r="CY8" s="131"/>
      <c r="CZ8" s="130"/>
      <c r="DA8" s="80"/>
      <c r="DB8" s="132"/>
      <c r="DC8" s="131"/>
      <c r="DD8" s="130"/>
      <c r="DE8" s="130"/>
      <c r="DF8" s="130"/>
      <c r="DG8" s="130"/>
      <c r="DH8" s="130"/>
      <c r="DI8" s="136"/>
      <c r="DJ8" s="137"/>
      <c r="DK8" s="138"/>
    </row>
    <row r="9" spans="1:120" s="92" customFormat="1">
      <c r="A9" s="128">
        <v>2010</v>
      </c>
      <c r="B9" s="336">
        <v>1963423.04</v>
      </c>
      <c r="C9" s="130"/>
      <c r="D9" s="154">
        <f t="shared" ref="D9:D11" si="0">B9-C9</f>
        <v>1963423.04</v>
      </c>
      <c r="E9" s="155">
        <f>D9*0.7</f>
        <v>1374396.128</v>
      </c>
      <c r="F9" s="337">
        <v>7791.94</v>
      </c>
      <c r="G9" s="130"/>
      <c r="H9" s="294">
        <f t="shared" ref="H9:H18" si="1">F9-G9</f>
        <v>7791.94</v>
      </c>
      <c r="I9" s="80">
        <f t="shared" ref="I9:I40" si="2">INDEX(HW_Data,MATCH(A9,HW_Year,0),$I$1)</f>
        <v>520</v>
      </c>
      <c r="J9" s="139">
        <f>$I$4/I9</f>
        <v>1</v>
      </c>
      <c r="K9" s="86">
        <f>H9*J9</f>
        <v>7791.94</v>
      </c>
      <c r="L9" s="293">
        <v>3519127.42</v>
      </c>
      <c r="M9" s="130"/>
      <c r="N9" s="295">
        <v>-127134.22</v>
      </c>
      <c r="O9" s="296">
        <f t="shared" ref="O9:O18" si="3">L9-M9+N9</f>
        <v>3391993.1999999997</v>
      </c>
      <c r="P9" s="80">
        <f t="shared" ref="P9:P40" si="4">INDEX(HW_Data,MATCH(A9,HW_Year,0),$P$1)</f>
        <v>595</v>
      </c>
      <c r="Q9" s="139">
        <f>$P$4/P9</f>
        <v>1</v>
      </c>
      <c r="R9" s="86">
        <f>O9*Q9</f>
        <v>3391993.1999999997</v>
      </c>
      <c r="S9" s="293">
        <v>2002165.56</v>
      </c>
      <c r="T9" s="130"/>
      <c r="U9" s="293">
        <v>-75173.13</v>
      </c>
      <c r="V9" s="296">
        <f t="shared" ref="V9:V18" si="5">S9-T9+U9</f>
        <v>1926992.4300000002</v>
      </c>
      <c r="W9" s="80">
        <f t="shared" ref="W9:W40" si="6">INDEX(HW_Data,MATCH(A9,HW_Year,0),$W$1)</f>
        <v>610</v>
      </c>
      <c r="X9" s="139">
        <f>$W$4/W9</f>
        <v>1</v>
      </c>
      <c r="Y9" s="86">
        <f>X9*V9</f>
        <v>1926992.4300000002</v>
      </c>
      <c r="Z9" s="297">
        <v>27068.53</v>
      </c>
      <c r="AA9" s="80">
        <f t="shared" ref="AA9:AA40" si="7">INDEX(HW_Data,MATCH(A9,HW_Year,0),$AA$1)</f>
        <v>548</v>
      </c>
      <c r="AB9" s="139">
        <f>$AA$4/AA9</f>
        <v>1</v>
      </c>
      <c r="AC9" s="86">
        <f>AB9*Z9</f>
        <v>27068.53</v>
      </c>
      <c r="AD9" s="297">
        <v>0</v>
      </c>
      <c r="AE9" s="80">
        <f t="shared" ref="AE9:AE40" si="8">INDEX(HW_Data,MATCH(A9,HW_Year,0),$AE$1)</f>
        <v>829</v>
      </c>
      <c r="AF9" s="139">
        <f>$AE$4/AE9</f>
        <v>1</v>
      </c>
      <c r="AG9" s="86">
        <f>AD9*AF9</f>
        <v>0</v>
      </c>
      <c r="AH9" s="297">
        <v>0</v>
      </c>
      <c r="AI9" s="130"/>
      <c r="AJ9" s="296">
        <f t="shared" ref="AJ9:AJ18" si="9">AH9-AI9</f>
        <v>0</v>
      </c>
      <c r="AK9" s="80">
        <f t="shared" ref="AK9:AK40" si="10">INDEX(HW_Data,MATCH(A9,HW_Year,0),$AK$1)</f>
        <v>525</v>
      </c>
      <c r="AL9" s="139">
        <f>$AK$4/AK9</f>
        <v>1</v>
      </c>
      <c r="AM9" s="86">
        <f>AJ9*AL9</f>
        <v>0</v>
      </c>
      <c r="AN9" s="297">
        <v>15008775.119999999</v>
      </c>
      <c r="AO9" s="80">
        <f t="shared" ref="AO9:AO40" si="11">INDEX(HW_Data,MATCH(A9,HW_Year,0),$AO$1)</f>
        <v>568</v>
      </c>
      <c r="AP9" s="139">
        <f>$AO$4/AO9</f>
        <v>1</v>
      </c>
      <c r="AQ9" s="86">
        <f t="shared" ref="AQ9:AQ11" si="12">AN9*AP9</f>
        <v>15008775.119999999</v>
      </c>
      <c r="AR9" s="297">
        <v>12707767.970000001</v>
      </c>
      <c r="AS9" s="80">
        <f t="shared" ref="AS9:AS40" si="13">INDEX(HW_Data,MATCH(A9,HW_Year,0),$AS$1)</f>
        <v>684</v>
      </c>
      <c r="AT9" s="139">
        <f>$AS$4/AS9</f>
        <v>1</v>
      </c>
      <c r="AU9" s="86">
        <f t="shared" ref="AU9:AU11" si="14">AR9*AT9</f>
        <v>12707767.970000001</v>
      </c>
      <c r="AV9" s="297">
        <v>2947643.21</v>
      </c>
      <c r="AW9" s="80">
        <f t="shared" ref="AW9:AW40" si="15">INDEX(HW_Data,MATCH(A9,HW_Year,0),$AW$1)</f>
        <v>526</v>
      </c>
      <c r="AX9" s="139">
        <f t="shared" ref="AX9:AX74" si="16">$AW$4/AW9</f>
        <v>1</v>
      </c>
      <c r="AY9" s="86">
        <f t="shared" ref="AY9:AY11" si="17">AV9*AX9</f>
        <v>2947643.21</v>
      </c>
      <c r="AZ9" s="297">
        <v>6608580.2699999996</v>
      </c>
      <c r="BA9" s="80">
        <f t="shared" ref="BA9:BA40" si="18">INDEX(HW_Data,MATCH(A9,HW_Year,0),$BA$1)</f>
        <v>614</v>
      </c>
      <c r="BB9" s="139">
        <f t="shared" ref="BB9:BB74" si="19">$BA$4/BA9</f>
        <v>1</v>
      </c>
      <c r="BC9" s="86">
        <f>AZ9*BB9</f>
        <v>6608580.2699999996</v>
      </c>
      <c r="BD9" s="297">
        <v>8942846.3499999996</v>
      </c>
      <c r="BE9" s="298">
        <f t="shared" ref="BE9:BE18" si="20">BD9*0.824</f>
        <v>7368905.3923999993</v>
      </c>
      <c r="BF9" s="80">
        <f t="shared" ref="BF9:BF40" si="21">INDEX(HW_Data,MATCH(A9,HW_Year,0),$BF$1)</f>
        <v>612</v>
      </c>
      <c r="BG9" s="139">
        <f>$BF$4/BF9</f>
        <v>1</v>
      </c>
      <c r="BH9" s="86">
        <f t="shared" ref="BH9:BH11" si="22">BE9*BG9</f>
        <v>7368905.3923999993</v>
      </c>
      <c r="BI9" s="298">
        <v>8942846.3499999996</v>
      </c>
      <c r="BJ9" s="80">
        <f t="shared" ref="BJ9:BJ40" si="23">INDEX(HW_Data,MATCH(A9,HW_Year,0),$BJ$1)</f>
        <v>652</v>
      </c>
      <c r="BK9" s="139">
        <f>$BJ$4/BJ9</f>
        <v>1</v>
      </c>
      <c r="BL9" s="86">
        <f t="shared" ref="BL9:BL11" si="24">BI9*BK9</f>
        <v>8942846.3499999996</v>
      </c>
      <c r="BM9" s="297">
        <v>4994524.71</v>
      </c>
      <c r="BN9" s="80">
        <f t="shared" ref="BN9:BN40" si="25">INDEX(HW_Data,MATCH(A9,HW_Year,0),$BN$1)</f>
        <v>509</v>
      </c>
      <c r="BO9" s="139">
        <f>$BN$4/BN9</f>
        <v>1</v>
      </c>
      <c r="BP9" s="86">
        <f t="shared" ref="BP9:BP11" si="26">BM9*BO9</f>
        <v>4994524.71</v>
      </c>
      <c r="BQ9" s="297">
        <v>1047863.06</v>
      </c>
      <c r="BR9" s="130"/>
      <c r="BS9" s="296">
        <f t="shared" ref="BS9:BS18" si="27">BQ9-BR9</f>
        <v>1047863.06</v>
      </c>
      <c r="BT9" s="80">
        <f t="shared" ref="BT9:BT40" si="28">INDEX(HW_Data,MATCH(A9,HW_Year,0),$BT$1)</f>
        <v>355</v>
      </c>
      <c r="BU9" s="139">
        <f>$BT$4/BT9</f>
        <v>1</v>
      </c>
      <c r="BV9" s="86">
        <f>BS9*BU9</f>
        <v>1047863.06</v>
      </c>
      <c r="BW9" s="297">
        <v>475308.63</v>
      </c>
      <c r="BX9" s="80">
        <f t="shared" ref="BX9:BX40" si="29">INDEX(HW_Data,MATCH(A9,HW_Year,0),$BX$1)</f>
        <v>730</v>
      </c>
      <c r="BY9" s="139">
        <f>$BX$4/BX9</f>
        <v>1</v>
      </c>
      <c r="BZ9" s="86">
        <f t="shared" ref="BZ9:BZ11" si="30">BW9*BY9</f>
        <v>475308.63</v>
      </c>
      <c r="CA9" s="297">
        <v>1949751.13</v>
      </c>
      <c r="CB9" s="80">
        <f t="shared" ref="CB9:CB37" si="31">INDEX(HW_Data,MATCH(A9,HW_Year,0),$CB$1)</f>
        <v>730</v>
      </c>
      <c r="CC9" s="139">
        <f>$CB$4/CB9</f>
        <v>1</v>
      </c>
      <c r="CD9" s="86">
        <f t="shared" ref="CD9:CD11" si="32">CA9*CC9</f>
        <v>1949751.13</v>
      </c>
      <c r="CE9" s="297">
        <f>B9</f>
        <v>1963423.04</v>
      </c>
      <c r="CF9" s="130"/>
      <c r="CG9" s="296">
        <f t="shared" ref="CG9:CG11" si="33">CE9-CF9</f>
        <v>1963423.04</v>
      </c>
      <c r="CH9" s="25">
        <f t="shared" ref="CH9:CH11" si="34">CG9*0.3</f>
        <v>589026.91200000001</v>
      </c>
      <c r="CI9" s="297">
        <v>-1975662.04</v>
      </c>
      <c r="CJ9" s="130"/>
      <c r="CK9" s="296">
        <f t="shared" ref="CK9:CK18" si="35">CI9-CJ9</f>
        <v>-1975662.04</v>
      </c>
      <c r="CL9" s="134">
        <f t="shared" ref="CL9:CL40" si="36">INDEX(HW_Data,MATCH(A9,HW_Year,0),$CL$1)</f>
        <v>520</v>
      </c>
      <c r="CM9" s="139">
        <f>$CL$4/CL9</f>
        <v>1</v>
      </c>
      <c r="CN9" s="86">
        <f t="shared" ref="CN9:CN11" si="37">CK9*CM9</f>
        <v>-1975662.04</v>
      </c>
      <c r="CO9" s="297">
        <v>17808204.16</v>
      </c>
      <c r="CP9" s="17"/>
      <c r="CQ9" s="297">
        <v>-2683011.29</v>
      </c>
      <c r="CR9" s="299">
        <f t="shared" ref="CR9:CR18" si="38">CO9-CP9+CQ9</f>
        <v>15125192.870000001</v>
      </c>
      <c r="CS9" s="80">
        <f t="shared" ref="CS9:CS40" si="39">INDEX(HW_Data,MATCH(A9,HW_Year,0),$CS$1)</f>
        <v>691</v>
      </c>
      <c r="CT9" s="139">
        <f>$CS$4/CS9</f>
        <v>1</v>
      </c>
      <c r="CU9" s="86">
        <f t="shared" ref="CU9:CU11" si="40">CR9*CT9</f>
        <v>15125192.870000001</v>
      </c>
      <c r="CV9" s="297">
        <v>491801.99</v>
      </c>
      <c r="CW9" s="92">
        <f t="shared" ref="CW9:CW40" si="41">INDEX(HW_Data,MATCH(A9,HW_Year,0),$CW$1)</f>
        <v>520</v>
      </c>
      <c r="CX9" s="139">
        <f>$CW$4/CW9</f>
        <v>1</v>
      </c>
      <c r="CY9" s="86">
        <f t="shared" ref="CY9:CY11" si="42">CV9*CX9</f>
        <v>491801.99</v>
      </c>
      <c r="CZ9" s="297">
        <v>6994452.9199999999</v>
      </c>
      <c r="DA9" s="80">
        <f t="shared" ref="DA9:DA40" si="43">INDEX(HW_Data,MATCH(A9,HW_Year,0),$DA$1)</f>
        <v>650</v>
      </c>
      <c r="DB9" s="139">
        <f>$DA$4/DA9</f>
        <v>1</v>
      </c>
      <c r="DC9" s="86">
        <f t="shared" ref="DC9:DC11" si="44">CZ9*DB9</f>
        <v>6994452.9199999999</v>
      </c>
      <c r="DD9" s="297">
        <v>4109454.67</v>
      </c>
      <c r="DE9" s="130"/>
      <c r="DF9" s="130"/>
      <c r="DG9" s="3">
        <f t="shared" ref="DG9:DG11" si="45">DD9-DF9</f>
        <v>4109454.67</v>
      </c>
      <c r="DH9" s="3">
        <f t="shared" ref="DH9:DH11" si="46">DG9*0.5</f>
        <v>2054727.335</v>
      </c>
      <c r="DI9" s="136">
        <f t="shared" ref="DI9:DI40" si="47">INDEX(HW_Data,MATCH(A9,HW_Year,0),$DI$1)</f>
        <v>868</v>
      </c>
      <c r="DJ9" s="156">
        <f>$DI$4/DI9</f>
        <v>1</v>
      </c>
      <c r="DK9" s="86">
        <f t="shared" ref="DK9:DK11" si="48">DH9*DJ9</f>
        <v>2054727.335</v>
      </c>
      <c r="DM9" s="2">
        <f t="shared" ref="DM9" si="49">D9+H9+L9+S9+Z9+AD9+AJ9+CG9+CK9+CR9</f>
        <v>22632530.360000003</v>
      </c>
      <c r="DN9" s="2">
        <f t="shared" ref="DN9" si="50">DH9+CZ9+CV9+CA9+BW9+BS9+BM9+BI9+BE9+AZ9+AV9+AR9+AN9</f>
        <v>71592948.087399989</v>
      </c>
      <c r="DO9" s="127">
        <f t="shared" ref="DO9" si="51">DM9/($DM9+$DN9)</f>
        <v>0.24019544111558197</v>
      </c>
      <c r="DP9" s="127">
        <f t="shared" ref="DP9" si="52">DN9/($DM9+$DN9)</f>
        <v>0.75980455888441811</v>
      </c>
    </row>
    <row r="10" spans="1:120">
      <c r="A10" s="78">
        <v>2009</v>
      </c>
      <c r="B10" s="336">
        <v>496662.53</v>
      </c>
      <c r="C10" s="17"/>
      <c r="D10" s="154">
        <f t="shared" si="0"/>
        <v>496662.53</v>
      </c>
      <c r="E10" s="155">
        <f>D10*0.7</f>
        <v>347663.77100000001</v>
      </c>
      <c r="F10" s="337">
        <v>14714.72</v>
      </c>
      <c r="G10" s="17"/>
      <c r="H10" s="294">
        <f t="shared" si="1"/>
        <v>14714.72</v>
      </c>
      <c r="I10" s="80">
        <f t="shared" si="2"/>
        <v>502</v>
      </c>
      <c r="J10" s="139">
        <f>$I$4/I10</f>
        <v>1.0358565737051793</v>
      </c>
      <c r="K10" s="86">
        <f>H10*J10</f>
        <v>15242.339442231074</v>
      </c>
      <c r="L10" s="293">
        <v>3424337.07</v>
      </c>
      <c r="M10" s="17"/>
      <c r="N10" s="295">
        <v>-98793.24</v>
      </c>
      <c r="O10" s="296">
        <f t="shared" si="3"/>
        <v>3325543.8299999996</v>
      </c>
      <c r="P10" s="80">
        <f t="shared" si="4"/>
        <v>596</v>
      </c>
      <c r="Q10" s="139">
        <f>$P$4/P10</f>
        <v>0.99832214765100669</v>
      </c>
      <c r="R10" s="86">
        <f>O10*Q10</f>
        <v>3319964.058473154</v>
      </c>
      <c r="S10" s="293">
        <v>2428936.64</v>
      </c>
      <c r="T10" s="17"/>
      <c r="U10" s="293">
        <v>-17543.73</v>
      </c>
      <c r="V10" s="296">
        <f t="shared" si="5"/>
        <v>2411392.91</v>
      </c>
      <c r="W10" s="80">
        <f t="shared" si="6"/>
        <v>525</v>
      </c>
      <c r="X10" s="139">
        <f>$W$4/W10</f>
        <v>1.161904761904762</v>
      </c>
      <c r="Y10" s="86">
        <f>X10*V10</f>
        <v>2801808.9049523813</v>
      </c>
      <c r="Z10" s="297">
        <v>-279119.15000000002</v>
      </c>
      <c r="AA10" s="80">
        <f t="shared" si="7"/>
        <v>530</v>
      </c>
      <c r="AB10" s="139">
        <f>$AA$4/AA10</f>
        <v>1.0339622641509434</v>
      </c>
      <c r="AC10" s="86">
        <f>AB10*Z10</f>
        <v>-288598.66830188682</v>
      </c>
      <c r="AD10" s="297">
        <v>0</v>
      </c>
      <c r="AE10" s="80">
        <f t="shared" si="8"/>
        <v>832</v>
      </c>
      <c r="AF10" s="139">
        <f>$AE$4/AE10</f>
        <v>0.99639423076923073</v>
      </c>
      <c r="AG10" s="86">
        <f>AD10*AF10</f>
        <v>0</v>
      </c>
      <c r="AH10" s="297">
        <v>0</v>
      </c>
      <c r="AI10" s="17"/>
      <c r="AJ10" s="296">
        <f t="shared" si="9"/>
        <v>0</v>
      </c>
      <c r="AK10" s="80">
        <f t="shared" si="10"/>
        <v>498</v>
      </c>
      <c r="AL10" s="139">
        <f>$AK$4/AK10</f>
        <v>1.0542168674698795</v>
      </c>
      <c r="AM10" s="86">
        <f>AJ10*AL10</f>
        <v>0</v>
      </c>
      <c r="AN10" s="297">
        <v>17526088.449999999</v>
      </c>
      <c r="AO10" s="80">
        <f t="shared" si="11"/>
        <v>550</v>
      </c>
      <c r="AP10" s="139">
        <f>$AO$4/AO10</f>
        <v>1.0327272727272727</v>
      </c>
      <c r="AQ10" s="86">
        <f t="shared" si="12"/>
        <v>18099669.526545454</v>
      </c>
      <c r="AR10" s="297">
        <v>9740590.3100000005</v>
      </c>
      <c r="AS10" s="80">
        <f t="shared" si="13"/>
        <v>612</v>
      </c>
      <c r="AT10" s="139">
        <f>$AS$4/AS10</f>
        <v>1.1176470588235294</v>
      </c>
      <c r="AU10" s="86">
        <f t="shared" si="14"/>
        <v>10886542.111176472</v>
      </c>
      <c r="AV10" s="297">
        <v>3466981.93</v>
      </c>
      <c r="AW10" s="80">
        <f t="shared" si="15"/>
        <v>520</v>
      </c>
      <c r="AX10" s="139">
        <f t="shared" si="16"/>
        <v>1.0115384615384615</v>
      </c>
      <c r="AY10" s="86">
        <f t="shared" si="17"/>
        <v>3506985.567653846</v>
      </c>
      <c r="AZ10" s="297">
        <v>7589877.6200000001</v>
      </c>
      <c r="BA10" s="80">
        <f t="shared" si="18"/>
        <v>641</v>
      </c>
      <c r="BB10" s="139">
        <f t="shared" si="19"/>
        <v>0.95787831513260535</v>
      </c>
      <c r="BC10" s="86">
        <f>AZ10*BB10</f>
        <v>7270179.1867082687</v>
      </c>
      <c r="BD10" s="297">
        <v>10028955.08</v>
      </c>
      <c r="BE10" s="298">
        <f t="shared" si="20"/>
        <v>8263858.9859199999</v>
      </c>
      <c r="BF10" s="80">
        <f t="shared" si="21"/>
        <v>558</v>
      </c>
      <c r="BG10" s="139">
        <f>$BF$4/BF10</f>
        <v>1.096774193548387</v>
      </c>
      <c r="BH10" s="86">
        <f t="shared" si="22"/>
        <v>9063587.2748799995</v>
      </c>
      <c r="BI10" s="298">
        <f t="shared" ref="BI10:BI18" si="53">BD10*0.176</f>
        <v>1765096.09408</v>
      </c>
      <c r="BJ10" s="80">
        <f t="shared" si="23"/>
        <v>666</v>
      </c>
      <c r="BK10" s="139">
        <f>$BJ$4/BJ10</f>
        <v>0.97897897897897901</v>
      </c>
      <c r="BL10" s="86">
        <f t="shared" si="24"/>
        <v>1727991.9719822223</v>
      </c>
      <c r="BM10" s="297">
        <v>5072883.67</v>
      </c>
      <c r="BN10" s="80">
        <f t="shared" si="25"/>
        <v>468</v>
      </c>
      <c r="BO10" s="139">
        <f>$BN$4/BN10</f>
        <v>1.0876068376068375</v>
      </c>
      <c r="BP10" s="86">
        <f t="shared" si="26"/>
        <v>5517302.965876068</v>
      </c>
      <c r="BQ10" s="297">
        <v>734107.18</v>
      </c>
      <c r="BR10" s="17"/>
      <c r="BS10" s="296">
        <f t="shared" si="27"/>
        <v>734107.18</v>
      </c>
      <c r="BT10" s="80">
        <f t="shared" si="28"/>
        <v>338</v>
      </c>
      <c r="BU10" s="139">
        <f>$BT$4/BT10</f>
        <v>1.0502958579881656</v>
      </c>
      <c r="BV10" s="86">
        <f>BS10*BU10</f>
        <v>771029.73047337274</v>
      </c>
      <c r="BW10" s="297">
        <v>485005.82</v>
      </c>
      <c r="BX10" s="80">
        <f t="shared" si="29"/>
        <v>753</v>
      </c>
      <c r="BY10" s="139">
        <f>$BX$4/BX10</f>
        <v>0.96945551128818064</v>
      </c>
      <c r="BZ10" s="86">
        <f t="shared" si="30"/>
        <v>470191.5652058433</v>
      </c>
      <c r="CA10" s="297">
        <v>1096454.42</v>
      </c>
      <c r="CB10" s="80">
        <f t="shared" si="31"/>
        <v>753</v>
      </c>
      <c r="CC10" s="139">
        <f>$CB$4/CB10</f>
        <v>0.96945551128818064</v>
      </c>
      <c r="CD10" s="86">
        <f t="shared" si="32"/>
        <v>1062963.7803452855</v>
      </c>
      <c r="CE10" s="297">
        <f>B10</f>
        <v>496662.53</v>
      </c>
      <c r="CF10" s="17"/>
      <c r="CG10" s="296">
        <f t="shared" si="33"/>
        <v>496662.53</v>
      </c>
      <c r="CH10" s="25">
        <f t="shared" si="34"/>
        <v>148998.75899999999</v>
      </c>
      <c r="CI10" s="297">
        <v>340538.54</v>
      </c>
      <c r="CJ10" s="17"/>
      <c r="CK10" s="296">
        <f t="shared" si="35"/>
        <v>340538.54</v>
      </c>
      <c r="CL10" s="134">
        <f t="shared" si="36"/>
        <v>502</v>
      </c>
      <c r="CM10" s="139">
        <f>$CL$4/CL10</f>
        <v>1.0358565737051793</v>
      </c>
      <c r="CN10" s="86">
        <f t="shared" si="37"/>
        <v>352749.0852589641</v>
      </c>
      <c r="CO10" s="297">
        <v>6723366.1100000003</v>
      </c>
      <c r="CP10" s="17"/>
      <c r="CQ10" s="297">
        <v>-1938336.19</v>
      </c>
      <c r="CR10" s="299">
        <f t="shared" si="38"/>
        <v>4785029.92</v>
      </c>
      <c r="CS10" s="80">
        <f t="shared" si="39"/>
        <v>657</v>
      </c>
      <c r="CT10" s="139">
        <f>$CS$4/CS10</f>
        <v>1.0517503805175039</v>
      </c>
      <c r="CU10" s="86">
        <f t="shared" si="40"/>
        <v>5032657.0391476415</v>
      </c>
      <c r="CV10" s="297">
        <v>1767765.23</v>
      </c>
      <c r="CW10" s="92">
        <f t="shared" si="41"/>
        <v>502</v>
      </c>
      <c r="CX10" s="139">
        <f>$CW$4/CW10</f>
        <v>1.0358565737051793</v>
      </c>
      <c r="CY10" s="86">
        <f t="shared" si="42"/>
        <v>1831151.2342629482</v>
      </c>
      <c r="CZ10" s="297">
        <v>6994452.9199999999</v>
      </c>
      <c r="DA10" s="80">
        <f t="shared" si="43"/>
        <v>615</v>
      </c>
      <c r="DB10" s="139">
        <f>$DA$4/DA10</f>
        <v>1.056910569105691</v>
      </c>
      <c r="DC10" s="86">
        <f t="shared" si="44"/>
        <v>7392511.2162601622</v>
      </c>
      <c r="DD10" s="297">
        <v>3899562.23</v>
      </c>
      <c r="DE10" s="17"/>
      <c r="DF10" s="17"/>
      <c r="DG10" s="3">
        <f t="shared" si="45"/>
        <v>3899562.23</v>
      </c>
      <c r="DH10" s="3">
        <f t="shared" si="46"/>
        <v>1949781.115</v>
      </c>
      <c r="DI10" s="136">
        <f t="shared" si="47"/>
        <v>816</v>
      </c>
      <c r="DJ10" s="156">
        <f>$DI$4/DI10</f>
        <v>1.0637254901960784</v>
      </c>
      <c r="DK10" s="86">
        <f t="shared" si="48"/>
        <v>2074031.8723284313</v>
      </c>
      <c r="DM10" s="2">
        <f t="shared" ref="DM10:DM11" si="54">D10+H10+L10+S10+Z10+AD10+AJ10+CG10+CK10+CR10</f>
        <v>11707762.800000001</v>
      </c>
      <c r="DN10" s="2">
        <f t="shared" ref="DN10:DN11" si="55">DH10+CZ10+CV10+CA10+BW10+BS10+BM10+BI10+BE10+AZ10+AV10+AR10+AN10</f>
        <v>66452943.745000005</v>
      </c>
      <c r="DO10" s="127">
        <f t="shared" ref="DO10:DO11" si="56">DM10/($DM10+$DN10)</f>
        <v>0.1497909028401555</v>
      </c>
      <c r="DP10" s="127">
        <f t="shared" ref="DP10:DP11" si="57">DN10/($DM10+$DN10)</f>
        <v>0.85020909715984461</v>
      </c>
    </row>
    <row r="11" spans="1:120" s="92" customFormat="1">
      <c r="A11" s="128">
        <v>2008</v>
      </c>
      <c r="B11" s="336">
        <v>1847617.76</v>
      </c>
      <c r="C11" s="129"/>
      <c r="D11" s="154">
        <f t="shared" si="0"/>
        <v>1847617.76</v>
      </c>
      <c r="E11" s="155">
        <f t="shared" ref="E11" si="58">D11*0.7</f>
        <v>1293332.432</v>
      </c>
      <c r="F11" s="337">
        <v>18359.93</v>
      </c>
      <c r="G11" s="129"/>
      <c r="H11" s="294">
        <f t="shared" si="1"/>
        <v>18359.93</v>
      </c>
      <c r="I11" s="80">
        <f t="shared" si="2"/>
        <v>517</v>
      </c>
      <c r="J11" s="139">
        <f t="shared" ref="J11:J74" si="59">$I$4/I11</f>
        <v>1.0058027079303675</v>
      </c>
      <c r="K11" s="86">
        <f>H11*J11</f>
        <v>18466.467311411994</v>
      </c>
      <c r="L11" s="293">
        <v>2596987.09</v>
      </c>
      <c r="M11" s="129"/>
      <c r="N11" s="295">
        <v>-558008.34</v>
      </c>
      <c r="O11" s="296">
        <f t="shared" si="3"/>
        <v>2038978.75</v>
      </c>
      <c r="P11" s="80">
        <f t="shared" si="4"/>
        <v>576</v>
      </c>
      <c r="Q11" s="139">
        <f t="shared" ref="Q11:Q74" si="60">$P$4/P11</f>
        <v>1.0329861111111112</v>
      </c>
      <c r="R11" s="86">
        <f>O11*Q11</f>
        <v>2106236.7296006945</v>
      </c>
      <c r="S11" s="293">
        <v>3879113.2</v>
      </c>
      <c r="T11" s="293"/>
      <c r="U11" s="293">
        <v>-545661.82999999996</v>
      </c>
      <c r="V11" s="296">
        <f t="shared" si="5"/>
        <v>3333451.37</v>
      </c>
      <c r="W11" s="80">
        <f t="shared" si="6"/>
        <v>716</v>
      </c>
      <c r="X11" s="139">
        <f t="shared" ref="X11:X74" si="61">$W$4/W11</f>
        <v>0.85195530726256985</v>
      </c>
      <c r="Y11" s="86">
        <f>X11*V11</f>
        <v>2839951.5861731847</v>
      </c>
      <c r="Z11" s="297">
        <v>2045082.52</v>
      </c>
      <c r="AA11" s="80">
        <f t="shared" si="7"/>
        <v>534</v>
      </c>
      <c r="AB11" s="139">
        <f t="shared" ref="AB11:AB74" si="62">$AA$4/AA11</f>
        <v>1.0262172284644195</v>
      </c>
      <c r="AC11" s="86">
        <f>AB11*Z11</f>
        <v>2098698.9156554309</v>
      </c>
      <c r="AD11" s="297">
        <v>1012161.48</v>
      </c>
      <c r="AE11" s="80">
        <f t="shared" si="8"/>
        <v>818</v>
      </c>
      <c r="AF11" s="139">
        <f t="shared" ref="AF11:AF74" si="63">$AE$4/AE11</f>
        <v>1.0134474327628362</v>
      </c>
      <c r="AG11" s="86">
        <f>AD11*AF11</f>
        <v>1025772.4534474327</v>
      </c>
      <c r="AH11" s="297">
        <v>45401.63</v>
      </c>
      <c r="AI11" s="133"/>
      <c r="AJ11" s="296">
        <f t="shared" si="9"/>
        <v>45401.63</v>
      </c>
      <c r="AK11" s="80">
        <f t="shared" si="10"/>
        <v>478</v>
      </c>
      <c r="AL11" s="139">
        <f t="shared" ref="AL11:AL59" si="64">$AK$4/AK11</f>
        <v>1.098326359832636</v>
      </c>
      <c r="AM11" s="86">
        <f>AJ11*AL11</f>
        <v>49865.807008368203</v>
      </c>
      <c r="AN11" s="297">
        <v>11231437.859999999</v>
      </c>
      <c r="AO11" s="80">
        <f t="shared" si="11"/>
        <v>533</v>
      </c>
      <c r="AP11" s="139">
        <f t="shared" ref="AP11:AP74" si="65">$AO$4/AO11</f>
        <v>1.0656660412757974</v>
      </c>
      <c r="AQ11" s="86">
        <f t="shared" si="12"/>
        <v>11968961.922101313</v>
      </c>
      <c r="AR11" s="297">
        <v>7778185.5700000003</v>
      </c>
      <c r="AS11" s="80">
        <f t="shared" si="13"/>
        <v>698</v>
      </c>
      <c r="AT11" s="139">
        <f t="shared" ref="AT11:AT74" si="66">$AS$4/AS11</f>
        <v>0.97994269340974216</v>
      </c>
      <c r="AU11" s="86">
        <f t="shared" si="14"/>
        <v>7622176.117306591</v>
      </c>
      <c r="AV11" s="297">
        <v>5493183.7599999998</v>
      </c>
      <c r="AW11" s="80">
        <f t="shared" si="15"/>
        <v>503</v>
      </c>
      <c r="AX11" s="139">
        <f t="shared" si="16"/>
        <v>1.0457256461232605</v>
      </c>
      <c r="AY11" s="86">
        <f t="shared" si="17"/>
        <v>5744363.1366998013</v>
      </c>
      <c r="AZ11" s="297">
        <v>8729120.9000000004</v>
      </c>
      <c r="BA11" s="80">
        <f t="shared" si="18"/>
        <v>588</v>
      </c>
      <c r="BB11" s="139">
        <f t="shared" si="19"/>
        <v>1.0442176870748299</v>
      </c>
      <c r="BC11" s="86">
        <f t="shared" ref="BC11" si="67">AZ11*BB11</f>
        <v>9115102.4363945574</v>
      </c>
      <c r="BD11" s="297">
        <v>8484678.0500000007</v>
      </c>
      <c r="BE11" s="298">
        <f t="shared" si="20"/>
        <v>6991374.7132000001</v>
      </c>
      <c r="BF11" s="80">
        <f t="shared" si="21"/>
        <v>508</v>
      </c>
      <c r="BG11" s="139">
        <f t="shared" ref="BG11:BG74" si="68">$BF$4/BF11</f>
        <v>1.204724409448819</v>
      </c>
      <c r="BH11" s="86">
        <f t="shared" si="22"/>
        <v>8422679.7725952771</v>
      </c>
      <c r="BI11" s="298">
        <f t="shared" si="53"/>
        <v>1493303.3367999999</v>
      </c>
      <c r="BJ11" s="80">
        <f t="shared" si="23"/>
        <v>758</v>
      </c>
      <c r="BK11" s="139">
        <f t="shared" ref="BK11:BK74" si="69">$BJ$4/BJ11</f>
        <v>0.86015831134564646</v>
      </c>
      <c r="BL11" s="86">
        <f t="shared" si="24"/>
        <v>1284477.2765087071</v>
      </c>
      <c r="BM11" s="297">
        <v>4924097.1500000004</v>
      </c>
      <c r="BN11" s="80">
        <f t="shared" si="25"/>
        <v>493</v>
      </c>
      <c r="BO11" s="139">
        <f t="shared" ref="BO11:BO74" si="70">$BN$4/BN11</f>
        <v>1.0324543610547667</v>
      </c>
      <c r="BP11" s="86">
        <f t="shared" si="26"/>
        <v>5083905.5767748486</v>
      </c>
      <c r="BQ11" s="297">
        <v>20925111.789999999</v>
      </c>
      <c r="BR11" s="133"/>
      <c r="BS11" s="296">
        <f t="shared" si="27"/>
        <v>20925111.789999999</v>
      </c>
      <c r="BT11" s="80">
        <f t="shared" si="28"/>
        <v>334</v>
      </c>
      <c r="BU11" s="139">
        <f t="shared" ref="BU11:BU74" si="71">$BT$4/BT11</f>
        <v>1.062874251497006</v>
      </c>
      <c r="BV11" s="86">
        <f>BS11*BU11</f>
        <v>22240762.531287424</v>
      </c>
      <c r="BW11" s="297">
        <v>740086.75</v>
      </c>
      <c r="BX11" s="80">
        <f t="shared" si="29"/>
        <v>674</v>
      </c>
      <c r="BY11" s="139">
        <f t="shared" ref="BY11:BY74" si="72">$BX$4/BX11</f>
        <v>1.0830860534124629</v>
      </c>
      <c r="BZ11" s="86">
        <f t="shared" si="30"/>
        <v>801577.63724035607</v>
      </c>
      <c r="CA11" s="297">
        <v>757951.11</v>
      </c>
      <c r="CB11" s="80">
        <f t="shared" si="31"/>
        <v>674</v>
      </c>
      <c r="CC11" s="139">
        <f t="shared" ref="CC11:CC37" si="73">$CB$4/CB11</f>
        <v>1.0830860534124629</v>
      </c>
      <c r="CD11" s="86">
        <f t="shared" si="32"/>
        <v>820926.27640949551</v>
      </c>
      <c r="CE11" s="297">
        <f>B11</f>
        <v>1847617.76</v>
      </c>
      <c r="CF11" s="133"/>
      <c r="CG11" s="296">
        <f t="shared" si="33"/>
        <v>1847617.76</v>
      </c>
      <c r="CH11" s="25">
        <f t="shared" si="34"/>
        <v>554285.32799999998</v>
      </c>
      <c r="CI11" s="297">
        <v>4260749.6100000003</v>
      </c>
      <c r="CJ11" s="133"/>
      <c r="CK11" s="296">
        <f t="shared" si="35"/>
        <v>4260749.6100000003</v>
      </c>
      <c r="CL11" s="134">
        <f t="shared" si="36"/>
        <v>517</v>
      </c>
      <c r="CM11" s="139">
        <f t="shared" ref="CM11:CM74" si="74">$CL$4/CL11</f>
        <v>1.0058027079303675</v>
      </c>
      <c r="CN11" s="86">
        <f t="shared" si="37"/>
        <v>4285473.4955512574</v>
      </c>
      <c r="CO11" s="297">
        <v>5946190.6900000004</v>
      </c>
      <c r="CP11" s="133"/>
      <c r="CQ11" s="133"/>
      <c r="CR11" s="299">
        <f t="shared" si="38"/>
        <v>5946190.6900000004</v>
      </c>
      <c r="CS11" s="80">
        <f t="shared" si="39"/>
        <v>641</v>
      </c>
      <c r="CT11" s="139">
        <f t="shared" ref="CT11:CT74" si="75">$CS$4/CS11</f>
        <v>1.078003120124805</v>
      </c>
      <c r="CU11" s="86">
        <f t="shared" si="40"/>
        <v>6410012.1166770682</v>
      </c>
      <c r="CV11" s="297">
        <v>1404070.79</v>
      </c>
      <c r="CW11" s="92">
        <f t="shared" si="41"/>
        <v>517</v>
      </c>
      <c r="CX11" s="139">
        <f t="shared" ref="CX11:CX74" si="76">$CW$4/CW11</f>
        <v>1.0058027079303675</v>
      </c>
      <c r="CY11" s="86">
        <f t="shared" si="42"/>
        <v>1412218.2027079305</v>
      </c>
      <c r="CZ11" s="297">
        <v>4801316.88</v>
      </c>
      <c r="DA11" s="80">
        <f t="shared" si="43"/>
        <v>602</v>
      </c>
      <c r="DB11" s="139">
        <f t="shared" ref="DB11:DB74" si="77">$DA$4/DA11</f>
        <v>1.0797342192691031</v>
      </c>
      <c r="DC11" s="86">
        <f t="shared" si="44"/>
        <v>5184146.132890366</v>
      </c>
      <c r="DD11" s="297">
        <v>8831254.5099999998</v>
      </c>
      <c r="DE11" s="130"/>
      <c r="DF11" s="130"/>
      <c r="DG11" s="3">
        <f t="shared" si="45"/>
        <v>8831254.5099999998</v>
      </c>
      <c r="DH11" s="3">
        <f t="shared" si="46"/>
        <v>4415627.2549999999</v>
      </c>
      <c r="DI11" s="136">
        <f t="shared" si="47"/>
        <v>761</v>
      </c>
      <c r="DJ11" s="156">
        <f t="shared" ref="DJ11:DJ74" si="78">$DI$4/DI11</f>
        <v>1.1406044678055192</v>
      </c>
      <c r="DK11" s="86">
        <f t="shared" si="48"/>
        <v>5036484.1752168201</v>
      </c>
      <c r="DM11" s="2">
        <f t="shared" si="54"/>
        <v>23499281.670000002</v>
      </c>
      <c r="DN11" s="2">
        <f t="shared" si="55"/>
        <v>79684867.864999995</v>
      </c>
      <c r="DO11" s="127">
        <f t="shared" si="56"/>
        <v>0.22774119645216498</v>
      </c>
      <c r="DP11" s="127">
        <f t="shared" si="57"/>
        <v>0.77225880354783505</v>
      </c>
    </row>
    <row r="12" spans="1:120">
      <c r="A12" s="78">
        <v>2007</v>
      </c>
      <c r="B12" s="336">
        <v>752949</v>
      </c>
      <c r="C12" s="77"/>
      <c r="D12" s="53">
        <f t="shared" ref="D12:D18" si="79">B12-C12</f>
        <v>752949</v>
      </c>
      <c r="E12" s="54">
        <f t="shared" ref="E12:E18" si="80">D12*0.7</f>
        <v>527064.29999999993</v>
      </c>
      <c r="F12" s="336">
        <v>10714</v>
      </c>
      <c r="G12" s="77"/>
      <c r="H12" s="294">
        <f t="shared" si="1"/>
        <v>10714</v>
      </c>
      <c r="I12" s="80">
        <f t="shared" si="2"/>
        <v>498</v>
      </c>
      <c r="J12" s="139">
        <f t="shared" si="59"/>
        <v>1.0441767068273093</v>
      </c>
      <c r="K12" s="86">
        <f>H12*J12</f>
        <v>11187.309236947793</v>
      </c>
      <c r="L12" s="333">
        <v>25093332.219999999</v>
      </c>
      <c r="M12" s="77"/>
      <c r="N12" s="295">
        <v>-143462.43</v>
      </c>
      <c r="O12" s="296">
        <f t="shared" si="3"/>
        <v>24949869.789999999</v>
      </c>
      <c r="P12" s="80">
        <f t="shared" si="4"/>
        <v>534</v>
      </c>
      <c r="Q12" s="139">
        <f t="shared" si="60"/>
        <v>1.1142322097378277</v>
      </c>
      <c r="R12" s="86">
        <f>O12*Q12</f>
        <v>27799948.54878277</v>
      </c>
      <c r="S12" s="333">
        <v>26409204.079999998</v>
      </c>
      <c r="T12" s="293"/>
      <c r="U12" s="293">
        <v>-103911.22</v>
      </c>
      <c r="V12" s="296">
        <f t="shared" si="5"/>
        <v>26305292.859999999</v>
      </c>
      <c r="W12" s="80">
        <f t="shared" si="6"/>
        <v>608</v>
      </c>
      <c r="X12" s="139">
        <f t="shared" si="61"/>
        <v>1.0032894736842106</v>
      </c>
      <c r="Y12" s="86">
        <f>X12*V12</f>
        <v>26391823.428618424</v>
      </c>
      <c r="Z12" s="334">
        <v>23700</v>
      </c>
      <c r="AA12" s="80">
        <f t="shared" si="7"/>
        <v>479</v>
      </c>
      <c r="AB12" s="139">
        <f t="shared" si="62"/>
        <v>1.1440501043841336</v>
      </c>
      <c r="AC12" s="86">
        <f>AB12*Z12</f>
        <v>27113.987473903966</v>
      </c>
      <c r="AD12" s="297">
        <v>0</v>
      </c>
      <c r="AE12" s="80">
        <f t="shared" si="8"/>
        <v>608</v>
      </c>
      <c r="AF12" s="139">
        <f t="shared" si="63"/>
        <v>1.3634868421052631</v>
      </c>
      <c r="AG12" s="86">
        <f>AD12*AF12</f>
        <v>0</v>
      </c>
      <c r="AH12" s="297">
        <v>0</v>
      </c>
      <c r="AI12" s="87"/>
      <c r="AJ12" s="296">
        <f t="shared" si="9"/>
        <v>0</v>
      </c>
      <c r="AK12" s="80">
        <f t="shared" si="10"/>
        <v>460</v>
      </c>
      <c r="AL12" s="139">
        <f t="shared" si="64"/>
        <v>1.1413043478260869</v>
      </c>
      <c r="AM12" s="86">
        <f>AJ12*AL12</f>
        <v>0</v>
      </c>
      <c r="AN12" s="297">
        <v>10107042</v>
      </c>
      <c r="AO12" s="80">
        <f t="shared" si="11"/>
        <v>504</v>
      </c>
      <c r="AP12" s="139">
        <f t="shared" si="65"/>
        <v>1.126984126984127</v>
      </c>
      <c r="AQ12" s="86">
        <f>AN12*AP12</f>
        <v>11390475.904761905</v>
      </c>
      <c r="AR12" s="297">
        <v>5821893</v>
      </c>
      <c r="AS12" s="80">
        <f t="shared" si="13"/>
        <v>612</v>
      </c>
      <c r="AT12" s="139">
        <f t="shared" si="66"/>
        <v>1.1176470588235294</v>
      </c>
      <c r="AU12" s="86">
        <f>AR12*AT12</f>
        <v>6506821.5882352944</v>
      </c>
      <c r="AV12" s="297">
        <v>3968904</v>
      </c>
      <c r="AW12" s="80">
        <f t="shared" si="15"/>
        <v>476</v>
      </c>
      <c r="AX12" s="139">
        <f t="shared" si="16"/>
        <v>1.1050420168067228</v>
      </c>
      <c r="AY12" s="86">
        <f>AV12*AX12</f>
        <v>4385805.6806722693</v>
      </c>
      <c r="AZ12" s="297">
        <v>8564972</v>
      </c>
      <c r="BA12" s="80">
        <f t="shared" si="18"/>
        <v>518</v>
      </c>
      <c r="BB12" s="139">
        <f t="shared" si="19"/>
        <v>1.1853281853281854</v>
      </c>
      <c r="BC12" s="86">
        <f>AZ12*BB12</f>
        <v>10152302.718146719</v>
      </c>
      <c r="BD12" s="297">
        <v>11599468</v>
      </c>
      <c r="BE12" s="298">
        <f t="shared" si="20"/>
        <v>9557961.6319999993</v>
      </c>
      <c r="BF12" s="80">
        <f t="shared" si="21"/>
        <v>417</v>
      </c>
      <c r="BG12" s="139">
        <f t="shared" si="68"/>
        <v>1.4676258992805755</v>
      </c>
      <c r="BH12" s="86">
        <f>BE12*BG12</f>
        <v>14027512.035453236</v>
      </c>
      <c r="BI12" s="298">
        <f t="shared" si="53"/>
        <v>2041506.3679999998</v>
      </c>
      <c r="BJ12" s="80">
        <f t="shared" si="23"/>
        <v>818</v>
      </c>
      <c r="BK12" s="139">
        <f t="shared" si="69"/>
        <v>0.79706601466992666</v>
      </c>
      <c r="BL12" s="86">
        <f>BI12*BK12</f>
        <v>1627215.3446650365</v>
      </c>
      <c r="BM12" s="297">
        <v>5393634</v>
      </c>
      <c r="BN12" s="80">
        <f t="shared" si="25"/>
        <v>457</v>
      </c>
      <c r="BO12" s="139">
        <f t="shared" si="70"/>
        <v>1.113785557986871</v>
      </c>
      <c r="BP12" s="86">
        <f>BM12*BO12</f>
        <v>6007351.6542669591</v>
      </c>
      <c r="BQ12" s="297">
        <v>-374980</v>
      </c>
      <c r="BR12" s="87"/>
      <c r="BS12" s="296">
        <f t="shared" si="27"/>
        <v>-374980</v>
      </c>
      <c r="BT12" s="80">
        <f t="shared" si="28"/>
        <v>328</v>
      </c>
      <c r="BU12" s="139">
        <f t="shared" si="71"/>
        <v>1.0823170731707317</v>
      </c>
      <c r="BV12" s="86">
        <f>BS12*BU12</f>
        <v>-405847.25609756098</v>
      </c>
      <c r="BW12" s="297">
        <v>818381</v>
      </c>
      <c r="BX12" s="80">
        <f t="shared" si="29"/>
        <v>626</v>
      </c>
      <c r="BY12" s="139">
        <f t="shared" si="72"/>
        <v>1.1661341853035143</v>
      </c>
      <c r="BZ12" s="86">
        <f>BW12*BY12</f>
        <v>954342.06070287537</v>
      </c>
      <c r="CA12" s="297">
        <v>845019</v>
      </c>
      <c r="CB12" s="80">
        <f t="shared" si="31"/>
        <v>626</v>
      </c>
      <c r="CC12" s="139">
        <f t="shared" si="73"/>
        <v>1.1661341853035143</v>
      </c>
      <c r="CD12" s="86">
        <f>CA12*CC12</f>
        <v>985405.54313099035</v>
      </c>
      <c r="CE12" s="297">
        <v>752587</v>
      </c>
      <c r="CF12" s="87"/>
      <c r="CG12" s="296">
        <f t="shared" ref="CG12:CG18" si="81">CE12-CF12</f>
        <v>752587</v>
      </c>
      <c r="CH12" s="25">
        <f t="shared" ref="CH12:CH18" si="82">CG12*0.3</f>
        <v>225776.1</v>
      </c>
      <c r="CI12" s="297">
        <v>2134090.7999999998</v>
      </c>
      <c r="CJ12" s="87"/>
      <c r="CK12" s="296">
        <f t="shared" si="35"/>
        <v>2134090.7999999998</v>
      </c>
      <c r="CL12" s="134">
        <f t="shared" si="36"/>
        <v>498</v>
      </c>
      <c r="CM12" s="139">
        <f t="shared" si="74"/>
        <v>1.0441767068273093</v>
      </c>
      <c r="CN12" s="86">
        <f>CK12*CM12</f>
        <v>2228367.9036144577</v>
      </c>
      <c r="CO12" s="297">
        <v>10499024</v>
      </c>
      <c r="CP12" s="87"/>
      <c r="CQ12" s="87"/>
      <c r="CR12" s="299">
        <f t="shared" si="38"/>
        <v>10499024</v>
      </c>
      <c r="CS12" s="80">
        <f t="shared" si="39"/>
        <v>597</v>
      </c>
      <c r="CT12" s="139">
        <f t="shared" si="75"/>
        <v>1.1574539363484087</v>
      </c>
      <c r="CU12" s="86">
        <f>CR12*CT12</f>
        <v>12152136.656616414</v>
      </c>
      <c r="CV12" s="297">
        <v>612214</v>
      </c>
      <c r="CW12" s="92">
        <f t="shared" si="41"/>
        <v>498</v>
      </c>
      <c r="CX12" s="139">
        <f t="shared" si="76"/>
        <v>1.0441767068273093</v>
      </c>
      <c r="CY12" s="86">
        <f>CV12*CX12</f>
        <v>639259.59839357436</v>
      </c>
      <c r="CZ12" s="297">
        <v>2258657</v>
      </c>
      <c r="DA12" s="80">
        <f t="shared" si="43"/>
        <v>559</v>
      </c>
      <c r="DB12" s="139">
        <f t="shared" si="77"/>
        <v>1.1627906976744187</v>
      </c>
      <c r="DC12" s="86">
        <f>CZ12*DB12</f>
        <v>2626345.3488372094</v>
      </c>
      <c r="DD12" s="335">
        <v>4519492.53</v>
      </c>
      <c r="DE12" s="88"/>
      <c r="DF12" s="101"/>
      <c r="DG12" s="3">
        <f t="shared" ref="DG12:DG18" si="83">DD12-DF12</f>
        <v>4519492.53</v>
      </c>
      <c r="DH12" s="3">
        <f t="shared" ref="DH12:DH17" si="84">DG12*0.5</f>
        <v>2259746.2650000001</v>
      </c>
      <c r="DI12" s="136">
        <f t="shared" si="47"/>
        <v>697</v>
      </c>
      <c r="DJ12" s="156">
        <f t="shared" si="78"/>
        <v>1.2453371592539455</v>
      </c>
      <c r="DK12" s="86">
        <f>DH12*DJ12</f>
        <v>2814145.9942898136</v>
      </c>
      <c r="DM12" s="2">
        <f>D12+H12+L12+S12+Z12+AD12+AJ12+CG12+CK12+CR12</f>
        <v>65675601.099999994</v>
      </c>
      <c r="DN12" s="2">
        <f>DH12+CZ12+CV12+CA12+BW12+BS12+BM12+BI12+BE12+AZ12+AV12+AR12+AN12</f>
        <v>51874950.265000001</v>
      </c>
      <c r="DO12" s="127">
        <f>DM12/($DM12+$DN12)</f>
        <v>0.55870091919921461</v>
      </c>
      <c r="DP12" s="127">
        <f>DN12/($DM12+$DN12)</f>
        <v>0.44129908080078534</v>
      </c>
    </row>
    <row r="13" spans="1:120">
      <c r="A13" s="78">
        <v>2006</v>
      </c>
      <c r="B13" s="77">
        <v>392877</v>
      </c>
      <c r="C13" s="77"/>
      <c r="D13" s="53">
        <f t="shared" si="79"/>
        <v>392877</v>
      </c>
      <c r="E13" s="54">
        <f t="shared" si="80"/>
        <v>275013.89999999997</v>
      </c>
      <c r="F13" s="77">
        <v>-15320</v>
      </c>
      <c r="G13" s="77"/>
      <c r="H13" s="15">
        <f t="shared" si="1"/>
        <v>-15320</v>
      </c>
      <c r="I13" s="80">
        <f t="shared" si="2"/>
        <v>459</v>
      </c>
      <c r="J13" s="132">
        <f t="shared" si="59"/>
        <v>1.1328976034858387</v>
      </c>
      <c r="K13" s="86">
        <f t="shared" ref="K13:K18" si="85">H13*J13</f>
        <v>-17355.991285403048</v>
      </c>
      <c r="L13" s="77">
        <v>2987621</v>
      </c>
      <c r="M13" s="77"/>
      <c r="N13" s="101"/>
      <c r="O13" s="3">
        <f t="shared" si="3"/>
        <v>2987621</v>
      </c>
      <c r="P13" s="80">
        <f t="shared" si="4"/>
        <v>522</v>
      </c>
      <c r="Q13" s="31">
        <f t="shared" si="60"/>
        <v>1.1398467432950192</v>
      </c>
      <c r="R13" s="86">
        <f t="shared" ref="R13:R18" si="86">O13*Q13</f>
        <v>3405430.0670498088</v>
      </c>
      <c r="S13" s="77">
        <v>1583020</v>
      </c>
      <c r="T13" s="77"/>
      <c r="U13" s="77"/>
      <c r="V13" s="3">
        <f t="shared" si="5"/>
        <v>1583020</v>
      </c>
      <c r="W13" s="80">
        <f t="shared" si="6"/>
        <v>568</v>
      </c>
      <c r="X13" s="31">
        <f t="shared" si="61"/>
        <v>1.073943661971831</v>
      </c>
      <c r="Y13" s="86">
        <f t="shared" ref="Y13:Y18" si="87">X13*V13</f>
        <v>1700074.295774648</v>
      </c>
      <c r="Z13" s="87">
        <v>9931</v>
      </c>
      <c r="AA13" s="80">
        <f t="shared" si="7"/>
        <v>468</v>
      </c>
      <c r="AB13" s="31">
        <f t="shared" si="62"/>
        <v>1.170940170940171</v>
      </c>
      <c r="AC13" s="86">
        <f t="shared" ref="AC13:AC18" si="88">AB13*Z13</f>
        <v>11628.606837606838</v>
      </c>
      <c r="AD13" s="87">
        <v>0</v>
      </c>
      <c r="AE13" s="80">
        <f t="shared" si="8"/>
        <v>594</v>
      </c>
      <c r="AF13" s="31">
        <f t="shared" si="63"/>
        <v>1.3956228956228955</v>
      </c>
      <c r="AG13" s="86">
        <f t="shared" ref="AG13:AG18" si="89">AD13*AF13</f>
        <v>0</v>
      </c>
      <c r="AH13" s="87">
        <v>0</v>
      </c>
      <c r="AI13" s="87"/>
      <c r="AJ13" s="3">
        <f t="shared" si="9"/>
        <v>0</v>
      </c>
      <c r="AK13" s="80">
        <f t="shared" si="10"/>
        <v>444</v>
      </c>
      <c r="AL13" s="31">
        <f t="shared" si="64"/>
        <v>1.1824324324324325</v>
      </c>
      <c r="AM13" s="86">
        <f t="shared" ref="AM13:AM18" si="90">AJ13*AL13</f>
        <v>0</v>
      </c>
      <c r="AN13" s="87">
        <v>7279846</v>
      </c>
      <c r="AO13" s="80">
        <f t="shared" si="11"/>
        <v>490</v>
      </c>
      <c r="AP13" s="31">
        <f t="shared" si="65"/>
        <v>1.1591836734693877</v>
      </c>
      <c r="AQ13" s="86">
        <f t="shared" ref="AQ13:AQ18" si="91">AN13*AP13</f>
        <v>8438678.6285714284</v>
      </c>
      <c r="AR13" s="87">
        <v>4049801</v>
      </c>
      <c r="AS13" s="80">
        <f t="shared" si="13"/>
        <v>574</v>
      </c>
      <c r="AT13" s="31">
        <f t="shared" si="66"/>
        <v>1.1916376306620209</v>
      </c>
      <c r="AU13" s="86">
        <f t="shared" ref="AU13:AU18" si="92">AR13*AT13</f>
        <v>4825895.2682926832</v>
      </c>
      <c r="AV13" s="87">
        <v>4311671</v>
      </c>
      <c r="AW13" s="80">
        <f t="shared" si="15"/>
        <v>461</v>
      </c>
      <c r="AX13" s="31">
        <f t="shared" si="16"/>
        <v>1.140997830802603</v>
      </c>
      <c r="AY13" s="86">
        <f t="shared" ref="AY13:AY18" si="93">AV13*AX13</f>
        <v>4919607.2581344899</v>
      </c>
      <c r="AZ13" s="87">
        <v>6789536</v>
      </c>
      <c r="BA13" s="80">
        <f t="shared" si="18"/>
        <v>437</v>
      </c>
      <c r="BB13" s="31">
        <f t="shared" si="19"/>
        <v>1.4050343249427917</v>
      </c>
      <c r="BC13" s="86">
        <f t="shared" ref="BC13:BC18" si="94">AZ13*BB13</f>
        <v>9539531.1304347813</v>
      </c>
      <c r="BD13" s="87">
        <v>8660833</v>
      </c>
      <c r="BE13" s="89">
        <f t="shared" si="20"/>
        <v>7136526.392</v>
      </c>
      <c r="BF13" s="80">
        <f t="shared" si="21"/>
        <v>363</v>
      </c>
      <c r="BG13" s="31">
        <f t="shared" si="68"/>
        <v>1.6859504132231404</v>
      </c>
      <c r="BH13" s="86">
        <f t="shared" ref="BH13:BH18" si="95">BE13*BG13</f>
        <v>12031829.619570248</v>
      </c>
      <c r="BI13" s="89">
        <f t="shared" si="53"/>
        <v>1524306.608</v>
      </c>
      <c r="BJ13" s="80">
        <f t="shared" si="23"/>
        <v>653</v>
      </c>
      <c r="BK13" s="31">
        <f t="shared" si="69"/>
        <v>0.99846860643185298</v>
      </c>
      <c r="BL13" s="86">
        <f t="shared" ref="BL13:BL18" si="96">BI13*BK13</f>
        <v>1521972.2946646248</v>
      </c>
      <c r="BM13" s="87">
        <v>5412727</v>
      </c>
      <c r="BN13" s="80">
        <f t="shared" si="25"/>
        <v>436</v>
      </c>
      <c r="BO13" s="31">
        <f t="shared" si="70"/>
        <v>1.1674311926605505</v>
      </c>
      <c r="BP13" s="86">
        <f t="shared" ref="BP13:BP18" si="97">BM13*BO13</f>
        <v>6318986.3371559633</v>
      </c>
      <c r="BQ13" s="87">
        <v>159780</v>
      </c>
      <c r="BR13" s="87"/>
      <c r="BS13" s="3">
        <f t="shared" si="27"/>
        <v>159780</v>
      </c>
      <c r="BT13" s="80">
        <f t="shared" si="28"/>
        <v>319</v>
      </c>
      <c r="BU13" s="31">
        <f t="shared" si="71"/>
        <v>1.1128526645768024</v>
      </c>
      <c r="BV13" s="86">
        <f t="shared" ref="BV13:BV18" si="98">BS13*BU13</f>
        <v>177811.59874608149</v>
      </c>
      <c r="BW13" s="87">
        <v>705213</v>
      </c>
      <c r="BX13" s="80">
        <f t="shared" si="29"/>
        <v>596</v>
      </c>
      <c r="BY13" s="31">
        <f t="shared" si="72"/>
        <v>1.2248322147651007</v>
      </c>
      <c r="BZ13" s="86">
        <f t="shared" ref="BZ13:BZ18" si="99">BW13*BY13</f>
        <v>863767.60067114094</v>
      </c>
      <c r="CA13" s="87">
        <v>677356</v>
      </c>
      <c r="CB13" s="80">
        <f t="shared" si="31"/>
        <v>596</v>
      </c>
      <c r="CC13" s="31">
        <f t="shared" si="73"/>
        <v>1.2248322147651007</v>
      </c>
      <c r="CD13" s="86">
        <f t="shared" ref="CD13:CD18" si="100">CA13*CC13</f>
        <v>829647.44966442953</v>
      </c>
      <c r="CE13" s="87">
        <v>392877</v>
      </c>
      <c r="CF13" s="87"/>
      <c r="CG13" s="3">
        <f t="shared" si="81"/>
        <v>392877</v>
      </c>
      <c r="CH13" s="25">
        <f t="shared" si="82"/>
        <v>117863.09999999999</v>
      </c>
      <c r="CI13" s="87">
        <v>842668</v>
      </c>
      <c r="CJ13" s="87"/>
      <c r="CK13" s="3">
        <f t="shared" si="35"/>
        <v>842668</v>
      </c>
      <c r="CL13" s="134">
        <f t="shared" si="36"/>
        <v>459</v>
      </c>
      <c r="CM13" s="31">
        <f t="shared" si="74"/>
        <v>1.1328976034858387</v>
      </c>
      <c r="CN13" s="86">
        <f t="shared" ref="CN13:CN18" si="101">CK13*CM13</f>
        <v>954656.55773420469</v>
      </c>
      <c r="CO13" s="87">
        <v>8525727</v>
      </c>
      <c r="CP13" s="87"/>
      <c r="CQ13" s="87"/>
      <c r="CR13" s="2">
        <f t="shared" si="38"/>
        <v>8525727</v>
      </c>
      <c r="CS13" s="80">
        <f t="shared" si="39"/>
        <v>546</v>
      </c>
      <c r="CT13" s="31">
        <f t="shared" si="75"/>
        <v>1.2655677655677655</v>
      </c>
      <c r="CU13" s="86">
        <f t="shared" ref="CU13:CU18" si="102">CR13*CT13</f>
        <v>10789885.269230768</v>
      </c>
      <c r="CV13" s="87">
        <v>-62278</v>
      </c>
      <c r="CW13" s="92">
        <f t="shared" si="41"/>
        <v>459</v>
      </c>
      <c r="CX13" s="31">
        <f t="shared" si="76"/>
        <v>1.1328976034858387</v>
      </c>
      <c r="CY13" s="86">
        <f t="shared" ref="CY13:CY18" si="103">CV13*CX13</f>
        <v>-70554.596949891056</v>
      </c>
      <c r="CZ13" s="87">
        <v>3435935</v>
      </c>
      <c r="DA13" s="80">
        <f t="shared" si="43"/>
        <v>506</v>
      </c>
      <c r="DB13" s="31">
        <f t="shared" si="77"/>
        <v>1.2845849802371541</v>
      </c>
      <c r="DC13" s="86">
        <f t="shared" ref="DC13:DC18" si="104">CZ13*DB13</f>
        <v>4413750.4940711455</v>
      </c>
      <c r="DD13" s="87">
        <v>2740162</v>
      </c>
      <c r="DE13" s="88"/>
      <c r="DF13" s="101"/>
      <c r="DG13" s="3">
        <f t="shared" si="83"/>
        <v>2740162</v>
      </c>
      <c r="DH13" s="3">
        <f t="shared" si="84"/>
        <v>1370081</v>
      </c>
      <c r="DI13" s="136">
        <f t="shared" si="47"/>
        <v>632</v>
      </c>
      <c r="DJ13" s="41">
        <f t="shared" si="78"/>
        <v>1.3734177215189873</v>
      </c>
      <c r="DK13" s="86">
        <f t="shared" ref="DK13:DK18" si="105">DH13*DJ13</f>
        <v>1881693.5253164556</v>
      </c>
      <c r="DM13" s="2">
        <f t="shared" ref="DM13:DM20" si="106">D13+H13+L13+S13+Z13+AD13+AJ13+CG13+CK13+CR13</f>
        <v>14719401</v>
      </c>
      <c r="DN13" s="2">
        <f t="shared" ref="DN13:DN20" si="107">DH13+CZ13+CV13+CA13+BW13+BS13+BM13+BI13+BE13+AZ13+AV13+AR13+AN13</f>
        <v>42790501</v>
      </c>
      <c r="DO13" s="127">
        <f t="shared" ref="DO13:DO20" si="108">DM13/($DM13+$DN13)</f>
        <v>0.25594550656685172</v>
      </c>
      <c r="DP13" s="127">
        <f t="shared" ref="DP13:DP20" si="109">DN13/($DM13+$DN13)</f>
        <v>0.74405449343314822</v>
      </c>
    </row>
    <row r="14" spans="1:120">
      <c r="A14" s="78">
        <v>2005</v>
      </c>
      <c r="B14" s="77">
        <v>67536</v>
      </c>
      <c r="C14" s="77"/>
      <c r="D14" s="53">
        <f t="shared" si="79"/>
        <v>67536</v>
      </c>
      <c r="E14" s="54">
        <f t="shared" si="80"/>
        <v>47275.199999999997</v>
      </c>
      <c r="F14" s="77">
        <v>23185</v>
      </c>
      <c r="G14" s="77"/>
      <c r="H14" s="15">
        <f t="shared" si="1"/>
        <v>23185</v>
      </c>
      <c r="I14" s="80">
        <f t="shared" si="2"/>
        <v>437</v>
      </c>
      <c r="J14" s="132">
        <f t="shared" si="59"/>
        <v>1.1899313501144164</v>
      </c>
      <c r="K14" s="86">
        <f t="shared" si="85"/>
        <v>27588.558352402746</v>
      </c>
      <c r="L14" s="77">
        <v>9267295</v>
      </c>
      <c r="M14" s="77"/>
      <c r="N14" s="101"/>
      <c r="O14" s="3">
        <f t="shared" si="3"/>
        <v>9267295</v>
      </c>
      <c r="P14" s="80">
        <f t="shared" si="4"/>
        <v>503</v>
      </c>
      <c r="Q14" s="31">
        <f t="shared" si="60"/>
        <v>1.1829025844930416</v>
      </c>
      <c r="R14" s="86">
        <f t="shared" si="86"/>
        <v>10962307.206759442</v>
      </c>
      <c r="S14" s="77">
        <v>4538663</v>
      </c>
      <c r="T14" s="77"/>
      <c r="U14" s="77"/>
      <c r="V14" s="3">
        <f t="shared" si="5"/>
        <v>4538663</v>
      </c>
      <c r="W14" s="80">
        <f t="shared" si="6"/>
        <v>489</v>
      </c>
      <c r="X14" s="31">
        <f t="shared" si="61"/>
        <v>1.2474437627811861</v>
      </c>
      <c r="Y14" s="86">
        <f t="shared" si="87"/>
        <v>5661726.8507157462</v>
      </c>
      <c r="Z14" s="87">
        <v>24314</v>
      </c>
      <c r="AA14" s="80">
        <f t="shared" si="7"/>
        <v>448</v>
      </c>
      <c r="AB14" s="31">
        <f t="shared" si="62"/>
        <v>1.2232142857142858</v>
      </c>
      <c r="AC14" s="86">
        <f t="shared" si="88"/>
        <v>29741.232142857145</v>
      </c>
      <c r="AD14" s="87">
        <v>0</v>
      </c>
      <c r="AE14" s="80">
        <f t="shared" si="8"/>
        <v>550</v>
      </c>
      <c r="AF14" s="31">
        <f t="shared" si="63"/>
        <v>1.5072727272727273</v>
      </c>
      <c r="AG14" s="86">
        <f t="shared" si="89"/>
        <v>0</v>
      </c>
      <c r="AH14" s="87">
        <v>0</v>
      </c>
      <c r="AI14" s="87"/>
      <c r="AJ14" s="3">
        <f t="shared" si="9"/>
        <v>0</v>
      </c>
      <c r="AK14" s="80">
        <f t="shared" si="10"/>
        <v>427</v>
      </c>
      <c r="AL14" s="31">
        <f t="shared" si="64"/>
        <v>1.2295081967213115</v>
      </c>
      <c r="AM14" s="86">
        <f t="shared" si="90"/>
        <v>0</v>
      </c>
      <c r="AN14" s="87">
        <v>6247499</v>
      </c>
      <c r="AO14" s="80">
        <f t="shared" si="11"/>
        <v>470</v>
      </c>
      <c r="AP14" s="31">
        <f t="shared" si="65"/>
        <v>1.2085106382978723</v>
      </c>
      <c r="AQ14" s="86">
        <f t="shared" si="91"/>
        <v>7550169.004255319</v>
      </c>
      <c r="AR14" s="87">
        <v>2788967</v>
      </c>
      <c r="AS14" s="80">
        <f t="shared" si="13"/>
        <v>516</v>
      </c>
      <c r="AT14" s="31">
        <f t="shared" si="66"/>
        <v>1.3255813953488371</v>
      </c>
      <c r="AU14" s="86">
        <f t="shared" si="92"/>
        <v>3697002.7674418604</v>
      </c>
      <c r="AV14" s="87">
        <v>3000040</v>
      </c>
      <c r="AW14" s="80">
        <f t="shared" si="15"/>
        <v>433</v>
      </c>
      <c r="AX14" s="31">
        <f t="shared" si="16"/>
        <v>1.2147806004618937</v>
      </c>
      <c r="AY14" s="86">
        <f t="shared" si="93"/>
        <v>3644390.3926096996</v>
      </c>
      <c r="AZ14" s="87">
        <v>4785190</v>
      </c>
      <c r="BA14" s="80">
        <f t="shared" si="18"/>
        <v>405</v>
      </c>
      <c r="BB14" s="31">
        <f t="shared" si="19"/>
        <v>1.5160493827160493</v>
      </c>
      <c r="BC14" s="86">
        <f t="shared" si="94"/>
        <v>7254584.3456790121</v>
      </c>
      <c r="BD14" s="87">
        <v>5354646</v>
      </c>
      <c r="BE14" s="89">
        <f t="shared" si="20"/>
        <v>4412228.3039999995</v>
      </c>
      <c r="BF14" s="80">
        <f t="shared" si="21"/>
        <v>286</v>
      </c>
      <c r="BG14" s="31">
        <f t="shared" si="68"/>
        <v>2.13986013986014</v>
      </c>
      <c r="BH14" s="86">
        <f t="shared" si="95"/>
        <v>9441551.4756923076</v>
      </c>
      <c r="BI14" s="89">
        <f t="shared" si="53"/>
        <v>942417.696</v>
      </c>
      <c r="BJ14" s="80">
        <f t="shared" si="23"/>
        <v>542</v>
      </c>
      <c r="BK14" s="31">
        <f t="shared" si="69"/>
        <v>1.2029520295202951</v>
      </c>
      <c r="BL14" s="86">
        <f t="shared" si="96"/>
        <v>1133683.2800590405</v>
      </c>
      <c r="BM14" s="87">
        <v>4116189</v>
      </c>
      <c r="BN14" s="80">
        <f t="shared" si="25"/>
        <v>414</v>
      </c>
      <c r="BO14" s="31">
        <f t="shared" si="70"/>
        <v>1.2294685990338163</v>
      </c>
      <c r="BP14" s="86">
        <f t="shared" si="97"/>
        <v>5060725.1231884053</v>
      </c>
      <c r="BQ14" s="87">
        <v>-1287341</v>
      </c>
      <c r="BR14" s="87"/>
      <c r="BS14" s="3">
        <f t="shared" si="27"/>
        <v>-1287341</v>
      </c>
      <c r="BT14" s="80">
        <f t="shared" si="28"/>
        <v>311</v>
      </c>
      <c r="BU14" s="31">
        <f t="shared" si="71"/>
        <v>1.1414790996784565</v>
      </c>
      <c r="BV14" s="86">
        <f t="shared" si="98"/>
        <v>-1469472.8456591638</v>
      </c>
      <c r="BW14" s="87">
        <v>661157</v>
      </c>
      <c r="BX14" s="80">
        <f t="shared" si="29"/>
        <v>513</v>
      </c>
      <c r="BY14" s="31">
        <f t="shared" si="72"/>
        <v>1.4230019493177388</v>
      </c>
      <c r="BZ14" s="86">
        <f t="shared" si="99"/>
        <v>940827.6998050682</v>
      </c>
      <c r="CA14" s="87">
        <v>702296</v>
      </c>
      <c r="CB14" s="80">
        <f t="shared" si="31"/>
        <v>513</v>
      </c>
      <c r="CC14" s="31">
        <f t="shared" si="73"/>
        <v>1.4230019493177388</v>
      </c>
      <c r="CD14" s="86">
        <f t="shared" si="100"/>
        <v>999368.57699805067</v>
      </c>
      <c r="CE14" s="87">
        <v>67536</v>
      </c>
      <c r="CF14" s="87"/>
      <c r="CG14" s="3">
        <f t="shared" si="81"/>
        <v>67536</v>
      </c>
      <c r="CH14" s="25">
        <f t="shared" si="82"/>
        <v>20260.8</v>
      </c>
      <c r="CI14" s="87">
        <v>2016753</v>
      </c>
      <c r="CJ14" s="87"/>
      <c r="CK14" s="3">
        <f t="shared" si="35"/>
        <v>2016753</v>
      </c>
      <c r="CL14" s="134">
        <f t="shared" si="36"/>
        <v>437</v>
      </c>
      <c r="CM14" s="31">
        <f t="shared" si="74"/>
        <v>1.1899313501144164</v>
      </c>
      <c r="CN14" s="86">
        <f t="shared" si="101"/>
        <v>2399797.6201372999</v>
      </c>
      <c r="CO14" s="87">
        <v>15962275</v>
      </c>
      <c r="CP14" s="87"/>
      <c r="CQ14" s="87"/>
      <c r="CR14" s="2">
        <f t="shared" si="38"/>
        <v>15962275</v>
      </c>
      <c r="CS14" s="80">
        <f t="shared" si="39"/>
        <v>507</v>
      </c>
      <c r="CT14" s="31">
        <f t="shared" si="75"/>
        <v>1.3629191321499015</v>
      </c>
      <c r="CU14" s="86">
        <f t="shared" si="102"/>
        <v>21755289.990138069</v>
      </c>
      <c r="CV14" s="87">
        <v>50691</v>
      </c>
      <c r="CW14" s="92">
        <f t="shared" si="41"/>
        <v>437</v>
      </c>
      <c r="CX14" s="31">
        <f t="shared" si="76"/>
        <v>1.1899313501144164</v>
      </c>
      <c r="CY14" s="86">
        <f t="shared" si="103"/>
        <v>60318.81006864988</v>
      </c>
      <c r="CZ14" s="87">
        <v>3839563</v>
      </c>
      <c r="DA14" s="80">
        <f t="shared" si="43"/>
        <v>468</v>
      </c>
      <c r="DB14" s="31">
        <f t="shared" si="77"/>
        <v>1.3888888888888888</v>
      </c>
      <c r="DC14" s="86">
        <f t="shared" si="104"/>
        <v>5332726.388888889</v>
      </c>
      <c r="DD14" s="87">
        <v>6785564</v>
      </c>
      <c r="DE14" s="88"/>
      <c r="DF14" s="101"/>
      <c r="DG14" s="3">
        <f t="shared" si="83"/>
        <v>6785564</v>
      </c>
      <c r="DH14" s="3">
        <f t="shared" si="84"/>
        <v>3392782</v>
      </c>
      <c r="DI14" s="136">
        <f t="shared" si="47"/>
        <v>589</v>
      </c>
      <c r="DJ14" s="41">
        <f t="shared" si="78"/>
        <v>1.4736842105263157</v>
      </c>
      <c r="DK14" s="86">
        <f t="shared" si="105"/>
        <v>4999889.2631578948</v>
      </c>
      <c r="DM14" s="2">
        <f t="shared" si="106"/>
        <v>31967557</v>
      </c>
      <c r="DN14" s="2">
        <f t="shared" si="107"/>
        <v>33651679</v>
      </c>
      <c r="DO14" s="127">
        <f t="shared" si="108"/>
        <v>0.48716746717380249</v>
      </c>
      <c r="DP14" s="127">
        <f t="shared" si="109"/>
        <v>0.51283253282619745</v>
      </c>
    </row>
    <row r="15" spans="1:120">
      <c r="A15" s="78">
        <v>2004</v>
      </c>
      <c r="B15" s="77">
        <v>3261</v>
      </c>
      <c r="C15" s="77"/>
      <c r="D15" s="53">
        <f t="shared" si="79"/>
        <v>3261</v>
      </c>
      <c r="E15" s="54">
        <f t="shared" si="80"/>
        <v>2282.6999999999998</v>
      </c>
      <c r="F15" s="77">
        <v>1676</v>
      </c>
      <c r="G15" s="77"/>
      <c r="H15" s="15">
        <f t="shared" si="1"/>
        <v>1676</v>
      </c>
      <c r="I15" s="80">
        <f t="shared" si="2"/>
        <v>422</v>
      </c>
      <c r="J15" s="132">
        <f t="shared" si="59"/>
        <v>1.2322274881516588</v>
      </c>
      <c r="K15" s="86">
        <f t="shared" si="85"/>
        <v>2065.2132701421801</v>
      </c>
      <c r="L15" s="77">
        <v>14064350</v>
      </c>
      <c r="M15" s="77"/>
      <c r="N15" s="101">
        <v>-485314</v>
      </c>
      <c r="O15" s="3">
        <f t="shared" si="3"/>
        <v>13579036</v>
      </c>
      <c r="P15" s="80">
        <f t="shared" si="4"/>
        <v>470</v>
      </c>
      <c r="Q15" s="31">
        <f t="shared" si="60"/>
        <v>1.2659574468085106</v>
      </c>
      <c r="R15" s="86">
        <f t="shared" si="86"/>
        <v>17190481.744680852</v>
      </c>
      <c r="S15" s="77">
        <v>3675602</v>
      </c>
      <c r="T15" s="77"/>
      <c r="U15" s="77">
        <v>-493775</v>
      </c>
      <c r="V15" s="3">
        <f t="shared" si="5"/>
        <v>3181827</v>
      </c>
      <c r="W15" s="80">
        <f t="shared" si="6"/>
        <v>445</v>
      </c>
      <c r="X15" s="31">
        <f t="shared" si="61"/>
        <v>1.3707865168539326</v>
      </c>
      <c r="Y15" s="86">
        <f t="shared" si="87"/>
        <v>4361605.5505617978</v>
      </c>
      <c r="Z15" s="87"/>
      <c r="AA15" s="80">
        <f t="shared" si="7"/>
        <v>415</v>
      </c>
      <c r="AB15" s="31">
        <f t="shared" si="62"/>
        <v>1.3204819277108433</v>
      </c>
      <c r="AC15" s="86">
        <f t="shared" si="88"/>
        <v>0</v>
      </c>
      <c r="AD15" s="87">
        <v>377</v>
      </c>
      <c r="AE15" s="80">
        <f t="shared" si="8"/>
        <v>528</v>
      </c>
      <c r="AF15" s="31">
        <f t="shared" si="63"/>
        <v>1.5700757575757576</v>
      </c>
      <c r="AG15" s="86">
        <f t="shared" si="89"/>
        <v>591.91856060606062</v>
      </c>
      <c r="AH15" s="87"/>
      <c r="AI15" s="87"/>
      <c r="AJ15" s="3">
        <f t="shared" si="9"/>
        <v>0</v>
      </c>
      <c r="AK15" s="80">
        <f t="shared" si="10"/>
        <v>407</v>
      </c>
      <c r="AL15" s="31">
        <f t="shared" si="64"/>
        <v>1.28992628992629</v>
      </c>
      <c r="AM15" s="86">
        <f t="shared" si="90"/>
        <v>0</v>
      </c>
      <c r="AN15" s="87">
        <v>6882728</v>
      </c>
      <c r="AO15" s="80">
        <f t="shared" si="11"/>
        <v>448</v>
      </c>
      <c r="AP15" s="31">
        <f t="shared" si="65"/>
        <v>1.2678571428571428</v>
      </c>
      <c r="AQ15" s="86">
        <f t="shared" si="91"/>
        <v>8726315.8571428563</v>
      </c>
      <c r="AR15" s="87">
        <v>3629637</v>
      </c>
      <c r="AS15" s="80">
        <f t="shared" si="13"/>
        <v>477</v>
      </c>
      <c r="AT15" s="31">
        <f t="shared" si="66"/>
        <v>1.4339622641509433</v>
      </c>
      <c r="AU15" s="86">
        <f t="shared" si="92"/>
        <v>5204762.4905660376</v>
      </c>
      <c r="AV15" s="87">
        <v>5672901</v>
      </c>
      <c r="AW15" s="80">
        <f t="shared" si="15"/>
        <v>406</v>
      </c>
      <c r="AX15" s="31">
        <f t="shared" si="16"/>
        <v>1.2955665024630543</v>
      </c>
      <c r="AY15" s="86">
        <f t="shared" si="93"/>
        <v>7349620.5073891627</v>
      </c>
      <c r="AZ15" s="87">
        <v>6425331</v>
      </c>
      <c r="BA15" s="80">
        <f t="shared" si="18"/>
        <v>369</v>
      </c>
      <c r="BB15" s="31">
        <f t="shared" si="19"/>
        <v>1.6639566395663956</v>
      </c>
      <c r="BC15" s="86">
        <f t="shared" si="94"/>
        <v>10691472.178861788</v>
      </c>
      <c r="BD15" s="87">
        <v>5381447</v>
      </c>
      <c r="BE15" s="89">
        <f t="shared" si="20"/>
        <v>4434312.3279999997</v>
      </c>
      <c r="BF15" s="80">
        <f t="shared" si="21"/>
        <v>267</v>
      </c>
      <c r="BG15" s="31">
        <f t="shared" si="68"/>
        <v>2.292134831460674</v>
      </c>
      <c r="BH15" s="86">
        <f t="shared" si="95"/>
        <v>10164041.740584269</v>
      </c>
      <c r="BI15" s="89">
        <f t="shared" si="53"/>
        <v>947134.6719999999</v>
      </c>
      <c r="BJ15" s="80">
        <f t="shared" si="23"/>
        <v>460</v>
      </c>
      <c r="BK15" s="31">
        <f t="shared" si="69"/>
        <v>1.4173913043478261</v>
      </c>
      <c r="BL15" s="86">
        <f t="shared" si="96"/>
        <v>1342460.4481391304</v>
      </c>
      <c r="BM15" s="87">
        <v>4391356</v>
      </c>
      <c r="BN15" s="80">
        <f t="shared" si="25"/>
        <v>393</v>
      </c>
      <c r="BO15" s="31">
        <f t="shared" si="70"/>
        <v>1.2951653944020356</v>
      </c>
      <c r="BP15" s="86">
        <f t="shared" si="97"/>
        <v>5687532.3256997457</v>
      </c>
      <c r="BQ15" s="87">
        <v>989566</v>
      </c>
      <c r="BR15" s="87"/>
      <c r="BS15" s="3">
        <f t="shared" si="27"/>
        <v>989566</v>
      </c>
      <c r="BT15" s="80">
        <f t="shared" si="28"/>
        <v>324</v>
      </c>
      <c r="BU15" s="31">
        <f t="shared" si="71"/>
        <v>1.095679012345679</v>
      </c>
      <c r="BV15" s="86">
        <f t="shared" si="98"/>
        <v>1084246.6975308643</v>
      </c>
      <c r="BW15" s="87"/>
      <c r="BX15" s="80">
        <f t="shared" si="29"/>
        <v>488</v>
      </c>
      <c r="BY15" s="31">
        <f t="shared" si="72"/>
        <v>1.4959016393442623</v>
      </c>
      <c r="BZ15" s="86">
        <f t="shared" si="99"/>
        <v>0</v>
      </c>
      <c r="CA15" s="87"/>
      <c r="CB15" s="80">
        <f t="shared" si="31"/>
        <v>488</v>
      </c>
      <c r="CC15" s="31">
        <f t="shared" si="73"/>
        <v>1.4959016393442623</v>
      </c>
      <c r="CD15" s="86">
        <f t="shared" si="100"/>
        <v>0</v>
      </c>
      <c r="CE15" s="87">
        <v>3261</v>
      </c>
      <c r="CF15" s="87"/>
      <c r="CG15" s="3">
        <f t="shared" si="81"/>
        <v>3261</v>
      </c>
      <c r="CH15" s="25">
        <f t="shared" si="82"/>
        <v>978.3</v>
      </c>
      <c r="CI15" s="87">
        <v>1891081</v>
      </c>
      <c r="CJ15" s="87"/>
      <c r="CK15" s="3">
        <f t="shared" si="35"/>
        <v>1891081</v>
      </c>
      <c r="CL15" s="134">
        <f t="shared" si="36"/>
        <v>422</v>
      </c>
      <c r="CM15" s="31">
        <f t="shared" si="74"/>
        <v>1.2322274881516588</v>
      </c>
      <c r="CN15" s="86">
        <f t="shared" si="101"/>
        <v>2330241.9905213271</v>
      </c>
      <c r="CO15" s="87">
        <v>14843780</v>
      </c>
      <c r="CP15" s="87"/>
      <c r="CQ15" s="87">
        <v>-672150</v>
      </c>
      <c r="CR15" s="2">
        <f t="shared" si="38"/>
        <v>14171630</v>
      </c>
      <c r="CS15" s="80">
        <f t="shared" si="39"/>
        <v>477</v>
      </c>
      <c r="CT15" s="31">
        <f t="shared" si="75"/>
        <v>1.4486373165618449</v>
      </c>
      <c r="CU15" s="86">
        <f t="shared" si="102"/>
        <v>20529552.054507338</v>
      </c>
      <c r="CV15" s="87">
        <v>117185</v>
      </c>
      <c r="CW15" s="92">
        <f t="shared" si="41"/>
        <v>422</v>
      </c>
      <c r="CX15" s="31">
        <f t="shared" si="76"/>
        <v>1.2322274881516588</v>
      </c>
      <c r="CY15" s="86">
        <f t="shared" si="103"/>
        <v>144398.57819905214</v>
      </c>
      <c r="CZ15" s="87">
        <v>3535769</v>
      </c>
      <c r="DA15" s="80">
        <f t="shared" si="43"/>
        <v>444</v>
      </c>
      <c r="DB15" s="31">
        <f t="shared" si="77"/>
        <v>1.4639639639639639</v>
      </c>
      <c r="DC15" s="86">
        <f t="shared" si="104"/>
        <v>5176238.4009009004</v>
      </c>
      <c r="DD15" s="87">
        <v>1996749</v>
      </c>
      <c r="DE15" s="88"/>
      <c r="DF15" s="101">
        <v>105596</v>
      </c>
      <c r="DG15" s="3">
        <f t="shared" si="83"/>
        <v>1891153</v>
      </c>
      <c r="DH15" s="3">
        <f t="shared" si="84"/>
        <v>945576.5</v>
      </c>
      <c r="DI15" s="136">
        <f t="shared" si="47"/>
        <v>537</v>
      </c>
      <c r="DJ15" s="41">
        <f t="shared" si="78"/>
        <v>1.6163873370577282</v>
      </c>
      <c r="DK15" s="86">
        <f t="shared" si="105"/>
        <v>1528417.880819367</v>
      </c>
      <c r="DM15" s="2">
        <f t="shared" si="106"/>
        <v>33811238</v>
      </c>
      <c r="DN15" s="2">
        <f t="shared" si="107"/>
        <v>37971496.5</v>
      </c>
      <c r="DO15" s="127">
        <f t="shared" si="108"/>
        <v>0.47102187225815423</v>
      </c>
      <c r="DP15" s="127">
        <f t="shared" si="109"/>
        <v>0.52897812774184583</v>
      </c>
    </row>
    <row r="16" spans="1:120">
      <c r="A16" s="78">
        <v>2003</v>
      </c>
      <c r="B16" s="77">
        <v>448999</v>
      </c>
      <c r="C16" s="77"/>
      <c r="D16" s="53">
        <f t="shared" si="79"/>
        <v>448999</v>
      </c>
      <c r="E16" s="54">
        <f t="shared" si="80"/>
        <v>314299.3</v>
      </c>
      <c r="F16" s="77">
        <v>4309</v>
      </c>
      <c r="G16" s="77"/>
      <c r="H16" s="15">
        <f t="shared" si="1"/>
        <v>4309</v>
      </c>
      <c r="I16" s="80">
        <f t="shared" si="2"/>
        <v>389</v>
      </c>
      <c r="J16" s="132">
        <f t="shared" si="59"/>
        <v>1.3367609254498716</v>
      </c>
      <c r="K16" s="86">
        <f t="shared" si="85"/>
        <v>5760.1028277634969</v>
      </c>
      <c r="L16" s="77">
        <v>720009</v>
      </c>
      <c r="M16" s="77"/>
      <c r="N16" s="101">
        <v>-96277</v>
      </c>
      <c r="O16" s="3">
        <f t="shared" si="3"/>
        <v>623732</v>
      </c>
      <c r="P16" s="80">
        <f t="shared" si="4"/>
        <v>456</v>
      </c>
      <c r="Q16" s="31">
        <f t="shared" si="60"/>
        <v>1.3048245614035088</v>
      </c>
      <c r="R16" s="86">
        <f t="shared" si="86"/>
        <v>813860.83333333337</v>
      </c>
      <c r="S16" s="77">
        <v>633314</v>
      </c>
      <c r="T16" s="77"/>
      <c r="U16" s="77">
        <v>-115840</v>
      </c>
      <c r="V16" s="3">
        <f t="shared" si="5"/>
        <v>517474</v>
      </c>
      <c r="W16" s="80">
        <f t="shared" si="6"/>
        <v>412</v>
      </c>
      <c r="X16" s="31">
        <f t="shared" si="61"/>
        <v>1.4805825242718447</v>
      </c>
      <c r="Y16" s="86">
        <f t="shared" si="87"/>
        <v>766162.96116504853</v>
      </c>
      <c r="Z16" s="87"/>
      <c r="AA16" s="80">
        <f t="shared" si="7"/>
        <v>389</v>
      </c>
      <c r="AB16" s="31">
        <f t="shared" si="62"/>
        <v>1.4087403598971722</v>
      </c>
      <c r="AC16" s="86">
        <f t="shared" si="88"/>
        <v>0</v>
      </c>
      <c r="AD16" s="87"/>
      <c r="AE16" s="80">
        <f t="shared" si="8"/>
        <v>475</v>
      </c>
      <c r="AF16" s="31">
        <f t="shared" si="63"/>
        <v>1.7452631578947368</v>
      </c>
      <c r="AG16" s="86">
        <f t="shared" si="89"/>
        <v>0</v>
      </c>
      <c r="AH16" s="87">
        <v>935</v>
      </c>
      <c r="AI16" s="87"/>
      <c r="AJ16" s="3">
        <f t="shared" si="9"/>
        <v>935</v>
      </c>
      <c r="AK16" s="80">
        <f t="shared" si="10"/>
        <v>398</v>
      </c>
      <c r="AL16" s="31">
        <f t="shared" si="64"/>
        <v>1.3190954773869348</v>
      </c>
      <c r="AM16" s="86">
        <f t="shared" si="90"/>
        <v>1233.354271356784</v>
      </c>
      <c r="AN16" s="87">
        <v>6180042</v>
      </c>
      <c r="AO16" s="80">
        <f t="shared" si="11"/>
        <v>437</v>
      </c>
      <c r="AP16" s="31">
        <f t="shared" si="65"/>
        <v>1.299771167048055</v>
      </c>
      <c r="AQ16" s="86">
        <f t="shared" si="91"/>
        <v>8032640.4027459957</v>
      </c>
      <c r="AR16" s="87">
        <v>3842296</v>
      </c>
      <c r="AS16" s="80">
        <f t="shared" si="13"/>
        <v>451</v>
      </c>
      <c r="AT16" s="31">
        <f t="shared" si="66"/>
        <v>1.5166297117516629</v>
      </c>
      <c r="AU16" s="86">
        <f t="shared" si="92"/>
        <v>5827340.2749445671</v>
      </c>
      <c r="AV16" s="87">
        <v>2568548</v>
      </c>
      <c r="AW16" s="80">
        <f t="shared" si="15"/>
        <v>394</v>
      </c>
      <c r="AX16" s="31">
        <f t="shared" si="16"/>
        <v>1.3350253807106598</v>
      </c>
      <c r="AY16" s="86">
        <f t="shared" si="93"/>
        <v>3429076.7715736036</v>
      </c>
      <c r="AZ16" s="87">
        <v>3477207</v>
      </c>
      <c r="BA16" s="80">
        <f t="shared" si="18"/>
        <v>349</v>
      </c>
      <c r="BB16" s="31">
        <f t="shared" si="19"/>
        <v>1.7593123209169055</v>
      </c>
      <c r="BC16" s="86">
        <f t="shared" si="94"/>
        <v>6117493.1174785104</v>
      </c>
      <c r="BD16" s="87">
        <v>3815390</v>
      </c>
      <c r="BE16" s="89">
        <f t="shared" si="20"/>
        <v>3143881.36</v>
      </c>
      <c r="BF16" s="80">
        <f t="shared" si="21"/>
        <v>257</v>
      </c>
      <c r="BG16" s="31">
        <f t="shared" si="68"/>
        <v>2.3813229571984436</v>
      </c>
      <c r="BH16" s="86">
        <f t="shared" si="95"/>
        <v>7486596.8572762646</v>
      </c>
      <c r="BI16" s="89">
        <f t="shared" si="53"/>
        <v>671508.64</v>
      </c>
      <c r="BJ16" s="80">
        <f t="shared" si="23"/>
        <v>362</v>
      </c>
      <c r="BK16" s="31">
        <f t="shared" si="69"/>
        <v>1.8011049723756907</v>
      </c>
      <c r="BL16" s="86">
        <f t="shared" si="96"/>
        <v>1209457.5504972376</v>
      </c>
      <c r="BM16" s="87">
        <v>3847060</v>
      </c>
      <c r="BN16" s="80">
        <f t="shared" si="25"/>
        <v>375</v>
      </c>
      <c r="BO16" s="31">
        <f t="shared" si="70"/>
        <v>1.3573333333333333</v>
      </c>
      <c r="BP16" s="86">
        <f t="shared" si="97"/>
        <v>5221742.7733333334</v>
      </c>
      <c r="BQ16" s="87">
        <v>901017</v>
      </c>
      <c r="BR16" s="87"/>
      <c r="BS16" s="3">
        <f t="shared" si="27"/>
        <v>901017</v>
      </c>
      <c r="BT16" s="80">
        <f t="shared" si="28"/>
        <v>287</v>
      </c>
      <c r="BU16" s="31">
        <f t="shared" si="71"/>
        <v>1.2369337979094077</v>
      </c>
      <c r="BV16" s="86">
        <f t="shared" si="98"/>
        <v>1114498.3797909408</v>
      </c>
      <c r="BW16" s="87"/>
      <c r="BX16" s="80">
        <f t="shared" si="29"/>
        <v>478</v>
      </c>
      <c r="BY16" s="31">
        <f t="shared" si="72"/>
        <v>1.5271966527196652</v>
      </c>
      <c r="BZ16" s="86">
        <f t="shared" si="99"/>
        <v>0</v>
      </c>
      <c r="CA16" s="87"/>
      <c r="CB16" s="80">
        <f t="shared" si="31"/>
        <v>478</v>
      </c>
      <c r="CC16" s="31">
        <f t="shared" si="73"/>
        <v>1.5271966527196652</v>
      </c>
      <c r="CD16" s="86">
        <f t="shared" si="100"/>
        <v>0</v>
      </c>
      <c r="CE16" s="87">
        <v>448999</v>
      </c>
      <c r="CF16" s="87"/>
      <c r="CG16" s="3">
        <f t="shared" si="81"/>
        <v>448999</v>
      </c>
      <c r="CH16" s="25">
        <f t="shared" si="82"/>
        <v>134699.69999999998</v>
      </c>
      <c r="CI16" s="87">
        <v>95136</v>
      </c>
      <c r="CJ16" s="87"/>
      <c r="CK16" s="3">
        <f t="shared" si="35"/>
        <v>95136</v>
      </c>
      <c r="CL16" s="134">
        <f t="shared" si="36"/>
        <v>389</v>
      </c>
      <c r="CM16" s="31">
        <f t="shared" si="74"/>
        <v>1.3367609254498716</v>
      </c>
      <c r="CN16" s="86">
        <f t="shared" si="101"/>
        <v>127174.08740359898</v>
      </c>
      <c r="CO16" s="87">
        <v>8761533</v>
      </c>
      <c r="CP16" s="87"/>
      <c r="CQ16" s="87">
        <v>-908688</v>
      </c>
      <c r="CR16" s="2">
        <f t="shared" si="38"/>
        <v>7852845</v>
      </c>
      <c r="CS16" s="80">
        <f t="shared" si="39"/>
        <v>432</v>
      </c>
      <c r="CT16" s="31">
        <f t="shared" si="75"/>
        <v>1.599537037037037</v>
      </c>
      <c r="CU16" s="86">
        <f t="shared" si="102"/>
        <v>12560916.42361111</v>
      </c>
      <c r="CV16" s="87">
        <v>100924</v>
      </c>
      <c r="CW16" s="92">
        <f t="shared" si="41"/>
        <v>389</v>
      </c>
      <c r="CX16" s="31">
        <f t="shared" si="76"/>
        <v>1.3367609254498716</v>
      </c>
      <c r="CY16" s="86">
        <f t="shared" si="103"/>
        <v>134911.25964010283</v>
      </c>
      <c r="CZ16" s="87">
        <v>2230315</v>
      </c>
      <c r="DA16" s="80">
        <f t="shared" si="43"/>
        <v>387</v>
      </c>
      <c r="DB16" s="31">
        <f t="shared" si="77"/>
        <v>1.6795865633074936</v>
      </c>
      <c r="DC16" s="86">
        <f t="shared" si="104"/>
        <v>3746007.1059431527</v>
      </c>
      <c r="DD16" s="87">
        <v>2095791</v>
      </c>
      <c r="DE16" s="88"/>
      <c r="DF16" s="101">
        <v>116332</v>
      </c>
      <c r="DG16" s="3">
        <f t="shared" si="83"/>
        <v>1979459</v>
      </c>
      <c r="DH16" s="3">
        <f t="shared" si="84"/>
        <v>989729.5</v>
      </c>
      <c r="DI16" s="136">
        <f t="shared" si="47"/>
        <v>518</v>
      </c>
      <c r="DJ16" s="41">
        <f t="shared" si="78"/>
        <v>1.6756756756756757</v>
      </c>
      <c r="DK16" s="86">
        <f t="shared" si="105"/>
        <v>1658465.6486486485</v>
      </c>
      <c r="DM16" s="2">
        <f t="shared" si="106"/>
        <v>10204546</v>
      </c>
      <c r="DN16" s="2">
        <f t="shared" si="107"/>
        <v>27952528.5</v>
      </c>
      <c r="DO16" s="127">
        <f t="shared" si="108"/>
        <v>0.2674352301301296</v>
      </c>
      <c r="DP16" s="127">
        <f t="shared" si="109"/>
        <v>0.7325647698698704</v>
      </c>
    </row>
    <row r="17" spans="1:120">
      <c r="A17" s="78">
        <v>2002</v>
      </c>
      <c r="B17" s="77">
        <v>8412</v>
      </c>
      <c r="C17" s="77"/>
      <c r="D17" s="53">
        <f t="shared" si="79"/>
        <v>8412</v>
      </c>
      <c r="E17" s="54">
        <f t="shared" si="80"/>
        <v>5888.4</v>
      </c>
      <c r="F17" s="77">
        <v>10577</v>
      </c>
      <c r="G17" s="77"/>
      <c r="H17" s="15">
        <f t="shared" si="1"/>
        <v>10577</v>
      </c>
      <c r="I17" s="80">
        <f t="shared" si="2"/>
        <v>385</v>
      </c>
      <c r="J17" s="132">
        <f t="shared" si="59"/>
        <v>1.3506493506493507</v>
      </c>
      <c r="K17" s="86">
        <f t="shared" si="85"/>
        <v>14285.818181818182</v>
      </c>
      <c r="L17" s="77">
        <v>1979953</v>
      </c>
      <c r="M17" s="77"/>
      <c r="N17" s="101">
        <v>-85477</v>
      </c>
      <c r="O17" s="3">
        <f t="shared" si="3"/>
        <v>1894476</v>
      </c>
      <c r="P17" s="80">
        <f t="shared" si="4"/>
        <v>448</v>
      </c>
      <c r="Q17" s="31">
        <f t="shared" si="60"/>
        <v>1.328125</v>
      </c>
      <c r="R17" s="86">
        <f t="shared" si="86"/>
        <v>2516100.9375</v>
      </c>
      <c r="S17" s="77">
        <v>1292950</v>
      </c>
      <c r="T17" s="77"/>
      <c r="U17" s="77">
        <v>-110997</v>
      </c>
      <c r="V17" s="3">
        <f t="shared" si="5"/>
        <v>1181953</v>
      </c>
      <c r="W17" s="80">
        <f t="shared" si="6"/>
        <v>406</v>
      </c>
      <c r="X17" s="31">
        <f t="shared" si="61"/>
        <v>1.5024630541871922</v>
      </c>
      <c r="Y17" s="86">
        <f t="shared" si="87"/>
        <v>1775840.7142857143</v>
      </c>
      <c r="Z17" s="87"/>
      <c r="AA17" s="80">
        <f t="shared" si="7"/>
        <v>381</v>
      </c>
      <c r="AB17" s="31">
        <f t="shared" si="62"/>
        <v>1.4383202099737533</v>
      </c>
      <c r="AC17" s="86">
        <f t="shared" si="88"/>
        <v>0</v>
      </c>
      <c r="AD17" s="87"/>
      <c r="AE17" s="80">
        <f t="shared" si="8"/>
        <v>466</v>
      </c>
      <c r="AF17" s="31">
        <f t="shared" si="63"/>
        <v>1.7789699570815452</v>
      </c>
      <c r="AG17" s="86">
        <f t="shared" si="89"/>
        <v>0</v>
      </c>
      <c r="AH17" s="87">
        <v>3941</v>
      </c>
      <c r="AI17" s="87"/>
      <c r="AJ17" s="3">
        <f t="shared" si="9"/>
        <v>3941</v>
      </c>
      <c r="AK17" s="80">
        <f t="shared" si="10"/>
        <v>392</v>
      </c>
      <c r="AL17" s="31">
        <f t="shared" si="64"/>
        <v>1.3392857142857142</v>
      </c>
      <c r="AM17" s="86">
        <f t="shared" si="90"/>
        <v>5278.125</v>
      </c>
      <c r="AN17" s="87">
        <v>4475229</v>
      </c>
      <c r="AO17" s="80">
        <f t="shared" si="11"/>
        <v>426</v>
      </c>
      <c r="AP17" s="31">
        <f t="shared" si="65"/>
        <v>1.3333333333333333</v>
      </c>
      <c r="AQ17" s="86">
        <f t="shared" si="91"/>
        <v>5966972</v>
      </c>
      <c r="AR17" s="87">
        <v>2666437</v>
      </c>
      <c r="AS17" s="80">
        <f t="shared" si="13"/>
        <v>437</v>
      </c>
      <c r="AT17" s="31">
        <f t="shared" si="66"/>
        <v>1.5652173913043479</v>
      </c>
      <c r="AU17" s="86">
        <f t="shared" si="92"/>
        <v>4173553.5652173916</v>
      </c>
      <c r="AV17" s="87">
        <v>2210830</v>
      </c>
      <c r="AW17" s="80">
        <f t="shared" si="15"/>
        <v>389</v>
      </c>
      <c r="AX17" s="31">
        <f t="shared" si="16"/>
        <v>1.3521850899742931</v>
      </c>
      <c r="AY17" s="86">
        <f t="shared" si="93"/>
        <v>2989451.3624678664</v>
      </c>
      <c r="AZ17" s="87">
        <v>2543070</v>
      </c>
      <c r="BA17" s="80">
        <f t="shared" si="18"/>
        <v>343</v>
      </c>
      <c r="BB17" s="31">
        <f t="shared" si="19"/>
        <v>1.7900874635568513</v>
      </c>
      <c r="BC17" s="86">
        <f t="shared" si="94"/>
        <v>4552317.7259475216</v>
      </c>
      <c r="BD17" s="87">
        <v>2829855</v>
      </c>
      <c r="BE17" s="89">
        <f t="shared" si="20"/>
        <v>2331800.52</v>
      </c>
      <c r="BF17" s="80">
        <f t="shared" si="21"/>
        <v>250</v>
      </c>
      <c r="BG17" s="31">
        <f t="shared" si="68"/>
        <v>2.448</v>
      </c>
      <c r="BH17" s="86">
        <f t="shared" si="95"/>
        <v>5708247.6729600001</v>
      </c>
      <c r="BI17" s="89">
        <f t="shared" si="53"/>
        <v>498054.48</v>
      </c>
      <c r="BJ17" s="80">
        <f t="shared" si="23"/>
        <v>365</v>
      </c>
      <c r="BK17" s="31">
        <f t="shared" si="69"/>
        <v>1.7863013698630137</v>
      </c>
      <c r="BL17" s="86">
        <f t="shared" si="96"/>
        <v>889675.39989041095</v>
      </c>
      <c r="BM17" s="87">
        <v>3779179</v>
      </c>
      <c r="BN17" s="80">
        <f t="shared" si="25"/>
        <v>363</v>
      </c>
      <c r="BO17" s="31">
        <f t="shared" si="70"/>
        <v>1.4022038567493114</v>
      </c>
      <c r="BP17" s="86">
        <f t="shared" si="97"/>
        <v>5299179.3691460062</v>
      </c>
      <c r="BQ17" s="87">
        <v>683328</v>
      </c>
      <c r="BR17" s="87"/>
      <c r="BS17" s="3">
        <f t="shared" si="27"/>
        <v>683328</v>
      </c>
      <c r="BT17" s="80">
        <f t="shared" si="28"/>
        <v>275</v>
      </c>
      <c r="BU17" s="31">
        <f t="shared" si="71"/>
        <v>1.290909090909091</v>
      </c>
      <c r="BV17" s="86">
        <f t="shared" si="98"/>
        <v>882114.32727272739</v>
      </c>
      <c r="BW17" s="87"/>
      <c r="BX17" s="80">
        <f t="shared" si="29"/>
        <v>450</v>
      </c>
      <c r="BY17" s="31">
        <f t="shared" si="72"/>
        <v>1.6222222222222222</v>
      </c>
      <c r="BZ17" s="86">
        <f t="shared" si="99"/>
        <v>0</v>
      </c>
      <c r="CA17" s="87"/>
      <c r="CB17" s="80">
        <f t="shared" si="31"/>
        <v>450</v>
      </c>
      <c r="CC17" s="31">
        <f t="shared" si="73"/>
        <v>1.6222222222222222</v>
      </c>
      <c r="CD17" s="86">
        <f t="shared" si="100"/>
        <v>0</v>
      </c>
      <c r="CE17" s="87">
        <v>8412</v>
      </c>
      <c r="CF17" s="87"/>
      <c r="CG17" s="3">
        <f t="shared" si="81"/>
        <v>8412</v>
      </c>
      <c r="CH17" s="25">
        <f t="shared" si="82"/>
        <v>2523.6</v>
      </c>
      <c r="CI17" s="87">
        <v>270957</v>
      </c>
      <c r="CJ17" s="87"/>
      <c r="CK17" s="3">
        <f t="shared" si="35"/>
        <v>270957</v>
      </c>
      <c r="CL17" s="134">
        <f t="shared" si="36"/>
        <v>385</v>
      </c>
      <c r="CM17" s="31">
        <f t="shared" si="74"/>
        <v>1.3506493506493507</v>
      </c>
      <c r="CN17" s="86">
        <f t="shared" si="101"/>
        <v>365967.89610389608</v>
      </c>
      <c r="CO17" s="87">
        <v>3531429</v>
      </c>
      <c r="CP17" s="87"/>
      <c r="CQ17" s="87">
        <v>-337391</v>
      </c>
      <c r="CR17" s="2">
        <f t="shared" si="38"/>
        <v>3194038</v>
      </c>
      <c r="CS17" s="80">
        <f t="shared" si="39"/>
        <v>434</v>
      </c>
      <c r="CT17" s="31">
        <f t="shared" si="75"/>
        <v>1.5921658986175116</v>
      </c>
      <c r="CU17" s="86">
        <f t="shared" si="102"/>
        <v>5085438.3824884798</v>
      </c>
      <c r="CV17" s="87">
        <v>534923</v>
      </c>
      <c r="CW17" s="92">
        <f t="shared" si="41"/>
        <v>385</v>
      </c>
      <c r="CX17" s="31">
        <f t="shared" si="76"/>
        <v>1.3506493506493507</v>
      </c>
      <c r="CY17" s="86">
        <f t="shared" si="103"/>
        <v>722493.40259740257</v>
      </c>
      <c r="CZ17" s="87">
        <v>1563989</v>
      </c>
      <c r="DA17" s="80">
        <f t="shared" si="43"/>
        <v>383</v>
      </c>
      <c r="DB17" s="31">
        <f t="shared" si="77"/>
        <v>1.6971279373368147</v>
      </c>
      <c r="DC17" s="86">
        <f t="shared" si="104"/>
        <v>2654289.4255874674</v>
      </c>
      <c r="DD17" s="87">
        <v>457858</v>
      </c>
      <c r="DE17" s="88"/>
      <c r="DF17" s="101">
        <v>26297</v>
      </c>
      <c r="DG17" s="3">
        <f t="shared" si="83"/>
        <v>431561</v>
      </c>
      <c r="DH17" s="3">
        <f t="shared" si="84"/>
        <v>215780.5</v>
      </c>
      <c r="DI17" s="136">
        <f t="shared" si="47"/>
        <v>511</v>
      </c>
      <c r="DJ17" s="41">
        <f t="shared" si="78"/>
        <v>1.6986301369863013</v>
      </c>
      <c r="DK17" s="86">
        <f t="shared" si="105"/>
        <v>366531.26027397258</v>
      </c>
      <c r="DM17" s="2">
        <f t="shared" si="106"/>
        <v>6769240</v>
      </c>
      <c r="DN17" s="2">
        <f t="shared" si="107"/>
        <v>21502620.5</v>
      </c>
      <c r="DO17" s="127">
        <f t="shared" si="108"/>
        <v>0.23943383563313778</v>
      </c>
      <c r="DP17" s="127">
        <f t="shared" si="109"/>
        <v>0.7605661643668622</v>
      </c>
    </row>
    <row r="18" spans="1:120">
      <c r="A18" s="78">
        <v>2001</v>
      </c>
      <c r="B18" s="77">
        <v>4575</v>
      </c>
      <c r="C18" s="77"/>
      <c r="D18" s="53">
        <f t="shared" si="79"/>
        <v>4575</v>
      </c>
      <c r="E18" s="54">
        <f t="shared" si="80"/>
        <v>3202.5</v>
      </c>
      <c r="F18" s="77">
        <v>9933</v>
      </c>
      <c r="G18" s="77"/>
      <c r="H18" s="15">
        <f t="shared" si="1"/>
        <v>9933</v>
      </c>
      <c r="I18" s="80">
        <f t="shared" si="2"/>
        <v>377</v>
      </c>
      <c r="J18" s="132">
        <f t="shared" si="59"/>
        <v>1.3793103448275863</v>
      </c>
      <c r="K18" s="86">
        <f t="shared" si="85"/>
        <v>13700.689655172415</v>
      </c>
      <c r="L18" s="77">
        <v>1058949</v>
      </c>
      <c r="M18" s="77"/>
      <c r="N18" s="101">
        <v>-87098</v>
      </c>
      <c r="O18" s="3">
        <f t="shared" si="3"/>
        <v>971851</v>
      </c>
      <c r="P18" s="80">
        <f t="shared" si="4"/>
        <v>432</v>
      </c>
      <c r="Q18" s="31">
        <f t="shared" si="60"/>
        <v>1.3773148148148149</v>
      </c>
      <c r="R18" s="86">
        <f t="shared" si="86"/>
        <v>1338544.7800925926</v>
      </c>
      <c r="S18" s="77">
        <v>728455</v>
      </c>
      <c r="T18" s="77"/>
      <c r="U18" s="77">
        <v>-109461</v>
      </c>
      <c r="V18" s="3">
        <f t="shared" si="5"/>
        <v>618994</v>
      </c>
      <c r="W18" s="80">
        <f t="shared" si="6"/>
        <v>403</v>
      </c>
      <c r="X18" s="31">
        <f t="shared" si="61"/>
        <v>1.5136476426799008</v>
      </c>
      <c r="Y18" s="86">
        <f t="shared" si="87"/>
        <v>936938.80893300253</v>
      </c>
      <c r="Z18" s="87">
        <v>1705</v>
      </c>
      <c r="AA18" s="80">
        <f t="shared" si="7"/>
        <v>360</v>
      </c>
      <c r="AB18" s="31">
        <f t="shared" si="62"/>
        <v>1.5222222222222221</v>
      </c>
      <c r="AC18" s="86">
        <f t="shared" si="88"/>
        <v>2595.3888888888887</v>
      </c>
      <c r="AD18" s="87"/>
      <c r="AE18" s="80">
        <f t="shared" si="8"/>
        <v>447</v>
      </c>
      <c r="AF18" s="31">
        <f t="shared" si="63"/>
        <v>1.854586129753915</v>
      </c>
      <c r="AG18" s="86">
        <f t="shared" si="89"/>
        <v>0</v>
      </c>
      <c r="AH18" s="87">
        <v>7567</v>
      </c>
      <c r="AI18" s="87"/>
      <c r="AJ18" s="3">
        <f t="shared" si="9"/>
        <v>7567</v>
      </c>
      <c r="AK18" s="80">
        <f t="shared" si="10"/>
        <v>374</v>
      </c>
      <c r="AL18" s="31">
        <f t="shared" si="64"/>
        <v>1.4037433155080214</v>
      </c>
      <c r="AM18" s="86">
        <f t="shared" si="90"/>
        <v>10622.125668449198</v>
      </c>
      <c r="AN18" s="87">
        <v>6406672</v>
      </c>
      <c r="AO18" s="80">
        <f t="shared" si="11"/>
        <v>403</v>
      </c>
      <c r="AP18" s="31">
        <f t="shared" si="65"/>
        <v>1.4094292803970223</v>
      </c>
      <c r="AQ18" s="86">
        <f t="shared" si="91"/>
        <v>9029751.1066997517</v>
      </c>
      <c r="AR18" s="87">
        <v>3912890</v>
      </c>
      <c r="AS18" s="80">
        <f t="shared" si="13"/>
        <v>416</v>
      </c>
      <c r="AT18" s="31">
        <f t="shared" si="66"/>
        <v>1.6442307692307692</v>
      </c>
      <c r="AU18" s="86">
        <f t="shared" si="92"/>
        <v>6433694.134615384</v>
      </c>
      <c r="AV18" s="87">
        <v>2547065</v>
      </c>
      <c r="AW18" s="80">
        <f t="shared" si="15"/>
        <v>362</v>
      </c>
      <c r="AX18" s="31">
        <f t="shared" si="16"/>
        <v>1.4530386740331491</v>
      </c>
      <c r="AY18" s="86">
        <f t="shared" si="93"/>
        <v>3700983.950276243</v>
      </c>
      <c r="AZ18" s="87">
        <v>2600407</v>
      </c>
      <c r="BA18" s="80">
        <f t="shared" si="18"/>
        <v>327</v>
      </c>
      <c r="BB18" s="31">
        <f t="shared" si="19"/>
        <v>1.8776758409785932</v>
      </c>
      <c r="BC18" s="86">
        <f t="shared" si="94"/>
        <v>4882721.4006116204</v>
      </c>
      <c r="BD18" s="87">
        <v>2953856</v>
      </c>
      <c r="BE18" s="89">
        <f t="shared" si="20"/>
        <v>2433977.344</v>
      </c>
      <c r="BF18" s="80">
        <f t="shared" si="21"/>
        <v>238</v>
      </c>
      <c r="BG18" s="31">
        <f t="shared" si="68"/>
        <v>2.5714285714285716</v>
      </c>
      <c r="BH18" s="86">
        <f t="shared" si="95"/>
        <v>6258798.8845714293</v>
      </c>
      <c r="BI18" s="89">
        <f t="shared" si="53"/>
        <v>519878.65599999996</v>
      </c>
      <c r="BJ18" s="80">
        <f t="shared" si="23"/>
        <v>351</v>
      </c>
      <c r="BK18" s="31">
        <f t="shared" si="69"/>
        <v>1.8575498575498575</v>
      </c>
      <c r="BL18" s="86">
        <f t="shared" si="96"/>
        <v>965700.52339601133</v>
      </c>
      <c r="BM18" s="87">
        <v>3256476</v>
      </c>
      <c r="BN18" s="80">
        <f t="shared" si="25"/>
        <v>343</v>
      </c>
      <c r="BO18" s="31">
        <f t="shared" si="70"/>
        <v>1.4839650145772594</v>
      </c>
      <c r="BP18" s="86">
        <f t="shared" si="97"/>
        <v>4832496.4548104955</v>
      </c>
      <c r="BQ18" s="87">
        <v>683674</v>
      </c>
      <c r="BR18" s="87"/>
      <c r="BS18" s="3">
        <f t="shared" si="27"/>
        <v>683674</v>
      </c>
      <c r="BT18" s="80">
        <f t="shared" si="28"/>
        <v>237</v>
      </c>
      <c r="BU18" s="31">
        <f t="shared" si="71"/>
        <v>1.4978902953586497</v>
      </c>
      <c r="BV18" s="86">
        <f t="shared" si="98"/>
        <v>1024068.6497890295</v>
      </c>
      <c r="BW18" s="87"/>
      <c r="BX18" s="80">
        <f t="shared" si="29"/>
        <v>419</v>
      </c>
      <c r="BY18" s="31">
        <f t="shared" si="72"/>
        <v>1.7422434367541766</v>
      </c>
      <c r="BZ18" s="86">
        <f t="shared" si="99"/>
        <v>0</v>
      </c>
      <c r="CA18" s="87"/>
      <c r="CB18" s="80">
        <f t="shared" si="31"/>
        <v>419</v>
      </c>
      <c r="CC18" s="31">
        <f t="shared" si="73"/>
        <v>1.7422434367541766</v>
      </c>
      <c r="CD18" s="86">
        <f t="shared" si="100"/>
        <v>0</v>
      </c>
      <c r="CE18" s="87">
        <v>4575</v>
      </c>
      <c r="CF18" s="87"/>
      <c r="CG18" s="3">
        <f t="shared" si="81"/>
        <v>4575</v>
      </c>
      <c r="CH18" s="25">
        <f t="shared" si="82"/>
        <v>1372.5</v>
      </c>
      <c r="CI18" s="87">
        <v>101413</v>
      </c>
      <c r="CJ18" s="87"/>
      <c r="CK18" s="3">
        <f t="shared" si="35"/>
        <v>101413</v>
      </c>
      <c r="CL18" s="134">
        <f t="shared" si="36"/>
        <v>377</v>
      </c>
      <c r="CM18" s="31">
        <f t="shared" si="74"/>
        <v>1.3793103448275863</v>
      </c>
      <c r="CN18" s="86">
        <f t="shared" si="101"/>
        <v>139880</v>
      </c>
      <c r="CO18" s="87">
        <v>7820078</v>
      </c>
      <c r="CP18" s="87"/>
      <c r="CQ18" s="87">
        <v>-1023964</v>
      </c>
      <c r="CR18" s="2">
        <f t="shared" si="38"/>
        <v>6796114</v>
      </c>
      <c r="CS18" s="80">
        <f t="shared" si="39"/>
        <v>421</v>
      </c>
      <c r="CT18" s="31">
        <f t="shared" si="75"/>
        <v>1.6413301662707838</v>
      </c>
      <c r="CU18" s="86">
        <f t="shared" si="102"/>
        <v>11154666.921615202</v>
      </c>
      <c r="CV18" s="87">
        <v>378100</v>
      </c>
      <c r="CW18" s="92">
        <f t="shared" si="41"/>
        <v>377</v>
      </c>
      <c r="CX18" s="31">
        <f t="shared" si="76"/>
        <v>1.3793103448275863</v>
      </c>
      <c r="CY18" s="86">
        <f t="shared" si="103"/>
        <v>521517.24137931038</v>
      </c>
      <c r="CZ18" s="87">
        <v>3563970</v>
      </c>
      <c r="DA18" s="80">
        <f t="shared" si="43"/>
        <v>383</v>
      </c>
      <c r="DB18" s="31">
        <f t="shared" si="77"/>
        <v>1.6971279373368147</v>
      </c>
      <c r="DC18" s="86">
        <f t="shared" si="104"/>
        <v>6048513.0548302876</v>
      </c>
      <c r="DD18" s="87">
        <v>402492</v>
      </c>
      <c r="DE18" s="88"/>
      <c r="DF18" s="101">
        <v>485176</v>
      </c>
      <c r="DG18" s="3">
        <f t="shared" si="83"/>
        <v>-82684</v>
      </c>
      <c r="DH18" s="3">
        <f>DG18*0.5</f>
        <v>-41342</v>
      </c>
      <c r="DI18" s="136">
        <f t="shared" si="47"/>
        <v>472</v>
      </c>
      <c r="DJ18" s="41">
        <f t="shared" si="78"/>
        <v>1.8389830508474576</v>
      </c>
      <c r="DK18" s="86">
        <f t="shared" si="105"/>
        <v>-76027.237288135599</v>
      </c>
      <c r="DM18" s="2">
        <f t="shared" si="106"/>
        <v>8713286</v>
      </c>
      <c r="DN18" s="2">
        <f t="shared" si="107"/>
        <v>26261768</v>
      </c>
      <c r="DO18" s="127">
        <f t="shared" si="108"/>
        <v>0.24912859319673961</v>
      </c>
      <c r="DP18" s="127">
        <f t="shared" si="109"/>
        <v>0.75087140680326037</v>
      </c>
    </row>
    <row r="19" spans="1:120" s="53" customFormat="1">
      <c r="A19" s="56">
        <v>2000</v>
      </c>
      <c r="B19" s="91">
        <v>56867</v>
      </c>
      <c r="C19" s="51"/>
      <c r="D19" s="53">
        <f t="shared" ref="D19:D25" si="110">B19-C19</f>
        <v>56867</v>
      </c>
      <c r="E19" s="54">
        <f t="shared" ref="E19:E25" si="111">D19*0.7</f>
        <v>39806.899999999994</v>
      </c>
      <c r="F19" s="90">
        <v>8231</v>
      </c>
      <c r="G19" s="51"/>
      <c r="H19" s="15">
        <f t="shared" ref="H19:H25" si="112">F19-G19</f>
        <v>8231</v>
      </c>
      <c r="I19" s="80">
        <f t="shared" si="2"/>
        <v>368</v>
      </c>
      <c r="J19" s="132">
        <f t="shared" si="59"/>
        <v>1.4130434782608696</v>
      </c>
      <c r="K19" s="21">
        <f t="shared" ref="K19:K25" si="113">J19*H19</f>
        <v>11630.760869565218</v>
      </c>
      <c r="L19" s="90">
        <v>3216446</v>
      </c>
      <c r="M19" s="51"/>
      <c r="N19" s="101">
        <v>-243836</v>
      </c>
      <c r="O19" s="3">
        <f t="shared" ref="O19:O25" si="114">L19-M19+N19</f>
        <v>2972610</v>
      </c>
      <c r="P19" s="80">
        <f t="shared" si="4"/>
        <v>422</v>
      </c>
      <c r="Q19" s="31">
        <f t="shared" si="60"/>
        <v>1.4099526066350712</v>
      </c>
      <c r="R19" s="21">
        <f t="shared" ref="R19:R25" si="115">O19*Q19</f>
        <v>4191239.2180094789</v>
      </c>
      <c r="S19" s="90">
        <v>1102320</v>
      </c>
      <c r="T19" s="51"/>
      <c r="U19" s="77">
        <v>-102127</v>
      </c>
      <c r="V19" s="3">
        <f t="shared" ref="V19:V25" si="116">S19-T19+U19</f>
        <v>1000193</v>
      </c>
      <c r="W19" s="80">
        <f t="shared" si="6"/>
        <v>398</v>
      </c>
      <c r="X19" s="31">
        <f t="shared" si="61"/>
        <v>1.5326633165829147</v>
      </c>
      <c r="Y19" s="21">
        <f t="shared" ref="Y19:Y25" si="117">V19*X19</f>
        <v>1532959.1206030152</v>
      </c>
      <c r="Z19" s="90">
        <v>3230</v>
      </c>
      <c r="AA19" s="80">
        <f t="shared" si="7"/>
        <v>355</v>
      </c>
      <c r="AB19" s="31">
        <f t="shared" si="62"/>
        <v>1.5436619718309859</v>
      </c>
      <c r="AC19" s="21">
        <f t="shared" ref="AC19:AC25" si="118">AB19*Z19</f>
        <v>4986.0281690140846</v>
      </c>
      <c r="AD19" s="90">
        <v>325</v>
      </c>
      <c r="AE19" s="80">
        <f t="shared" si="8"/>
        <v>458</v>
      </c>
      <c r="AF19" s="31">
        <f t="shared" si="63"/>
        <v>1.8100436681222707</v>
      </c>
      <c r="AG19" s="21">
        <f t="shared" ref="AG19:AG25" si="119">AF19*AD19</f>
        <v>588.26419213973793</v>
      </c>
      <c r="AH19" s="90">
        <v>0</v>
      </c>
      <c r="AI19" s="51"/>
      <c r="AJ19" s="51"/>
      <c r="AK19" s="80">
        <f t="shared" si="10"/>
        <v>364</v>
      </c>
      <c r="AL19" s="31">
        <f t="shared" si="64"/>
        <v>1.4423076923076923</v>
      </c>
      <c r="AM19" s="21">
        <f t="shared" ref="AM19:AM25" si="120">AL19*AJ19</f>
        <v>0</v>
      </c>
      <c r="AN19" s="90">
        <v>7937236</v>
      </c>
      <c r="AO19" s="80">
        <f t="shared" si="11"/>
        <v>398</v>
      </c>
      <c r="AP19" s="31">
        <f t="shared" si="65"/>
        <v>1.4271356783919598</v>
      </c>
      <c r="AQ19" s="21">
        <f t="shared" ref="AQ19:AQ25" si="121">AP19*AN19</f>
        <v>11327512.683417086</v>
      </c>
      <c r="AR19" s="90">
        <v>5767026</v>
      </c>
      <c r="AS19" s="80">
        <f t="shared" si="13"/>
        <v>410</v>
      </c>
      <c r="AT19" s="31">
        <f t="shared" si="66"/>
        <v>1.6682926829268292</v>
      </c>
      <c r="AU19" s="21">
        <f t="shared" ref="AU19:AU25" si="122">AT19*AR19</f>
        <v>9621087.2780487798</v>
      </c>
      <c r="AV19" s="90">
        <v>3581852</v>
      </c>
      <c r="AW19" s="80">
        <f t="shared" si="15"/>
        <v>356</v>
      </c>
      <c r="AX19" s="31">
        <f t="shared" si="16"/>
        <v>1.4775280898876404</v>
      </c>
      <c r="AY19" s="21">
        <f t="shared" ref="AY19:AY25" si="123">AX19*AV19</f>
        <v>5292286.9438202241</v>
      </c>
      <c r="AZ19" s="90">
        <v>3765438</v>
      </c>
      <c r="BA19" s="80">
        <f t="shared" si="18"/>
        <v>335</v>
      </c>
      <c r="BB19" s="31">
        <f t="shared" si="19"/>
        <v>1.8328358208955224</v>
      </c>
      <c r="BC19" s="21">
        <f t="shared" ref="BC19:BC25" si="124">BB19*AZ19</f>
        <v>6901429.647761194</v>
      </c>
      <c r="BD19" s="99">
        <v>3229521</v>
      </c>
      <c r="BE19" s="3">
        <f t="shared" ref="BE19:BE25" si="125">BD19*0.824</f>
        <v>2661125.304</v>
      </c>
      <c r="BF19" s="80">
        <f t="shared" si="21"/>
        <v>231</v>
      </c>
      <c r="BG19" s="31">
        <f t="shared" si="68"/>
        <v>2.6493506493506493</v>
      </c>
      <c r="BH19" s="21">
        <f t="shared" ref="BH19:BH25" si="126">BG19*BE19</f>
        <v>7050254.0521558439</v>
      </c>
      <c r="BI19" s="100">
        <f t="shared" ref="BI19:BI25" si="127">BD19*0.176</f>
        <v>568395.696</v>
      </c>
      <c r="BJ19" s="80">
        <f t="shared" si="23"/>
        <v>332</v>
      </c>
      <c r="BK19" s="31">
        <f t="shared" si="69"/>
        <v>1.963855421686747</v>
      </c>
      <c r="BL19" s="21">
        <f t="shared" ref="BL19:BL25" si="128">BK19*BI19</f>
        <v>1116246.969253012</v>
      </c>
      <c r="BM19" s="90">
        <v>3557558</v>
      </c>
      <c r="BN19" s="80">
        <f t="shared" si="25"/>
        <v>343</v>
      </c>
      <c r="BO19" s="31">
        <f t="shared" si="70"/>
        <v>1.4839650145772594</v>
      </c>
      <c r="BP19" s="21">
        <f t="shared" ref="BP19:BP25" si="129">BO19*BM19</f>
        <v>5279291.6093294453</v>
      </c>
      <c r="BQ19" s="91">
        <v>999644</v>
      </c>
      <c r="BR19" s="51"/>
      <c r="BS19" s="3">
        <f t="shared" ref="BS19:BS25" si="130">BQ19-BR19</f>
        <v>999644</v>
      </c>
      <c r="BT19" s="80">
        <f t="shared" si="28"/>
        <v>210</v>
      </c>
      <c r="BU19" s="31">
        <f t="shared" si="71"/>
        <v>1.6904761904761905</v>
      </c>
      <c r="BV19" s="21">
        <f t="shared" ref="BV19:BV25" si="131">BU19*BS19</f>
        <v>1689874.3809523808</v>
      </c>
      <c r="BW19" s="90">
        <v>518740</v>
      </c>
      <c r="BX19" s="80">
        <f t="shared" si="29"/>
        <v>410</v>
      </c>
      <c r="BY19" s="31">
        <f t="shared" si="72"/>
        <v>1.7804878048780488</v>
      </c>
      <c r="BZ19" s="22">
        <f t="shared" ref="BZ19:BZ25" si="132">BY19*BW19</f>
        <v>923610.24390243902</v>
      </c>
      <c r="CA19" s="90">
        <v>665094</v>
      </c>
      <c r="CB19" s="80">
        <f t="shared" si="31"/>
        <v>410</v>
      </c>
      <c r="CC19" s="31">
        <f t="shared" si="73"/>
        <v>1.7804878048780488</v>
      </c>
      <c r="CD19" s="22">
        <f t="shared" ref="CD19:CD25" si="133">CC19*CA19</f>
        <v>1184191.756097561</v>
      </c>
      <c r="CE19" s="91">
        <v>56867</v>
      </c>
      <c r="CF19" s="51"/>
      <c r="CG19" s="3">
        <f t="shared" ref="CG19:CG25" si="134">CE19-CF19</f>
        <v>56867</v>
      </c>
      <c r="CH19" s="25">
        <f t="shared" ref="CH19:CH25" si="135">CG19*0.3</f>
        <v>17060.099999999999</v>
      </c>
      <c r="CI19" s="90">
        <v>1058504</v>
      </c>
      <c r="CJ19" s="51"/>
      <c r="CK19" s="3">
        <f t="shared" ref="CK19:CK25" si="136">CI19-CJ19</f>
        <v>1058504</v>
      </c>
      <c r="CL19" s="134">
        <f t="shared" si="36"/>
        <v>368</v>
      </c>
      <c r="CM19" s="31">
        <f t="shared" si="74"/>
        <v>1.4130434782608696</v>
      </c>
      <c r="CN19" s="21">
        <f t="shared" ref="CN19:CN25" si="137">CK19*CM19</f>
        <v>1495712.1739130435</v>
      </c>
      <c r="CO19" s="90">
        <v>4471917</v>
      </c>
      <c r="CP19" s="51"/>
      <c r="CQ19" s="51"/>
      <c r="CR19" s="2">
        <f t="shared" ref="CR19:CR25" si="138">CO19-CP19+CQ19</f>
        <v>4471917</v>
      </c>
      <c r="CS19" s="80">
        <f t="shared" si="39"/>
        <v>415</v>
      </c>
      <c r="CT19" s="31">
        <f t="shared" si="75"/>
        <v>1.6650602409638555</v>
      </c>
      <c r="CU19" s="21">
        <f t="shared" ref="CU19:CU25" si="139">CR19*CT19</f>
        <v>7446011.1975903623</v>
      </c>
      <c r="CV19" s="90">
        <v>254395</v>
      </c>
      <c r="CW19" s="92">
        <f t="shared" si="41"/>
        <v>368</v>
      </c>
      <c r="CX19" s="31">
        <f t="shared" si="76"/>
        <v>1.4130434782608696</v>
      </c>
      <c r="CY19" s="21">
        <f t="shared" ref="CY19:CY25" si="140">CX19*CV19</f>
        <v>359471.19565217395</v>
      </c>
      <c r="CZ19" s="90">
        <v>3463796</v>
      </c>
      <c r="DA19" s="80">
        <f t="shared" si="43"/>
        <v>379</v>
      </c>
      <c r="DB19" s="31">
        <f t="shared" si="77"/>
        <v>1.7150395778364116</v>
      </c>
      <c r="DC19" s="21">
        <f t="shared" ref="DC19:DC25" si="141">DB19*CZ19</f>
        <v>5940547.2295514513</v>
      </c>
      <c r="DD19" s="91">
        <f>2262581+30942+4313</f>
        <v>2297836</v>
      </c>
      <c r="DE19" s="52">
        <v>2262581</v>
      </c>
      <c r="DF19" s="51"/>
      <c r="DG19" s="3">
        <f t="shared" ref="DG19:DG25" si="142">DD19-DF19</f>
        <v>2297836</v>
      </c>
      <c r="DH19" s="3">
        <f>DG19*0.25</f>
        <v>574459</v>
      </c>
      <c r="DI19" s="136">
        <f t="shared" si="47"/>
        <v>461</v>
      </c>
      <c r="DJ19" s="41">
        <f t="shared" si="78"/>
        <v>1.8828633405639914</v>
      </c>
      <c r="DK19" s="21">
        <f t="shared" ref="DK19:DK25" si="143">DH19*DJ19</f>
        <v>1081627.79175705</v>
      </c>
      <c r="DM19" s="2">
        <f t="shared" si="106"/>
        <v>9974707</v>
      </c>
      <c r="DN19" s="2">
        <f t="shared" si="107"/>
        <v>34314759</v>
      </c>
      <c r="DO19" s="127">
        <f t="shared" si="108"/>
        <v>0.22521623990679859</v>
      </c>
      <c r="DP19" s="127">
        <f t="shared" si="109"/>
        <v>0.77478376009320138</v>
      </c>
    </row>
    <row r="20" spans="1:120" s="53" customFormat="1">
      <c r="A20" s="56">
        <v>1999</v>
      </c>
      <c r="B20" s="52">
        <v>299415</v>
      </c>
      <c r="C20" s="51"/>
      <c r="D20" s="53">
        <f t="shared" si="110"/>
        <v>299415</v>
      </c>
      <c r="E20" s="54">
        <f t="shared" si="111"/>
        <v>209590.5</v>
      </c>
      <c r="F20" s="52">
        <v>8553</v>
      </c>
      <c r="G20" s="51"/>
      <c r="H20" s="15">
        <f t="shared" si="112"/>
        <v>8553</v>
      </c>
      <c r="I20" s="80">
        <f t="shared" si="2"/>
        <v>354</v>
      </c>
      <c r="J20" s="132">
        <f t="shared" si="59"/>
        <v>1.4689265536723164</v>
      </c>
      <c r="K20" s="21">
        <f t="shared" si="113"/>
        <v>12563.728813559323</v>
      </c>
      <c r="L20" s="52">
        <v>1431247</v>
      </c>
      <c r="M20" s="51"/>
      <c r="N20" s="51"/>
      <c r="O20" s="3">
        <f t="shared" si="114"/>
        <v>1431247</v>
      </c>
      <c r="P20" s="80">
        <f t="shared" si="4"/>
        <v>419</v>
      </c>
      <c r="Q20" s="31">
        <f t="shared" si="60"/>
        <v>1.4200477326968974</v>
      </c>
      <c r="R20" s="21">
        <f t="shared" si="115"/>
        <v>2032439.0572792364</v>
      </c>
      <c r="S20" s="52">
        <v>674319</v>
      </c>
      <c r="T20" s="51"/>
      <c r="U20" s="51"/>
      <c r="V20" s="3">
        <f t="shared" si="116"/>
        <v>674319</v>
      </c>
      <c r="W20" s="80">
        <f t="shared" si="6"/>
        <v>354</v>
      </c>
      <c r="X20" s="31">
        <f t="shared" si="61"/>
        <v>1.7231638418079096</v>
      </c>
      <c r="Y20" s="21">
        <f t="shared" si="117"/>
        <v>1161962.1186440678</v>
      </c>
      <c r="Z20" s="52">
        <v>159</v>
      </c>
      <c r="AA20" s="80">
        <f t="shared" si="7"/>
        <v>346</v>
      </c>
      <c r="AB20" s="31">
        <f t="shared" si="62"/>
        <v>1.5838150289017341</v>
      </c>
      <c r="AC20" s="21">
        <f t="shared" si="118"/>
        <v>251.82658959537571</v>
      </c>
      <c r="AD20" s="52">
        <v>229</v>
      </c>
      <c r="AE20" s="80">
        <f t="shared" si="8"/>
        <v>463</v>
      </c>
      <c r="AF20" s="31">
        <f t="shared" si="63"/>
        <v>1.7904967602591793</v>
      </c>
      <c r="AG20" s="21">
        <f t="shared" si="119"/>
        <v>410.02375809935205</v>
      </c>
      <c r="AH20" s="52">
        <v>0</v>
      </c>
      <c r="AI20" s="51"/>
      <c r="AJ20" s="51"/>
      <c r="AK20" s="80">
        <f t="shared" si="10"/>
        <v>355</v>
      </c>
      <c r="AL20" s="31">
        <f t="shared" si="64"/>
        <v>1.4788732394366197</v>
      </c>
      <c r="AM20" s="21">
        <f t="shared" si="120"/>
        <v>0</v>
      </c>
      <c r="AN20" s="52">
        <v>7278140</v>
      </c>
      <c r="AO20" s="80">
        <f t="shared" si="11"/>
        <v>391</v>
      </c>
      <c r="AP20" s="31">
        <f t="shared" si="65"/>
        <v>1.4526854219948848</v>
      </c>
      <c r="AQ20" s="21">
        <f t="shared" si="121"/>
        <v>10572847.877237851</v>
      </c>
      <c r="AR20" s="52">
        <v>4943259</v>
      </c>
      <c r="AS20" s="80">
        <f t="shared" si="13"/>
        <v>377</v>
      </c>
      <c r="AT20" s="31">
        <f t="shared" si="66"/>
        <v>1.8143236074270557</v>
      </c>
      <c r="AU20" s="21">
        <f t="shared" si="122"/>
        <v>8968671.5013262592</v>
      </c>
      <c r="AV20" s="52">
        <v>2917405</v>
      </c>
      <c r="AW20" s="80">
        <f t="shared" si="15"/>
        <v>347</v>
      </c>
      <c r="AX20" s="31">
        <f t="shared" si="16"/>
        <v>1.515850144092219</v>
      </c>
      <c r="AY20" s="21">
        <f t="shared" si="123"/>
        <v>4422348.7896253597</v>
      </c>
      <c r="AZ20" s="52">
        <v>5223712</v>
      </c>
      <c r="BA20" s="80">
        <f t="shared" si="18"/>
        <v>329</v>
      </c>
      <c r="BB20" s="31">
        <f t="shared" si="19"/>
        <v>1.8662613981762919</v>
      </c>
      <c r="BC20" s="21">
        <f t="shared" si="124"/>
        <v>9748812.0607902743</v>
      </c>
      <c r="BD20" s="57">
        <v>3572909</v>
      </c>
      <c r="BE20" s="3">
        <f t="shared" si="125"/>
        <v>2944077.0159999998</v>
      </c>
      <c r="BF20" s="80">
        <f t="shared" si="21"/>
        <v>228</v>
      </c>
      <c r="BG20" s="31">
        <f t="shared" si="68"/>
        <v>2.6842105263157894</v>
      </c>
      <c r="BH20" s="21">
        <f t="shared" si="126"/>
        <v>7902522.5166315781</v>
      </c>
      <c r="BI20" s="3">
        <f t="shared" si="127"/>
        <v>628831.98399999994</v>
      </c>
      <c r="BJ20" s="80">
        <f t="shared" si="23"/>
        <v>329</v>
      </c>
      <c r="BK20" s="31">
        <f t="shared" si="69"/>
        <v>1.9817629179331306</v>
      </c>
      <c r="BL20" s="21">
        <f t="shared" si="128"/>
        <v>1246195.9075015197</v>
      </c>
      <c r="BM20" s="52">
        <v>2978773</v>
      </c>
      <c r="BN20" s="80">
        <f t="shared" si="25"/>
        <v>330</v>
      </c>
      <c r="BO20" s="31">
        <f t="shared" si="70"/>
        <v>1.5424242424242425</v>
      </c>
      <c r="BP20" s="21">
        <f t="shared" si="129"/>
        <v>4594531.6878787884</v>
      </c>
      <c r="BQ20" s="52">
        <v>839356</v>
      </c>
      <c r="BR20" s="51"/>
      <c r="BS20" s="3">
        <f t="shared" si="130"/>
        <v>839356</v>
      </c>
      <c r="BT20" s="80">
        <f t="shared" si="28"/>
        <v>212</v>
      </c>
      <c r="BU20" s="31">
        <f t="shared" si="71"/>
        <v>1.6745283018867925</v>
      </c>
      <c r="BV20" s="21">
        <f t="shared" si="131"/>
        <v>1405525.3773584906</v>
      </c>
      <c r="BW20" s="52">
        <v>329777</v>
      </c>
      <c r="BX20" s="80">
        <f t="shared" si="29"/>
        <v>402</v>
      </c>
      <c r="BY20" s="31">
        <f t="shared" si="72"/>
        <v>1.8159203980099503</v>
      </c>
      <c r="BZ20" s="22">
        <f t="shared" si="132"/>
        <v>598848.78109452734</v>
      </c>
      <c r="CA20" s="52">
        <v>563117</v>
      </c>
      <c r="CB20" s="80">
        <f t="shared" si="31"/>
        <v>402</v>
      </c>
      <c r="CC20" s="31">
        <f t="shared" si="73"/>
        <v>1.8159203980099503</v>
      </c>
      <c r="CD20" s="22">
        <f t="shared" si="133"/>
        <v>1022575.6467661692</v>
      </c>
      <c r="CE20" s="52">
        <v>299415</v>
      </c>
      <c r="CF20" s="51"/>
      <c r="CG20" s="3">
        <f t="shared" si="134"/>
        <v>299415</v>
      </c>
      <c r="CH20" s="25">
        <f t="shared" si="135"/>
        <v>89824.5</v>
      </c>
      <c r="CI20" s="52">
        <v>374155</v>
      </c>
      <c r="CJ20" s="51"/>
      <c r="CK20" s="3">
        <f t="shared" si="136"/>
        <v>374155</v>
      </c>
      <c r="CL20" s="134">
        <f t="shared" si="36"/>
        <v>354</v>
      </c>
      <c r="CM20" s="31">
        <f t="shared" si="74"/>
        <v>1.4689265536723164</v>
      </c>
      <c r="CN20" s="21">
        <f t="shared" si="137"/>
        <v>549606.21468926559</v>
      </c>
      <c r="CO20" s="52">
        <v>5002789</v>
      </c>
      <c r="CP20" s="51"/>
      <c r="CQ20" s="51"/>
      <c r="CR20" s="2">
        <f t="shared" si="138"/>
        <v>5002789</v>
      </c>
      <c r="CS20" s="80">
        <f t="shared" si="39"/>
        <v>388</v>
      </c>
      <c r="CT20" s="31">
        <f t="shared" si="75"/>
        <v>1.7809278350515463</v>
      </c>
      <c r="CU20" s="21">
        <f t="shared" si="139"/>
        <v>8909606.1829896905</v>
      </c>
      <c r="CV20" s="52">
        <v>1547828</v>
      </c>
      <c r="CW20" s="92">
        <f t="shared" si="41"/>
        <v>354</v>
      </c>
      <c r="CX20" s="31">
        <f t="shared" si="76"/>
        <v>1.4689265536723164</v>
      </c>
      <c r="CY20" s="21">
        <f t="shared" si="140"/>
        <v>2273645.6497175139</v>
      </c>
      <c r="CZ20" s="52">
        <v>4813979</v>
      </c>
      <c r="DA20" s="80">
        <f t="shared" si="43"/>
        <v>375</v>
      </c>
      <c r="DB20" s="31">
        <f t="shared" si="77"/>
        <v>1.7333333333333334</v>
      </c>
      <c r="DC20" s="21">
        <f t="shared" si="141"/>
        <v>8344230.2666666666</v>
      </c>
      <c r="DD20" s="52">
        <f>2694271+111574+13752</f>
        <v>2819597</v>
      </c>
      <c r="DE20" s="52">
        <v>2694271</v>
      </c>
      <c r="DF20" s="51"/>
      <c r="DG20" s="3">
        <f t="shared" si="142"/>
        <v>2819597</v>
      </c>
      <c r="DH20" s="3">
        <f t="shared" ref="DH20:DH29" si="144">DG20*0.25</f>
        <v>704899.25</v>
      </c>
      <c r="DI20" s="136">
        <f t="shared" si="47"/>
        <v>428</v>
      </c>
      <c r="DJ20" s="41">
        <f t="shared" si="78"/>
        <v>2.02803738317757</v>
      </c>
      <c r="DK20" s="21">
        <f t="shared" si="143"/>
        <v>1429562.0303738317</v>
      </c>
      <c r="DM20" s="2">
        <f t="shared" si="106"/>
        <v>8090281</v>
      </c>
      <c r="DN20" s="2">
        <f t="shared" si="107"/>
        <v>35713154.25</v>
      </c>
      <c r="DO20" s="127">
        <f t="shared" si="108"/>
        <v>0.18469512616593239</v>
      </c>
      <c r="DP20" s="127">
        <f t="shared" si="109"/>
        <v>0.81530487383406758</v>
      </c>
    </row>
    <row r="21" spans="1:120" s="53" customFormat="1">
      <c r="A21" s="56">
        <v>1998</v>
      </c>
      <c r="B21" s="52">
        <v>62160</v>
      </c>
      <c r="C21" s="51"/>
      <c r="D21" s="53">
        <f t="shared" si="110"/>
        <v>62160</v>
      </c>
      <c r="E21" s="54">
        <f t="shared" si="111"/>
        <v>43512</v>
      </c>
      <c r="F21" s="52">
        <v>3725</v>
      </c>
      <c r="G21" s="51"/>
      <c r="H21" s="15">
        <f t="shared" si="112"/>
        <v>3725</v>
      </c>
      <c r="I21" s="80">
        <f t="shared" si="2"/>
        <v>347</v>
      </c>
      <c r="J21" s="132">
        <f t="shared" si="59"/>
        <v>1.4985590778097984</v>
      </c>
      <c r="K21" s="21">
        <f t="shared" si="113"/>
        <v>5582.1325648414986</v>
      </c>
      <c r="L21" s="52">
        <v>1417187</v>
      </c>
      <c r="M21" s="51"/>
      <c r="N21" s="51"/>
      <c r="O21" s="3">
        <f t="shared" si="114"/>
        <v>1417187</v>
      </c>
      <c r="P21" s="80">
        <f t="shared" si="4"/>
        <v>428</v>
      </c>
      <c r="Q21" s="31">
        <f t="shared" si="60"/>
        <v>1.3901869158878504</v>
      </c>
      <c r="R21" s="21">
        <f t="shared" si="115"/>
        <v>1970154.8247663551</v>
      </c>
      <c r="S21" s="52">
        <v>531292</v>
      </c>
      <c r="T21" s="51"/>
      <c r="U21" s="51"/>
      <c r="V21" s="3">
        <f t="shared" si="116"/>
        <v>531292</v>
      </c>
      <c r="W21" s="80">
        <f t="shared" si="6"/>
        <v>391</v>
      </c>
      <c r="X21" s="31">
        <f t="shared" si="61"/>
        <v>1.5601023017902813</v>
      </c>
      <c r="Y21" s="21">
        <f t="shared" si="117"/>
        <v>828869.87212276214</v>
      </c>
      <c r="Z21" s="52">
        <v>0</v>
      </c>
      <c r="AA21" s="80">
        <f t="shared" si="7"/>
        <v>337</v>
      </c>
      <c r="AB21" s="31">
        <f t="shared" si="62"/>
        <v>1.6261127596439169</v>
      </c>
      <c r="AC21" s="21">
        <f t="shared" si="118"/>
        <v>0</v>
      </c>
      <c r="AD21" s="52">
        <v>1712</v>
      </c>
      <c r="AE21" s="80">
        <f t="shared" si="8"/>
        <v>450</v>
      </c>
      <c r="AF21" s="31">
        <f t="shared" si="63"/>
        <v>1.8422222222222222</v>
      </c>
      <c r="AG21" s="21">
        <f t="shared" si="119"/>
        <v>3153.8844444444444</v>
      </c>
      <c r="AH21" s="52">
        <v>1797</v>
      </c>
      <c r="AI21" s="51"/>
      <c r="AJ21" s="51"/>
      <c r="AK21" s="80">
        <f t="shared" si="10"/>
        <v>345</v>
      </c>
      <c r="AL21" s="31">
        <f t="shared" si="64"/>
        <v>1.5217391304347827</v>
      </c>
      <c r="AM21" s="21">
        <f t="shared" si="120"/>
        <v>0</v>
      </c>
      <c r="AN21" s="52">
        <v>7447126</v>
      </c>
      <c r="AO21" s="80">
        <f t="shared" si="11"/>
        <v>387</v>
      </c>
      <c r="AP21" s="31">
        <f t="shared" si="65"/>
        <v>1.4677002583979328</v>
      </c>
      <c r="AQ21" s="21">
        <f t="shared" si="121"/>
        <v>10930148.754521964</v>
      </c>
      <c r="AR21" s="52">
        <v>4157343</v>
      </c>
      <c r="AS21" s="80">
        <f t="shared" si="13"/>
        <v>391</v>
      </c>
      <c r="AT21" s="31">
        <f t="shared" si="66"/>
        <v>1.7493606138107416</v>
      </c>
      <c r="AU21" s="21">
        <f t="shared" si="122"/>
        <v>7272692.1023017894</v>
      </c>
      <c r="AV21" s="52">
        <v>3275038</v>
      </c>
      <c r="AW21" s="80">
        <f t="shared" si="15"/>
        <v>337</v>
      </c>
      <c r="AX21" s="31">
        <f t="shared" si="16"/>
        <v>1.5608308605341246</v>
      </c>
      <c r="AY21" s="21">
        <f t="shared" si="123"/>
        <v>5111780.379821958</v>
      </c>
      <c r="AZ21" s="52">
        <v>4531960</v>
      </c>
      <c r="BA21" s="80">
        <f t="shared" si="18"/>
        <v>320</v>
      </c>
      <c r="BB21" s="31">
        <f t="shared" si="19"/>
        <v>1.91875</v>
      </c>
      <c r="BC21" s="21">
        <f t="shared" si="124"/>
        <v>8695698.25</v>
      </c>
      <c r="BD21" s="57">
        <v>3867372</v>
      </c>
      <c r="BE21" s="3">
        <f t="shared" si="125"/>
        <v>3186714.5279999999</v>
      </c>
      <c r="BF21" s="80">
        <f t="shared" si="21"/>
        <v>228</v>
      </c>
      <c r="BG21" s="31">
        <f t="shared" si="68"/>
        <v>2.6842105263157894</v>
      </c>
      <c r="BH21" s="21">
        <f t="shared" si="126"/>
        <v>8553812.6804210525</v>
      </c>
      <c r="BI21" s="3">
        <f t="shared" si="127"/>
        <v>680657.47199999995</v>
      </c>
      <c r="BJ21" s="80">
        <f t="shared" si="23"/>
        <v>327</v>
      </c>
      <c r="BK21" s="31">
        <f t="shared" si="69"/>
        <v>1.9938837920489296</v>
      </c>
      <c r="BL21" s="21">
        <f t="shared" si="128"/>
        <v>1357151.9013577981</v>
      </c>
      <c r="BM21" s="52">
        <v>3362635</v>
      </c>
      <c r="BN21" s="80">
        <f t="shared" si="25"/>
        <v>330</v>
      </c>
      <c r="BO21" s="31">
        <f t="shared" si="70"/>
        <v>1.5424242424242425</v>
      </c>
      <c r="BP21" s="21">
        <f t="shared" si="129"/>
        <v>5186609.7424242422</v>
      </c>
      <c r="BQ21" s="52">
        <v>1205546</v>
      </c>
      <c r="BR21" s="51"/>
      <c r="BS21" s="3">
        <f t="shared" si="130"/>
        <v>1205546</v>
      </c>
      <c r="BT21" s="80">
        <f t="shared" si="28"/>
        <v>222</v>
      </c>
      <c r="BU21" s="31">
        <f t="shared" si="71"/>
        <v>1.5990990990990992</v>
      </c>
      <c r="BV21" s="21">
        <f t="shared" si="131"/>
        <v>1927787.5225225226</v>
      </c>
      <c r="BW21" s="52">
        <v>350678</v>
      </c>
      <c r="BX21" s="80">
        <f t="shared" si="29"/>
        <v>397</v>
      </c>
      <c r="BY21" s="31">
        <f t="shared" si="72"/>
        <v>1.8387909319899245</v>
      </c>
      <c r="BZ21" s="22">
        <f t="shared" si="132"/>
        <v>644823.52644836274</v>
      </c>
      <c r="CA21" s="52">
        <v>586087</v>
      </c>
      <c r="CB21" s="80">
        <f t="shared" si="31"/>
        <v>397</v>
      </c>
      <c r="CC21" s="31">
        <f t="shared" si="73"/>
        <v>1.8387909319899245</v>
      </c>
      <c r="CD21" s="22">
        <f t="shared" si="133"/>
        <v>1077691.4609571788</v>
      </c>
      <c r="CE21" s="52">
        <v>62160</v>
      </c>
      <c r="CF21" s="51"/>
      <c r="CG21" s="3">
        <f t="shared" si="134"/>
        <v>62160</v>
      </c>
      <c r="CH21" s="25">
        <f t="shared" si="135"/>
        <v>18648</v>
      </c>
      <c r="CI21" s="52">
        <v>15700</v>
      </c>
      <c r="CJ21" s="51"/>
      <c r="CK21" s="3">
        <f t="shared" si="136"/>
        <v>15700</v>
      </c>
      <c r="CL21" s="134">
        <f t="shared" si="36"/>
        <v>347</v>
      </c>
      <c r="CM21" s="31">
        <f t="shared" si="74"/>
        <v>1.4985590778097984</v>
      </c>
      <c r="CN21" s="21">
        <f t="shared" si="137"/>
        <v>23527.377521613835</v>
      </c>
      <c r="CO21" s="52">
        <v>1748493</v>
      </c>
      <c r="CP21" s="51"/>
      <c r="CQ21" s="51"/>
      <c r="CR21" s="2">
        <f t="shared" si="138"/>
        <v>1748493</v>
      </c>
      <c r="CS21" s="80">
        <f t="shared" si="39"/>
        <v>382</v>
      </c>
      <c r="CT21" s="31">
        <f t="shared" si="75"/>
        <v>1.8089005235602094</v>
      </c>
      <c r="CU21" s="21">
        <f t="shared" si="139"/>
        <v>3162849.9031413612</v>
      </c>
      <c r="CV21" s="52">
        <v>153069</v>
      </c>
      <c r="CW21" s="92">
        <f t="shared" si="41"/>
        <v>347</v>
      </c>
      <c r="CX21" s="31">
        <f t="shared" si="76"/>
        <v>1.4985590778097984</v>
      </c>
      <c r="CY21" s="21">
        <f t="shared" si="140"/>
        <v>229382.93948126803</v>
      </c>
      <c r="CZ21" s="52">
        <v>2996249</v>
      </c>
      <c r="DA21" s="80">
        <f t="shared" si="43"/>
        <v>372</v>
      </c>
      <c r="DB21" s="31">
        <f t="shared" si="77"/>
        <v>1.7473118279569892</v>
      </c>
      <c r="DC21" s="21">
        <f t="shared" si="141"/>
        <v>5235381.3172043012</v>
      </c>
      <c r="DD21" s="52">
        <f>3770586+117779</f>
        <v>3888365</v>
      </c>
      <c r="DE21" s="52">
        <v>3770586</v>
      </c>
      <c r="DF21" s="51"/>
      <c r="DG21" s="3">
        <f t="shared" si="142"/>
        <v>3888365</v>
      </c>
      <c r="DH21" s="3">
        <f t="shared" si="144"/>
        <v>972091.25</v>
      </c>
      <c r="DI21" s="136">
        <f t="shared" si="47"/>
        <v>417</v>
      </c>
      <c r="DJ21" s="41">
        <f t="shared" si="78"/>
        <v>2.0815347721822541</v>
      </c>
      <c r="DK21" s="21">
        <f t="shared" si="143"/>
        <v>2023441.7386091126</v>
      </c>
    </row>
    <row r="22" spans="1:120" s="53" customFormat="1">
      <c r="A22" s="56">
        <v>1997</v>
      </c>
      <c r="B22" s="52">
        <v>377741</v>
      </c>
      <c r="C22" s="51"/>
      <c r="D22" s="53">
        <f t="shared" si="110"/>
        <v>377741</v>
      </c>
      <c r="E22" s="54">
        <f t="shared" si="111"/>
        <v>264418.7</v>
      </c>
      <c r="F22" s="52">
        <v>9840</v>
      </c>
      <c r="G22" s="51"/>
      <c r="H22" s="15">
        <f t="shared" si="112"/>
        <v>9840</v>
      </c>
      <c r="I22" s="80">
        <f t="shared" si="2"/>
        <v>341</v>
      </c>
      <c r="J22" s="132">
        <f t="shared" si="59"/>
        <v>1.5249266862170088</v>
      </c>
      <c r="K22" s="21">
        <f t="shared" si="113"/>
        <v>15005.278592375367</v>
      </c>
      <c r="L22" s="52">
        <v>4375370</v>
      </c>
      <c r="M22" s="51"/>
      <c r="N22" s="51"/>
      <c r="O22" s="3">
        <f t="shared" si="114"/>
        <v>4375370</v>
      </c>
      <c r="P22" s="80">
        <f t="shared" si="4"/>
        <v>420</v>
      </c>
      <c r="Q22" s="31">
        <f t="shared" si="60"/>
        <v>1.4166666666666667</v>
      </c>
      <c r="R22" s="21">
        <f t="shared" si="115"/>
        <v>6198440.833333334</v>
      </c>
      <c r="S22" s="52">
        <v>2988678</v>
      </c>
      <c r="T22" s="51"/>
      <c r="U22" s="51"/>
      <c r="V22" s="3">
        <f t="shared" si="116"/>
        <v>2988678</v>
      </c>
      <c r="W22" s="80">
        <f t="shared" si="6"/>
        <v>379</v>
      </c>
      <c r="X22" s="31">
        <f t="shared" si="61"/>
        <v>1.6094986807387863</v>
      </c>
      <c r="Y22" s="21">
        <f t="shared" si="117"/>
        <v>4810273.2981530344</v>
      </c>
      <c r="Z22" s="52">
        <v>0</v>
      </c>
      <c r="AA22" s="80">
        <f t="shared" si="7"/>
        <v>331</v>
      </c>
      <c r="AB22" s="31">
        <f t="shared" si="62"/>
        <v>1.6555891238670695</v>
      </c>
      <c r="AC22" s="21">
        <f t="shared" si="118"/>
        <v>0</v>
      </c>
      <c r="AD22" s="52">
        <v>0</v>
      </c>
      <c r="AE22" s="80">
        <f t="shared" si="8"/>
        <v>446</v>
      </c>
      <c r="AF22" s="31">
        <f t="shared" si="63"/>
        <v>1.858744394618834</v>
      </c>
      <c r="AG22" s="21">
        <f t="shared" si="119"/>
        <v>0</v>
      </c>
      <c r="AH22" s="52">
        <v>0</v>
      </c>
      <c r="AI22" s="51"/>
      <c r="AJ22" s="51"/>
      <c r="AK22" s="80">
        <f t="shared" si="10"/>
        <v>337</v>
      </c>
      <c r="AL22" s="31">
        <f t="shared" si="64"/>
        <v>1.5578635014836795</v>
      </c>
      <c r="AM22" s="21">
        <f t="shared" si="120"/>
        <v>0</v>
      </c>
      <c r="AN22" s="52">
        <v>7183342</v>
      </c>
      <c r="AO22" s="80">
        <f t="shared" si="11"/>
        <v>382</v>
      </c>
      <c r="AP22" s="31">
        <f t="shared" si="65"/>
        <v>1.4869109947643979</v>
      </c>
      <c r="AQ22" s="21">
        <f t="shared" si="121"/>
        <v>10680990.19895288</v>
      </c>
      <c r="AR22" s="52">
        <v>3890233</v>
      </c>
      <c r="AS22" s="80">
        <f t="shared" si="13"/>
        <v>380</v>
      </c>
      <c r="AT22" s="31">
        <f t="shared" si="66"/>
        <v>1.8</v>
      </c>
      <c r="AU22" s="21">
        <f t="shared" si="122"/>
        <v>7002419.4000000004</v>
      </c>
      <c r="AV22" s="52">
        <v>3830313</v>
      </c>
      <c r="AW22" s="80">
        <f t="shared" si="15"/>
        <v>330</v>
      </c>
      <c r="AX22" s="31">
        <f t="shared" si="16"/>
        <v>1.593939393939394</v>
      </c>
      <c r="AY22" s="21">
        <f t="shared" si="123"/>
        <v>6105286.7818181822</v>
      </c>
      <c r="AZ22" s="52">
        <v>5311192</v>
      </c>
      <c r="BA22" s="80">
        <f t="shared" si="18"/>
        <v>315</v>
      </c>
      <c r="BB22" s="31">
        <f t="shared" si="19"/>
        <v>1.9492063492063492</v>
      </c>
      <c r="BC22" s="21">
        <f t="shared" si="124"/>
        <v>10352609.168253968</v>
      </c>
      <c r="BD22" s="57">
        <v>4251568</v>
      </c>
      <c r="BE22" s="3">
        <f t="shared" si="125"/>
        <v>3503292.0319999997</v>
      </c>
      <c r="BF22" s="80">
        <f t="shared" si="21"/>
        <v>225</v>
      </c>
      <c r="BG22" s="31">
        <f t="shared" si="68"/>
        <v>2.72</v>
      </c>
      <c r="BH22" s="21">
        <f t="shared" si="126"/>
        <v>9528954.3270399999</v>
      </c>
      <c r="BI22" s="3">
        <f t="shared" si="127"/>
        <v>748275.96799999999</v>
      </c>
      <c r="BJ22" s="80">
        <f t="shared" si="23"/>
        <v>325</v>
      </c>
      <c r="BK22" s="31">
        <f t="shared" si="69"/>
        <v>2.006153846153846</v>
      </c>
      <c r="BL22" s="21">
        <f t="shared" si="128"/>
        <v>1501156.7111876921</v>
      </c>
      <c r="BM22" s="52">
        <v>3757288</v>
      </c>
      <c r="BN22" s="80">
        <f t="shared" si="25"/>
        <v>323</v>
      </c>
      <c r="BO22" s="31">
        <f t="shared" si="70"/>
        <v>1.5758513931888545</v>
      </c>
      <c r="BP22" s="21">
        <f t="shared" si="129"/>
        <v>5920927.5294117648</v>
      </c>
      <c r="BQ22" s="52">
        <v>1006592</v>
      </c>
      <c r="BR22" s="51"/>
      <c r="BS22" s="3">
        <f t="shared" si="130"/>
        <v>1006592</v>
      </c>
      <c r="BT22" s="80">
        <f t="shared" si="28"/>
        <v>216</v>
      </c>
      <c r="BU22" s="31">
        <f t="shared" si="71"/>
        <v>1.6435185185185186</v>
      </c>
      <c r="BV22" s="21">
        <f t="shared" si="131"/>
        <v>1654352.5925925926</v>
      </c>
      <c r="BW22" s="52">
        <v>532708</v>
      </c>
      <c r="BX22" s="80">
        <f t="shared" si="29"/>
        <v>395</v>
      </c>
      <c r="BY22" s="31">
        <f t="shared" si="72"/>
        <v>1.8481012658227849</v>
      </c>
      <c r="BZ22" s="22">
        <f t="shared" si="132"/>
        <v>984498.32911392406</v>
      </c>
      <c r="CA22" s="52">
        <v>676542</v>
      </c>
      <c r="CB22" s="80">
        <f t="shared" si="31"/>
        <v>395</v>
      </c>
      <c r="CC22" s="31">
        <f t="shared" si="73"/>
        <v>1.8481012658227849</v>
      </c>
      <c r="CD22" s="22">
        <f t="shared" si="133"/>
        <v>1250318.1265822786</v>
      </c>
      <c r="CE22" s="52">
        <v>377741</v>
      </c>
      <c r="CF22" s="51"/>
      <c r="CG22" s="3">
        <f t="shared" si="134"/>
        <v>377741</v>
      </c>
      <c r="CH22" s="25">
        <f t="shared" si="135"/>
        <v>113322.3</v>
      </c>
      <c r="CI22" s="52">
        <v>513434</v>
      </c>
      <c r="CJ22" s="51"/>
      <c r="CK22" s="3">
        <f t="shared" si="136"/>
        <v>513434</v>
      </c>
      <c r="CL22" s="134">
        <f t="shared" si="36"/>
        <v>341</v>
      </c>
      <c r="CM22" s="31">
        <f t="shared" si="74"/>
        <v>1.5249266862170088</v>
      </c>
      <c r="CN22" s="21">
        <f t="shared" si="137"/>
        <v>782949.20821114373</v>
      </c>
      <c r="CO22" s="52">
        <v>3073814</v>
      </c>
      <c r="CP22" s="51"/>
      <c r="CQ22" s="51"/>
      <c r="CR22" s="2">
        <f t="shared" si="138"/>
        <v>3073814</v>
      </c>
      <c r="CS22" s="80">
        <f t="shared" si="39"/>
        <v>372</v>
      </c>
      <c r="CT22" s="31">
        <f t="shared" si="75"/>
        <v>1.85752688172043</v>
      </c>
      <c r="CU22" s="21">
        <f t="shared" si="139"/>
        <v>5709692.1344086016</v>
      </c>
      <c r="CV22" s="52">
        <v>250540</v>
      </c>
      <c r="CW22" s="92">
        <f t="shared" si="41"/>
        <v>341</v>
      </c>
      <c r="CX22" s="31">
        <f t="shared" si="76"/>
        <v>1.5249266862170088</v>
      </c>
      <c r="CY22" s="21">
        <f t="shared" si="140"/>
        <v>382055.13196480938</v>
      </c>
      <c r="CZ22" s="52">
        <v>1986340</v>
      </c>
      <c r="DA22" s="80">
        <f t="shared" si="43"/>
        <v>357</v>
      </c>
      <c r="DB22" s="31">
        <f t="shared" si="77"/>
        <v>1.8207282913165266</v>
      </c>
      <c r="DC22" s="21">
        <f t="shared" si="141"/>
        <v>3616585.4341736692</v>
      </c>
      <c r="DD22" s="52">
        <f>1868850+87855+14510</f>
        <v>1971215</v>
      </c>
      <c r="DE22" s="52">
        <v>1868850</v>
      </c>
      <c r="DF22" s="51"/>
      <c r="DG22" s="3">
        <f t="shared" si="142"/>
        <v>1971215</v>
      </c>
      <c r="DH22" s="3">
        <f t="shared" si="144"/>
        <v>492803.75</v>
      </c>
      <c r="DI22" s="136">
        <f t="shared" si="47"/>
        <v>408</v>
      </c>
      <c r="DJ22" s="41">
        <f t="shared" si="78"/>
        <v>2.1274509803921569</v>
      </c>
      <c r="DK22" s="21">
        <f t="shared" si="143"/>
        <v>1048415.8210784313</v>
      </c>
    </row>
    <row r="23" spans="1:120" s="53" customFormat="1">
      <c r="A23" s="56">
        <v>1996</v>
      </c>
      <c r="B23" s="52">
        <v>0</v>
      </c>
      <c r="C23" s="51"/>
      <c r="D23" s="53">
        <f t="shared" si="110"/>
        <v>0</v>
      </c>
      <c r="E23" s="54">
        <f t="shared" si="111"/>
        <v>0</v>
      </c>
      <c r="F23" s="52">
        <v>7786</v>
      </c>
      <c r="G23" s="51"/>
      <c r="H23" s="15">
        <f t="shared" si="112"/>
        <v>7786</v>
      </c>
      <c r="I23" s="80">
        <f t="shared" si="2"/>
        <v>333</v>
      </c>
      <c r="J23" s="132">
        <f t="shared" si="59"/>
        <v>1.5615615615615615</v>
      </c>
      <c r="K23" s="21">
        <f t="shared" si="113"/>
        <v>12158.318318318317</v>
      </c>
      <c r="L23" s="52">
        <v>686675</v>
      </c>
      <c r="M23" s="51"/>
      <c r="N23" s="51"/>
      <c r="O23" s="3">
        <f t="shared" si="114"/>
        <v>686675</v>
      </c>
      <c r="P23" s="80">
        <f t="shared" si="4"/>
        <v>407</v>
      </c>
      <c r="Q23" s="31">
        <f t="shared" si="60"/>
        <v>1.461916461916462</v>
      </c>
      <c r="R23" s="21">
        <f t="shared" si="115"/>
        <v>1003861.4864864865</v>
      </c>
      <c r="S23" s="52">
        <v>260693</v>
      </c>
      <c r="T23" s="51"/>
      <c r="U23" s="51"/>
      <c r="V23" s="3">
        <f t="shared" si="116"/>
        <v>260693</v>
      </c>
      <c r="W23" s="80">
        <f t="shared" si="6"/>
        <v>374</v>
      </c>
      <c r="X23" s="31">
        <f t="shared" si="61"/>
        <v>1.6310160427807487</v>
      </c>
      <c r="Y23" s="21">
        <f t="shared" si="117"/>
        <v>425194.46524064173</v>
      </c>
      <c r="Z23" s="52">
        <v>0</v>
      </c>
      <c r="AA23" s="80">
        <f t="shared" si="7"/>
        <v>323</v>
      </c>
      <c r="AB23" s="31">
        <f t="shared" si="62"/>
        <v>1.6965944272445821</v>
      </c>
      <c r="AC23" s="21">
        <f t="shared" si="118"/>
        <v>0</v>
      </c>
      <c r="AD23" s="52">
        <v>0</v>
      </c>
      <c r="AE23" s="80">
        <f t="shared" si="8"/>
        <v>441</v>
      </c>
      <c r="AF23" s="31">
        <f t="shared" si="63"/>
        <v>1.8798185941043084</v>
      </c>
      <c r="AG23" s="21">
        <f t="shared" si="119"/>
        <v>0</v>
      </c>
      <c r="AH23" s="52">
        <v>4171</v>
      </c>
      <c r="AI23" s="51"/>
      <c r="AJ23" s="51"/>
      <c r="AK23" s="80">
        <f t="shared" si="10"/>
        <v>326</v>
      </c>
      <c r="AL23" s="31">
        <f t="shared" si="64"/>
        <v>1.6104294478527608</v>
      </c>
      <c r="AM23" s="21">
        <f t="shared" si="120"/>
        <v>0</v>
      </c>
      <c r="AN23" s="52">
        <v>8115669</v>
      </c>
      <c r="AO23" s="80">
        <f t="shared" si="11"/>
        <v>373</v>
      </c>
      <c r="AP23" s="31">
        <f t="shared" si="65"/>
        <v>1.5227882037533511</v>
      </c>
      <c r="AQ23" s="21">
        <f t="shared" si="121"/>
        <v>12358445.018766755</v>
      </c>
      <c r="AR23" s="52">
        <v>4459617</v>
      </c>
      <c r="AS23" s="80">
        <f t="shared" si="13"/>
        <v>373</v>
      </c>
      <c r="AT23" s="31">
        <f t="shared" si="66"/>
        <v>1.8337801608579087</v>
      </c>
      <c r="AU23" s="21">
        <f t="shared" si="122"/>
        <v>8177957.1796246646</v>
      </c>
      <c r="AV23" s="52">
        <v>2793055</v>
      </c>
      <c r="AW23" s="80">
        <f t="shared" si="15"/>
        <v>321</v>
      </c>
      <c r="AX23" s="31">
        <f t="shared" si="16"/>
        <v>1.6386292834890965</v>
      </c>
      <c r="AY23" s="21">
        <f t="shared" si="123"/>
        <v>4576781.7133956384</v>
      </c>
      <c r="AZ23" s="52">
        <v>5395918</v>
      </c>
      <c r="BA23" s="80">
        <f t="shared" si="18"/>
        <v>312</v>
      </c>
      <c r="BB23" s="31">
        <f t="shared" si="19"/>
        <v>1.9679487179487178</v>
      </c>
      <c r="BC23" s="21">
        <f t="shared" si="124"/>
        <v>10618889.91025641</v>
      </c>
      <c r="BD23" s="57">
        <v>4873481</v>
      </c>
      <c r="BE23" s="3">
        <f t="shared" si="125"/>
        <v>4015748.3439999996</v>
      </c>
      <c r="BF23" s="80">
        <f t="shared" si="21"/>
        <v>234</v>
      </c>
      <c r="BG23" s="31">
        <f t="shared" si="68"/>
        <v>2.6153846153846154</v>
      </c>
      <c r="BH23" s="21">
        <f t="shared" si="126"/>
        <v>10502726.438153844</v>
      </c>
      <c r="BI23" s="3">
        <f t="shared" si="127"/>
        <v>857732.65599999996</v>
      </c>
      <c r="BJ23" s="80">
        <f t="shared" si="23"/>
        <v>320</v>
      </c>
      <c r="BK23" s="31">
        <f t="shared" si="69"/>
        <v>2.0375000000000001</v>
      </c>
      <c r="BL23" s="21">
        <f t="shared" si="128"/>
        <v>1747630.2866</v>
      </c>
      <c r="BM23" s="52">
        <v>3898078</v>
      </c>
      <c r="BN23" s="80">
        <f t="shared" si="25"/>
        <v>319</v>
      </c>
      <c r="BO23" s="31">
        <f t="shared" si="70"/>
        <v>1.5956112852664577</v>
      </c>
      <c r="BP23" s="21">
        <f t="shared" si="129"/>
        <v>6219817.2476489032</v>
      </c>
      <c r="BQ23" s="52">
        <v>956298</v>
      </c>
      <c r="BR23" s="51"/>
      <c r="BS23" s="3">
        <f t="shared" si="130"/>
        <v>956298</v>
      </c>
      <c r="BT23" s="80">
        <f t="shared" si="28"/>
        <v>202</v>
      </c>
      <c r="BU23" s="31">
        <f t="shared" si="71"/>
        <v>1.7574257425742574</v>
      </c>
      <c r="BV23" s="21">
        <f t="shared" si="131"/>
        <v>1680622.7227722772</v>
      </c>
      <c r="BW23" s="52">
        <v>459077</v>
      </c>
      <c r="BX23" s="80">
        <f t="shared" si="29"/>
        <v>386</v>
      </c>
      <c r="BY23" s="31">
        <f t="shared" si="72"/>
        <v>1.8911917098445596</v>
      </c>
      <c r="BZ23" s="22">
        <f t="shared" si="132"/>
        <v>868202.61658031086</v>
      </c>
      <c r="CA23" s="52">
        <v>531730</v>
      </c>
      <c r="CB23" s="80">
        <f t="shared" si="31"/>
        <v>386</v>
      </c>
      <c r="CC23" s="31">
        <f t="shared" si="73"/>
        <v>1.8911917098445596</v>
      </c>
      <c r="CD23" s="22">
        <f t="shared" si="133"/>
        <v>1005603.3678756477</v>
      </c>
      <c r="CE23" s="52">
        <v>0</v>
      </c>
      <c r="CF23" s="51"/>
      <c r="CG23" s="3">
        <f t="shared" si="134"/>
        <v>0</v>
      </c>
      <c r="CH23" s="25">
        <f t="shared" si="135"/>
        <v>0</v>
      </c>
      <c r="CI23" s="52">
        <v>776612</v>
      </c>
      <c r="CJ23" s="51"/>
      <c r="CK23" s="3">
        <f t="shared" si="136"/>
        <v>776612</v>
      </c>
      <c r="CL23" s="134">
        <f t="shared" si="36"/>
        <v>333</v>
      </c>
      <c r="CM23" s="31">
        <f t="shared" si="74"/>
        <v>1.5615615615615615</v>
      </c>
      <c r="CN23" s="21">
        <f t="shared" si="137"/>
        <v>1212727.4474474473</v>
      </c>
      <c r="CO23" s="52">
        <v>1636066</v>
      </c>
      <c r="CP23" s="51"/>
      <c r="CQ23" s="51"/>
      <c r="CR23" s="2">
        <f t="shared" si="138"/>
        <v>1636066</v>
      </c>
      <c r="CS23" s="80">
        <f t="shared" si="39"/>
        <v>366</v>
      </c>
      <c r="CT23" s="31">
        <f t="shared" si="75"/>
        <v>1.8879781420765027</v>
      </c>
      <c r="CU23" s="21">
        <f t="shared" si="139"/>
        <v>3088856.8469945355</v>
      </c>
      <c r="CV23" s="52">
        <v>120370</v>
      </c>
      <c r="CW23" s="92">
        <f t="shared" si="41"/>
        <v>333</v>
      </c>
      <c r="CX23" s="31">
        <f t="shared" si="76"/>
        <v>1.5615615615615615</v>
      </c>
      <c r="CY23" s="21">
        <f t="shared" si="140"/>
        <v>187965.16516516515</v>
      </c>
      <c r="CZ23" s="52">
        <v>1115091</v>
      </c>
      <c r="DA23" s="80">
        <f t="shared" si="43"/>
        <v>352</v>
      </c>
      <c r="DB23" s="31">
        <f t="shared" si="77"/>
        <v>1.8465909090909092</v>
      </c>
      <c r="DC23" s="21">
        <f t="shared" si="141"/>
        <v>2059116.9034090911</v>
      </c>
      <c r="DD23" s="52">
        <f>1259976+72988</f>
        <v>1332964</v>
      </c>
      <c r="DE23" s="52">
        <v>1259976</v>
      </c>
      <c r="DF23" s="51"/>
      <c r="DG23" s="3">
        <f t="shared" si="142"/>
        <v>1332964</v>
      </c>
      <c r="DH23" s="3">
        <f t="shared" si="144"/>
        <v>333241</v>
      </c>
      <c r="DI23" s="136">
        <f t="shared" si="47"/>
        <v>399</v>
      </c>
      <c r="DJ23" s="41">
        <f t="shared" si="78"/>
        <v>2.1754385964912282</v>
      </c>
      <c r="DK23" s="21">
        <f t="shared" si="143"/>
        <v>724945.33333333337</v>
      </c>
    </row>
    <row r="24" spans="1:120" s="53" customFormat="1">
      <c r="A24" s="56">
        <v>1995</v>
      </c>
      <c r="B24" s="52">
        <v>819531</v>
      </c>
      <c r="C24" s="51"/>
      <c r="D24" s="53">
        <f t="shared" si="110"/>
        <v>819531</v>
      </c>
      <c r="E24" s="54">
        <f t="shared" si="111"/>
        <v>573671.69999999995</v>
      </c>
      <c r="F24" s="52">
        <v>6099</v>
      </c>
      <c r="G24" s="51"/>
      <c r="H24" s="15">
        <f t="shared" si="112"/>
        <v>6099</v>
      </c>
      <c r="I24" s="80">
        <f t="shared" si="2"/>
        <v>322</v>
      </c>
      <c r="J24" s="132">
        <f t="shared" si="59"/>
        <v>1.6149068322981366</v>
      </c>
      <c r="K24" s="21">
        <f t="shared" si="113"/>
        <v>9849.3167701863349</v>
      </c>
      <c r="L24" s="52">
        <v>4430992</v>
      </c>
      <c r="M24" s="51"/>
      <c r="N24" s="51"/>
      <c r="O24" s="3">
        <f t="shared" si="114"/>
        <v>4430992</v>
      </c>
      <c r="P24" s="80">
        <f t="shared" si="4"/>
        <v>392</v>
      </c>
      <c r="Q24" s="31">
        <f t="shared" si="60"/>
        <v>1.5178571428571428</v>
      </c>
      <c r="R24" s="21">
        <f t="shared" si="115"/>
        <v>6725612.8571428573</v>
      </c>
      <c r="S24" s="52">
        <v>1996474</v>
      </c>
      <c r="T24" s="51"/>
      <c r="U24" s="51"/>
      <c r="V24" s="3">
        <f t="shared" si="116"/>
        <v>1996474</v>
      </c>
      <c r="W24" s="80">
        <f t="shared" si="6"/>
        <v>368</v>
      </c>
      <c r="X24" s="31">
        <f t="shared" si="61"/>
        <v>1.6576086956521738</v>
      </c>
      <c r="Y24" s="21">
        <f t="shared" si="117"/>
        <v>3309372.663043478</v>
      </c>
      <c r="Z24" s="52">
        <v>0</v>
      </c>
      <c r="AA24" s="80">
        <f t="shared" si="7"/>
        <v>318</v>
      </c>
      <c r="AB24" s="31">
        <f t="shared" si="62"/>
        <v>1.7232704402515724</v>
      </c>
      <c r="AC24" s="21">
        <f t="shared" si="118"/>
        <v>0</v>
      </c>
      <c r="AD24" s="52">
        <v>1025</v>
      </c>
      <c r="AE24" s="80">
        <f t="shared" si="8"/>
        <v>436</v>
      </c>
      <c r="AF24" s="31">
        <f t="shared" si="63"/>
        <v>1.9013761467889909</v>
      </c>
      <c r="AG24" s="21">
        <f t="shared" si="119"/>
        <v>1948.9105504587158</v>
      </c>
      <c r="AH24" s="52">
        <v>5465</v>
      </c>
      <c r="AI24" s="51"/>
      <c r="AJ24" s="51"/>
      <c r="AK24" s="80">
        <f t="shared" si="10"/>
        <v>317</v>
      </c>
      <c r="AL24" s="31">
        <f t="shared" si="64"/>
        <v>1.6561514195583595</v>
      </c>
      <c r="AM24" s="21">
        <f t="shared" si="120"/>
        <v>0</v>
      </c>
      <c r="AN24" s="52">
        <v>11419655</v>
      </c>
      <c r="AO24" s="80">
        <f t="shared" si="11"/>
        <v>364</v>
      </c>
      <c r="AP24" s="31">
        <f t="shared" si="65"/>
        <v>1.5604395604395604</v>
      </c>
      <c r="AQ24" s="21">
        <f t="shared" si="121"/>
        <v>17819681.428571429</v>
      </c>
      <c r="AR24" s="52">
        <v>8607263</v>
      </c>
      <c r="AS24" s="80">
        <f t="shared" si="13"/>
        <v>366</v>
      </c>
      <c r="AT24" s="31">
        <f t="shared" si="66"/>
        <v>1.8688524590163935</v>
      </c>
      <c r="AU24" s="21">
        <f t="shared" si="122"/>
        <v>16085704.62295082</v>
      </c>
      <c r="AV24" s="52">
        <v>3782143</v>
      </c>
      <c r="AW24" s="80">
        <f t="shared" si="15"/>
        <v>316</v>
      </c>
      <c r="AX24" s="31">
        <f t="shared" si="16"/>
        <v>1.6645569620253164</v>
      </c>
      <c r="AY24" s="21">
        <f t="shared" si="123"/>
        <v>6295592.4620253164</v>
      </c>
      <c r="AZ24" s="52">
        <v>6543937</v>
      </c>
      <c r="BA24" s="80">
        <f t="shared" si="18"/>
        <v>306</v>
      </c>
      <c r="BB24" s="31">
        <f t="shared" si="19"/>
        <v>2.0065359477124183</v>
      </c>
      <c r="BC24" s="21">
        <f t="shared" si="124"/>
        <v>13130644.830065358</v>
      </c>
      <c r="BD24" s="57">
        <v>10694896</v>
      </c>
      <c r="BE24" s="3">
        <f t="shared" si="125"/>
        <v>8812594.3039999995</v>
      </c>
      <c r="BF24" s="80">
        <f t="shared" si="21"/>
        <v>238</v>
      </c>
      <c r="BG24" s="31">
        <f t="shared" si="68"/>
        <v>2.5714285714285716</v>
      </c>
      <c r="BH24" s="21">
        <f t="shared" si="126"/>
        <v>22660956.781714287</v>
      </c>
      <c r="BI24" s="3">
        <f t="shared" si="127"/>
        <v>1882301.696</v>
      </c>
      <c r="BJ24" s="80">
        <f t="shared" si="23"/>
        <v>307</v>
      </c>
      <c r="BK24" s="31">
        <f t="shared" si="69"/>
        <v>2.1237785016286646</v>
      </c>
      <c r="BL24" s="21">
        <f t="shared" si="128"/>
        <v>3997591.8755439739</v>
      </c>
      <c r="BM24" s="52">
        <v>6107255</v>
      </c>
      <c r="BN24" s="80">
        <f t="shared" si="25"/>
        <v>317</v>
      </c>
      <c r="BO24" s="31">
        <f t="shared" si="70"/>
        <v>1.6056782334384858</v>
      </c>
      <c r="BP24" s="21">
        <f t="shared" si="129"/>
        <v>9806286.4195583593</v>
      </c>
      <c r="BQ24" s="52">
        <v>2103993</v>
      </c>
      <c r="BR24" s="51"/>
      <c r="BS24" s="3">
        <f t="shared" si="130"/>
        <v>2103993</v>
      </c>
      <c r="BT24" s="80">
        <f t="shared" si="28"/>
        <v>198</v>
      </c>
      <c r="BU24" s="31">
        <f t="shared" si="71"/>
        <v>1.792929292929293</v>
      </c>
      <c r="BV24" s="21">
        <f t="shared" si="131"/>
        <v>3772310.6818181821</v>
      </c>
      <c r="BW24" s="52">
        <v>619506</v>
      </c>
      <c r="BX24" s="80">
        <f t="shared" si="29"/>
        <v>367</v>
      </c>
      <c r="BY24" s="31">
        <f t="shared" si="72"/>
        <v>1.9891008174386922</v>
      </c>
      <c r="BZ24" s="22">
        <f t="shared" si="132"/>
        <v>1232259.8910081745</v>
      </c>
      <c r="CA24" s="52">
        <v>585692</v>
      </c>
      <c r="CB24" s="80">
        <f t="shared" si="31"/>
        <v>367</v>
      </c>
      <c r="CC24" s="31">
        <f t="shared" si="73"/>
        <v>1.9891008174386922</v>
      </c>
      <c r="CD24" s="22">
        <f t="shared" si="133"/>
        <v>1165000.4359673024</v>
      </c>
      <c r="CE24" s="52">
        <v>819531</v>
      </c>
      <c r="CF24" s="51"/>
      <c r="CG24" s="3">
        <f t="shared" si="134"/>
        <v>819531</v>
      </c>
      <c r="CH24" s="25">
        <f t="shared" si="135"/>
        <v>245859.3</v>
      </c>
      <c r="CI24" s="52">
        <v>119887</v>
      </c>
      <c r="CJ24" s="51"/>
      <c r="CK24" s="3">
        <f t="shared" si="136"/>
        <v>119887</v>
      </c>
      <c r="CL24" s="134">
        <f t="shared" si="36"/>
        <v>322</v>
      </c>
      <c r="CM24" s="31">
        <f t="shared" si="74"/>
        <v>1.6149068322981366</v>
      </c>
      <c r="CN24" s="21">
        <f t="shared" si="137"/>
        <v>193606.3354037267</v>
      </c>
      <c r="CO24" s="52">
        <v>2808513</v>
      </c>
      <c r="CP24" s="51"/>
      <c r="CQ24" s="51"/>
      <c r="CR24" s="2">
        <f t="shared" si="138"/>
        <v>2808513</v>
      </c>
      <c r="CS24" s="80">
        <f t="shared" si="39"/>
        <v>364</v>
      </c>
      <c r="CT24" s="31">
        <f t="shared" si="75"/>
        <v>1.8983516483516483</v>
      </c>
      <c r="CU24" s="21">
        <f t="shared" si="139"/>
        <v>5331545.2829670329</v>
      </c>
      <c r="CV24" s="52">
        <v>499943</v>
      </c>
      <c r="CW24" s="92">
        <f t="shared" si="41"/>
        <v>322</v>
      </c>
      <c r="CX24" s="31">
        <f t="shared" si="76"/>
        <v>1.6149068322981366</v>
      </c>
      <c r="CY24" s="21">
        <f t="shared" si="140"/>
        <v>807361.36645962729</v>
      </c>
      <c r="CZ24" s="52">
        <v>4250720</v>
      </c>
      <c r="DA24" s="80">
        <f t="shared" si="43"/>
        <v>354</v>
      </c>
      <c r="DB24" s="31">
        <f t="shared" si="77"/>
        <v>1.8361581920903955</v>
      </c>
      <c r="DC24" s="21">
        <f t="shared" si="141"/>
        <v>7804994.3502824865</v>
      </c>
      <c r="DD24" s="52">
        <f>2081724+106238</f>
        <v>2187962</v>
      </c>
      <c r="DE24" s="52">
        <v>2081724</v>
      </c>
      <c r="DF24" s="51"/>
      <c r="DG24" s="3">
        <f t="shared" si="142"/>
        <v>2187962</v>
      </c>
      <c r="DH24" s="3">
        <f t="shared" si="144"/>
        <v>546990.5</v>
      </c>
      <c r="DI24" s="136">
        <f t="shared" si="47"/>
        <v>388</v>
      </c>
      <c r="DJ24" s="41">
        <f t="shared" si="78"/>
        <v>2.2371134020618557</v>
      </c>
      <c r="DK24" s="21">
        <f t="shared" si="143"/>
        <v>1223679.7783505155</v>
      </c>
    </row>
    <row r="25" spans="1:120" s="53" customFormat="1">
      <c r="A25" s="56">
        <v>1994</v>
      </c>
      <c r="B25" s="52">
        <v>581753</v>
      </c>
      <c r="C25" s="51"/>
      <c r="D25" s="53">
        <f t="shared" si="110"/>
        <v>581753</v>
      </c>
      <c r="E25" s="54">
        <f t="shared" si="111"/>
        <v>407227.1</v>
      </c>
      <c r="F25" s="52">
        <v>52304</v>
      </c>
      <c r="G25" s="51"/>
      <c r="H25" s="15">
        <f t="shared" si="112"/>
        <v>52304</v>
      </c>
      <c r="I25" s="80">
        <f t="shared" si="2"/>
        <v>312</v>
      </c>
      <c r="J25" s="132">
        <f t="shared" si="59"/>
        <v>1.6666666666666667</v>
      </c>
      <c r="K25" s="21">
        <f t="shared" si="113"/>
        <v>87173.333333333343</v>
      </c>
      <c r="L25" s="52">
        <v>4046823</v>
      </c>
      <c r="M25" s="51"/>
      <c r="N25" s="51"/>
      <c r="O25" s="3">
        <f t="shared" si="114"/>
        <v>4046823</v>
      </c>
      <c r="P25" s="80">
        <f t="shared" si="4"/>
        <v>378</v>
      </c>
      <c r="Q25" s="31">
        <f t="shared" si="60"/>
        <v>1.5740740740740742</v>
      </c>
      <c r="R25" s="21">
        <f t="shared" si="115"/>
        <v>6369999.166666667</v>
      </c>
      <c r="S25" s="52">
        <v>1686755</v>
      </c>
      <c r="T25" s="51"/>
      <c r="U25" s="51"/>
      <c r="V25" s="3">
        <f t="shared" si="116"/>
        <v>1686755</v>
      </c>
      <c r="W25" s="80">
        <f t="shared" si="6"/>
        <v>340</v>
      </c>
      <c r="X25" s="31">
        <f t="shared" si="61"/>
        <v>1.7941176470588236</v>
      </c>
      <c r="Y25" s="21">
        <f t="shared" si="117"/>
        <v>3026236.911764706</v>
      </c>
      <c r="Z25" s="52">
        <v>191</v>
      </c>
      <c r="AA25" s="80">
        <f t="shared" si="7"/>
        <v>311</v>
      </c>
      <c r="AB25" s="31">
        <f t="shared" si="62"/>
        <v>1.7620578778135048</v>
      </c>
      <c r="AC25" s="21">
        <f t="shared" si="118"/>
        <v>336.5530546623794</v>
      </c>
      <c r="AD25" s="52">
        <v>0</v>
      </c>
      <c r="AE25" s="80">
        <f t="shared" si="8"/>
        <v>424</v>
      </c>
      <c r="AF25" s="31">
        <f t="shared" si="63"/>
        <v>1.9551886792452831</v>
      </c>
      <c r="AG25" s="21">
        <f t="shared" si="119"/>
        <v>0</v>
      </c>
      <c r="AH25" s="52">
        <v>0</v>
      </c>
      <c r="AI25" s="51"/>
      <c r="AJ25" s="51"/>
      <c r="AK25" s="80">
        <f t="shared" si="10"/>
        <v>313</v>
      </c>
      <c r="AL25" s="31">
        <f t="shared" si="64"/>
        <v>1.6773162939297124</v>
      </c>
      <c r="AM25" s="21">
        <f t="shared" si="120"/>
        <v>0</v>
      </c>
      <c r="AN25" s="52">
        <v>4932958</v>
      </c>
      <c r="AO25" s="80">
        <f t="shared" si="11"/>
        <v>349</v>
      </c>
      <c r="AP25" s="31">
        <f t="shared" si="65"/>
        <v>1.6275071633237823</v>
      </c>
      <c r="AQ25" s="21">
        <f t="shared" si="121"/>
        <v>8028424.481375359</v>
      </c>
      <c r="AR25" s="52">
        <v>2085978</v>
      </c>
      <c r="AS25" s="80">
        <f t="shared" si="13"/>
        <v>343</v>
      </c>
      <c r="AT25" s="31">
        <f t="shared" si="66"/>
        <v>1.9941690962099126</v>
      </c>
      <c r="AU25" s="21">
        <f t="shared" si="122"/>
        <v>4159792.8629737608</v>
      </c>
      <c r="AV25" s="52">
        <v>4397186</v>
      </c>
      <c r="AW25" s="80">
        <f t="shared" si="15"/>
        <v>308</v>
      </c>
      <c r="AX25" s="31">
        <f t="shared" si="16"/>
        <v>1.7077922077922079</v>
      </c>
      <c r="AY25" s="21">
        <f t="shared" si="123"/>
        <v>7509479.987012987</v>
      </c>
      <c r="AZ25" s="52">
        <v>7188110</v>
      </c>
      <c r="BA25" s="80">
        <f t="shared" si="18"/>
        <v>293</v>
      </c>
      <c r="BB25" s="31">
        <f t="shared" si="19"/>
        <v>2.0955631399317407</v>
      </c>
      <c r="BC25" s="21">
        <f t="shared" si="124"/>
        <v>15063138.361774744</v>
      </c>
      <c r="BD25" s="57">
        <v>4983726</v>
      </c>
      <c r="BE25" s="3">
        <f t="shared" si="125"/>
        <v>4106590.2239999999</v>
      </c>
      <c r="BF25" s="80">
        <f t="shared" si="21"/>
        <v>242</v>
      </c>
      <c r="BG25" s="31">
        <f t="shared" si="68"/>
        <v>2.5289256198347108</v>
      </c>
      <c r="BH25" s="21">
        <f t="shared" si="126"/>
        <v>10385261.227636363</v>
      </c>
      <c r="BI25" s="3">
        <f t="shared" si="127"/>
        <v>877135.77599999995</v>
      </c>
      <c r="BJ25" s="80">
        <f t="shared" si="23"/>
        <v>305</v>
      </c>
      <c r="BK25" s="31">
        <f t="shared" si="69"/>
        <v>2.1377049180327869</v>
      </c>
      <c r="BL25" s="21">
        <f t="shared" si="128"/>
        <v>1875057.4621377049</v>
      </c>
      <c r="BM25" s="52">
        <v>3826736</v>
      </c>
      <c r="BN25" s="80">
        <f t="shared" si="25"/>
        <v>301</v>
      </c>
      <c r="BO25" s="31">
        <f t="shared" si="70"/>
        <v>1.691029900332226</v>
      </c>
      <c r="BP25" s="21">
        <f t="shared" si="129"/>
        <v>6471124.9966777414</v>
      </c>
      <c r="BQ25" s="52">
        <v>783359</v>
      </c>
      <c r="BR25" s="51"/>
      <c r="BS25" s="3">
        <f t="shared" si="130"/>
        <v>783359</v>
      </c>
      <c r="BT25" s="80">
        <f t="shared" si="28"/>
        <v>200</v>
      </c>
      <c r="BU25" s="31">
        <f t="shared" si="71"/>
        <v>1.7749999999999999</v>
      </c>
      <c r="BV25" s="21">
        <f t="shared" si="131"/>
        <v>1390462.2249999999</v>
      </c>
      <c r="BW25" s="52">
        <v>546436</v>
      </c>
      <c r="BX25" s="80">
        <f t="shared" si="29"/>
        <v>350</v>
      </c>
      <c r="BY25" s="31">
        <f t="shared" si="72"/>
        <v>2.0857142857142859</v>
      </c>
      <c r="BZ25" s="22">
        <f t="shared" si="132"/>
        <v>1139709.3714285714</v>
      </c>
      <c r="CA25" s="52">
        <v>645439</v>
      </c>
      <c r="CB25" s="80">
        <f t="shared" si="31"/>
        <v>350</v>
      </c>
      <c r="CC25" s="31">
        <f t="shared" si="73"/>
        <v>2.0857142857142859</v>
      </c>
      <c r="CD25" s="22">
        <f t="shared" si="133"/>
        <v>1346201.3428571429</v>
      </c>
      <c r="CE25" s="52">
        <v>581753</v>
      </c>
      <c r="CF25" s="51"/>
      <c r="CG25" s="3">
        <f t="shared" si="134"/>
        <v>581753</v>
      </c>
      <c r="CH25" s="25">
        <f t="shared" si="135"/>
        <v>174525.9</v>
      </c>
      <c r="CI25" s="52">
        <v>51295</v>
      </c>
      <c r="CJ25" s="51"/>
      <c r="CK25" s="3">
        <f t="shared" si="136"/>
        <v>51295</v>
      </c>
      <c r="CL25" s="134">
        <f t="shared" si="36"/>
        <v>312</v>
      </c>
      <c r="CM25" s="31">
        <f t="shared" si="74"/>
        <v>1.6666666666666667</v>
      </c>
      <c r="CN25" s="21">
        <f t="shared" si="137"/>
        <v>85491.666666666672</v>
      </c>
      <c r="CO25" s="52">
        <v>4848155</v>
      </c>
      <c r="CP25" s="51"/>
      <c r="CQ25" s="51"/>
      <c r="CR25" s="2">
        <f t="shared" si="138"/>
        <v>4848155</v>
      </c>
      <c r="CS25" s="80">
        <f t="shared" si="39"/>
        <v>352</v>
      </c>
      <c r="CT25" s="31">
        <f t="shared" si="75"/>
        <v>1.9630681818181819</v>
      </c>
      <c r="CU25" s="21">
        <f t="shared" si="139"/>
        <v>9517258.8210227285</v>
      </c>
      <c r="CV25" s="52">
        <v>92183</v>
      </c>
      <c r="CW25" s="92">
        <f t="shared" si="41"/>
        <v>312</v>
      </c>
      <c r="CX25" s="31">
        <f t="shared" si="76"/>
        <v>1.6666666666666667</v>
      </c>
      <c r="CY25" s="21">
        <f t="shared" si="140"/>
        <v>153638.33333333334</v>
      </c>
      <c r="CZ25" s="52">
        <v>1064181</v>
      </c>
      <c r="DA25" s="80">
        <f t="shared" si="43"/>
        <v>337</v>
      </c>
      <c r="DB25" s="31">
        <f t="shared" si="77"/>
        <v>1.9287833827893175</v>
      </c>
      <c r="DC25" s="21">
        <f t="shared" si="141"/>
        <v>2052574.6290801186</v>
      </c>
      <c r="DD25" s="52">
        <f>1878631+139526+3028</f>
        <v>2021185</v>
      </c>
      <c r="DE25" s="52">
        <v>1878631</v>
      </c>
      <c r="DF25" s="51"/>
      <c r="DG25" s="3">
        <f t="shared" si="142"/>
        <v>2021185</v>
      </c>
      <c r="DH25" s="3">
        <f t="shared" si="144"/>
        <v>505296.25</v>
      </c>
      <c r="DI25" s="136">
        <f t="shared" si="47"/>
        <v>371</v>
      </c>
      <c r="DJ25" s="41">
        <f t="shared" si="78"/>
        <v>2.3396226415094339</v>
      </c>
      <c r="DK25" s="21">
        <f t="shared" si="143"/>
        <v>1182202.5471698113</v>
      </c>
    </row>
    <row r="26" spans="1:120">
      <c r="A26" s="7">
        <v>1993</v>
      </c>
      <c r="B26" s="4">
        <v>29053</v>
      </c>
      <c r="C26" s="3">
        <v>0</v>
      </c>
      <c r="D26" s="3">
        <f t="shared" ref="D26:D57" si="145">B26-C26</f>
        <v>29053</v>
      </c>
      <c r="E26" s="25">
        <f t="shared" ref="E26:E57" si="146">D26*0.7</f>
        <v>20337.099999999999</v>
      </c>
      <c r="F26" s="3">
        <v>106690</v>
      </c>
      <c r="G26" s="3">
        <v>0</v>
      </c>
      <c r="H26" s="15">
        <f t="shared" ref="H26:H57" si="147">F26-G26</f>
        <v>106690</v>
      </c>
      <c r="I26" s="80">
        <f t="shared" si="2"/>
        <v>296</v>
      </c>
      <c r="J26" s="132">
        <f t="shared" si="59"/>
        <v>1.7567567567567568</v>
      </c>
      <c r="K26" s="21">
        <f t="shared" ref="K26:K57" si="148">J26*H26</f>
        <v>187428.37837837837</v>
      </c>
      <c r="L26" s="3">
        <v>2845709</v>
      </c>
      <c r="M26" s="3">
        <v>758</v>
      </c>
      <c r="N26" s="3">
        <v>98</v>
      </c>
      <c r="O26" s="3">
        <f t="shared" ref="O26:O48" si="149">L26-M26+N26</f>
        <v>2845049</v>
      </c>
      <c r="P26" s="80">
        <f t="shared" si="4"/>
        <v>360</v>
      </c>
      <c r="Q26" s="31">
        <f t="shared" si="60"/>
        <v>1.6527777777777777</v>
      </c>
      <c r="R26" s="21">
        <f t="shared" ref="R26:R57" si="150">O26*Q26</f>
        <v>4702233.763888889</v>
      </c>
      <c r="S26" s="3">
        <v>2700866</v>
      </c>
      <c r="T26" s="3">
        <v>10444</v>
      </c>
      <c r="U26" s="3">
        <v>107</v>
      </c>
      <c r="V26" s="3">
        <f t="shared" ref="V26:V48" si="151">S26-T26+U26</f>
        <v>2690529</v>
      </c>
      <c r="W26" s="80">
        <f t="shared" si="6"/>
        <v>330</v>
      </c>
      <c r="X26" s="31">
        <f t="shared" si="61"/>
        <v>1.8484848484848484</v>
      </c>
      <c r="Y26" s="21">
        <f t="shared" ref="Y26:Y57" si="152">V26*X26</f>
        <v>4973402.0909090908</v>
      </c>
      <c r="Z26" s="3">
        <v>0</v>
      </c>
      <c r="AA26" s="80">
        <f t="shared" si="7"/>
        <v>304</v>
      </c>
      <c r="AB26" s="31">
        <f t="shared" si="62"/>
        <v>1.8026315789473684</v>
      </c>
      <c r="AC26" s="21">
        <f t="shared" ref="AC26:AC45" si="153">AB26*Z26</f>
        <v>0</v>
      </c>
      <c r="AD26" s="3">
        <v>0</v>
      </c>
      <c r="AE26" s="80">
        <f t="shared" si="8"/>
        <v>423</v>
      </c>
      <c r="AF26" s="31">
        <f t="shared" si="63"/>
        <v>1.9598108747044918</v>
      </c>
      <c r="AG26" s="21">
        <f t="shared" ref="AG26:AG45" si="154">AF26*AD26</f>
        <v>0</v>
      </c>
      <c r="AH26" s="3">
        <v>496</v>
      </c>
      <c r="AI26" s="3">
        <v>0</v>
      </c>
      <c r="AJ26" s="3">
        <f t="shared" ref="AJ26:AJ57" si="155">AH26-AI26</f>
        <v>496</v>
      </c>
      <c r="AK26" s="80">
        <f t="shared" si="10"/>
        <v>304</v>
      </c>
      <c r="AL26" s="31">
        <f t="shared" si="64"/>
        <v>1.7269736842105263</v>
      </c>
      <c r="AM26" s="21">
        <f t="shared" ref="AM26:AM59" si="156">AL26*AJ26</f>
        <v>856.57894736842104</v>
      </c>
      <c r="AN26" s="3">
        <v>4149708</v>
      </c>
      <c r="AO26" s="80">
        <f t="shared" si="11"/>
        <v>333</v>
      </c>
      <c r="AP26" s="31">
        <f t="shared" si="65"/>
        <v>1.7057057057057057</v>
      </c>
      <c r="AQ26" s="21">
        <f t="shared" ref="AQ26:AQ57" si="157">AP26*AN26</f>
        <v>7078180.6126126125</v>
      </c>
      <c r="AR26" s="3">
        <v>2543595</v>
      </c>
      <c r="AS26" s="80">
        <f t="shared" si="13"/>
        <v>332</v>
      </c>
      <c r="AT26" s="31">
        <f t="shared" si="66"/>
        <v>2.0602409638554215</v>
      </c>
      <c r="AU26" s="21">
        <f t="shared" ref="AU26:AU57" si="158">AT26*AR26</f>
        <v>5240418.6144578308</v>
      </c>
      <c r="AV26" s="3">
        <v>2531479</v>
      </c>
      <c r="AW26" s="80">
        <f t="shared" si="15"/>
        <v>298</v>
      </c>
      <c r="AX26" s="31">
        <f t="shared" si="16"/>
        <v>1.7651006711409396</v>
      </c>
      <c r="AY26" s="21">
        <f t="shared" ref="AY26:AY57" si="159">AX26*AV26</f>
        <v>4468315.281879195</v>
      </c>
      <c r="AZ26" s="3">
        <v>5832907</v>
      </c>
      <c r="BA26" s="80">
        <f t="shared" si="18"/>
        <v>291</v>
      </c>
      <c r="BB26" s="31">
        <f t="shared" si="19"/>
        <v>2.1099656357388317</v>
      </c>
      <c r="BC26" s="21">
        <f t="shared" ref="BC26:BC57" si="160">BB26*AZ26</f>
        <v>12307233.326460481</v>
      </c>
      <c r="BD26" s="15">
        <v>4326104</v>
      </c>
      <c r="BE26" s="3">
        <f t="shared" ref="BE26:BE57" si="161">BD26*0.824</f>
        <v>3564709.696</v>
      </c>
      <c r="BF26" s="80">
        <f t="shared" si="21"/>
        <v>238</v>
      </c>
      <c r="BG26" s="31">
        <f t="shared" si="68"/>
        <v>2.5714285714285716</v>
      </c>
      <c r="BH26" s="21">
        <f t="shared" ref="BH26:BH57" si="162">BG26*BE26</f>
        <v>9166396.361142857</v>
      </c>
      <c r="BI26" s="3">
        <f t="shared" ref="BI26:BI57" si="163">BD26*0.176</f>
        <v>761394.304</v>
      </c>
      <c r="BJ26" s="80">
        <f t="shared" si="23"/>
        <v>304</v>
      </c>
      <c r="BK26" s="31">
        <f t="shared" si="69"/>
        <v>2.1447368421052633</v>
      </c>
      <c r="BL26" s="21">
        <f t="shared" ref="BL26:BL57" si="164">BK26*BI26</f>
        <v>1632990.4151578948</v>
      </c>
      <c r="BM26" s="3">
        <v>3334335</v>
      </c>
      <c r="BN26" s="80">
        <f t="shared" si="25"/>
        <v>293</v>
      </c>
      <c r="BO26" s="31">
        <f t="shared" si="70"/>
        <v>1.7372013651877134</v>
      </c>
      <c r="BP26" s="21">
        <f t="shared" ref="BP26:BP57" si="165">BO26*BM26</f>
        <v>5792411.3139931746</v>
      </c>
      <c r="BQ26" s="3">
        <v>818396</v>
      </c>
      <c r="BR26" s="3"/>
      <c r="BS26" s="3">
        <f t="shared" ref="BS26:BS57" si="166">BQ26-BR26</f>
        <v>818396</v>
      </c>
      <c r="BT26" s="80">
        <f t="shared" si="28"/>
        <v>211</v>
      </c>
      <c r="BU26" s="31">
        <f t="shared" si="71"/>
        <v>1.6824644549763033</v>
      </c>
      <c r="BV26" s="21">
        <f t="shared" ref="BV26:BV57" si="167">BU26*BS26</f>
        <v>1376922.1800947867</v>
      </c>
      <c r="BW26" s="2">
        <v>571165</v>
      </c>
      <c r="BX26" s="80">
        <f t="shared" si="29"/>
        <v>337</v>
      </c>
      <c r="BY26" s="31">
        <f t="shared" si="72"/>
        <v>2.1661721068249258</v>
      </c>
      <c r="BZ26" s="22">
        <f t="shared" ref="BZ26:BZ55" si="168">BY26*BW26</f>
        <v>1237241.6913946588</v>
      </c>
      <c r="CA26" s="2">
        <v>632242</v>
      </c>
      <c r="CB26" s="80">
        <f t="shared" si="31"/>
        <v>337</v>
      </c>
      <c r="CC26" s="31">
        <f t="shared" si="73"/>
        <v>2.1661721068249258</v>
      </c>
      <c r="CD26" s="22">
        <f t="shared" ref="CD26:CD37" si="169">CC26*CA26</f>
        <v>1369544.9851632048</v>
      </c>
      <c r="CE26" s="4">
        <v>29053</v>
      </c>
      <c r="CF26" s="3">
        <v>0</v>
      </c>
      <c r="CG26" s="3">
        <f t="shared" ref="CG26:CG57" si="170">CE26-CF26</f>
        <v>29053</v>
      </c>
      <c r="CH26" s="25">
        <f t="shared" ref="CH26:CH57" si="171">CG26*0.3</f>
        <v>8715.9</v>
      </c>
      <c r="CI26" s="3">
        <v>667711</v>
      </c>
      <c r="CJ26" s="3">
        <v>0</v>
      </c>
      <c r="CK26" s="3">
        <f t="shared" ref="CK26:CK57" si="172">CI26-CJ26</f>
        <v>667711</v>
      </c>
      <c r="CL26" s="134">
        <f t="shared" si="36"/>
        <v>296</v>
      </c>
      <c r="CM26" s="31">
        <f t="shared" si="74"/>
        <v>1.7567567567567568</v>
      </c>
      <c r="CN26" s="21">
        <f t="shared" ref="CN26:CN57" si="173">CK26*CM26</f>
        <v>1173005.8108108109</v>
      </c>
      <c r="CO26" s="3">
        <v>3922611</v>
      </c>
      <c r="CP26" s="3">
        <f>11800+8325</f>
        <v>20125</v>
      </c>
      <c r="CQ26" s="3">
        <v>0</v>
      </c>
      <c r="CR26" s="2">
        <f t="shared" ref="CR26:CR48" si="174">CO26-CP26+CQ26</f>
        <v>3902486</v>
      </c>
      <c r="CS26" s="80">
        <f t="shared" si="39"/>
        <v>337</v>
      </c>
      <c r="CT26" s="31">
        <f t="shared" si="75"/>
        <v>2.0504451038575668</v>
      </c>
      <c r="CU26" s="21">
        <f t="shared" ref="CU26:CU57" si="175">CR26*CT26</f>
        <v>8001833.3115727007</v>
      </c>
      <c r="CV26" s="3">
        <v>33650</v>
      </c>
      <c r="CW26" s="92">
        <f t="shared" si="41"/>
        <v>296</v>
      </c>
      <c r="CX26" s="31">
        <f t="shared" si="76"/>
        <v>1.7567567567567568</v>
      </c>
      <c r="CY26" s="21">
        <f t="shared" ref="CY26:CY57" si="176">CX26*CV26</f>
        <v>59114.864864864867</v>
      </c>
      <c r="CZ26" s="3">
        <v>400059</v>
      </c>
      <c r="DA26" s="80">
        <f t="shared" si="43"/>
        <v>328</v>
      </c>
      <c r="DB26" s="31">
        <f t="shared" si="77"/>
        <v>1.9817073170731707</v>
      </c>
      <c r="DC26" s="21">
        <f t="shared" ref="DC26:DC57" si="177">DB26*CZ26</f>
        <v>792799.84756097558</v>
      </c>
      <c r="DD26" s="3">
        <f>2615465+94648</f>
        <v>2710113</v>
      </c>
      <c r="DE26" s="3">
        <v>2615465</v>
      </c>
      <c r="DF26" s="3">
        <f>232+6768</f>
        <v>7000</v>
      </c>
      <c r="DG26" s="3">
        <f t="shared" ref="DG26:DG57" si="178">DD26-DF26</f>
        <v>2703113</v>
      </c>
      <c r="DH26" s="3">
        <f t="shared" si="144"/>
        <v>675778.25</v>
      </c>
      <c r="DI26" s="136">
        <f t="shared" si="47"/>
        <v>365</v>
      </c>
      <c r="DJ26" s="41">
        <f t="shared" si="78"/>
        <v>2.3780821917808219</v>
      </c>
      <c r="DK26" s="21">
        <f t="shared" ref="DK26:DK57" si="179">DH26*DJ26</f>
        <v>1607056.2219178083</v>
      </c>
    </row>
    <row r="27" spans="1:120">
      <c r="A27" s="7">
        <v>1992</v>
      </c>
      <c r="B27" s="3">
        <v>64705</v>
      </c>
      <c r="C27" s="3">
        <v>0</v>
      </c>
      <c r="D27" s="3">
        <f t="shared" si="145"/>
        <v>64705</v>
      </c>
      <c r="E27" s="25">
        <f t="shared" si="146"/>
        <v>45293.5</v>
      </c>
      <c r="F27" s="3">
        <v>47</v>
      </c>
      <c r="G27" s="3">
        <v>0</v>
      </c>
      <c r="H27" s="15">
        <f t="shared" si="147"/>
        <v>47</v>
      </c>
      <c r="I27" s="80">
        <f t="shared" si="2"/>
        <v>284</v>
      </c>
      <c r="J27" s="132">
        <f t="shared" si="59"/>
        <v>1.8309859154929577</v>
      </c>
      <c r="K27" s="21">
        <f t="shared" si="148"/>
        <v>86.056338028169009</v>
      </c>
      <c r="L27" s="3">
        <v>1085078</v>
      </c>
      <c r="M27" s="3">
        <v>1942</v>
      </c>
      <c r="N27" s="3">
        <v>98</v>
      </c>
      <c r="O27" s="3">
        <f t="shared" si="149"/>
        <v>1083234</v>
      </c>
      <c r="P27" s="80">
        <f t="shared" si="4"/>
        <v>350</v>
      </c>
      <c r="Q27" s="31">
        <f t="shared" si="60"/>
        <v>1.7</v>
      </c>
      <c r="R27" s="21">
        <f t="shared" si="150"/>
        <v>1841497.8</v>
      </c>
      <c r="S27" s="3">
        <v>480682</v>
      </c>
      <c r="T27" s="3">
        <v>40816</v>
      </c>
      <c r="U27" s="3">
        <v>107</v>
      </c>
      <c r="V27" s="3">
        <f t="shared" si="151"/>
        <v>439973</v>
      </c>
      <c r="W27" s="80">
        <f t="shared" si="6"/>
        <v>318</v>
      </c>
      <c r="X27" s="31">
        <f t="shared" si="61"/>
        <v>1.9182389937106918</v>
      </c>
      <c r="Y27" s="21">
        <f t="shared" si="152"/>
        <v>843973.36477987422</v>
      </c>
      <c r="Z27" s="3">
        <v>0</v>
      </c>
      <c r="AA27" s="80">
        <f t="shared" si="7"/>
        <v>296</v>
      </c>
      <c r="AB27" s="31">
        <f t="shared" si="62"/>
        <v>1.8513513513513513</v>
      </c>
      <c r="AC27" s="21">
        <f t="shared" si="153"/>
        <v>0</v>
      </c>
      <c r="AD27" s="3">
        <v>0</v>
      </c>
      <c r="AE27" s="80">
        <f t="shared" si="8"/>
        <v>416</v>
      </c>
      <c r="AF27" s="31">
        <f t="shared" si="63"/>
        <v>1.9927884615384615</v>
      </c>
      <c r="AG27" s="21">
        <f t="shared" si="154"/>
        <v>0</v>
      </c>
      <c r="AH27" s="3">
        <v>251</v>
      </c>
      <c r="AI27" s="3">
        <v>0</v>
      </c>
      <c r="AJ27" s="3">
        <f t="shared" si="155"/>
        <v>251</v>
      </c>
      <c r="AK27" s="80">
        <f t="shared" si="10"/>
        <v>297</v>
      </c>
      <c r="AL27" s="31">
        <f t="shared" si="64"/>
        <v>1.7676767676767677</v>
      </c>
      <c r="AM27" s="21">
        <f t="shared" si="156"/>
        <v>443.68686868686871</v>
      </c>
      <c r="AN27" s="3">
        <v>3775337</v>
      </c>
      <c r="AO27" s="80">
        <f t="shared" si="11"/>
        <v>321</v>
      </c>
      <c r="AP27" s="31">
        <f t="shared" si="65"/>
        <v>1.7694704049844237</v>
      </c>
      <c r="AQ27" s="21">
        <f t="shared" si="157"/>
        <v>6680347.0903426791</v>
      </c>
      <c r="AR27" s="3">
        <v>1956850</v>
      </c>
      <c r="AS27" s="80">
        <f t="shared" si="13"/>
        <v>318</v>
      </c>
      <c r="AT27" s="31">
        <f t="shared" si="66"/>
        <v>2.1509433962264151</v>
      </c>
      <c r="AU27" s="21">
        <f t="shared" si="158"/>
        <v>4209073.5849056607</v>
      </c>
      <c r="AV27" s="3">
        <v>2603758</v>
      </c>
      <c r="AW27" s="80">
        <f t="shared" si="15"/>
        <v>290</v>
      </c>
      <c r="AX27" s="31">
        <f t="shared" si="16"/>
        <v>1.8137931034482759</v>
      </c>
      <c r="AY27" s="21">
        <f t="shared" si="159"/>
        <v>4722678.3034482757</v>
      </c>
      <c r="AZ27" s="3">
        <v>4886111</v>
      </c>
      <c r="BA27" s="80">
        <f t="shared" si="18"/>
        <v>286</v>
      </c>
      <c r="BB27" s="31">
        <f t="shared" si="19"/>
        <v>2.1468531468531467</v>
      </c>
      <c r="BC27" s="21">
        <f t="shared" si="160"/>
        <v>10489762.776223775</v>
      </c>
      <c r="BD27" s="15">
        <v>4070927</v>
      </c>
      <c r="BE27" s="3">
        <f t="shared" si="161"/>
        <v>3354443.8479999998</v>
      </c>
      <c r="BF27" s="80">
        <f t="shared" si="21"/>
        <v>236</v>
      </c>
      <c r="BG27" s="31">
        <f t="shared" si="68"/>
        <v>2.593220338983051</v>
      </c>
      <c r="BH27" s="21">
        <f t="shared" si="162"/>
        <v>8698812.0126101691</v>
      </c>
      <c r="BI27" s="3">
        <f t="shared" si="163"/>
        <v>716483.152</v>
      </c>
      <c r="BJ27" s="80">
        <f t="shared" si="23"/>
        <v>296</v>
      </c>
      <c r="BK27" s="31">
        <f t="shared" si="69"/>
        <v>2.2027027027027026</v>
      </c>
      <c r="BL27" s="21">
        <f t="shared" si="164"/>
        <v>1578199.3753513512</v>
      </c>
      <c r="BM27" s="3">
        <v>3141928</v>
      </c>
      <c r="BN27" s="80">
        <f t="shared" si="25"/>
        <v>283</v>
      </c>
      <c r="BO27" s="31">
        <f t="shared" si="70"/>
        <v>1.7985865724381624</v>
      </c>
      <c r="BP27" s="21">
        <f t="shared" si="165"/>
        <v>5651029.5123674907</v>
      </c>
      <c r="BQ27" s="3">
        <v>698784</v>
      </c>
      <c r="BR27" s="3"/>
      <c r="BS27" s="3">
        <f t="shared" si="166"/>
        <v>698784</v>
      </c>
      <c r="BT27" s="80">
        <f t="shared" si="28"/>
        <v>208</v>
      </c>
      <c r="BU27" s="31">
        <f t="shared" si="71"/>
        <v>1.7067307692307692</v>
      </c>
      <c r="BV27" s="21">
        <f t="shared" si="167"/>
        <v>1192636.1538461538</v>
      </c>
      <c r="BW27" s="2">
        <v>184363</v>
      </c>
      <c r="BX27" s="80">
        <f t="shared" si="29"/>
        <v>321</v>
      </c>
      <c r="BY27" s="31">
        <f t="shared" si="72"/>
        <v>2.2741433021806854</v>
      </c>
      <c r="BZ27" s="22">
        <f t="shared" si="168"/>
        <v>419267.88161993772</v>
      </c>
      <c r="CA27" s="2">
        <v>443039</v>
      </c>
      <c r="CB27" s="80">
        <f t="shared" si="31"/>
        <v>321</v>
      </c>
      <c r="CC27" s="31">
        <f t="shared" si="73"/>
        <v>2.2741433021806854</v>
      </c>
      <c r="CD27" s="22">
        <f t="shared" si="169"/>
        <v>1007534.1744548287</v>
      </c>
      <c r="CE27" s="3">
        <v>64705</v>
      </c>
      <c r="CF27" s="3">
        <v>0</v>
      </c>
      <c r="CG27" s="3">
        <f t="shared" si="170"/>
        <v>64705</v>
      </c>
      <c r="CH27" s="25">
        <f t="shared" si="171"/>
        <v>19411.5</v>
      </c>
      <c r="CI27" s="3">
        <v>14377</v>
      </c>
      <c r="CJ27" s="3">
        <v>0</v>
      </c>
      <c r="CK27" s="3">
        <f t="shared" si="172"/>
        <v>14377</v>
      </c>
      <c r="CL27" s="134">
        <f t="shared" si="36"/>
        <v>284</v>
      </c>
      <c r="CM27" s="31">
        <f t="shared" si="74"/>
        <v>1.8309859154929577</v>
      </c>
      <c r="CN27" s="21">
        <f t="shared" si="173"/>
        <v>26324.084507042255</v>
      </c>
      <c r="CO27" s="3">
        <v>2115437</v>
      </c>
      <c r="CP27" s="3">
        <f>1044+199635</f>
        <v>200679</v>
      </c>
      <c r="CQ27" s="3">
        <v>0</v>
      </c>
      <c r="CR27" s="2">
        <f t="shared" si="174"/>
        <v>1914758</v>
      </c>
      <c r="CS27" s="80">
        <f t="shared" si="39"/>
        <v>324</v>
      </c>
      <c r="CT27" s="31">
        <f t="shared" si="75"/>
        <v>2.132716049382716</v>
      </c>
      <c r="CU27" s="21">
        <f t="shared" si="175"/>
        <v>4083635.1172839506</v>
      </c>
      <c r="CV27" s="2">
        <v>318416</v>
      </c>
      <c r="CW27" s="92">
        <f t="shared" si="41"/>
        <v>284</v>
      </c>
      <c r="CX27" s="31">
        <f t="shared" si="76"/>
        <v>1.8309859154929577</v>
      </c>
      <c r="CY27" s="21">
        <f t="shared" si="176"/>
        <v>583015.21126760566</v>
      </c>
      <c r="CZ27" s="3">
        <v>2739369</v>
      </c>
      <c r="DA27" s="80">
        <f t="shared" si="43"/>
        <v>323</v>
      </c>
      <c r="DB27" s="31">
        <f t="shared" si="77"/>
        <v>2.0123839009287927</v>
      </c>
      <c r="DC27" s="21">
        <f t="shared" si="177"/>
        <v>5512662.0743034063</v>
      </c>
      <c r="DD27" s="3">
        <f>1044499+110030</f>
        <v>1154529</v>
      </c>
      <c r="DE27" s="3">
        <v>1044499</v>
      </c>
      <c r="DF27" s="3">
        <f>8440+11245</f>
        <v>19685</v>
      </c>
      <c r="DG27" s="3">
        <f t="shared" si="178"/>
        <v>1134844</v>
      </c>
      <c r="DH27" s="3">
        <f t="shared" si="144"/>
        <v>283711</v>
      </c>
      <c r="DI27" s="136">
        <f t="shared" si="47"/>
        <v>349</v>
      </c>
      <c r="DJ27" s="41">
        <f t="shared" si="78"/>
        <v>2.487106017191977</v>
      </c>
      <c r="DK27" s="21">
        <f t="shared" si="179"/>
        <v>705619.33524355304</v>
      </c>
    </row>
    <row r="28" spans="1:120">
      <c r="A28" s="7">
        <v>1991</v>
      </c>
      <c r="B28" s="3">
        <v>67080</v>
      </c>
      <c r="C28" s="3">
        <v>0</v>
      </c>
      <c r="D28" s="3">
        <f t="shared" si="145"/>
        <v>67080</v>
      </c>
      <c r="E28" s="25">
        <f t="shared" si="146"/>
        <v>46956</v>
      </c>
      <c r="F28" s="3">
        <v>3026</v>
      </c>
      <c r="G28" s="3">
        <v>0</v>
      </c>
      <c r="H28" s="15">
        <f t="shared" si="147"/>
        <v>3026</v>
      </c>
      <c r="I28" s="80">
        <f t="shared" si="2"/>
        <v>281</v>
      </c>
      <c r="J28" s="132">
        <f t="shared" si="59"/>
        <v>1.8505338078291815</v>
      </c>
      <c r="K28" s="21">
        <f t="shared" si="148"/>
        <v>5599.7153024911031</v>
      </c>
      <c r="L28" s="3">
        <v>1267332</v>
      </c>
      <c r="M28" s="3">
        <v>0</v>
      </c>
      <c r="N28" s="3">
        <v>98</v>
      </c>
      <c r="O28" s="3">
        <f t="shared" si="149"/>
        <v>1267430</v>
      </c>
      <c r="P28" s="80">
        <f t="shared" si="4"/>
        <v>333</v>
      </c>
      <c r="Q28" s="31">
        <f t="shared" si="60"/>
        <v>1.7867867867867868</v>
      </c>
      <c r="R28" s="21">
        <f t="shared" si="150"/>
        <v>2264627.1771771773</v>
      </c>
      <c r="S28" s="3">
        <v>791083</v>
      </c>
      <c r="T28" s="3">
        <v>1336</v>
      </c>
      <c r="U28" s="3">
        <v>107</v>
      </c>
      <c r="V28" s="3">
        <f t="shared" si="151"/>
        <v>789854</v>
      </c>
      <c r="W28" s="80">
        <f t="shared" si="6"/>
        <v>333</v>
      </c>
      <c r="X28" s="31">
        <f t="shared" si="61"/>
        <v>1.8318318318318318</v>
      </c>
      <c r="Y28" s="21">
        <f t="shared" si="152"/>
        <v>1446879.6996996996</v>
      </c>
      <c r="Z28" s="3">
        <v>0</v>
      </c>
      <c r="AA28" s="80">
        <f t="shared" si="7"/>
        <v>295</v>
      </c>
      <c r="AB28" s="31">
        <f t="shared" si="62"/>
        <v>1.8576271186440678</v>
      </c>
      <c r="AC28" s="21">
        <f t="shared" si="153"/>
        <v>0</v>
      </c>
      <c r="AD28" s="3">
        <v>0</v>
      </c>
      <c r="AE28" s="80">
        <f t="shared" si="8"/>
        <v>407</v>
      </c>
      <c r="AF28" s="31">
        <f t="shared" si="63"/>
        <v>2.0368550368550369</v>
      </c>
      <c r="AG28" s="21">
        <f t="shared" si="154"/>
        <v>0</v>
      </c>
      <c r="AH28" s="3">
        <v>0</v>
      </c>
      <c r="AI28" s="3">
        <v>0</v>
      </c>
      <c r="AJ28" s="3">
        <f t="shared" si="155"/>
        <v>0</v>
      </c>
      <c r="AK28" s="80">
        <f t="shared" si="10"/>
        <v>290</v>
      </c>
      <c r="AL28" s="31">
        <f t="shared" si="64"/>
        <v>1.8103448275862069</v>
      </c>
      <c r="AM28" s="21">
        <f t="shared" si="156"/>
        <v>0</v>
      </c>
      <c r="AN28" s="3">
        <v>3128188</v>
      </c>
      <c r="AO28" s="80">
        <f t="shared" si="11"/>
        <v>307</v>
      </c>
      <c r="AP28" s="31">
        <f t="shared" si="65"/>
        <v>1.8501628664495113</v>
      </c>
      <c r="AQ28" s="21">
        <f t="shared" si="157"/>
        <v>5787657.2768729636</v>
      </c>
      <c r="AR28" s="3">
        <v>2671034</v>
      </c>
      <c r="AS28" s="80">
        <f t="shared" si="13"/>
        <v>324</v>
      </c>
      <c r="AT28" s="31">
        <f t="shared" si="66"/>
        <v>2.1111111111111112</v>
      </c>
      <c r="AU28" s="21">
        <f t="shared" si="158"/>
        <v>5638849.555555556</v>
      </c>
      <c r="AV28" s="3">
        <v>1146987</v>
      </c>
      <c r="AW28" s="80">
        <f t="shared" si="15"/>
        <v>290</v>
      </c>
      <c r="AX28" s="31">
        <f t="shared" si="16"/>
        <v>1.8137931034482759</v>
      </c>
      <c r="AY28" s="21">
        <f t="shared" si="159"/>
        <v>2080397.1103448276</v>
      </c>
      <c r="AZ28" s="3">
        <v>3021072</v>
      </c>
      <c r="BA28" s="80">
        <f t="shared" si="18"/>
        <v>282</v>
      </c>
      <c r="BB28" s="31">
        <f t="shared" si="19"/>
        <v>2.1773049645390072</v>
      </c>
      <c r="BC28" s="21">
        <f t="shared" si="160"/>
        <v>6577795.063829788</v>
      </c>
      <c r="BD28" s="15">
        <v>3576458</v>
      </c>
      <c r="BE28" s="3">
        <f t="shared" si="161"/>
        <v>2947001.392</v>
      </c>
      <c r="BF28" s="80">
        <f t="shared" si="21"/>
        <v>231</v>
      </c>
      <c r="BG28" s="31">
        <f t="shared" si="68"/>
        <v>2.6493506493506493</v>
      </c>
      <c r="BH28" s="21">
        <f t="shared" si="162"/>
        <v>7807640.0515324678</v>
      </c>
      <c r="BI28" s="3">
        <f t="shared" si="163"/>
        <v>629456.60800000001</v>
      </c>
      <c r="BJ28" s="80">
        <f t="shared" si="23"/>
        <v>297</v>
      </c>
      <c r="BK28" s="31">
        <f t="shared" si="69"/>
        <v>2.1952861952861955</v>
      </c>
      <c r="BL28" s="21">
        <f t="shared" si="164"/>
        <v>1381837.4020740741</v>
      </c>
      <c r="BM28" s="3">
        <v>2511354</v>
      </c>
      <c r="BN28" s="80">
        <f t="shared" si="25"/>
        <v>284</v>
      </c>
      <c r="BO28" s="31">
        <f t="shared" si="70"/>
        <v>1.7922535211267605</v>
      </c>
      <c r="BP28" s="21">
        <f t="shared" si="165"/>
        <v>4500983.0492957747</v>
      </c>
      <c r="BQ28" s="3">
        <v>665846</v>
      </c>
      <c r="BR28" s="50">
        <v>0</v>
      </c>
      <c r="BS28" s="3">
        <f t="shared" si="166"/>
        <v>665846</v>
      </c>
      <c r="BT28" s="80">
        <f t="shared" si="28"/>
        <v>208</v>
      </c>
      <c r="BU28" s="31">
        <f t="shared" si="71"/>
        <v>1.7067307692307692</v>
      </c>
      <c r="BV28" s="21">
        <f t="shared" si="167"/>
        <v>1136419.8557692308</v>
      </c>
      <c r="BW28" s="2">
        <v>80309</v>
      </c>
      <c r="BX28" s="80">
        <f t="shared" si="29"/>
        <v>311</v>
      </c>
      <c r="BY28" s="31">
        <f t="shared" si="72"/>
        <v>2.347266881028939</v>
      </c>
      <c r="BZ28" s="22">
        <f t="shared" si="168"/>
        <v>188506.65594855306</v>
      </c>
      <c r="CA28" s="2">
        <v>234182</v>
      </c>
      <c r="CB28" s="80">
        <f t="shared" si="31"/>
        <v>311</v>
      </c>
      <c r="CC28" s="31">
        <f t="shared" si="73"/>
        <v>2.347266881028939</v>
      </c>
      <c r="CD28" s="22">
        <f t="shared" si="169"/>
        <v>549687.65273311897</v>
      </c>
      <c r="CE28" s="3">
        <v>67080</v>
      </c>
      <c r="CF28" s="3">
        <v>0</v>
      </c>
      <c r="CG28" s="3">
        <f t="shared" si="170"/>
        <v>67080</v>
      </c>
      <c r="CH28" s="25">
        <f t="shared" si="171"/>
        <v>20124</v>
      </c>
      <c r="CI28" s="3">
        <v>413088</v>
      </c>
      <c r="CJ28" s="3">
        <v>0</v>
      </c>
      <c r="CK28" s="3">
        <f t="shared" si="172"/>
        <v>413088</v>
      </c>
      <c r="CL28" s="134">
        <f t="shared" si="36"/>
        <v>281</v>
      </c>
      <c r="CM28" s="31">
        <f t="shared" si="74"/>
        <v>1.8505338078291815</v>
      </c>
      <c r="CN28" s="21">
        <f t="shared" si="173"/>
        <v>764433.30960854096</v>
      </c>
      <c r="CO28" s="3">
        <v>1900692</v>
      </c>
      <c r="CP28" s="3">
        <v>15092</v>
      </c>
      <c r="CQ28" s="3">
        <v>0</v>
      </c>
      <c r="CR28" s="2">
        <f t="shared" si="174"/>
        <v>1885600</v>
      </c>
      <c r="CS28" s="80">
        <f t="shared" si="39"/>
        <v>315</v>
      </c>
      <c r="CT28" s="31">
        <f t="shared" si="75"/>
        <v>2.1936507936507939</v>
      </c>
      <c r="CU28" s="21">
        <f t="shared" si="175"/>
        <v>4136347.936507937</v>
      </c>
      <c r="CV28" s="2">
        <v>319025</v>
      </c>
      <c r="CW28" s="92">
        <f t="shared" si="41"/>
        <v>281</v>
      </c>
      <c r="CX28" s="31">
        <f t="shared" si="76"/>
        <v>1.8505338078291815</v>
      </c>
      <c r="CY28" s="21">
        <f t="shared" si="176"/>
        <v>590366.54804270458</v>
      </c>
      <c r="CZ28" s="3">
        <v>2794805</v>
      </c>
      <c r="DA28" s="80">
        <f t="shared" si="43"/>
        <v>320</v>
      </c>
      <c r="DB28" s="31">
        <f t="shared" si="77"/>
        <v>2.03125</v>
      </c>
      <c r="DC28" s="21">
        <f t="shared" si="177"/>
        <v>5676947.65625</v>
      </c>
      <c r="DD28" s="3">
        <f>1034713+54417+11182</f>
        <v>1100312</v>
      </c>
      <c r="DE28" s="3">
        <v>1034713</v>
      </c>
      <c r="DF28" s="3">
        <f>5593+7419</f>
        <v>13012</v>
      </c>
      <c r="DG28" s="3">
        <f t="shared" si="178"/>
        <v>1087300</v>
      </c>
      <c r="DH28" s="3">
        <f t="shared" si="144"/>
        <v>271825</v>
      </c>
      <c r="DI28" s="136">
        <f t="shared" si="47"/>
        <v>336</v>
      </c>
      <c r="DJ28" s="41">
        <f t="shared" si="78"/>
        <v>2.5833333333333335</v>
      </c>
      <c r="DK28" s="21">
        <f t="shared" si="179"/>
        <v>702214.58333333337</v>
      </c>
    </row>
    <row r="29" spans="1:120">
      <c r="A29" s="7">
        <v>1990</v>
      </c>
      <c r="B29" s="3">
        <v>367594</v>
      </c>
      <c r="C29" s="3">
        <v>0</v>
      </c>
      <c r="D29" s="3">
        <f t="shared" si="145"/>
        <v>367594</v>
      </c>
      <c r="E29" s="25">
        <f t="shared" si="146"/>
        <v>257315.8</v>
      </c>
      <c r="F29" s="3">
        <v>295</v>
      </c>
      <c r="G29" s="3">
        <v>0</v>
      </c>
      <c r="H29" s="15">
        <f t="shared" si="147"/>
        <v>295</v>
      </c>
      <c r="I29" s="80">
        <f t="shared" si="2"/>
        <v>288</v>
      </c>
      <c r="J29" s="132">
        <f t="shared" si="59"/>
        <v>1.8055555555555556</v>
      </c>
      <c r="K29" s="21">
        <f t="shared" si="148"/>
        <v>532.63888888888891</v>
      </c>
      <c r="L29" s="3">
        <v>1284852</v>
      </c>
      <c r="M29" s="3">
        <v>581</v>
      </c>
      <c r="N29" s="3">
        <v>98</v>
      </c>
      <c r="O29" s="3">
        <f t="shared" si="149"/>
        <v>1284369</v>
      </c>
      <c r="P29" s="80">
        <f t="shared" si="4"/>
        <v>312</v>
      </c>
      <c r="Q29" s="31">
        <f t="shared" si="60"/>
        <v>1.9070512820512822</v>
      </c>
      <c r="R29" s="21">
        <f t="shared" si="150"/>
        <v>2449357.548076923</v>
      </c>
      <c r="S29" s="3">
        <v>684440</v>
      </c>
      <c r="T29" s="3">
        <v>0</v>
      </c>
      <c r="U29" s="3">
        <v>107</v>
      </c>
      <c r="V29" s="3">
        <f t="shared" si="151"/>
        <v>684547</v>
      </c>
      <c r="W29" s="80">
        <f t="shared" si="6"/>
        <v>323</v>
      </c>
      <c r="X29" s="31">
        <f t="shared" si="61"/>
        <v>1.8885448916408669</v>
      </c>
      <c r="Y29" s="21">
        <f t="shared" si="152"/>
        <v>1292797.7399380805</v>
      </c>
      <c r="Z29" s="3">
        <v>0</v>
      </c>
      <c r="AA29" s="80">
        <f t="shared" si="7"/>
        <v>293</v>
      </c>
      <c r="AB29" s="31">
        <f t="shared" si="62"/>
        <v>1.8703071672354949</v>
      </c>
      <c r="AC29" s="21">
        <f t="shared" si="153"/>
        <v>0</v>
      </c>
      <c r="AD29" s="3">
        <v>0</v>
      </c>
      <c r="AE29" s="80">
        <f t="shared" si="8"/>
        <v>364</v>
      </c>
      <c r="AF29" s="31">
        <f t="shared" si="63"/>
        <v>2.2774725274725274</v>
      </c>
      <c r="AG29" s="21">
        <f t="shared" si="154"/>
        <v>0</v>
      </c>
      <c r="AH29" s="3">
        <v>5258</v>
      </c>
      <c r="AI29" s="3">
        <v>0</v>
      </c>
      <c r="AJ29" s="3">
        <f t="shared" si="155"/>
        <v>5258</v>
      </c>
      <c r="AK29" s="80">
        <f t="shared" si="10"/>
        <v>280</v>
      </c>
      <c r="AL29" s="31">
        <f t="shared" si="64"/>
        <v>1.875</v>
      </c>
      <c r="AM29" s="21">
        <f t="shared" si="156"/>
        <v>9858.75</v>
      </c>
      <c r="AN29" s="3">
        <v>2822998</v>
      </c>
      <c r="AO29" s="80">
        <f t="shared" si="11"/>
        <v>295</v>
      </c>
      <c r="AP29" s="31">
        <f t="shared" si="65"/>
        <v>1.9254237288135594</v>
      </c>
      <c r="AQ29" s="21">
        <f t="shared" si="157"/>
        <v>5435467.3355932208</v>
      </c>
      <c r="AR29" s="3">
        <v>3073635</v>
      </c>
      <c r="AS29" s="80">
        <f t="shared" si="13"/>
        <v>315</v>
      </c>
      <c r="AT29" s="31">
        <f t="shared" si="66"/>
        <v>2.1714285714285713</v>
      </c>
      <c r="AU29" s="21">
        <f t="shared" si="158"/>
        <v>6674178.8571428563</v>
      </c>
      <c r="AV29" s="3">
        <v>1086181</v>
      </c>
      <c r="AW29" s="80">
        <f t="shared" si="15"/>
        <v>295</v>
      </c>
      <c r="AX29" s="31">
        <f t="shared" si="16"/>
        <v>1.7830508474576272</v>
      </c>
      <c r="AY29" s="21">
        <f t="shared" si="159"/>
        <v>1936715.952542373</v>
      </c>
      <c r="AZ29" s="3">
        <v>2728726</v>
      </c>
      <c r="BA29" s="80">
        <f t="shared" si="18"/>
        <v>275</v>
      </c>
      <c r="BB29" s="31">
        <f t="shared" si="19"/>
        <v>2.2327272727272729</v>
      </c>
      <c r="BC29" s="21">
        <f t="shared" si="160"/>
        <v>6092500.9600000009</v>
      </c>
      <c r="BD29" s="15">
        <v>3022813</v>
      </c>
      <c r="BE29" s="3">
        <f t="shared" si="161"/>
        <v>2490797.912</v>
      </c>
      <c r="BF29" s="80">
        <f t="shared" si="21"/>
        <v>232</v>
      </c>
      <c r="BG29" s="31">
        <f t="shared" si="68"/>
        <v>2.6379310344827585</v>
      </c>
      <c r="BH29" s="21">
        <f t="shared" si="162"/>
        <v>6570553.1126896543</v>
      </c>
      <c r="BI29" s="3">
        <f t="shared" si="163"/>
        <v>532015.08799999999</v>
      </c>
      <c r="BJ29" s="80">
        <f t="shared" si="23"/>
        <v>287</v>
      </c>
      <c r="BK29" s="31">
        <f t="shared" si="69"/>
        <v>2.2717770034843205</v>
      </c>
      <c r="BL29" s="21">
        <f t="shared" si="164"/>
        <v>1208619.642425087</v>
      </c>
      <c r="BM29" s="3">
        <v>2201033</v>
      </c>
      <c r="BN29" s="80">
        <f t="shared" si="25"/>
        <v>280</v>
      </c>
      <c r="BO29" s="31">
        <f t="shared" si="70"/>
        <v>1.8178571428571428</v>
      </c>
      <c r="BP29" s="21">
        <f t="shared" si="165"/>
        <v>4001163.5607142858</v>
      </c>
      <c r="BQ29" s="3">
        <v>576340</v>
      </c>
      <c r="BR29" s="50">
        <v>0</v>
      </c>
      <c r="BS29" s="3">
        <f t="shared" si="166"/>
        <v>576340</v>
      </c>
      <c r="BT29" s="80">
        <f t="shared" si="28"/>
        <v>193</v>
      </c>
      <c r="BU29" s="31">
        <f t="shared" si="71"/>
        <v>1.839378238341969</v>
      </c>
      <c r="BV29" s="21">
        <f t="shared" si="167"/>
        <v>1060107.2538860105</v>
      </c>
      <c r="BW29" s="2">
        <v>103595</v>
      </c>
      <c r="BX29" s="80">
        <f t="shared" si="29"/>
        <v>300</v>
      </c>
      <c r="BY29" s="31">
        <f t="shared" si="72"/>
        <v>2.4333333333333331</v>
      </c>
      <c r="BZ29" s="22">
        <f t="shared" si="168"/>
        <v>252081.16666666666</v>
      </c>
      <c r="CA29" s="2">
        <v>309457</v>
      </c>
      <c r="CB29" s="80">
        <f t="shared" si="31"/>
        <v>300</v>
      </c>
      <c r="CC29" s="31">
        <f t="shared" si="73"/>
        <v>2.4333333333333331</v>
      </c>
      <c r="CD29" s="22">
        <f t="shared" si="169"/>
        <v>753012.03333333333</v>
      </c>
      <c r="CE29" s="3">
        <v>367594</v>
      </c>
      <c r="CF29" s="3">
        <v>0</v>
      </c>
      <c r="CG29" s="3">
        <f t="shared" si="170"/>
        <v>367594</v>
      </c>
      <c r="CH29" s="25">
        <f t="shared" si="171"/>
        <v>110278.2</v>
      </c>
      <c r="CI29" s="3">
        <v>138288</v>
      </c>
      <c r="CJ29" s="3">
        <v>0</v>
      </c>
      <c r="CK29" s="3">
        <f t="shared" si="172"/>
        <v>138288</v>
      </c>
      <c r="CL29" s="134">
        <f t="shared" si="36"/>
        <v>288</v>
      </c>
      <c r="CM29" s="31">
        <f t="shared" si="74"/>
        <v>1.8055555555555556</v>
      </c>
      <c r="CN29" s="21">
        <f t="shared" si="173"/>
        <v>249686.66666666666</v>
      </c>
      <c r="CO29" s="3">
        <v>971102</v>
      </c>
      <c r="CP29" s="3">
        <v>8541</v>
      </c>
      <c r="CQ29" s="3">
        <v>0</v>
      </c>
      <c r="CR29" s="2">
        <f t="shared" si="174"/>
        <v>962561</v>
      </c>
      <c r="CS29" s="80">
        <f t="shared" si="39"/>
        <v>312</v>
      </c>
      <c r="CT29" s="31">
        <f t="shared" si="75"/>
        <v>2.2147435897435899</v>
      </c>
      <c r="CU29" s="21">
        <f t="shared" si="175"/>
        <v>2131825.8044871795</v>
      </c>
      <c r="CV29" s="2">
        <v>27269</v>
      </c>
      <c r="CW29" s="92">
        <f t="shared" si="41"/>
        <v>288</v>
      </c>
      <c r="CX29" s="31">
        <f t="shared" si="76"/>
        <v>1.8055555555555556</v>
      </c>
      <c r="CY29" s="21">
        <f t="shared" si="176"/>
        <v>49235.694444444445</v>
      </c>
      <c r="CZ29" s="3">
        <v>1017823</v>
      </c>
      <c r="DA29" s="80">
        <f t="shared" si="43"/>
        <v>318</v>
      </c>
      <c r="DB29" s="31">
        <f t="shared" si="77"/>
        <v>2.0440251572327046</v>
      </c>
      <c r="DC29" s="21">
        <f t="shared" si="177"/>
        <v>2080455.8176100631</v>
      </c>
      <c r="DD29" s="3">
        <f>302196+45981+15326</f>
        <v>363503</v>
      </c>
      <c r="DE29" s="3">
        <v>302196</v>
      </c>
      <c r="DF29" s="3">
        <f>0-1146</f>
        <v>-1146</v>
      </c>
      <c r="DG29" s="3">
        <f t="shared" si="178"/>
        <v>364649</v>
      </c>
      <c r="DH29" s="3">
        <f t="shared" si="144"/>
        <v>91162.25</v>
      </c>
      <c r="DI29" s="136">
        <f t="shared" si="47"/>
        <v>328</v>
      </c>
      <c r="DJ29" s="41">
        <f t="shared" si="78"/>
        <v>2.6463414634146343</v>
      </c>
      <c r="DK29" s="21">
        <f t="shared" si="179"/>
        <v>241246.44207317074</v>
      </c>
    </row>
    <row r="30" spans="1:120">
      <c r="A30" s="7">
        <v>1989</v>
      </c>
      <c r="B30" s="3">
        <v>29378</v>
      </c>
      <c r="C30" s="3">
        <v>0</v>
      </c>
      <c r="D30" s="3">
        <f t="shared" si="145"/>
        <v>29378</v>
      </c>
      <c r="E30" s="25">
        <f t="shared" si="146"/>
        <v>20564.599999999999</v>
      </c>
      <c r="F30" s="3">
        <v>819</v>
      </c>
      <c r="G30" s="3">
        <v>243</v>
      </c>
      <c r="H30" s="15">
        <f t="shared" si="147"/>
        <v>576</v>
      </c>
      <c r="I30" s="80">
        <f t="shared" si="2"/>
        <v>287</v>
      </c>
      <c r="J30" s="132">
        <f t="shared" si="59"/>
        <v>1.8118466898954704</v>
      </c>
      <c r="K30" s="21">
        <f t="shared" si="148"/>
        <v>1043.6236933797909</v>
      </c>
      <c r="L30" s="3">
        <v>1163037</v>
      </c>
      <c r="M30" s="3">
        <v>2902</v>
      </c>
      <c r="N30" s="3">
        <v>98</v>
      </c>
      <c r="O30" s="3">
        <f t="shared" si="149"/>
        <v>1160233</v>
      </c>
      <c r="P30" s="80">
        <f t="shared" si="4"/>
        <v>301</v>
      </c>
      <c r="Q30" s="31">
        <f t="shared" si="60"/>
        <v>1.9767441860465116</v>
      </c>
      <c r="R30" s="21">
        <f t="shared" si="150"/>
        <v>2293483.8372093025</v>
      </c>
      <c r="S30" s="3">
        <v>487937</v>
      </c>
      <c r="T30" s="3">
        <f>-2468+1006</f>
        <v>-1462</v>
      </c>
      <c r="U30" s="3">
        <v>107</v>
      </c>
      <c r="V30" s="3">
        <f t="shared" si="151"/>
        <v>489506</v>
      </c>
      <c r="W30" s="80">
        <f t="shared" si="6"/>
        <v>320</v>
      </c>
      <c r="X30" s="31">
        <f t="shared" si="61"/>
        <v>1.90625</v>
      </c>
      <c r="Y30" s="21">
        <f t="shared" si="152"/>
        <v>933120.8125</v>
      </c>
      <c r="Z30" s="3">
        <v>0</v>
      </c>
      <c r="AA30" s="80">
        <f t="shared" si="7"/>
        <v>291</v>
      </c>
      <c r="AB30" s="31">
        <f t="shared" si="62"/>
        <v>1.8831615120274914</v>
      </c>
      <c r="AC30" s="21">
        <f t="shared" si="153"/>
        <v>0</v>
      </c>
      <c r="AD30" s="3">
        <v>0</v>
      </c>
      <c r="AE30" s="80">
        <f t="shared" si="8"/>
        <v>314</v>
      </c>
      <c r="AF30" s="31">
        <f t="shared" si="63"/>
        <v>2.6401273885350318</v>
      </c>
      <c r="AG30" s="21">
        <f t="shared" si="154"/>
        <v>0</v>
      </c>
      <c r="AH30" s="3">
        <v>0</v>
      </c>
      <c r="AI30" s="3">
        <v>0</v>
      </c>
      <c r="AJ30" s="3">
        <f t="shared" si="155"/>
        <v>0</v>
      </c>
      <c r="AK30" s="80">
        <f t="shared" si="10"/>
        <v>272</v>
      </c>
      <c r="AL30" s="31">
        <f t="shared" si="64"/>
        <v>1.9301470588235294</v>
      </c>
      <c r="AM30" s="21">
        <f t="shared" si="156"/>
        <v>0</v>
      </c>
      <c r="AN30" s="3">
        <v>2616440</v>
      </c>
      <c r="AO30" s="80">
        <f t="shared" si="11"/>
        <v>285</v>
      </c>
      <c r="AP30" s="31">
        <f t="shared" si="65"/>
        <v>1.9929824561403509</v>
      </c>
      <c r="AQ30" s="21">
        <f t="shared" si="157"/>
        <v>5214519.0175438598</v>
      </c>
      <c r="AR30" s="3">
        <v>3513873</v>
      </c>
      <c r="AS30" s="80">
        <f t="shared" si="13"/>
        <v>312</v>
      </c>
      <c r="AT30" s="31">
        <f t="shared" si="66"/>
        <v>2.1923076923076925</v>
      </c>
      <c r="AU30" s="21">
        <f t="shared" si="158"/>
        <v>7703490.807692308</v>
      </c>
      <c r="AV30" s="3">
        <v>746390</v>
      </c>
      <c r="AW30" s="80">
        <f t="shared" si="15"/>
        <v>296</v>
      </c>
      <c r="AX30" s="31">
        <f t="shared" si="16"/>
        <v>1.777027027027027</v>
      </c>
      <c r="AY30" s="21">
        <f t="shared" si="159"/>
        <v>1326355.2027027027</v>
      </c>
      <c r="AZ30" s="3">
        <v>2089566</v>
      </c>
      <c r="BA30" s="80">
        <f t="shared" si="18"/>
        <v>264</v>
      </c>
      <c r="BB30" s="31">
        <f t="shared" si="19"/>
        <v>2.3257575757575757</v>
      </c>
      <c r="BC30" s="21">
        <f t="shared" si="160"/>
        <v>4859823.9545454541</v>
      </c>
      <c r="BD30" s="15">
        <v>3031140</v>
      </c>
      <c r="BE30" s="3">
        <f t="shared" si="161"/>
        <v>2497659.36</v>
      </c>
      <c r="BF30" s="80">
        <f t="shared" si="21"/>
        <v>228</v>
      </c>
      <c r="BG30" s="31">
        <f t="shared" si="68"/>
        <v>2.6842105263157894</v>
      </c>
      <c r="BH30" s="21">
        <f t="shared" si="162"/>
        <v>6704243.5452631572</v>
      </c>
      <c r="BI30" s="3">
        <f t="shared" si="163"/>
        <v>533480.64</v>
      </c>
      <c r="BJ30" s="80">
        <f t="shared" si="23"/>
        <v>281</v>
      </c>
      <c r="BK30" s="31">
        <f t="shared" si="69"/>
        <v>2.3202846975088969</v>
      </c>
      <c r="BL30" s="21">
        <f t="shared" si="164"/>
        <v>1237826.9654092528</v>
      </c>
      <c r="BM30" s="3">
        <v>1851814</v>
      </c>
      <c r="BN30" s="80">
        <f t="shared" si="25"/>
        <v>279</v>
      </c>
      <c r="BO30" s="31">
        <f t="shared" si="70"/>
        <v>1.8243727598566308</v>
      </c>
      <c r="BP30" s="21">
        <f t="shared" si="165"/>
        <v>3378399.0179211469</v>
      </c>
      <c r="BQ30" s="3">
        <v>482166</v>
      </c>
      <c r="BR30" s="50">
        <v>0</v>
      </c>
      <c r="BS30" s="3">
        <f t="shared" si="166"/>
        <v>482166</v>
      </c>
      <c r="BT30" s="80">
        <f t="shared" si="28"/>
        <v>193</v>
      </c>
      <c r="BU30" s="31">
        <f t="shared" si="71"/>
        <v>1.839378238341969</v>
      </c>
      <c r="BV30" s="21">
        <f t="shared" si="167"/>
        <v>886885.64766839379</v>
      </c>
      <c r="BW30" s="2">
        <v>91995</v>
      </c>
      <c r="BX30" s="80">
        <f t="shared" si="29"/>
        <v>292</v>
      </c>
      <c r="BY30" s="31">
        <f t="shared" si="72"/>
        <v>2.5</v>
      </c>
      <c r="BZ30" s="22">
        <f t="shared" si="168"/>
        <v>229987.5</v>
      </c>
      <c r="CA30" s="2">
        <v>254824</v>
      </c>
      <c r="CB30" s="80">
        <f t="shared" si="31"/>
        <v>292</v>
      </c>
      <c r="CC30" s="31">
        <f t="shared" si="73"/>
        <v>2.5</v>
      </c>
      <c r="CD30" s="22">
        <f t="shared" si="169"/>
        <v>637060</v>
      </c>
      <c r="CE30" s="3">
        <v>29378</v>
      </c>
      <c r="CF30" s="3">
        <v>0</v>
      </c>
      <c r="CG30" s="3">
        <f t="shared" si="170"/>
        <v>29378</v>
      </c>
      <c r="CH30" s="25">
        <f t="shared" si="171"/>
        <v>8813.4</v>
      </c>
      <c r="CI30" s="3">
        <v>35258</v>
      </c>
      <c r="CJ30" s="3">
        <v>0</v>
      </c>
      <c r="CK30" s="3">
        <f t="shared" si="172"/>
        <v>35258</v>
      </c>
      <c r="CL30" s="134">
        <f t="shared" si="36"/>
        <v>287</v>
      </c>
      <c r="CM30" s="31">
        <f t="shared" si="74"/>
        <v>1.8118466898954704</v>
      </c>
      <c r="CN30" s="21">
        <f t="shared" si="173"/>
        <v>63882.090592334498</v>
      </c>
      <c r="CO30" s="3">
        <v>858820</v>
      </c>
      <c r="CP30" s="3">
        <f>2988+3374</f>
        <v>6362</v>
      </c>
      <c r="CQ30" s="3">
        <v>78</v>
      </c>
      <c r="CR30" s="2">
        <f t="shared" si="174"/>
        <v>852536</v>
      </c>
      <c r="CS30" s="80">
        <f t="shared" si="39"/>
        <v>295</v>
      </c>
      <c r="CT30" s="31">
        <f t="shared" si="75"/>
        <v>2.3423728813559324</v>
      </c>
      <c r="CU30" s="21">
        <f t="shared" si="175"/>
        <v>1996957.2067796611</v>
      </c>
      <c r="CV30" s="2">
        <v>173157</v>
      </c>
      <c r="CW30" s="92">
        <f t="shared" si="41"/>
        <v>287</v>
      </c>
      <c r="CX30" s="31">
        <f t="shared" si="76"/>
        <v>1.8118466898954704</v>
      </c>
      <c r="CY30" s="21">
        <f t="shared" si="176"/>
        <v>313733.93728222995</v>
      </c>
      <c r="CZ30" s="3">
        <v>912440</v>
      </c>
      <c r="DA30" s="80">
        <f t="shared" si="43"/>
        <v>297</v>
      </c>
      <c r="DB30" s="31">
        <f t="shared" si="77"/>
        <v>2.1885521885521886</v>
      </c>
      <c r="DC30" s="21">
        <f t="shared" si="177"/>
        <v>1996922.558922559</v>
      </c>
      <c r="DD30" s="3">
        <f>837606+17311+2526</f>
        <v>857443</v>
      </c>
      <c r="DE30" s="3">
        <v>837606</v>
      </c>
      <c r="DF30" s="3">
        <f>105+8294</f>
        <v>8399</v>
      </c>
      <c r="DG30" s="3">
        <f t="shared" si="178"/>
        <v>849044</v>
      </c>
      <c r="DH30" s="3">
        <f t="shared" ref="DH30:DH57" si="180">DG30/2</f>
        <v>424522</v>
      </c>
      <c r="DI30" s="136">
        <f t="shared" si="47"/>
        <v>317</v>
      </c>
      <c r="DJ30" s="41">
        <f t="shared" si="78"/>
        <v>2.7381703470031544</v>
      </c>
      <c r="DK30" s="21">
        <f t="shared" si="179"/>
        <v>1162413.5520504732</v>
      </c>
    </row>
    <row r="31" spans="1:120">
      <c r="A31" s="7">
        <v>1988</v>
      </c>
      <c r="B31" s="3">
        <v>133187</v>
      </c>
      <c r="C31" s="3">
        <v>0</v>
      </c>
      <c r="D31" s="3">
        <f t="shared" si="145"/>
        <v>133187</v>
      </c>
      <c r="E31" s="25">
        <f t="shared" si="146"/>
        <v>93230.9</v>
      </c>
      <c r="F31" s="3">
        <v>76894</v>
      </c>
      <c r="G31" s="3">
        <v>81057</v>
      </c>
      <c r="H31" s="15">
        <f t="shared" si="147"/>
        <v>-4163</v>
      </c>
      <c r="I31" s="80">
        <f t="shared" si="2"/>
        <v>278</v>
      </c>
      <c r="J31" s="132">
        <f t="shared" si="59"/>
        <v>1.8705035971223021</v>
      </c>
      <c r="K31" s="21">
        <f t="shared" si="148"/>
        <v>-7786.9064748201436</v>
      </c>
      <c r="L31" s="3">
        <v>1294180</v>
      </c>
      <c r="M31" s="3">
        <v>48</v>
      </c>
      <c r="N31" s="3">
        <v>98</v>
      </c>
      <c r="O31" s="3">
        <f t="shared" si="149"/>
        <v>1294230</v>
      </c>
      <c r="P31" s="80">
        <f t="shared" si="4"/>
        <v>281</v>
      </c>
      <c r="Q31" s="31">
        <f t="shared" si="60"/>
        <v>2.117437722419929</v>
      </c>
      <c r="R31" s="21">
        <f t="shared" si="150"/>
        <v>2740451.4234875445</v>
      </c>
      <c r="S31" s="3">
        <v>626564</v>
      </c>
      <c r="T31" s="3">
        <v>76723</v>
      </c>
      <c r="U31" s="3">
        <v>107</v>
      </c>
      <c r="V31" s="3">
        <f t="shared" si="151"/>
        <v>549948</v>
      </c>
      <c r="W31" s="80">
        <f t="shared" si="6"/>
        <v>311</v>
      </c>
      <c r="X31" s="31">
        <f t="shared" si="61"/>
        <v>1.9614147909967845</v>
      </c>
      <c r="Y31" s="21">
        <f t="shared" si="152"/>
        <v>1078676.1414790996</v>
      </c>
      <c r="Z31" s="3">
        <v>0</v>
      </c>
      <c r="AA31" s="80">
        <f t="shared" si="7"/>
        <v>278</v>
      </c>
      <c r="AB31" s="31">
        <f t="shared" si="62"/>
        <v>1.9712230215827338</v>
      </c>
      <c r="AC31" s="21">
        <f t="shared" si="153"/>
        <v>0</v>
      </c>
      <c r="AD31" s="3">
        <v>0</v>
      </c>
      <c r="AE31" s="80">
        <f t="shared" si="8"/>
        <v>293</v>
      </c>
      <c r="AF31" s="31">
        <f t="shared" si="63"/>
        <v>2.8293515358361776</v>
      </c>
      <c r="AG31" s="21">
        <f t="shared" si="154"/>
        <v>0</v>
      </c>
      <c r="AH31" s="3">
        <v>14271</v>
      </c>
      <c r="AI31" s="3">
        <v>0</v>
      </c>
      <c r="AJ31" s="3">
        <f t="shared" si="155"/>
        <v>14271</v>
      </c>
      <c r="AK31" s="80">
        <f t="shared" si="10"/>
        <v>264</v>
      </c>
      <c r="AL31" s="31">
        <f t="shared" si="64"/>
        <v>1.9886363636363635</v>
      </c>
      <c r="AM31" s="21">
        <f t="shared" si="156"/>
        <v>28379.829545454544</v>
      </c>
      <c r="AN31" s="3">
        <v>2900755</v>
      </c>
      <c r="AO31" s="80">
        <f t="shared" si="11"/>
        <v>275</v>
      </c>
      <c r="AP31" s="31">
        <f t="shared" si="65"/>
        <v>2.0654545454545454</v>
      </c>
      <c r="AQ31" s="21">
        <f t="shared" si="157"/>
        <v>5991377.5999999996</v>
      </c>
      <c r="AR31" s="3">
        <v>151812</v>
      </c>
      <c r="AS31" s="80">
        <f t="shared" si="13"/>
        <v>302</v>
      </c>
      <c r="AT31" s="31">
        <f t="shared" si="66"/>
        <v>2.2649006622516556</v>
      </c>
      <c r="AU31" s="21">
        <f t="shared" si="158"/>
        <v>343839.09933774837</v>
      </c>
      <c r="AV31" s="3">
        <v>1217710</v>
      </c>
      <c r="AW31" s="80">
        <f t="shared" si="15"/>
        <v>272</v>
      </c>
      <c r="AX31" s="31">
        <f t="shared" si="16"/>
        <v>1.9338235294117647</v>
      </c>
      <c r="AY31" s="21">
        <f t="shared" si="159"/>
        <v>2354836.25</v>
      </c>
      <c r="AZ31" s="3">
        <v>1788726</v>
      </c>
      <c r="BA31" s="80">
        <f t="shared" si="18"/>
        <v>249</v>
      </c>
      <c r="BB31" s="31">
        <f t="shared" si="19"/>
        <v>2.4658634538152611</v>
      </c>
      <c r="BC31" s="21">
        <f t="shared" si="160"/>
        <v>4410754.0722891567</v>
      </c>
      <c r="BD31" s="15">
        <v>2095241</v>
      </c>
      <c r="BE31" s="3">
        <f t="shared" si="161"/>
        <v>1726478.5839999998</v>
      </c>
      <c r="BF31" s="80">
        <f t="shared" si="21"/>
        <v>220</v>
      </c>
      <c r="BG31" s="31">
        <f t="shared" si="68"/>
        <v>2.7818181818181817</v>
      </c>
      <c r="BH31" s="21">
        <f t="shared" si="162"/>
        <v>4802749.5154909082</v>
      </c>
      <c r="BI31" s="3">
        <f t="shared" si="163"/>
        <v>368762.41599999997</v>
      </c>
      <c r="BJ31" s="80">
        <f t="shared" si="23"/>
        <v>266</v>
      </c>
      <c r="BK31" s="31">
        <f t="shared" si="69"/>
        <v>2.4511278195488724</v>
      </c>
      <c r="BL31" s="21">
        <f t="shared" si="164"/>
        <v>903883.81666165416</v>
      </c>
      <c r="BM31" s="3">
        <v>2101115</v>
      </c>
      <c r="BN31" s="80">
        <f t="shared" si="25"/>
        <v>266</v>
      </c>
      <c r="BO31" s="31">
        <f t="shared" si="70"/>
        <v>1.9135338345864661</v>
      </c>
      <c r="BP31" s="21">
        <f t="shared" si="165"/>
        <v>4020554.6428571427</v>
      </c>
      <c r="BQ31" s="3">
        <v>412065</v>
      </c>
      <c r="BR31" s="3">
        <v>-1785</v>
      </c>
      <c r="BS31" s="3">
        <f t="shared" si="166"/>
        <v>413850</v>
      </c>
      <c r="BT31" s="80">
        <f t="shared" si="28"/>
        <v>202</v>
      </c>
      <c r="BU31" s="31">
        <f t="shared" si="71"/>
        <v>1.7574257425742574</v>
      </c>
      <c r="BV31" s="21">
        <f t="shared" si="167"/>
        <v>727310.64356435649</v>
      </c>
      <c r="BW31" s="2">
        <v>143280</v>
      </c>
      <c r="BX31" s="80">
        <f t="shared" si="29"/>
        <v>282</v>
      </c>
      <c r="BY31" s="31">
        <f t="shared" si="72"/>
        <v>2.5886524822695036</v>
      </c>
      <c r="BZ31" s="22">
        <f t="shared" si="168"/>
        <v>370902.1276595745</v>
      </c>
      <c r="CA31" s="2">
        <v>289447</v>
      </c>
      <c r="CB31" s="80">
        <f t="shared" si="31"/>
        <v>282</v>
      </c>
      <c r="CC31" s="31">
        <f t="shared" si="73"/>
        <v>2.5886524822695036</v>
      </c>
      <c r="CD31" s="22">
        <f t="shared" si="169"/>
        <v>749277.69503546099</v>
      </c>
      <c r="CE31" s="3">
        <v>133187</v>
      </c>
      <c r="CF31" s="3">
        <v>0</v>
      </c>
      <c r="CG31" s="3">
        <f t="shared" si="170"/>
        <v>133187</v>
      </c>
      <c r="CH31" s="25">
        <f t="shared" si="171"/>
        <v>39956.1</v>
      </c>
      <c r="CI31" s="3">
        <v>4413</v>
      </c>
      <c r="CJ31" s="3">
        <v>0</v>
      </c>
      <c r="CK31" s="3">
        <f t="shared" si="172"/>
        <v>4413</v>
      </c>
      <c r="CL31" s="134">
        <f t="shared" si="36"/>
        <v>278</v>
      </c>
      <c r="CM31" s="31">
        <f t="shared" si="74"/>
        <v>1.8705035971223021</v>
      </c>
      <c r="CN31" s="21">
        <f t="shared" si="173"/>
        <v>8254.5323741007196</v>
      </c>
      <c r="CO31" s="3">
        <v>1136272</v>
      </c>
      <c r="CP31" s="3">
        <f>3319+3349</f>
        <v>6668</v>
      </c>
      <c r="CQ31" s="3">
        <v>78</v>
      </c>
      <c r="CR31" s="2">
        <f t="shared" si="174"/>
        <v>1129682</v>
      </c>
      <c r="CS31" s="80">
        <f t="shared" si="39"/>
        <v>281</v>
      </c>
      <c r="CT31" s="31">
        <f t="shared" si="75"/>
        <v>2.4590747330960854</v>
      </c>
      <c r="CU31" s="21">
        <f t="shared" si="175"/>
        <v>2777972.4626334519</v>
      </c>
      <c r="CV31" s="2">
        <v>179791</v>
      </c>
      <c r="CW31" s="92">
        <f t="shared" si="41"/>
        <v>278</v>
      </c>
      <c r="CX31" s="31">
        <f t="shared" si="76"/>
        <v>1.8705035971223021</v>
      </c>
      <c r="CY31" s="21">
        <f t="shared" si="176"/>
        <v>336299.71223021584</v>
      </c>
      <c r="CZ31" s="3">
        <v>1016019</v>
      </c>
      <c r="DA31" s="80">
        <f t="shared" si="43"/>
        <v>276</v>
      </c>
      <c r="DB31" s="31">
        <f t="shared" si="77"/>
        <v>2.3550724637681157</v>
      </c>
      <c r="DC31" s="21">
        <f t="shared" si="177"/>
        <v>2392798.3695652173</v>
      </c>
      <c r="DD31" s="3">
        <f>309813+47872</f>
        <v>357685</v>
      </c>
      <c r="DE31" s="3">
        <v>309813</v>
      </c>
      <c r="DF31" s="3">
        <f>79379+8904</f>
        <v>88283</v>
      </c>
      <c r="DG31" s="3">
        <f t="shared" si="178"/>
        <v>269402</v>
      </c>
      <c r="DH31" s="3">
        <f t="shared" si="180"/>
        <v>134701</v>
      </c>
      <c r="DI31" s="136">
        <f t="shared" si="47"/>
        <v>300</v>
      </c>
      <c r="DJ31" s="41">
        <f t="shared" si="78"/>
        <v>2.8933333333333335</v>
      </c>
      <c r="DK31" s="21">
        <f t="shared" si="179"/>
        <v>389734.89333333337</v>
      </c>
    </row>
    <row r="32" spans="1:120">
      <c r="A32" s="7">
        <v>1987</v>
      </c>
      <c r="B32" s="3">
        <v>556993</v>
      </c>
      <c r="C32" s="3">
        <v>-817</v>
      </c>
      <c r="D32" s="3">
        <f t="shared" si="145"/>
        <v>557810</v>
      </c>
      <c r="E32" s="25">
        <f t="shared" si="146"/>
        <v>390467</v>
      </c>
      <c r="F32" s="3">
        <v>80403</v>
      </c>
      <c r="G32" s="3">
        <v>78776</v>
      </c>
      <c r="H32" s="15">
        <f t="shared" si="147"/>
        <v>1627</v>
      </c>
      <c r="I32" s="80">
        <f t="shared" si="2"/>
        <v>267</v>
      </c>
      <c r="J32" s="132">
        <f t="shared" si="59"/>
        <v>1.9475655430711611</v>
      </c>
      <c r="K32" s="21">
        <f t="shared" si="148"/>
        <v>3168.689138576779</v>
      </c>
      <c r="L32" s="3">
        <v>2225899</v>
      </c>
      <c r="M32" s="3">
        <v>210</v>
      </c>
      <c r="N32" s="3">
        <v>98</v>
      </c>
      <c r="O32" s="3">
        <f t="shared" si="149"/>
        <v>2225787</v>
      </c>
      <c r="P32" s="80">
        <f t="shared" si="4"/>
        <v>261</v>
      </c>
      <c r="Q32" s="31">
        <f t="shared" si="60"/>
        <v>2.2796934865900385</v>
      </c>
      <c r="R32" s="21">
        <f t="shared" si="150"/>
        <v>5074112.1264367821</v>
      </c>
      <c r="S32" s="3">
        <v>1443444</v>
      </c>
      <c r="T32" s="3">
        <v>-10847</v>
      </c>
      <c r="U32" s="3">
        <v>107</v>
      </c>
      <c r="V32" s="3">
        <f t="shared" si="151"/>
        <v>1454398</v>
      </c>
      <c r="W32" s="80">
        <f t="shared" si="6"/>
        <v>243</v>
      </c>
      <c r="X32" s="31">
        <f t="shared" si="61"/>
        <v>2.5102880658436213</v>
      </c>
      <c r="Y32" s="21">
        <f t="shared" si="152"/>
        <v>3650957.9423868312</v>
      </c>
      <c r="Z32" s="3">
        <v>0</v>
      </c>
      <c r="AA32" s="80">
        <f t="shared" si="7"/>
        <v>263</v>
      </c>
      <c r="AB32" s="31">
        <f t="shared" si="62"/>
        <v>2.0836501901140685</v>
      </c>
      <c r="AC32" s="21">
        <f t="shared" si="153"/>
        <v>0</v>
      </c>
      <c r="AD32" s="3">
        <v>0</v>
      </c>
      <c r="AE32" s="80">
        <f t="shared" si="8"/>
        <v>278</v>
      </c>
      <c r="AF32" s="31">
        <f t="shared" si="63"/>
        <v>2.9820143884892087</v>
      </c>
      <c r="AG32" s="21">
        <f t="shared" si="154"/>
        <v>0</v>
      </c>
      <c r="AH32" s="3">
        <v>56885</v>
      </c>
      <c r="AI32" s="3">
        <v>-102</v>
      </c>
      <c r="AJ32" s="3">
        <f t="shared" si="155"/>
        <v>56987</v>
      </c>
      <c r="AK32" s="80">
        <f t="shared" si="10"/>
        <v>259</v>
      </c>
      <c r="AL32" s="31">
        <f t="shared" si="64"/>
        <v>2.0270270270270272</v>
      </c>
      <c r="AM32" s="21">
        <f t="shared" si="156"/>
        <v>115514.1891891892</v>
      </c>
      <c r="AN32" s="3">
        <v>3007811</v>
      </c>
      <c r="AO32" s="80">
        <f t="shared" si="11"/>
        <v>265</v>
      </c>
      <c r="AP32" s="31">
        <f t="shared" si="65"/>
        <v>2.1433962264150943</v>
      </c>
      <c r="AQ32" s="21">
        <f t="shared" si="157"/>
        <v>6446930.7471698113</v>
      </c>
      <c r="AR32" s="3">
        <v>2324115</v>
      </c>
      <c r="AS32" s="80">
        <f t="shared" si="13"/>
        <v>260</v>
      </c>
      <c r="AT32" s="31">
        <f t="shared" si="66"/>
        <v>2.6307692307692307</v>
      </c>
      <c r="AU32" s="21">
        <f t="shared" si="158"/>
        <v>6114210.230769231</v>
      </c>
      <c r="AV32" s="3">
        <v>600919</v>
      </c>
      <c r="AW32" s="80">
        <f t="shared" si="15"/>
        <v>255</v>
      </c>
      <c r="AX32" s="31">
        <f t="shared" si="16"/>
        <v>2.0627450980392159</v>
      </c>
      <c r="AY32" s="21">
        <f t="shared" si="159"/>
        <v>1239542.7215686275</v>
      </c>
      <c r="AZ32" s="3">
        <v>1798509</v>
      </c>
      <c r="BA32" s="80">
        <f t="shared" si="18"/>
        <v>244</v>
      </c>
      <c r="BB32" s="31">
        <f t="shared" si="19"/>
        <v>2.5163934426229506</v>
      </c>
      <c r="BC32" s="21">
        <f t="shared" si="160"/>
        <v>4525756.2540983604</v>
      </c>
      <c r="BD32" s="15">
        <v>2289667</v>
      </c>
      <c r="BE32" s="3">
        <f t="shared" si="161"/>
        <v>1886685.608</v>
      </c>
      <c r="BF32" s="80">
        <f t="shared" si="21"/>
        <v>218</v>
      </c>
      <c r="BG32" s="31">
        <f t="shared" si="68"/>
        <v>2.8073394495412844</v>
      </c>
      <c r="BH32" s="21">
        <f t="shared" si="162"/>
        <v>5296566.936220184</v>
      </c>
      <c r="BI32" s="3">
        <f t="shared" si="163"/>
        <v>402981.39199999999</v>
      </c>
      <c r="BJ32" s="80">
        <f t="shared" si="23"/>
        <v>243</v>
      </c>
      <c r="BK32" s="31">
        <f t="shared" si="69"/>
        <v>2.6831275720164611</v>
      </c>
      <c r="BL32" s="21">
        <f t="shared" si="164"/>
        <v>1081250.4838847737</v>
      </c>
      <c r="BM32" s="3">
        <v>1944376</v>
      </c>
      <c r="BN32" s="80">
        <f t="shared" si="25"/>
        <v>245</v>
      </c>
      <c r="BO32" s="31">
        <f t="shared" si="70"/>
        <v>2.0775510204081633</v>
      </c>
      <c r="BP32" s="21">
        <f t="shared" si="165"/>
        <v>4039540.3428571429</v>
      </c>
      <c r="BQ32" s="3">
        <v>496787</v>
      </c>
      <c r="BR32" s="3"/>
      <c r="BS32" s="3">
        <f t="shared" si="166"/>
        <v>496787</v>
      </c>
      <c r="BT32" s="80">
        <f t="shared" si="28"/>
        <v>215</v>
      </c>
      <c r="BU32" s="31">
        <f t="shared" si="71"/>
        <v>1.6511627906976745</v>
      </c>
      <c r="BV32" s="21">
        <f t="shared" si="167"/>
        <v>820276.20930232562</v>
      </c>
      <c r="BW32" s="2">
        <v>56187</v>
      </c>
      <c r="BX32" s="80">
        <f t="shared" si="29"/>
        <v>278</v>
      </c>
      <c r="BY32" s="31">
        <f t="shared" si="72"/>
        <v>2.6258992805755397</v>
      </c>
      <c r="BZ32" s="22">
        <f t="shared" si="168"/>
        <v>147541.40287769784</v>
      </c>
      <c r="CA32" s="2">
        <v>307718</v>
      </c>
      <c r="CB32" s="80">
        <f t="shared" si="31"/>
        <v>278</v>
      </c>
      <c r="CC32" s="31">
        <f t="shared" si="73"/>
        <v>2.6258992805755397</v>
      </c>
      <c r="CD32" s="22">
        <f t="shared" si="169"/>
        <v>808036.47482014389</v>
      </c>
      <c r="CE32" s="3">
        <v>556993</v>
      </c>
      <c r="CF32" s="3">
        <v>-817</v>
      </c>
      <c r="CG32" s="3">
        <f t="shared" si="170"/>
        <v>557810</v>
      </c>
      <c r="CH32" s="25">
        <f t="shared" si="171"/>
        <v>167343</v>
      </c>
      <c r="CI32" s="3">
        <v>165094</v>
      </c>
      <c r="CJ32" s="3">
        <v>0</v>
      </c>
      <c r="CK32" s="3">
        <f t="shared" si="172"/>
        <v>165094</v>
      </c>
      <c r="CL32" s="134">
        <f t="shared" si="36"/>
        <v>267</v>
      </c>
      <c r="CM32" s="31">
        <f t="shared" si="74"/>
        <v>1.9475655430711611</v>
      </c>
      <c r="CN32" s="21">
        <f t="shared" si="173"/>
        <v>321531.38576779026</v>
      </c>
      <c r="CO32" s="3">
        <v>2173430</v>
      </c>
      <c r="CP32" s="3">
        <f>2602+-11190</f>
        <v>-8588</v>
      </c>
      <c r="CQ32" s="3">
        <v>78</v>
      </c>
      <c r="CR32" s="2">
        <f t="shared" si="174"/>
        <v>2182096</v>
      </c>
      <c r="CS32" s="80">
        <f t="shared" si="39"/>
        <v>269</v>
      </c>
      <c r="CT32" s="31">
        <f t="shared" si="75"/>
        <v>2.5687732342007434</v>
      </c>
      <c r="CU32" s="21">
        <f t="shared" si="175"/>
        <v>5605309.7992565054</v>
      </c>
      <c r="CV32" s="2">
        <v>715694</v>
      </c>
      <c r="CW32" s="92">
        <f t="shared" si="41"/>
        <v>267</v>
      </c>
      <c r="CX32" s="31">
        <f t="shared" si="76"/>
        <v>1.9475655430711611</v>
      </c>
      <c r="CY32" s="21">
        <f t="shared" si="176"/>
        <v>1393860.9737827715</v>
      </c>
      <c r="CZ32" s="3">
        <v>2123445</v>
      </c>
      <c r="DA32" s="80">
        <f t="shared" si="43"/>
        <v>253</v>
      </c>
      <c r="DB32" s="31">
        <f t="shared" si="77"/>
        <v>2.5691699604743081</v>
      </c>
      <c r="DC32" s="21">
        <f t="shared" si="177"/>
        <v>5455491.1067193672</v>
      </c>
      <c r="DD32" s="3">
        <f>1572122+27140</f>
        <v>1599262</v>
      </c>
      <c r="DE32" s="3">
        <v>1572122</v>
      </c>
      <c r="DF32" s="3">
        <f>16748+0</f>
        <v>16748</v>
      </c>
      <c r="DG32" s="3">
        <f t="shared" si="178"/>
        <v>1582514</v>
      </c>
      <c r="DH32" s="3">
        <f t="shared" si="180"/>
        <v>791257</v>
      </c>
      <c r="DI32" s="136">
        <f t="shared" si="47"/>
        <v>270</v>
      </c>
      <c r="DJ32" s="41">
        <f t="shared" si="78"/>
        <v>3.2148148148148148</v>
      </c>
      <c r="DK32" s="21">
        <f t="shared" si="179"/>
        <v>2543744.7259259261</v>
      </c>
    </row>
    <row r="33" spans="1:115">
      <c r="A33" s="7">
        <v>1986</v>
      </c>
      <c r="B33" s="3">
        <v>38908</v>
      </c>
      <c r="C33" s="3">
        <v>13971</v>
      </c>
      <c r="D33" s="3">
        <f t="shared" si="145"/>
        <v>24937</v>
      </c>
      <c r="E33" s="25">
        <f t="shared" si="146"/>
        <v>17455.899999999998</v>
      </c>
      <c r="F33" s="3">
        <v>301692</v>
      </c>
      <c r="G33" s="3">
        <v>301697</v>
      </c>
      <c r="H33" s="15">
        <f t="shared" si="147"/>
        <v>-5</v>
      </c>
      <c r="I33" s="80">
        <f t="shared" si="2"/>
        <v>261</v>
      </c>
      <c r="J33" s="132">
        <f t="shared" si="59"/>
        <v>1.9923371647509578</v>
      </c>
      <c r="K33" s="21">
        <f t="shared" si="148"/>
        <v>-9.9616858237547881</v>
      </c>
      <c r="L33" s="3">
        <v>9698392</v>
      </c>
      <c r="M33" s="3">
        <v>0</v>
      </c>
      <c r="N33" s="3">
        <v>98</v>
      </c>
      <c r="O33" s="3">
        <f t="shared" si="149"/>
        <v>9698490</v>
      </c>
      <c r="P33" s="80">
        <f t="shared" si="4"/>
        <v>258</v>
      </c>
      <c r="Q33" s="31">
        <f t="shared" si="60"/>
        <v>2.306201550387597</v>
      </c>
      <c r="R33" s="21">
        <f t="shared" si="150"/>
        <v>22366672.674418606</v>
      </c>
      <c r="S33" s="3">
        <v>4592976</v>
      </c>
      <c r="T33" s="3">
        <v>278335</v>
      </c>
      <c r="U33" s="3">
        <v>107</v>
      </c>
      <c r="V33" s="3">
        <f t="shared" si="151"/>
        <v>4314748</v>
      </c>
      <c r="W33" s="80">
        <f t="shared" si="6"/>
        <v>252</v>
      </c>
      <c r="X33" s="31">
        <f t="shared" si="61"/>
        <v>2.4206349206349205</v>
      </c>
      <c r="Y33" s="21">
        <f t="shared" si="152"/>
        <v>10444429.682539681</v>
      </c>
      <c r="Z33" s="3">
        <v>33488</v>
      </c>
      <c r="AA33" s="80">
        <f t="shared" si="7"/>
        <v>256</v>
      </c>
      <c r="AB33" s="31">
        <f t="shared" si="62"/>
        <v>2.140625</v>
      </c>
      <c r="AC33" s="21">
        <f t="shared" si="153"/>
        <v>71685.25</v>
      </c>
      <c r="AD33" s="3">
        <v>0</v>
      </c>
      <c r="AE33" s="80">
        <f t="shared" si="8"/>
        <v>275</v>
      </c>
      <c r="AF33" s="31">
        <f t="shared" si="63"/>
        <v>3.0145454545454546</v>
      </c>
      <c r="AG33" s="21">
        <f t="shared" si="154"/>
        <v>0</v>
      </c>
      <c r="AH33" s="3">
        <v>816132</v>
      </c>
      <c r="AI33" s="3">
        <v>1775</v>
      </c>
      <c r="AJ33" s="3">
        <f t="shared" si="155"/>
        <v>814357</v>
      </c>
      <c r="AK33" s="80">
        <f t="shared" si="10"/>
        <v>255</v>
      </c>
      <c r="AL33" s="31">
        <f t="shared" si="64"/>
        <v>2.0588235294117645</v>
      </c>
      <c r="AM33" s="21">
        <f t="shared" si="156"/>
        <v>1676617.3529411764</v>
      </c>
      <c r="AN33" s="3">
        <v>4030482</v>
      </c>
      <c r="AO33" s="80">
        <f t="shared" si="11"/>
        <v>264</v>
      </c>
      <c r="AP33" s="31">
        <f t="shared" si="65"/>
        <v>2.1515151515151514</v>
      </c>
      <c r="AQ33" s="21">
        <f t="shared" si="157"/>
        <v>8671643.0909090899</v>
      </c>
      <c r="AR33" s="3">
        <v>4071507</v>
      </c>
      <c r="AS33" s="80">
        <f t="shared" si="13"/>
        <v>263</v>
      </c>
      <c r="AT33" s="31">
        <f t="shared" si="66"/>
        <v>2.6007604562737643</v>
      </c>
      <c r="AU33" s="21">
        <f t="shared" si="158"/>
        <v>10589014.403041825</v>
      </c>
      <c r="AV33" s="3">
        <v>737222</v>
      </c>
      <c r="AW33" s="80">
        <f t="shared" si="15"/>
        <v>250</v>
      </c>
      <c r="AX33" s="31">
        <f t="shared" si="16"/>
        <v>2.1040000000000001</v>
      </c>
      <c r="AY33" s="21">
        <f t="shared" si="159"/>
        <v>1551115.088</v>
      </c>
      <c r="AZ33" s="3">
        <v>2343598</v>
      </c>
      <c r="BA33" s="80">
        <f t="shared" si="18"/>
        <v>240</v>
      </c>
      <c r="BB33" s="31">
        <f t="shared" si="19"/>
        <v>2.5583333333333331</v>
      </c>
      <c r="BC33" s="21">
        <f t="shared" si="160"/>
        <v>5995704.8833333328</v>
      </c>
      <c r="BD33" s="15">
        <v>3811357</v>
      </c>
      <c r="BE33" s="3">
        <f t="shared" si="161"/>
        <v>3140558.1679999996</v>
      </c>
      <c r="BF33" s="80">
        <f t="shared" si="21"/>
        <v>219</v>
      </c>
      <c r="BG33" s="31">
        <f t="shared" si="68"/>
        <v>2.7945205479452055</v>
      </c>
      <c r="BH33" s="21">
        <f t="shared" si="162"/>
        <v>8776354.3324931506</v>
      </c>
      <c r="BI33" s="3">
        <f t="shared" si="163"/>
        <v>670798.83199999994</v>
      </c>
      <c r="BJ33" s="80">
        <f t="shared" si="23"/>
        <v>221</v>
      </c>
      <c r="BK33" s="31">
        <f t="shared" si="69"/>
        <v>2.9502262443438916</v>
      </c>
      <c r="BL33" s="21">
        <f t="shared" si="164"/>
        <v>1979008.318841629</v>
      </c>
      <c r="BM33" s="3">
        <v>2110229</v>
      </c>
      <c r="BN33" s="80">
        <f t="shared" si="25"/>
        <v>241</v>
      </c>
      <c r="BO33" s="31">
        <f t="shared" si="70"/>
        <v>2.1120331950207469</v>
      </c>
      <c r="BP33" s="21">
        <f t="shared" si="165"/>
        <v>4456873.697095436</v>
      </c>
      <c r="BQ33" s="3">
        <v>710863</v>
      </c>
      <c r="BR33" s="3"/>
      <c r="BS33" s="3">
        <f t="shared" si="166"/>
        <v>710863</v>
      </c>
      <c r="BT33" s="80">
        <f t="shared" si="28"/>
        <v>216</v>
      </c>
      <c r="BU33" s="31">
        <f t="shared" si="71"/>
        <v>1.6435185185185186</v>
      </c>
      <c r="BV33" s="21">
        <f t="shared" si="167"/>
        <v>1168316.5046296297</v>
      </c>
      <c r="BW33" s="2">
        <v>48244</v>
      </c>
      <c r="BX33" s="80">
        <f t="shared" si="29"/>
        <v>292</v>
      </c>
      <c r="BY33" s="31">
        <f t="shared" si="72"/>
        <v>2.5</v>
      </c>
      <c r="BZ33" s="22">
        <f t="shared" si="168"/>
        <v>120610</v>
      </c>
      <c r="CA33" s="2">
        <v>525180</v>
      </c>
      <c r="CB33" s="80">
        <f t="shared" si="31"/>
        <v>292</v>
      </c>
      <c r="CC33" s="31">
        <f t="shared" si="73"/>
        <v>2.5</v>
      </c>
      <c r="CD33" s="22">
        <f t="shared" si="169"/>
        <v>1312950</v>
      </c>
      <c r="CE33" s="3">
        <v>38908</v>
      </c>
      <c r="CF33" s="3">
        <v>13971</v>
      </c>
      <c r="CG33" s="3">
        <f t="shared" si="170"/>
        <v>24937</v>
      </c>
      <c r="CH33" s="25">
        <f t="shared" si="171"/>
        <v>7481.0999999999995</v>
      </c>
      <c r="CI33" s="3">
        <v>1419968</v>
      </c>
      <c r="CJ33" s="3">
        <v>0</v>
      </c>
      <c r="CK33" s="3">
        <f t="shared" si="172"/>
        <v>1419968</v>
      </c>
      <c r="CL33" s="134">
        <f t="shared" si="36"/>
        <v>261</v>
      </c>
      <c r="CM33" s="31">
        <f t="shared" si="74"/>
        <v>1.9923371647509578</v>
      </c>
      <c r="CN33" s="21">
        <f t="shared" si="173"/>
        <v>2829055.0191570879</v>
      </c>
      <c r="CO33" s="3">
        <v>5377220</v>
      </c>
      <c r="CP33" s="3">
        <v>172802</v>
      </c>
      <c r="CQ33" s="3">
        <v>78</v>
      </c>
      <c r="CR33" s="2">
        <f t="shared" si="174"/>
        <v>5204496</v>
      </c>
      <c r="CS33" s="80">
        <f t="shared" si="39"/>
        <v>262</v>
      </c>
      <c r="CT33" s="31">
        <f t="shared" si="75"/>
        <v>2.6374045801526718</v>
      </c>
      <c r="CU33" s="21">
        <f t="shared" si="175"/>
        <v>13726361.587786259</v>
      </c>
      <c r="CV33" s="2">
        <v>52833</v>
      </c>
      <c r="CW33" s="92">
        <f t="shared" si="41"/>
        <v>261</v>
      </c>
      <c r="CX33" s="31">
        <f t="shared" si="76"/>
        <v>1.9923371647509578</v>
      </c>
      <c r="CY33" s="21">
        <f t="shared" si="176"/>
        <v>105261.14942528735</v>
      </c>
      <c r="CZ33" s="3">
        <v>1144689</v>
      </c>
      <c r="DA33" s="80">
        <f t="shared" si="43"/>
        <v>246</v>
      </c>
      <c r="DB33" s="31">
        <f t="shared" si="77"/>
        <v>2.6422764227642275</v>
      </c>
      <c r="DC33" s="21">
        <f t="shared" si="177"/>
        <v>3024584.7560975607</v>
      </c>
      <c r="DD33" s="3">
        <f>568606+93550+4589</f>
        <v>666745</v>
      </c>
      <c r="DE33" s="3">
        <v>568606</v>
      </c>
      <c r="DF33" s="3">
        <f>124829+35346</f>
        <v>160175</v>
      </c>
      <c r="DG33" s="3">
        <f t="shared" si="178"/>
        <v>506570</v>
      </c>
      <c r="DH33" s="3">
        <f t="shared" si="180"/>
        <v>253285</v>
      </c>
      <c r="DI33" s="136">
        <f t="shared" si="47"/>
        <v>269</v>
      </c>
      <c r="DJ33" s="41">
        <f t="shared" si="78"/>
        <v>3.2267657992565058</v>
      </c>
      <c r="DK33" s="21">
        <f t="shared" si="179"/>
        <v>817291.3754646841</v>
      </c>
    </row>
    <row r="34" spans="1:115">
      <c r="A34" s="7">
        <v>1985</v>
      </c>
      <c r="B34" s="3">
        <v>683329</v>
      </c>
      <c r="C34" s="3">
        <v>12720</v>
      </c>
      <c r="D34" s="3">
        <f t="shared" si="145"/>
        <v>670609</v>
      </c>
      <c r="E34" s="25">
        <f t="shared" si="146"/>
        <v>469426.3</v>
      </c>
      <c r="F34" s="3">
        <v>278833</v>
      </c>
      <c r="G34" s="3">
        <v>278329</v>
      </c>
      <c r="H34" s="15">
        <f t="shared" si="147"/>
        <v>504</v>
      </c>
      <c r="I34" s="80">
        <f t="shared" si="2"/>
        <v>256</v>
      </c>
      <c r="J34" s="132">
        <f t="shared" si="59"/>
        <v>2.03125</v>
      </c>
      <c r="K34" s="21">
        <f t="shared" si="148"/>
        <v>1023.75</v>
      </c>
      <c r="L34" s="3">
        <v>10838369</v>
      </c>
      <c r="M34" s="3">
        <v>262</v>
      </c>
      <c r="N34" s="3">
        <v>98</v>
      </c>
      <c r="O34" s="3">
        <f t="shared" si="149"/>
        <v>10838205</v>
      </c>
      <c r="P34" s="80">
        <f t="shared" si="4"/>
        <v>256</v>
      </c>
      <c r="Q34" s="31">
        <f t="shared" si="60"/>
        <v>2.32421875</v>
      </c>
      <c r="R34" s="21">
        <f t="shared" si="150"/>
        <v>25190359.27734375</v>
      </c>
      <c r="S34" s="3">
        <v>5076030</v>
      </c>
      <c r="T34" s="3">
        <v>256210</v>
      </c>
      <c r="U34" s="3">
        <v>107</v>
      </c>
      <c r="V34" s="3">
        <f t="shared" si="151"/>
        <v>4819927</v>
      </c>
      <c r="W34" s="80">
        <f t="shared" si="6"/>
        <v>252</v>
      </c>
      <c r="X34" s="31">
        <f t="shared" si="61"/>
        <v>2.4206349206349205</v>
      </c>
      <c r="Y34" s="21">
        <f t="shared" si="152"/>
        <v>11667283.61111111</v>
      </c>
      <c r="Z34" s="3">
        <v>149013</v>
      </c>
      <c r="AA34" s="80">
        <f t="shared" si="7"/>
        <v>255</v>
      </c>
      <c r="AB34" s="31">
        <f t="shared" si="62"/>
        <v>2.1490196078431372</v>
      </c>
      <c r="AC34" s="21">
        <f t="shared" si="153"/>
        <v>320231.85882352939</v>
      </c>
      <c r="AD34" s="3">
        <v>824394</v>
      </c>
      <c r="AE34" s="80">
        <f t="shared" si="8"/>
        <v>254</v>
      </c>
      <c r="AF34" s="31">
        <f t="shared" si="63"/>
        <v>3.2637795275590551</v>
      </c>
      <c r="AG34" s="21">
        <f t="shared" si="154"/>
        <v>2690640.2598425196</v>
      </c>
      <c r="AH34" s="3">
        <v>788012</v>
      </c>
      <c r="AI34" s="3">
        <v>1636</v>
      </c>
      <c r="AJ34" s="3">
        <f t="shared" si="155"/>
        <v>786376</v>
      </c>
      <c r="AK34" s="80">
        <f t="shared" si="10"/>
        <v>251</v>
      </c>
      <c r="AL34" s="31">
        <f t="shared" si="64"/>
        <v>2.0916334661354581</v>
      </c>
      <c r="AM34" s="21">
        <f t="shared" si="156"/>
        <v>1644810.358565737</v>
      </c>
      <c r="AN34" s="3">
        <v>4831578</v>
      </c>
      <c r="AO34" s="80">
        <f t="shared" si="11"/>
        <v>263</v>
      </c>
      <c r="AP34" s="31">
        <f t="shared" si="65"/>
        <v>2.1596958174904941</v>
      </c>
      <c r="AQ34" s="21">
        <f t="shared" si="157"/>
        <v>10434738.798479086</v>
      </c>
      <c r="AR34" s="3">
        <v>3668498</v>
      </c>
      <c r="AS34" s="80">
        <f t="shared" si="13"/>
        <v>264</v>
      </c>
      <c r="AT34" s="31">
        <f t="shared" si="66"/>
        <v>2.5909090909090908</v>
      </c>
      <c r="AU34" s="21">
        <f t="shared" si="158"/>
        <v>9504744.8181818184</v>
      </c>
      <c r="AV34" s="3">
        <v>707701</v>
      </c>
      <c r="AW34" s="80">
        <f t="shared" si="15"/>
        <v>249</v>
      </c>
      <c r="AX34" s="31">
        <f t="shared" si="16"/>
        <v>2.1124497991967872</v>
      </c>
      <c r="AY34" s="21">
        <f t="shared" si="159"/>
        <v>1494982.8353413655</v>
      </c>
      <c r="AZ34" s="3">
        <v>3067935</v>
      </c>
      <c r="BA34" s="80">
        <f t="shared" si="18"/>
        <v>232</v>
      </c>
      <c r="BB34" s="31">
        <f t="shared" si="19"/>
        <v>2.646551724137931</v>
      </c>
      <c r="BC34" s="21">
        <f t="shared" si="160"/>
        <v>8119448.6637931038</v>
      </c>
      <c r="BD34" s="15">
        <v>4075799</v>
      </c>
      <c r="BE34" s="3">
        <f t="shared" si="161"/>
        <v>3358458.3759999997</v>
      </c>
      <c r="BF34" s="80">
        <f t="shared" si="21"/>
        <v>218</v>
      </c>
      <c r="BG34" s="31">
        <f t="shared" si="68"/>
        <v>2.8073394495412844</v>
      </c>
      <c r="BH34" s="21">
        <f t="shared" si="162"/>
        <v>9428332.6885871552</v>
      </c>
      <c r="BI34" s="3">
        <f t="shared" si="163"/>
        <v>717340.62399999995</v>
      </c>
      <c r="BJ34" s="80">
        <f t="shared" si="23"/>
        <v>215</v>
      </c>
      <c r="BK34" s="31">
        <f t="shared" si="69"/>
        <v>3.0325581395348835</v>
      </c>
      <c r="BL34" s="21">
        <f t="shared" si="164"/>
        <v>2175377.1481302325</v>
      </c>
      <c r="BM34" s="3">
        <v>2393960</v>
      </c>
      <c r="BN34" s="80">
        <f t="shared" si="25"/>
        <v>244</v>
      </c>
      <c r="BO34" s="31">
        <f t="shared" si="70"/>
        <v>2.0860655737704916</v>
      </c>
      <c r="BP34" s="21">
        <f t="shared" si="165"/>
        <v>4993957.5409836061</v>
      </c>
      <c r="BQ34" s="3">
        <v>1180610</v>
      </c>
      <c r="BR34" s="3"/>
      <c r="BS34" s="3">
        <f t="shared" si="166"/>
        <v>1180610</v>
      </c>
      <c r="BT34" s="80">
        <f t="shared" si="28"/>
        <v>212</v>
      </c>
      <c r="BU34" s="31">
        <f t="shared" si="71"/>
        <v>1.6745283018867925</v>
      </c>
      <c r="BV34" s="21">
        <f t="shared" si="167"/>
        <v>1976964.858490566</v>
      </c>
      <c r="BW34" s="2">
        <v>98915</v>
      </c>
      <c r="BX34" s="80">
        <f t="shared" si="29"/>
        <v>294</v>
      </c>
      <c r="BY34" s="31">
        <f t="shared" si="72"/>
        <v>2.4829931972789114</v>
      </c>
      <c r="BZ34" s="22">
        <f t="shared" si="168"/>
        <v>245605.27210884352</v>
      </c>
      <c r="CA34" s="2">
        <v>514848</v>
      </c>
      <c r="CB34" s="80">
        <f t="shared" si="31"/>
        <v>294</v>
      </c>
      <c r="CC34" s="31">
        <f t="shared" si="73"/>
        <v>2.4829931972789114</v>
      </c>
      <c r="CD34" s="22">
        <f t="shared" si="169"/>
        <v>1278364.081632653</v>
      </c>
      <c r="CE34" s="3">
        <v>683329</v>
      </c>
      <c r="CF34" s="3">
        <v>12720</v>
      </c>
      <c r="CG34" s="3">
        <f t="shared" si="170"/>
        <v>670609</v>
      </c>
      <c r="CH34" s="25">
        <f t="shared" si="171"/>
        <v>201182.69999999998</v>
      </c>
      <c r="CI34" s="3">
        <v>982142</v>
      </c>
      <c r="CJ34" s="3">
        <v>0</v>
      </c>
      <c r="CK34" s="3">
        <f t="shared" si="172"/>
        <v>982142</v>
      </c>
      <c r="CL34" s="134">
        <f t="shared" si="36"/>
        <v>256</v>
      </c>
      <c r="CM34" s="31">
        <f t="shared" si="74"/>
        <v>2.03125</v>
      </c>
      <c r="CN34" s="21">
        <f t="shared" si="173"/>
        <v>1994975.9375</v>
      </c>
      <c r="CO34" s="3">
        <v>9237356</v>
      </c>
      <c r="CP34" s="3">
        <v>178228</v>
      </c>
      <c r="CQ34" s="3">
        <v>78</v>
      </c>
      <c r="CR34" s="2">
        <f t="shared" si="174"/>
        <v>9059206</v>
      </c>
      <c r="CS34" s="80">
        <f t="shared" si="39"/>
        <v>260</v>
      </c>
      <c r="CT34" s="31">
        <f t="shared" si="75"/>
        <v>2.6576923076923076</v>
      </c>
      <c r="CU34" s="21">
        <f t="shared" si="175"/>
        <v>24076582.099999998</v>
      </c>
      <c r="CV34" s="2">
        <v>367612</v>
      </c>
      <c r="CW34" s="92">
        <f t="shared" si="41"/>
        <v>256</v>
      </c>
      <c r="CX34" s="31">
        <f t="shared" si="76"/>
        <v>2.03125</v>
      </c>
      <c r="CY34" s="21">
        <f t="shared" si="176"/>
        <v>746711.875</v>
      </c>
      <c r="CZ34" s="3">
        <v>1492489</v>
      </c>
      <c r="DA34" s="80">
        <f t="shared" si="43"/>
        <v>244</v>
      </c>
      <c r="DB34" s="31">
        <f t="shared" si="77"/>
        <v>2.6639344262295084</v>
      </c>
      <c r="DC34" s="21">
        <f t="shared" si="177"/>
        <v>3975892.8278688528</v>
      </c>
      <c r="DD34" s="3">
        <f>1057676+140455</f>
        <v>1198131</v>
      </c>
      <c r="DE34" s="3">
        <v>1057676</v>
      </c>
      <c r="DF34" s="3">
        <f>85912+19871</f>
        <v>105783</v>
      </c>
      <c r="DG34" s="3">
        <f t="shared" si="178"/>
        <v>1092348</v>
      </c>
      <c r="DH34" s="3">
        <f t="shared" si="180"/>
        <v>546174</v>
      </c>
      <c r="DI34" s="136">
        <f t="shared" si="47"/>
        <v>269</v>
      </c>
      <c r="DJ34" s="41">
        <f t="shared" si="78"/>
        <v>3.2267657992565058</v>
      </c>
      <c r="DK34" s="21">
        <f t="shared" si="179"/>
        <v>1762375.5836431228</v>
      </c>
    </row>
    <row r="35" spans="1:115">
      <c r="A35" s="7">
        <v>1984</v>
      </c>
      <c r="B35" s="3">
        <v>772454</v>
      </c>
      <c r="C35" s="3">
        <v>602483</v>
      </c>
      <c r="D35" s="3">
        <f t="shared" si="145"/>
        <v>169971</v>
      </c>
      <c r="E35" s="25">
        <f t="shared" si="146"/>
        <v>118979.7</v>
      </c>
      <c r="F35" s="3">
        <v>12852513</v>
      </c>
      <c r="G35" s="3">
        <v>10911957</v>
      </c>
      <c r="H35" s="15">
        <f t="shared" si="147"/>
        <v>1940556</v>
      </c>
      <c r="I35" s="80">
        <f t="shared" si="2"/>
        <v>247</v>
      </c>
      <c r="J35" s="132">
        <f t="shared" si="59"/>
        <v>2.1052631578947367</v>
      </c>
      <c r="K35" s="21">
        <f t="shared" si="148"/>
        <v>4085381.0526315789</v>
      </c>
      <c r="L35" s="3">
        <v>1778996</v>
      </c>
      <c r="M35" s="3">
        <v>-262</v>
      </c>
      <c r="N35" s="3">
        <v>98</v>
      </c>
      <c r="O35" s="3">
        <f t="shared" si="149"/>
        <v>1779356</v>
      </c>
      <c r="P35" s="80">
        <f t="shared" si="4"/>
        <v>260</v>
      </c>
      <c r="Q35" s="31">
        <f t="shared" si="60"/>
        <v>2.2884615384615383</v>
      </c>
      <c r="R35" s="21">
        <f t="shared" si="150"/>
        <v>4071987.769230769</v>
      </c>
      <c r="S35" s="3">
        <v>13142307</v>
      </c>
      <c r="T35" s="3">
        <v>11844495</v>
      </c>
      <c r="U35" s="3">
        <v>107</v>
      </c>
      <c r="V35" s="3">
        <f t="shared" si="151"/>
        <v>1297919</v>
      </c>
      <c r="W35" s="80">
        <f t="shared" si="6"/>
        <v>258</v>
      </c>
      <c r="X35" s="31">
        <f t="shared" si="61"/>
        <v>2.364341085271318</v>
      </c>
      <c r="Y35" s="21">
        <f t="shared" si="152"/>
        <v>3068723.2170542637</v>
      </c>
      <c r="Z35" s="3">
        <v>0</v>
      </c>
      <c r="AA35" s="80">
        <f t="shared" si="7"/>
        <v>258</v>
      </c>
      <c r="AB35" s="31">
        <f t="shared" si="62"/>
        <v>2.1240310077519382</v>
      </c>
      <c r="AC35" s="21">
        <f t="shared" si="153"/>
        <v>0</v>
      </c>
      <c r="AD35" s="3">
        <v>27485</v>
      </c>
      <c r="AE35" s="80">
        <f t="shared" si="8"/>
        <v>267</v>
      </c>
      <c r="AF35" s="31">
        <f t="shared" si="63"/>
        <v>3.1048689138576777</v>
      </c>
      <c r="AG35" s="21">
        <f t="shared" si="154"/>
        <v>85337.322097378274</v>
      </c>
      <c r="AH35" s="3">
        <v>90321</v>
      </c>
      <c r="AI35" s="3">
        <v>75526</v>
      </c>
      <c r="AJ35" s="3">
        <f t="shared" si="155"/>
        <v>14795</v>
      </c>
      <c r="AK35" s="80">
        <f t="shared" si="10"/>
        <v>247</v>
      </c>
      <c r="AL35" s="31">
        <f t="shared" si="64"/>
        <v>2.1255060728744941</v>
      </c>
      <c r="AM35" s="21">
        <f t="shared" si="156"/>
        <v>31446.86234817814</v>
      </c>
      <c r="AN35" s="3">
        <v>3861394</v>
      </c>
      <c r="AO35" s="80">
        <f t="shared" si="11"/>
        <v>266</v>
      </c>
      <c r="AP35" s="31">
        <f t="shared" si="65"/>
        <v>2.1353383458646618</v>
      </c>
      <c r="AQ35" s="21">
        <f t="shared" si="157"/>
        <v>8245382.6766917296</v>
      </c>
      <c r="AR35" s="3">
        <v>2840726</v>
      </c>
      <c r="AS35" s="80">
        <f t="shared" si="13"/>
        <v>273</v>
      </c>
      <c r="AT35" s="31">
        <f t="shared" si="66"/>
        <v>2.5054945054945055</v>
      </c>
      <c r="AU35" s="21">
        <f t="shared" si="158"/>
        <v>7117423.384615385</v>
      </c>
      <c r="AV35" s="3">
        <v>952301</v>
      </c>
      <c r="AW35" s="80">
        <f t="shared" si="15"/>
        <v>251</v>
      </c>
      <c r="AX35" s="31">
        <f t="shared" si="16"/>
        <v>2.095617529880478</v>
      </c>
      <c r="AY35" s="21">
        <f t="shared" si="159"/>
        <v>1995658.6693227091</v>
      </c>
      <c r="AZ35" s="3">
        <v>2106742</v>
      </c>
      <c r="BA35" s="80">
        <f t="shared" si="18"/>
        <v>233</v>
      </c>
      <c r="BB35" s="31">
        <f t="shared" si="19"/>
        <v>2.6351931330472103</v>
      </c>
      <c r="BC35" s="21">
        <f t="shared" si="160"/>
        <v>5551672.0515021458</v>
      </c>
      <c r="BD35" s="15">
        <v>4718117</v>
      </c>
      <c r="BE35" s="3">
        <f t="shared" si="161"/>
        <v>3887728.4079999998</v>
      </c>
      <c r="BF35" s="80">
        <f t="shared" si="21"/>
        <v>219</v>
      </c>
      <c r="BG35" s="31">
        <f t="shared" si="68"/>
        <v>2.7945205479452055</v>
      </c>
      <c r="BH35" s="21">
        <f t="shared" si="162"/>
        <v>10864336.9209863</v>
      </c>
      <c r="BI35" s="3">
        <f t="shared" si="163"/>
        <v>830388.59199999995</v>
      </c>
      <c r="BJ35" s="80">
        <f t="shared" si="23"/>
        <v>215</v>
      </c>
      <c r="BK35" s="31">
        <f t="shared" si="69"/>
        <v>3.0325581395348835</v>
      </c>
      <c r="BL35" s="21">
        <f t="shared" si="164"/>
        <v>2518201.6836465113</v>
      </c>
      <c r="BM35" s="3">
        <v>2296182</v>
      </c>
      <c r="BN35" s="80">
        <f t="shared" si="25"/>
        <v>255</v>
      </c>
      <c r="BO35" s="31">
        <f t="shared" si="70"/>
        <v>1.996078431372549</v>
      </c>
      <c r="BP35" s="21">
        <f t="shared" si="165"/>
        <v>4583359.364705882</v>
      </c>
      <c r="BQ35" s="3">
        <v>826066</v>
      </c>
      <c r="BR35" s="3"/>
      <c r="BS35" s="3">
        <f t="shared" si="166"/>
        <v>826066</v>
      </c>
      <c r="BT35" s="80">
        <f t="shared" si="28"/>
        <v>213</v>
      </c>
      <c r="BU35" s="31">
        <f t="shared" si="71"/>
        <v>1.6666666666666667</v>
      </c>
      <c r="BV35" s="21">
        <f t="shared" si="167"/>
        <v>1376776.6666666667</v>
      </c>
      <c r="BW35" s="2">
        <v>113025</v>
      </c>
      <c r="BX35" s="80">
        <f t="shared" si="29"/>
        <v>290</v>
      </c>
      <c r="BY35" s="31">
        <f t="shared" si="72"/>
        <v>2.5172413793103448</v>
      </c>
      <c r="BZ35" s="22">
        <f t="shared" si="168"/>
        <v>284511.20689655171</v>
      </c>
      <c r="CA35" s="2">
        <v>230966</v>
      </c>
      <c r="CB35" s="80">
        <f t="shared" si="31"/>
        <v>290</v>
      </c>
      <c r="CC35" s="31">
        <f t="shared" si="73"/>
        <v>2.5172413793103448</v>
      </c>
      <c r="CD35" s="22">
        <f t="shared" si="169"/>
        <v>581397.17241379304</v>
      </c>
      <c r="CE35" s="3">
        <v>772454</v>
      </c>
      <c r="CF35" s="3">
        <v>602483</v>
      </c>
      <c r="CG35" s="3">
        <f t="shared" si="170"/>
        <v>169971</v>
      </c>
      <c r="CH35" s="25">
        <f t="shared" si="171"/>
        <v>50991.299999999996</v>
      </c>
      <c r="CI35" s="3">
        <v>82411</v>
      </c>
      <c r="CJ35" s="3">
        <v>0</v>
      </c>
      <c r="CK35" s="3">
        <f t="shared" si="172"/>
        <v>82411</v>
      </c>
      <c r="CL35" s="134">
        <f t="shared" si="36"/>
        <v>247</v>
      </c>
      <c r="CM35" s="31">
        <f t="shared" si="74"/>
        <v>2.1052631578947367</v>
      </c>
      <c r="CN35" s="21">
        <f t="shared" si="173"/>
        <v>173496.84210526315</v>
      </c>
      <c r="CO35" s="3">
        <v>10247376</v>
      </c>
      <c r="CP35" s="3">
        <v>8209100</v>
      </c>
      <c r="CQ35" s="3">
        <f>78+109</f>
        <v>187</v>
      </c>
      <c r="CR35" s="2">
        <f t="shared" si="174"/>
        <v>2038463</v>
      </c>
      <c r="CS35" s="80">
        <f t="shared" si="39"/>
        <v>259</v>
      </c>
      <c r="CT35" s="31">
        <f t="shared" si="75"/>
        <v>2.6679536679536682</v>
      </c>
      <c r="CU35" s="21">
        <f t="shared" si="175"/>
        <v>5438524.8378378386</v>
      </c>
      <c r="CV35" s="2">
        <v>66465</v>
      </c>
      <c r="CW35" s="92">
        <f t="shared" si="41"/>
        <v>247</v>
      </c>
      <c r="CX35" s="31">
        <f t="shared" si="76"/>
        <v>2.1052631578947367</v>
      </c>
      <c r="CY35" s="21">
        <f t="shared" si="176"/>
        <v>139926.31578947368</v>
      </c>
      <c r="CZ35" s="3">
        <v>215824</v>
      </c>
      <c r="DA35" s="80">
        <f t="shared" si="43"/>
        <v>244</v>
      </c>
      <c r="DB35" s="31">
        <f t="shared" si="77"/>
        <v>2.6639344262295084</v>
      </c>
      <c r="DC35" s="21">
        <f t="shared" si="177"/>
        <v>574940.98360655736</v>
      </c>
      <c r="DD35" s="3">
        <f>2291667+38548</f>
        <v>2330215</v>
      </c>
      <c r="DE35" s="3">
        <v>2291667</v>
      </c>
      <c r="DF35" s="3">
        <f>1994168</f>
        <v>1994168</v>
      </c>
      <c r="DG35" s="3">
        <f t="shared" si="178"/>
        <v>336047</v>
      </c>
      <c r="DH35" s="3">
        <f t="shared" si="180"/>
        <v>168023.5</v>
      </c>
      <c r="DI35" s="136">
        <f t="shared" si="47"/>
        <v>277</v>
      </c>
      <c r="DJ35" s="41">
        <f t="shared" si="78"/>
        <v>3.1335740072202167</v>
      </c>
      <c r="DK35" s="21">
        <f t="shared" si="179"/>
        <v>526514.07220216608</v>
      </c>
    </row>
    <row r="36" spans="1:115">
      <c r="A36" s="7">
        <v>1983</v>
      </c>
      <c r="B36" s="3">
        <v>367388</v>
      </c>
      <c r="C36" s="3">
        <v>0</v>
      </c>
      <c r="D36" s="3">
        <f t="shared" si="145"/>
        <v>367388</v>
      </c>
      <c r="E36" s="25">
        <f t="shared" si="146"/>
        <v>257171.59999999998</v>
      </c>
      <c r="F36" s="3">
        <v>21229</v>
      </c>
      <c r="G36" s="3">
        <v>21229</v>
      </c>
      <c r="H36" s="15">
        <f t="shared" si="147"/>
        <v>0</v>
      </c>
      <c r="I36" s="80">
        <f t="shared" si="2"/>
        <v>234</v>
      </c>
      <c r="J36" s="132">
        <f t="shared" si="59"/>
        <v>2.2222222222222223</v>
      </c>
      <c r="K36" s="21">
        <f t="shared" si="148"/>
        <v>0</v>
      </c>
      <c r="L36" s="3">
        <v>1905155</v>
      </c>
      <c r="M36" s="3">
        <v>0</v>
      </c>
      <c r="N36" s="59">
        <v>0</v>
      </c>
      <c r="O36" s="3">
        <f t="shared" si="149"/>
        <v>1905155</v>
      </c>
      <c r="P36" s="80">
        <f t="shared" si="4"/>
        <v>258</v>
      </c>
      <c r="Q36" s="31">
        <f t="shared" si="60"/>
        <v>2.306201550387597</v>
      </c>
      <c r="R36" s="21">
        <f t="shared" si="150"/>
        <v>4393671.4147286825</v>
      </c>
      <c r="S36" s="3">
        <v>2475150</v>
      </c>
      <c r="T36" s="3">
        <v>0</v>
      </c>
      <c r="U36" s="59">
        <v>0</v>
      </c>
      <c r="V36" s="3">
        <f t="shared" si="151"/>
        <v>2475150</v>
      </c>
      <c r="W36" s="80">
        <f t="shared" si="6"/>
        <v>268</v>
      </c>
      <c r="X36" s="31">
        <f t="shared" si="61"/>
        <v>2.2761194029850746</v>
      </c>
      <c r="Y36" s="21">
        <f t="shared" si="152"/>
        <v>5633736.9402985079</v>
      </c>
      <c r="Z36" s="3">
        <v>0</v>
      </c>
      <c r="AA36" s="80">
        <f t="shared" si="7"/>
        <v>254</v>
      </c>
      <c r="AB36" s="31">
        <f t="shared" si="62"/>
        <v>2.1574803149606301</v>
      </c>
      <c r="AC36" s="21">
        <f t="shared" si="153"/>
        <v>0</v>
      </c>
      <c r="AD36" s="3">
        <v>4093</v>
      </c>
      <c r="AE36" s="80">
        <f t="shared" si="8"/>
        <v>273</v>
      </c>
      <c r="AF36" s="31">
        <f t="shared" si="63"/>
        <v>3.0366300366300365</v>
      </c>
      <c r="AG36" s="21">
        <f t="shared" si="154"/>
        <v>12428.926739926739</v>
      </c>
      <c r="AH36" s="3">
        <v>0</v>
      </c>
      <c r="AI36" s="15"/>
      <c r="AJ36" s="3">
        <f t="shared" si="155"/>
        <v>0</v>
      </c>
      <c r="AK36" s="80">
        <f t="shared" si="10"/>
        <v>239</v>
      </c>
      <c r="AL36" s="31">
        <f t="shared" si="64"/>
        <v>2.1966527196652721</v>
      </c>
      <c r="AM36" s="21">
        <f t="shared" si="156"/>
        <v>0</v>
      </c>
      <c r="AN36" s="3">
        <v>3436975</v>
      </c>
      <c r="AO36" s="80">
        <f t="shared" si="11"/>
        <v>265</v>
      </c>
      <c r="AP36" s="31">
        <f t="shared" si="65"/>
        <v>2.1433962264150943</v>
      </c>
      <c r="AQ36" s="21">
        <f t="shared" si="157"/>
        <v>7366799.2452830188</v>
      </c>
      <c r="AR36" s="3">
        <v>2556897</v>
      </c>
      <c r="AS36" s="80">
        <f t="shared" si="13"/>
        <v>274</v>
      </c>
      <c r="AT36" s="31">
        <f t="shared" si="66"/>
        <v>2.4963503649635035</v>
      </c>
      <c r="AU36" s="21">
        <f t="shared" si="158"/>
        <v>6382910.7591240872</v>
      </c>
      <c r="AV36" s="3">
        <v>390079</v>
      </c>
      <c r="AW36" s="80">
        <f t="shared" si="15"/>
        <v>245</v>
      </c>
      <c r="AX36" s="31">
        <f t="shared" si="16"/>
        <v>2.1469387755102041</v>
      </c>
      <c r="AY36" s="21">
        <f t="shared" si="159"/>
        <v>837475.73061224492</v>
      </c>
      <c r="AZ36" s="3">
        <v>1553188</v>
      </c>
      <c r="BA36" s="80">
        <f t="shared" si="18"/>
        <v>235</v>
      </c>
      <c r="BB36" s="31">
        <f t="shared" si="19"/>
        <v>2.6127659574468085</v>
      </c>
      <c r="BC36" s="21">
        <f t="shared" si="160"/>
        <v>4058116.7319148937</v>
      </c>
      <c r="BD36" s="15">
        <v>3846526</v>
      </c>
      <c r="BE36" s="3">
        <f t="shared" si="161"/>
        <v>3169537.4239999996</v>
      </c>
      <c r="BF36" s="80">
        <f t="shared" si="21"/>
        <v>218</v>
      </c>
      <c r="BG36" s="31">
        <f t="shared" si="68"/>
        <v>2.8073394495412844</v>
      </c>
      <c r="BH36" s="21">
        <f t="shared" si="162"/>
        <v>8897967.4471926596</v>
      </c>
      <c r="BI36" s="3">
        <f t="shared" si="163"/>
        <v>676988.576</v>
      </c>
      <c r="BJ36" s="80">
        <f t="shared" si="23"/>
        <v>199</v>
      </c>
      <c r="BK36" s="31">
        <f t="shared" si="69"/>
        <v>3.2763819095477387</v>
      </c>
      <c r="BL36" s="21">
        <f t="shared" si="164"/>
        <v>2218073.1233768845</v>
      </c>
      <c r="BM36" s="3">
        <v>1872344</v>
      </c>
      <c r="BN36" s="80">
        <f t="shared" si="25"/>
        <v>245</v>
      </c>
      <c r="BO36" s="31">
        <f t="shared" si="70"/>
        <v>2.0775510204081633</v>
      </c>
      <c r="BP36" s="21">
        <f t="shared" si="165"/>
        <v>3889890.1877551023</v>
      </c>
      <c r="BQ36" s="3">
        <v>1025140</v>
      </c>
      <c r="BR36" s="3"/>
      <c r="BS36" s="3">
        <f t="shared" si="166"/>
        <v>1025140</v>
      </c>
      <c r="BT36" s="80">
        <f t="shared" si="28"/>
        <v>213</v>
      </c>
      <c r="BU36" s="31">
        <f t="shared" si="71"/>
        <v>1.6666666666666667</v>
      </c>
      <c r="BV36" s="21">
        <f t="shared" si="167"/>
        <v>1708566.6666666667</v>
      </c>
      <c r="BW36" s="2">
        <v>240150</v>
      </c>
      <c r="BX36" s="80">
        <f t="shared" si="29"/>
        <v>282</v>
      </c>
      <c r="BY36" s="31">
        <f t="shared" si="72"/>
        <v>2.5886524822695036</v>
      </c>
      <c r="BZ36" s="22">
        <f t="shared" si="168"/>
        <v>621664.89361702127</v>
      </c>
      <c r="CA36" s="2">
        <v>0</v>
      </c>
      <c r="CB36" s="80">
        <f t="shared" si="31"/>
        <v>282</v>
      </c>
      <c r="CC36" s="31">
        <f t="shared" si="73"/>
        <v>2.5886524822695036</v>
      </c>
      <c r="CD36" s="22">
        <f t="shared" si="169"/>
        <v>0</v>
      </c>
      <c r="CE36" s="3">
        <v>367388</v>
      </c>
      <c r="CF36" s="3">
        <v>0</v>
      </c>
      <c r="CG36" s="3">
        <f t="shared" si="170"/>
        <v>367388</v>
      </c>
      <c r="CH36" s="25">
        <f t="shared" si="171"/>
        <v>110216.4</v>
      </c>
      <c r="CI36" s="3">
        <v>499290</v>
      </c>
      <c r="CJ36" s="3">
        <v>0</v>
      </c>
      <c r="CK36" s="3">
        <f t="shared" si="172"/>
        <v>499290</v>
      </c>
      <c r="CL36" s="134">
        <f t="shared" si="36"/>
        <v>234</v>
      </c>
      <c r="CM36" s="31">
        <f t="shared" si="74"/>
        <v>2.2222222222222223</v>
      </c>
      <c r="CN36" s="21">
        <f t="shared" si="173"/>
        <v>1109533.3333333335</v>
      </c>
      <c r="CO36" s="3">
        <v>5646138</v>
      </c>
      <c r="CP36" s="3">
        <v>866</v>
      </c>
      <c r="CQ36" s="59">
        <v>0</v>
      </c>
      <c r="CR36" s="2">
        <f t="shared" si="174"/>
        <v>5645272</v>
      </c>
      <c r="CS36" s="80">
        <f t="shared" si="39"/>
        <v>256</v>
      </c>
      <c r="CT36" s="31">
        <f t="shared" si="75"/>
        <v>2.69921875</v>
      </c>
      <c r="CU36" s="21">
        <f t="shared" si="175"/>
        <v>15237824.03125</v>
      </c>
      <c r="CV36" s="2">
        <v>385912</v>
      </c>
      <c r="CW36" s="92">
        <f t="shared" si="41"/>
        <v>234</v>
      </c>
      <c r="CX36" s="31">
        <f t="shared" si="76"/>
        <v>2.2222222222222223</v>
      </c>
      <c r="CY36" s="21">
        <f t="shared" si="176"/>
        <v>857582.22222222225</v>
      </c>
      <c r="CZ36" s="3">
        <v>1513354</v>
      </c>
      <c r="DA36" s="80">
        <f t="shared" si="43"/>
        <v>243</v>
      </c>
      <c r="DB36" s="31">
        <f t="shared" si="77"/>
        <v>2.6748971193415638</v>
      </c>
      <c r="DC36" s="21">
        <f t="shared" si="177"/>
        <v>4048066.2551440331</v>
      </c>
      <c r="DD36" s="3">
        <f>490700+72156</f>
        <v>562856</v>
      </c>
      <c r="DE36" s="3">
        <v>490700</v>
      </c>
      <c r="DF36" s="3">
        <v>0</v>
      </c>
      <c r="DG36" s="3">
        <f t="shared" si="178"/>
        <v>562856</v>
      </c>
      <c r="DH36" s="3">
        <f t="shared" si="180"/>
        <v>281428</v>
      </c>
      <c r="DI36" s="136">
        <f t="shared" si="47"/>
        <v>284</v>
      </c>
      <c r="DJ36" s="41">
        <f t="shared" si="78"/>
        <v>3.056338028169014</v>
      </c>
      <c r="DK36" s="21">
        <f t="shared" si="179"/>
        <v>860139.09859154932</v>
      </c>
    </row>
    <row r="37" spans="1:115">
      <c r="A37" s="7">
        <v>1982</v>
      </c>
      <c r="B37" s="3">
        <v>246093</v>
      </c>
      <c r="C37" s="3">
        <v>0</v>
      </c>
      <c r="D37" s="3">
        <f t="shared" si="145"/>
        <v>246093</v>
      </c>
      <c r="E37" s="25">
        <f t="shared" si="146"/>
        <v>172265.09999999998</v>
      </c>
      <c r="F37" s="3">
        <v>604025</v>
      </c>
      <c r="G37" s="3">
        <v>604026</v>
      </c>
      <c r="H37" s="15">
        <f t="shared" si="147"/>
        <v>-1</v>
      </c>
      <c r="I37" s="80">
        <f t="shared" si="2"/>
        <v>229</v>
      </c>
      <c r="J37" s="132">
        <f t="shared" si="59"/>
        <v>2.2707423580786026</v>
      </c>
      <c r="K37" s="21">
        <f t="shared" si="148"/>
        <v>-2.2707423580786026</v>
      </c>
      <c r="L37" s="3">
        <v>1903511</v>
      </c>
      <c r="M37" s="3">
        <v>0</v>
      </c>
      <c r="N37" s="59">
        <v>0</v>
      </c>
      <c r="O37" s="3">
        <f t="shared" si="149"/>
        <v>1903511</v>
      </c>
      <c r="P37" s="80">
        <f t="shared" si="4"/>
        <v>252</v>
      </c>
      <c r="Q37" s="31">
        <f t="shared" si="60"/>
        <v>2.3611111111111112</v>
      </c>
      <c r="R37" s="21">
        <f t="shared" si="150"/>
        <v>4494400.972222222</v>
      </c>
      <c r="S37" s="3">
        <v>1860287</v>
      </c>
      <c r="T37" s="3">
        <v>0</v>
      </c>
      <c r="U37" s="59">
        <v>0</v>
      </c>
      <c r="V37" s="3">
        <f t="shared" si="151"/>
        <v>1860287</v>
      </c>
      <c r="W37" s="80">
        <f t="shared" si="6"/>
        <v>251</v>
      </c>
      <c r="X37" s="31">
        <f t="shared" si="61"/>
        <v>2.4302788844621515</v>
      </c>
      <c r="Y37" s="21">
        <f t="shared" si="152"/>
        <v>4521016.2151394421</v>
      </c>
      <c r="Z37" s="3">
        <v>0</v>
      </c>
      <c r="AA37" s="80">
        <f t="shared" si="7"/>
        <v>248</v>
      </c>
      <c r="AB37" s="31">
        <f t="shared" si="62"/>
        <v>2.2096774193548385</v>
      </c>
      <c r="AC37" s="21">
        <f t="shared" si="153"/>
        <v>0</v>
      </c>
      <c r="AD37" s="3">
        <v>0</v>
      </c>
      <c r="AE37" s="80">
        <f t="shared" si="8"/>
        <v>269</v>
      </c>
      <c r="AF37" s="31">
        <f t="shared" si="63"/>
        <v>3.0817843866171004</v>
      </c>
      <c r="AG37" s="21">
        <f t="shared" si="154"/>
        <v>0</v>
      </c>
      <c r="AH37" s="3">
        <v>0</v>
      </c>
      <c r="AI37" s="15"/>
      <c r="AJ37" s="3">
        <f t="shared" si="155"/>
        <v>0</v>
      </c>
      <c r="AK37" s="80">
        <f t="shared" si="10"/>
        <v>227</v>
      </c>
      <c r="AL37" s="31">
        <f t="shared" si="64"/>
        <v>2.3127753303964758</v>
      </c>
      <c r="AM37" s="21">
        <f t="shared" si="156"/>
        <v>0</v>
      </c>
      <c r="AN37" s="3">
        <v>3054312</v>
      </c>
      <c r="AO37" s="80">
        <f t="shared" si="11"/>
        <v>260</v>
      </c>
      <c r="AP37" s="31">
        <f t="shared" si="65"/>
        <v>2.1846153846153844</v>
      </c>
      <c r="AQ37" s="21">
        <f t="shared" si="157"/>
        <v>6672496.9846153837</v>
      </c>
      <c r="AR37" s="3">
        <v>2262543</v>
      </c>
      <c r="AS37" s="80">
        <f t="shared" si="13"/>
        <v>261</v>
      </c>
      <c r="AT37" s="31">
        <f t="shared" si="66"/>
        <v>2.6206896551724137</v>
      </c>
      <c r="AU37" s="21">
        <f t="shared" si="158"/>
        <v>5929423.0344827585</v>
      </c>
      <c r="AV37" s="3">
        <v>383860</v>
      </c>
      <c r="AW37" s="80">
        <f t="shared" si="15"/>
        <v>232</v>
      </c>
      <c r="AX37" s="31">
        <f t="shared" si="16"/>
        <v>2.2672413793103448</v>
      </c>
      <c r="AY37" s="21">
        <f t="shared" si="159"/>
        <v>870303.27586206899</v>
      </c>
      <c r="AZ37" s="3">
        <v>1213777</v>
      </c>
      <c r="BA37" s="80">
        <f t="shared" si="18"/>
        <v>233</v>
      </c>
      <c r="BB37" s="31">
        <f t="shared" si="19"/>
        <v>2.6351931330472103</v>
      </c>
      <c r="BC37" s="21">
        <f t="shared" si="160"/>
        <v>3198536.8154506437</v>
      </c>
      <c r="BD37" s="15">
        <v>2549676</v>
      </c>
      <c r="BE37" s="3">
        <f t="shared" si="161"/>
        <v>2100933.0239999997</v>
      </c>
      <c r="BF37" s="80">
        <f t="shared" si="21"/>
        <v>215</v>
      </c>
      <c r="BG37" s="31">
        <f t="shared" si="68"/>
        <v>2.8465116279069766</v>
      </c>
      <c r="BH37" s="21">
        <f t="shared" si="162"/>
        <v>5980330.2822697666</v>
      </c>
      <c r="BI37" s="3">
        <f t="shared" si="163"/>
        <v>448742.97599999997</v>
      </c>
      <c r="BJ37" s="80">
        <f t="shared" si="23"/>
        <v>197</v>
      </c>
      <c r="BK37" s="31">
        <f t="shared" si="69"/>
        <v>3.3096446700507616</v>
      </c>
      <c r="BL37" s="21">
        <f t="shared" si="164"/>
        <v>1485179.7987411167</v>
      </c>
      <c r="BM37" s="3">
        <v>1478352</v>
      </c>
      <c r="BN37" s="80">
        <f t="shared" si="25"/>
        <v>239</v>
      </c>
      <c r="BO37" s="31">
        <f t="shared" si="70"/>
        <v>2.1297071129707112</v>
      </c>
      <c r="BP37" s="21">
        <f t="shared" si="165"/>
        <v>3148456.7698744768</v>
      </c>
      <c r="BQ37" s="3">
        <v>1231772</v>
      </c>
      <c r="BR37" s="3"/>
      <c r="BS37" s="3">
        <f t="shared" si="166"/>
        <v>1231772</v>
      </c>
      <c r="BT37" s="80">
        <f t="shared" si="28"/>
        <v>201</v>
      </c>
      <c r="BU37" s="31">
        <f t="shared" si="71"/>
        <v>1.7661691542288558</v>
      </c>
      <c r="BV37" s="21">
        <f t="shared" si="167"/>
        <v>2175517.7114427863</v>
      </c>
      <c r="BW37" s="2">
        <v>169089</v>
      </c>
      <c r="BX37" s="80">
        <f t="shared" si="29"/>
        <v>280</v>
      </c>
      <c r="BY37" s="31">
        <f t="shared" si="72"/>
        <v>2.6071428571428572</v>
      </c>
      <c r="BZ37" s="22">
        <f t="shared" si="168"/>
        <v>440839.17857142858</v>
      </c>
      <c r="CA37" s="2">
        <v>0</v>
      </c>
      <c r="CB37" s="80">
        <f t="shared" si="31"/>
        <v>280</v>
      </c>
      <c r="CC37" s="31">
        <f t="shared" si="73"/>
        <v>2.6071428571428572</v>
      </c>
      <c r="CD37" s="22">
        <f t="shared" si="169"/>
        <v>0</v>
      </c>
      <c r="CE37" s="3">
        <v>246093</v>
      </c>
      <c r="CF37" s="3">
        <v>0</v>
      </c>
      <c r="CG37" s="3">
        <f t="shared" si="170"/>
        <v>246093</v>
      </c>
      <c r="CH37" s="25">
        <f t="shared" si="171"/>
        <v>73827.899999999994</v>
      </c>
      <c r="CI37" s="3">
        <v>63211</v>
      </c>
      <c r="CJ37" s="3">
        <v>0</v>
      </c>
      <c r="CK37" s="3">
        <f t="shared" si="172"/>
        <v>63211</v>
      </c>
      <c r="CL37" s="134">
        <f t="shared" si="36"/>
        <v>229</v>
      </c>
      <c r="CM37" s="31">
        <f t="shared" si="74"/>
        <v>2.2707423580786026</v>
      </c>
      <c r="CN37" s="21">
        <f t="shared" si="173"/>
        <v>143535.89519650655</v>
      </c>
      <c r="CO37" s="3">
        <v>2655032</v>
      </c>
      <c r="CP37" s="3">
        <v>0</v>
      </c>
      <c r="CQ37" s="59">
        <v>0</v>
      </c>
      <c r="CR37" s="2">
        <f t="shared" si="174"/>
        <v>2655032</v>
      </c>
      <c r="CS37" s="80">
        <f t="shared" si="39"/>
        <v>253</v>
      </c>
      <c r="CT37" s="31">
        <f t="shared" si="75"/>
        <v>2.731225296442688</v>
      </c>
      <c r="CU37" s="21">
        <f t="shared" si="175"/>
        <v>7251490.5612648223</v>
      </c>
      <c r="CV37" s="2">
        <v>683031</v>
      </c>
      <c r="CW37" s="92">
        <f t="shared" si="41"/>
        <v>229</v>
      </c>
      <c r="CX37" s="31">
        <f t="shared" si="76"/>
        <v>2.2707423580786026</v>
      </c>
      <c r="CY37" s="21">
        <f t="shared" si="176"/>
        <v>1550987.423580786</v>
      </c>
      <c r="CZ37" s="3">
        <v>2656849</v>
      </c>
      <c r="DA37" s="80">
        <f t="shared" si="43"/>
        <v>241</v>
      </c>
      <c r="DB37" s="31">
        <f t="shared" si="77"/>
        <v>2.6970954356846475</v>
      </c>
      <c r="DC37" s="21">
        <f t="shared" si="177"/>
        <v>7165775.3112033196</v>
      </c>
      <c r="DD37" s="3">
        <v>0</v>
      </c>
      <c r="DE37" s="3">
        <v>0</v>
      </c>
      <c r="DF37" s="59">
        <v>0</v>
      </c>
      <c r="DG37" s="3">
        <f t="shared" si="178"/>
        <v>0</v>
      </c>
      <c r="DH37" s="3">
        <f t="shared" si="180"/>
        <v>0</v>
      </c>
      <c r="DI37" s="136">
        <f t="shared" si="47"/>
        <v>274</v>
      </c>
      <c r="DJ37" s="41">
        <f t="shared" si="78"/>
        <v>3.167883211678832</v>
      </c>
      <c r="DK37" s="21">
        <f t="shared" si="179"/>
        <v>0</v>
      </c>
    </row>
    <row r="38" spans="1:115">
      <c r="A38" s="7">
        <v>1981</v>
      </c>
      <c r="B38" s="3">
        <v>68933</v>
      </c>
      <c r="C38" s="3">
        <v>0</v>
      </c>
      <c r="D38" s="3">
        <f t="shared" si="145"/>
        <v>68933</v>
      </c>
      <c r="E38" s="25">
        <f t="shared" si="146"/>
        <v>48253.1</v>
      </c>
      <c r="F38" s="3">
        <v>0</v>
      </c>
      <c r="G38" s="59">
        <v>0</v>
      </c>
      <c r="H38" s="15">
        <f t="shared" si="147"/>
        <v>0</v>
      </c>
      <c r="I38" s="80">
        <f t="shared" si="2"/>
        <v>225</v>
      </c>
      <c r="J38" s="132">
        <f t="shared" si="59"/>
        <v>2.3111111111111109</v>
      </c>
      <c r="K38" s="21">
        <f t="shared" si="148"/>
        <v>0</v>
      </c>
      <c r="L38" s="3">
        <v>840774</v>
      </c>
      <c r="M38" s="3">
        <v>0</v>
      </c>
      <c r="N38" s="59">
        <v>0</v>
      </c>
      <c r="O38" s="3">
        <f t="shared" si="149"/>
        <v>840774</v>
      </c>
      <c r="P38" s="80">
        <f t="shared" si="4"/>
        <v>233</v>
      </c>
      <c r="Q38" s="31">
        <f t="shared" si="60"/>
        <v>2.5536480686695278</v>
      </c>
      <c r="R38" s="21">
        <f t="shared" si="150"/>
        <v>2147040.9012875534</v>
      </c>
      <c r="S38" s="3">
        <v>696545</v>
      </c>
      <c r="T38" s="3">
        <v>0</v>
      </c>
      <c r="U38" s="59">
        <v>0</v>
      </c>
      <c r="V38" s="3">
        <f t="shared" si="151"/>
        <v>696545</v>
      </c>
      <c r="W38" s="80">
        <f t="shared" si="6"/>
        <v>241</v>
      </c>
      <c r="X38" s="31">
        <f t="shared" si="61"/>
        <v>2.5311203319502074</v>
      </c>
      <c r="Y38" s="21">
        <f t="shared" si="152"/>
        <v>1763039.2116182572</v>
      </c>
      <c r="Z38" s="3">
        <v>0</v>
      </c>
      <c r="AA38" s="80">
        <f t="shared" si="7"/>
        <v>226</v>
      </c>
      <c r="AB38" s="31">
        <f t="shared" si="62"/>
        <v>2.4247787610619471</v>
      </c>
      <c r="AC38" s="21">
        <f t="shared" si="153"/>
        <v>0</v>
      </c>
      <c r="AD38" s="3">
        <v>0</v>
      </c>
      <c r="AE38" s="80">
        <f t="shared" si="8"/>
        <v>244</v>
      </c>
      <c r="AF38" s="31">
        <f t="shared" si="63"/>
        <v>3.3975409836065573</v>
      </c>
      <c r="AG38" s="21">
        <f t="shared" si="154"/>
        <v>0</v>
      </c>
      <c r="AH38" s="3">
        <v>0</v>
      </c>
      <c r="AI38" s="15"/>
      <c r="AJ38" s="3">
        <f t="shared" si="155"/>
        <v>0</v>
      </c>
      <c r="AK38" s="80">
        <f t="shared" si="10"/>
        <v>203</v>
      </c>
      <c r="AL38" s="31">
        <f t="shared" si="64"/>
        <v>2.5862068965517242</v>
      </c>
      <c r="AM38" s="21">
        <f t="shared" si="156"/>
        <v>0</v>
      </c>
      <c r="AN38" s="3">
        <v>4281005</v>
      </c>
      <c r="AO38" s="80">
        <f t="shared" si="11"/>
        <v>242</v>
      </c>
      <c r="AP38" s="31">
        <f t="shared" si="65"/>
        <v>2.3471074380165291</v>
      </c>
      <c r="AQ38" s="21">
        <f t="shared" si="157"/>
        <v>10047978.677685952</v>
      </c>
      <c r="AR38" s="3">
        <v>2602278</v>
      </c>
      <c r="AS38" s="80">
        <f t="shared" si="13"/>
        <v>243</v>
      </c>
      <c r="AT38" s="31">
        <f t="shared" si="66"/>
        <v>2.8148148148148149</v>
      </c>
      <c r="AU38" s="21">
        <f t="shared" si="158"/>
        <v>7324930.666666667</v>
      </c>
      <c r="AV38" s="3">
        <v>362835</v>
      </c>
      <c r="AW38" s="80">
        <f t="shared" si="15"/>
        <v>217</v>
      </c>
      <c r="AX38" s="31">
        <f t="shared" si="16"/>
        <v>2.4239631336405529</v>
      </c>
      <c r="AY38" s="21">
        <f t="shared" si="159"/>
        <v>879498.66359447001</v>
      </c>
      <c r="AZ38" s="3">
        <v>902049</v>
      </c>
      <c r="BA38" s="80">
        <f t="shared" si="18"/>
        <v>230</v>
      </c>
      <c r="BB38" s="31">
        <f t="shared" si="19"/>
        <v>2.6695652173913045</v>
      </c>
      <c r="BC38" s="21">
        <f t="shared" si="160"/>
        <v>2408078.6347826086</v>
      </c>
      <c r="BD38" s="15">
        <v>3317468</v>
      </c>
      <c r="BE38" s="3">
        <f t="shared" si="161"/>
        <v>2733593.6319999998</v>
      </c>
      <c r="BF38" s="80">
        <f t="shared" si="21"/>
        <v>199</v>
      </c>
      <c r="BG38" s="31">
        <f t="shared" si="68"/>
        <v>3.0753768844221105</v>
      </c>
      <c r="BH38" s="21">
        <f t="shared" si="162"/>
        <v>8406830.6672562808</v>
      </c>
      <c r="BI38" s="3">
        <f t="shared" si="163"/>
        <v>583874.36800000002</v>
      </c>
      <c r="BJ38" s="80">
        <f t="shared" si="23"/>
        <v>196</v>
      </c>
      <c r="BK38" s="31">
        <f t="shared" si="69"/>
        <v>3.3265306122448979</v>
      </c>
      <c r="BL38" s="21">
        <f t="shared" si="164"/>
        <v>1942275.9588571428</v>
      </c>
      <c r="BM38" s="3">
        <v>1828823</v>
      </c>
      <c r="BN38" s="80">
        <f t="shared" si="25"/>
        <v>224</v>
      </c>
      <c r="BO38" s="31">
        <f t="shared" si="70"/>
        <v>2.2723214285714284</v>
      </c>
      <c r="BP38" s="21">
        <f t="shared" si="165"/>
        <v>4155673.6919642854</v>
      </c>
      <c r="BQ38" s="3">
        <v>517353</v>
      </c>
      <c r="BR38" s="3"/>
      <c r="BS38" s="3">
        <f t="shared" si="166"/>
        <v>517353</v>
      </c>
      <c r="BT38" s="80">
        <f t="shared" si="28"/>
        <v>172</v>
      </c>
      <c r="BU38" s="31">
        <f t="shared" si="71"/>
        <v>2.0639534883720931</v>
      </c>
      <c r="BV38" s="21">
        <f t="shared" si="167"/>
        <v>1067792.5290697676</v>
      </c>
      <c r="BW38" s="2">
        <v>359957</v>
      </c>
      <c r="BX38" s="80">
        <f t="shared" si="29"/>
        <v>261</v>
      </c>
      <c r="BY38" s="31">
        <f t="shared" si="72"/>
        <v>2.7969348659003832</v>
      </c>
      <c r="BZ38" s="22">
        <f t="shared" si="168"/>
        <v>1006776.2835249043</v>
      </c>
      <c r="CA38" s="2">
        <v>0</v>
      </c>
      <c r="CB38" s="2"/>
      <c r="CD38" s="22">
        <v>0</v>
      </c>
      <c r="CE38" s="3">
        <v>68933</v>
      </c>
      <c r="CF38" s="3">
        <v>0</v>
      </c>
      <c r="CG38" s="3">
        <f t="shared" si="170"/>
        <v>68933</v>
      </c>
      <c r="CH38" s="25">
        <f t="shared" si="171"/>
        <v>20679.899999999998</v>
      </c>
      <c r="CI38" s="3">
        <v>23069</v>
      </c>
      <c r="CJ38" s="3">
        <v>0</v>
      </c>
      <c r="CK38" s="3">
        <f t="shared" si="172"/>
        <v>23069</v>
      </c>
      <c r="CL38" s="134">
        <f t="shared" si="36"/>
        <v>225</v>
      </c>
      <c r="CM38" s="31">
        <f t="shared" si="74"/>
        <v>2.3111111111111109</v>
      </c>
      <c r="CN38" s="21">
        <f t="shared" si="173"/>
        <v>53315.022222222215</v>
      </c>
      <c r="CO38" s="3">
        <v>5435268</v>
      </c>
      <c r="CP38" s="3">
        <v>0</v>
      </c>
      <c r="CQ38" s="59">
        <v>0</v>
      </c>
      <c r="CR38" s="2">
        <f t="shared" si="174"/>
        <v>5435268</v>
      </c>
      <c r="CS38" s="80">
        <f t="shared" si="39"/>
        <v>237</v>
      </c>
      <c r="CT38" s="31">
        <f t="shared" si="75"/>
        <v>2.9156118143459917</v>
      </c>
      <c r="CU38" s="21">
        <f t="shared" si="175"/>
        <v>15847131.59493671</v>
      </c>
      <c r="CV38" s="2">
        <v>116056</v>
      </c>
      <c r="CW38" s="92">
        <f t="shared" si="41"/>
        <v>225</v>
      </c>
      <c r="CX38" s="31">
        <f t="shared" si="76"/>
        <v>2.3111111111111109</v>
      </c>
      <c r="CY38" s="21">
        <f t="shared" si="176"/>
        <v>268218.31111111108</v>
      </c>
      <c r="CZ38" s="3">
        <v>3080714</v>
      </c>
      <c r="DA38" s="80">
        <f t="shared" si="43"/>
        <v>223</v>
      </c>
      <c r="DB38" s="31">
        <f t="shared" si="77"/>
        <v>2.9147982062780269</v>
      </c>
      <c r="DC38" s="21">
        <f t="shared" si="177"/>
        <v>8979659.641255606</v>
      </c>
      <c r="DD38" s="3">
        <v>168853</v>
      </c>
      <c r="DE38" s="3">
        <v>168853</v>
      </c>
      <c r="DF38" s="3">
        <v>0</v>
      </c>
      <c r="DG38" s="3">
        <f t="shared" si="178"/>
        <v>168853</v>
      </c>
      <c r="DH38" s="3">
        <f t="shared" si="180"/>
        <v>84426.5</v>
      </c>
      <c r="DI38" s="136">
        <f t="shared" si="47"/>
        <v>242</v>
      </c>
      <c r="DJ38" s="41">
        <f t="shared" si="78"/>
        <v>3.5867768595041323</v>
      </c>
      <c r="DK38" s="21">
        <f t="shared" si="179"/>
        <v>302819.01652892563</v>
      </c>
    </row>
    <row r="39" spans="1:115">
      <c r="A39" s="7">
        <v>1980</v>
      </c>
      <c r="B39" s="3">
        <v>140611</v>
      </c>
      <c r="C39" s="3">
        <v>0</v>
      </c>
      <c r="D39" s="3">
        <f t="shared" si="145"/>
        <v>140611</v>
      </c>
      <c r="E39" s="25">
        <f t="shared" si="146"/>
        <v>98427.7</v>
      </c>
      <c r="F39" s="3">
        <v>5044</v>
      </c>
      <c r="G39" s="59">
        <v>0</v>
      </c>
      <c r="H39" s="15">
        <f t="shared" si="147"/>
        <v>5044</v>
      </c>
      <c r="I39" s="80">
        <f t="shared" si="2"/>
        <v>210</v>
      </c>
      <c r="J39" s="132">
        <f t="shared" si="59"/>
        <v>2.4761904761904763</v>
      </c>
      <c r="K39" s="21">
        <f t="shared" si="148"/>
        <v>12489.904761904761</v>
      </c>
      <c r="L39" s="3">
        <v>762669</v>
      </c>
      <c r="M39" s="3">
        <v>0</v>
      </c>
      <c r="N39" s="59">
        <v>0</v>
      </c>
      <c r="O39" s="3">
        <f t="shared" si="149"/>
        <v>762669</v>
      </c>
      <c r="P39" s="80">
        <f t="shared" si="4"/>
        <v>211</v>
      </c>
      <c r="Q39" s="31">
        <f t="shared" si="60"/>
        <v>2.8199052132701423</v>
      </c>
      <c r="R39" s="21">
        <f t="shared" si="150"/>
        <v>2150654.2890995261</v>
      </c>
      <c r="S39" s="3">
        <v>966034</v>
      </c>
      <c r="T39" s="3">
        <v>0</v>
      </c>
      <c r="U39" s="59">
        <v>0</v>
      </c>
      <c r="V39" s="3">
        <f t="shared" si="151"/>
        <v>966034</v>
      </c>
      <c r="W39" s="80">
        <f t="shared" si="6"/>
        <v>220</v>
      </c>
      <c r="X39" s="31">
        <f t="shared" si="61"/>
        <v>2.7727272727272729</v>
      </c>
      <c r="Y39" s="21">
        <f t="shared" si="152"/>
        <v>2678548.8181818184</v>
      </c>
      <c r="Z39" s="3">
        <v>0</v>
      </c>
      <c r="AA39" s="80">
        <f t="shared" si="7"/>
        <v>205</v>
      </c>
      <c r="AB39" s="31">
        <f t="shared" si="62"/>
        <v>2.6731707317073172</v>
      </c>
      <c r="AC39" s="21">
        <f t="shared" si="153"/>
        <v>0</v>
      </c>
      <c r="AD39" s="3">
        <v>0</v>
      </c>
      <c r="AE39" s="80">
        <f t="shared" si="8"/>
        <v>221</v>
      </c>
      <c r="AF39" s="31">
        <f t="shared" si="63"/>
        <v>3.751131221719457</v>
      </c>
      <c r="AG39" s="21">
        <f t="shared" si="154"/>
        <v>0</v>
      </c>
      <c r="AH39" s="3">
        <v>0</v>
      </c>
      <c r="AI39" s="15"/>
      <c r="AJ39" s="3">
        <f t="shared" si="155"/>
        <v>0</v>
      </c>
      <c r="AK39" s="80">
        <f t="shared" si="10"/>
        <v>184</v>
      </c>
      <c r="AL39" s="31">
        <f t="shared" si="64"/>
        <v>2.8532608695652173</v>
      </c>
      <c r="AM39" s="21">
        <f t="shared" si="156"/>
        <v>0</v>
      </c>
      <c r="AN39" s="3">
        <v>3623122</v>
      </c>
      <c r="AO39" s="80">
        <f t="shared" si="11"/>
        <v>220</v>
      </c>
      <c r="AP39" s="31">
        <f t="shared" si="65"/>
        <v>2.581818181818182</v>
      </c>
      <c r="AQ39" s="21">
        <f t="shared" si="157"/>
        <v>9354242.2545454558</v>
      </c>
      <c r="AR39" s="3">
        <v>2247702</v>
      </c>
      <c r="AS39" s="80">
        <f t="shared" si="13"/>
        <v>221</v>
      </c>
      <c r="AT39" s="31">
        <f t="shared" si="66"/>
        <v>3.0950226244343892</v>
      </c>
      <c r="AU39" s="21">
        <f t="shared" si="158"/>
        <v>6956688.5429864256</v>
      </c>
      <c r="AV39" s="3">
        <v>375227</v>
      </c>
      <c r="AW39" s="80">
        <f t="shared" si="15"/>
        <v>198</v>
      </c>
      <c r="AX39" s="31">
        <f t="shared" si="16"/>
        <v>2.6565656565656566</v>
      </c>
      <c r="AY39" s="21">
        <f t="shared" si="159"/>
        <v>996815.16161616158</v>
      </c>
      <c r="AZ39" s="3">
        <v>669554</v>
      </c>
      <c r="BA39" s="80">
        <f t="shared" si="18"/>
        <v>224</v>
      </c>
      <c r="BB39" s="31">
        <f t="shared" si="19"/>
        <v>2.7410714285714284</v>
      </c>
      <c r="BC39" s="21">
        <f t="shared" si="160"/>
        <v>1835295.3392857141</v>
      </c>
      <c r="BD39" s="15">
        <v>2764401</v>
      </c>
      <c r="BE39" s="3">
        <f t="shared" si="161"/>
        <v>2277866.4239999996</v>
      </c>
      <c r="BF39" s="80">
        <f t="shared" si="21"/>
        <v>170</v>
      </c>
      <c r="BG39" s="31">
        <f t="shared" si="68"/>
        <v>3.6</v>
      </c>
      <c r="BH39" s="21">
        <f t="shared" si="162"/>
        <v>8200319.1263999986</v>
      </c>
      <c r="BI39" s="3">
        <f t="shared" si="163"/>
        <v>486534.57599999994</v>
      </c>
      <c r="BJ39" s="80">
        <f t="shared" si="23"/>
        <v>167</v>
      </c>
      <c r="BK39" s="31">
        <f t="shared" si="69"/>
        <v>3.9041916167664672</v>
      </c>
      <c r="BL39" s="21">
        <f t="shared" si="164"/>
        <v>1899524.2128862273</v>
      </c>
      <c r="BM39" s="3">
        <v>1796858</v>
      </c>
      <c r="BN39" s="80">
        <f t="shared" si="25"/>
        <v>207</v>
      </c>
      <c r="BO39" s="31">
        <f t="shared" si="70"/>
        <v>2.4589371980676327</v>
      </c>
      <c r="BP39" s="21">
        <f t="shared" si="165"/>
        <v>4418360.9758454105</v>
      </c>
      <c r="BQ39" s="3">
        <v>385771</v>
      </c>
      <c r="BR39" s="3"/>
      <c r="BS39" s="3">
        <f t="shared" si="166"/>
        <v>385771</v>
      </c>
      <c r="BT39" s="80">
        <f t="shared" si="28"/>
        <v>154</v>
      </c>
      <c r="BU39" s="31">
        <f t="shared" si="71"/>
        <v>2.3051948051948052</v>
      </c>
      <c r="BV39" s="21">
        <f t="shared" si="167"/>
        <v>889277.30519480526</v>
      </c>
      <c r="BW39" s="2">
        <v>333437</v>
      </c>
      <c r="BX39" s="80">
        <f t="shared" si="29"/>
        <v>245</v>
      </c>
      <c r="BY39" s="31">
        <f t="shared" si="72"/>
        <v>2.9795918367346941</v>
      </c>
      <c r="BZ39" s="22">
        <f t="shared" si="168"/>
        <v>993506.16326530615</v>
      </c>
      <c r="CA39" s="2">
        <v>0</v>
      </c>
      <c r="CB39" s="2"/>
      <c r="CD39" s="22">
        <v>0</v>
      </c>
      <c r="CE39" s="3">
        <v>140611</v>
      </c>
      <c r="CF39" s="3">
        <v>0</v>
      </c>
      <c r="CG39" s="3">
        <f t="shared" si="170"/>
        <v>140611</v>
      </c>
      <c r="CH39" s="25">
        <f t="shared" si="171"/>
        <v>42183.299999999996</v>
      </c>
      <c r="CI39" s="3">
        <v>108841</v>
      </c>
      <c r="CJ39" s="3">
        <v>0</v>
      </c>
      <c r="CK39" s="3">
        <f t="shared" si="172"/>
        <v>108841</v>
      </c>
      <c r="CL39" s="134">
        <f t="shared" si="36"/>
        <v>210</v>
      </c>
      <c r="CM39" s="31">
        <f t="shared" si="74"/>
        <v>2.4761904761904763</v>
      </c>
      <c r="CN39" s="21">
        <f t="shared" si="173"/>
        <v>269511.04761904763</v>
      </c>
      <c r="CO39" s="3">
        <v>3017757</v>
      </c>
      <c r="CP39" s="3">
        <v>0</v>
      </c>
      <c r="CQ39" s="59">
        <v>0</v>
      </c>
      <c r="CR39" s="2">
        <f t="shared" si="174"/>
        <v>3017757</v>
      </c>
      <c r="CS39" s="80">
        <f t="shared" si="39"/>
        <v>218</v>
      </c>
      <c r="CT39" s="31">
        <f t="shared" si="75"/>
        <v>3.169724770642202</v>
      </c>
      <c r="CU39" s="21">
        <f t="shared" si="175"/>
        <v>9565459.1146788988</v>
      </c>
      <c r="CV39" s="2">
        <v>836679</v>
      </c>
      <c r="CW39" s="92">
        <f t="shared" si="41"/>
        <v>210</v>
      </c>
      <c r="CX39" s="31">
        <f t="shared" si="76"/>
        <v>2.4761904761904763</v>
      </c>
      <c r="CY39" s="21">
        <f t="shared" si="176"/>
        <v>2071776.5714285716</v>
      </c>
      <c r="CZ39" s="3">
        <v>3419406</v>
      </c>
      <c r="DA39" s="80">
        <f t="shared" si="43"/>
        <v>204</v>
      </c>
      <c r="DB39" s="31">
        <f t="shared" si="77"/>
        <v>3.1862745098039214</v>
      </c>
      <c r="DC39" s="21">
        <f t="shared" si="177"/>
        <v>10895166.176470587</v>
      </c>
      <c r="DD39" s="3">
        <v>124591</v>
      </c>
      <c r="DE39" s="3">
        <v>124591</v>
      </c>
      <c r="DF39" s="3">
        <v>0</v>
      </c>
      <c r="DG39" s="3">
        <f t="shared" si="178"/>
        <v>124591</v>
      </c>
      <c r="DH39" s="3">
        <f t="shared" si="180"/>
        <v>62295.5</v>
      </c>
      <c r="DI39" s="136">
        <f t="shared" si="47"/>
        <v>216</v>
      </c>
      <c r="DJ39" s="41">
        <f t="shared" si="78"/>
        <v>4.0185185185185182</v>
      </c>
      <c r="DK39" s="21">
        <f t="shared" si="179"/>
        <v>250335.62037037034</v>
      </c>
    </row>
    <row r="40" spans="1:115">
      <c r="A40" s="7">
        <v>1979</v>
      </c>
      <c r="B40" s="3">
        <v>90724</v>
      </c>
      <c r="C40" s="3">
        <v>0</v>
      </c>
      <c r="D40" s="3">
        <f t="shared" si="145"/>
        <v>90724</v>
      </c>
      <c r="E40" s="25">
        <f t="shared" si="146"/>
        <v>63506.799999999996</v>
      </c>
      <c r="F40" s="3">
        <v>11826</v>
      </c>
      <c r="G40" s="59">
        <v>0</v>
      </c>
      <c r="H40" s="15">
        <f t="shared" si="147"/>
        <v>11826</v>
      </c>
      <c r="I40" s="80">
        <f t="shared" si="2"/>
        <v>187</v>
      </c>
      <c r="J40" s="132">
        <f t="shared" si="59"/>
        <v>2.7807486631016043</v>
      </c>
      <c r="K40" s="21">
        <f t="shared" si="148"/>
        <v>32885.133689839575</v>
      </c>
      <c r="L40" s="3">
        <v>984183</v>
      </c>
      <c r="M40" s="3">
        <v>0</v>
      </c>
      <c r="N40" s="59">
        <v>0</v>
      </c>
      <c r="O40" s="3">
        <f t="shared" si="149"/>
        <v>984183</v>
      </c>
      <c r="P40" s="80">
        <f t="shared" si="4"/>
        <v>189</v>
      </c>
      <c r="Q40" s="31">
        <f t="shared" si="60"/>
        <v>3.1481481481481484</v>
      </c>
      <c r="R40" s="21">
        <f t="shared" si="150"/>
        <v>3098353.888888889</v>
      </c>
      <c r="S40" s="3">
        <v>696371</v>
      </c>
      <c r="T40" s="3">
        <v>0</v>
      </c>
      <c r="U40" s="59">
        <v>0</v>
      </c>
      <c r="V40" s="3">
        <f t="shared" si="151"/>
        <v>696371</v>
      </c>
      <c r="W40" s="80">
        <f t="shared" si="6"/>
        <v>193</v>
      </c>
      <c r="X40" s="31">
        <f t="shared" si="61"/>
        <v>3.1606217616580312</v>
      </c>
      <c r="Y40" s="21">
        <f t="shared" si="152"/>
        <v>2200965.3367875647</v>
      </c>
      <c r="Z40" s="3">
        <v>0</v>
      </c>
      <c r="AA40" s="80">
        <f t="shared" si="7"/>
        <v>185</v>
      </c>
      <c r="AB40" s="31">
        <f t="shared" si="62"/>
        <v>2.9621621621621621</v>
      </c>
      <c r="AC40" s="21">
        <f t="shared" si="153"/>
        <v>0</v>
      </c>
      <c r="AD40" s="3">
        <v>0</v>
      </c>
      <c r="AE40" s="80">
        <f t="shared" si="8"/>
        <v>189</v>
      </c>
      <c r="AF40" s="31">
        <f t="shared" si="63"/>
        <v>4.3862433862433861</v>
      </c>
      <c r="AG40" s="21">
        <f t="shared" si="154"/>
        <v>0</v>
      </c>
      <c r="AH40" s="3">
        <v>0</v>
      </c>
      <c r="AI40" s="15"/>
      <c r="AJ40" s="3">
        <f t="shared" si="155"/>
        <v>0</v>
      </c>
      <c r="AK40" s="80">
        <f t="shared" si="10"/>
        <v>166</v>
      </c>
      <c r="AL40" s="31">
        <f t="shared" si="64"/>
        <v>3.1626506024096384</v>
      </c>
      <c r="AM40" s="21">
        <f t="shared" si="156"/>
        <v>0</v>
      </c>
      <c r="AN40" s="3">
        <v>4295578</v>
      </c>
      <c r="AO40" s="80">
        <f t="shared" si="11"/>
        <v>197</v>
      </c>
      <c r="AP40" s="31">
        <f t="shared" si="65"/>
        <v>2.8832487309644672</v>
      </c>
      <c r="AQ40" s="21">
        <f t="shared" si="157"/>
        <v>12385219.817258883</v>
      </c>
      <c r="AR40" s="3">
        <v>2518517</v>
      </c>
      <c r="AS40" s="80">
        <f t="shared" si="13"/>
        <v>196</v>
      </c>
      <c r="AT40" s="31">
        <f t="shared" si="66"/>
        <v>3.489795918367347</v>
      </c>
      <c r="AU40" s="21">
        <f t="shared" si="158"/>
        <v>8789110.3469387759</v>
      </c>
      <c r="AV40" s="3">
        <v>388767</v>
      </c>
      <c r="AW40" s="80">
        <f t="shared" si="15"/>
        <v>180</v>
      </c>
      <c r="AX40" s="31">
        <f t="shared" si="16"/>
        <v>2.9222222222222221</v>
      </c>
      <c r="AY40" s="21">
        <f t="shared" si="159"/>
        <v>1136063.5666666667</v>
      </c>
      <c r="AZ40" s="3">
        <v>0</v>
      </c>
      <c r="BA40" s="80">
        <f t="shared" si="18"/>
        <v>194</v>
      </c>
      <c r="BB40" s="31">
        <f t="shared" si="19"/>
        <v>3.1649484536082473</v>
      </c>
      <c r="BC40" s="21">
        <f t="shared" si="160"/>
        <v>0</v>
      </c>
      <c r="BD40" s="15">
        <v>3822527</v>
      </c>
      <c r="BE40" s="3">
        <f t="shared" si="161"/>
        <v>3149762.2479999997</v>
      </c>
      <c r="BF40" s="80">
        <f t="shared" si="21"/>
        <v>168</v>
      </c>
      <c r="BG40" s="31">
        <f t="shared" si="68"/>
        <v>3.6428571428571428</v>
      </c>
      <c r="BH40" s="21">
        <f t="shared" si="162"/>
        <v>11474133.903428569</v>
      </c>
      <c r="BI40" s="3">
        <f t="shared" si="163"/>
        <v>672764.75199999998</v>
      </c>
      <c r="BJ40" s="80">
        <f t="shared" si="23"/>
        <v>144</v>
      </c>
      <c r="BK40" s="31">
        <f t="shared" si="69"/>
        <v>4.5277777777777777</v>
      </c>
      <c r="BL40" s="21">
        <f t="shared" si="164"/>
        <v>3046129.2937777778</v>
      </c>
      <c r="BM40" s="3">
        <v>2150035</v>
      </c>
      <c r="BN40" s="80">
        <f t="shared" si="25"/>
        <v>181</v>
      </c>
      <c r="BO40" s="31">
        <f t="shared" si="70"/>
        <v>2.8121546961325965</v>
      </c>
      <c r="BP40" s="21">
        <f t="shared" si="165"/>
        <v>6046231.0220994474</v>
      </c>
      <c r="BQ40" s="3">
        <v>543349</v>
      </c>
      <c r="BR40" s="3"/>
      <c r="BS40" s="3">
        <f t="shared" si="166"/>
        <v>543349</v>
      </c>
      <c r="BT40" s="80">
        <f t="shared" si="28"/>
        <v>154</v>
      </c>
      <c r="BU40" s="31">
        <f t="shared" si="71"/>
        <v>2.3051948051948052</v>
      </c>
      <c r="BV40" s="21">
        <f t="shared" si="167"/>
        <v>1252525.2922077922</v>
      </c>
      <c r="BW40" s="2">
        <v>269172</v>
      </c>
      <c r="BX40" s="80">
        <f t="shared" si="29"/>
        <v>223</v>
      </c>
      <c r="BY40" s="31">
        <f t="shared" si="72"/>
        <v>3.2735426008968611</v>
      </c>
      <c r="BZ40" s="22">
        <f t="shared" si="168"/>
        <v>881146.00896860985</v>
      </c>
      <c r="CA40" s="2">
        <v>0</v>
      </c>
      <c r="CB40" s="2"/>
      <c r="CD40" s="22">
        <v>0</v>
      </c>
      <c r="CE40" s="3">
        <v>90724</v>
      </c>
      <c r="CF40" s="3">
        <v>0</v>
      </c>
      <c r="CG40" s="3">
        <f t="shared" si="170"/>
        <v>90724</v>
      </c>
      <c r="CH40" s="25">
        <f t="shared" si="171"/>
        <v>27217.200000000001</v>
      </c>
      <c r="CI40" s="3">
        <v>0</v>
      </c>
      <c r="CJ40" s="3">
        <v>0</v>
      </c>
      <c r="CK40" s="3">
        <f t="shared" si="172"/>
        <v>0</v>
      </c>
      <c r="CL40" s="134">
        <f t="shared" si="36"/>
        <v>187</v>
      </c>
      <c r="CM40" s="31">
        <f t="shared" si="74"/>
        <v>2.7807486631016043</v>
      </c>
      <c r="CN40" s="21">
        <f t="shared" si="173"/>
        <v>0</v>
      </c>
      <c r="CO40" s="3">
        <v>1364524</v>
      </c>
      <c r="CP40" s="3">
        <v>0</v>
      </c>
      <c r="CQ40" s="59">
        <v>0</v>
      </c>
      <c r="CR40" s="2">
        <f t="shared" si="174"/>
        <v>1364524</v>
      </c>
      <c r="CS40" s="80">
        <f t="shared" si="39"/>
        <v>197</v>
      </c>
      <c r="CT40" s="31">
        <f t="shared" si="75"/>
        <v>3.5076142131979697</v>
      </c>
      <c r="CU40" s="21">
        <f t="shared" si="175"/>
        <v>4786223.7766497461</v>
      </c>
      <c r="CV40" s="2">
        <v>154633</v>
      </c>
      <c r="CW40" s="92">
        <f t="shared" si="41"/>
        <v>187</v>
      </c>
      <c r="CX40" s="31">
        <f t="shared" si="76"/>
        <v>2.7807486631016043</v>
      </c>
      <c r="CY40" s="21">
        <f t="shared" si="176"/>
        <v>429995.50802139036</v>
      </c>
      <c r="CZ40" s="3">
        <v>2635887</v>
      </c>
      <c r="DA40" s="80">
        <f t="shared" si="43"/>
        <v>187</v>
      </c>
      <c r="DB40" s="31">
        <f t="shared" si="77"/>
        <v>3.4759358288770055</v>
      </c>
      <c r="DC40" s="21">
        <f t="shared" si="177"/>
        <v>9162174.0641711242</v>
      </c>
      <c r="DD40" s="3">
        <v>97088</v>
      </c>
      <c r="DE40" s="3">
        <v>97088</v>
      </c>
      <c r="DF40" s="3">
        <v>0</v>
      </c>
      <c r="DG40" s="3">
        <f t="shared" si="178"/>
        <v>97088</v>
      </c>
      <c r="DH40" s="3">
        <f t="shared" si="180"/>
        <v>48544</v>
      </c>
      <c r="DI40" s="136">
        <f t="shared" si="47"/>
        <v>195</v>
      </c>
      <c r="DJ40" s="41">
        <f t="shared" si="78"/>
        <v>4.4512820512820515</v>
      </c>
      <c r="DK40" s="21">
        <f t="shared" si="179"/>
        <v>216083.03589743591</v>
      </c>
    </row>
    <row r="41" spans="1:115">
      <c r="A41" s="7">
        <v>1978</v>
      </c>
      <c r="B41" s="3">
        <v>120463</v>
      </c>
      <c r="C41" s="3">
        <v>0</v>
      </c>
      <c r="D41" s="3">
        <f t="shared" si="145"/>
        <v>120463</v>
      </c>
      <c r="E41" s="25">
        <f t="shared" si="146"/>
        <v>84324.099999999991</v>
      </c>
      <c r="F41" s="3">
        <v>0</v>
      </c>
      <c r="G41" s="59">
        <v>0</v>
      </c>
      <c r="H41" s="15">
        <f t="shared" si="147"/>
        <v>0</v>
      </c>
      <c r="I41" s="80">
        <f t="shared" ref="I41:I72" si="181">INDEX(HW_Data,MATCH(A41,HW_Year,0),$I$1)</f>
        <v>169</v>
      </c>
      <c r="J41" s="132">
        <f t="shared" si="59"/>
        <v>3.0769230769230771</v>
      </c>
      <c r="K41" s="21">
        <f t="shared" si="148"/>
        <v>0</v>
      </c>
      <c r="L41" s="3">
        <v>826902</v>
      </c>
      <c r="M41" s="3">
        <v>0</v>
      </c>
      <c r="N41" s="59">
        <v>0</v>
      </c>
      <c r="O41" s="3">
        <f t="shared" si="149"/>
        <v>826902</v>
      </c>
      <c r="P41" s="80">
        <f t="shared" ref="P41:P72" si="182">INDEX(HW_Data,MATCH(A41,HW_Year,0),$P$1)</f>
        <v>171</v>
      </c>
      <c r="Q41" s="31">
        <f t="shared" si="60"/>
        <v>3.4795321637426899</v>
      </c>
      <c r="R41" s="21">
        <f t="shared" si="150"/>
        <v>2877232.1052631577</v>
      </c>
      <c r="S41" s="3">
        <v>662225</v>
      </c>
      <c r="T41" s="3">
        <v>0</v>
      </c>
      <c r="U41" s="59">
        <v>0</v>
      </c>
      <c r="V41" s="3">
        <f t="shared" si="151"/>
        <v>662225</v>
      </c>
      <c r="W41" s="80">
        <f t="shared" ref="W41:W72" si="183">INDEX(HW_Data,MATCH(A41,HW_Year,0),$W$1)</f>
        <v>179</v>
      </c>
      <c r="X41" s="31">
        <f t="shared" si="61"/>
        <v>3.4078212290502794</v>
      </c>
      <c r="Y41" s="21">
        <f t="shared" si="152"/>
        <v>2256744.4134078212</v>
      </c>
      <c r="Z41" s="3">
        <v>42</v>
      </c>
      <c r="AA41" s="80">
        <f t="shared" ref="AA41:AA72" si="184">INDEX(HW_Data,MATCH(A41,HW_Year,0),$AA$1)</f>
        <v>170</v>
      </c>
      <c r="AB41" s="31">
        <f t="shared" si="62"/>
        <v>3.223529411764706</v>
      </c>
      <c r="AC41" s="21">
        <f t="shared" si="153"/>
        <v>135.38823529411766</v>
      </c>
      <c r="AD41" s="3">
        <v>0</v>
      </c>
      <c r="AE41" s="80">
        <f t="shared" ref="AE41:AE72" si="185">INDEX(HW_Data,MATCH(A41,HW_Year,0),$AE$1)</f>
        <v>160</v>
      </c>
      <c r="AF41" s="31">
        <f t="shared" si="63"/>
        <v>5.1812500000000004</v>
      </c>
      <c r="AG41" s="21">
        <f t="shared" si="154"/>
        <v>0</v>
      </c>
      <c r="AH41" s="3">
        <v>0</v>
      </c>
      <c r="AI41" s="15"/>
      <c r="AJ41" s="3">
        <f t="shared" si="155"/>
        <v>0</v>
      </c>
      <c r="AK41" s="80">
        <f t="shared" ref="AK41:AK67" si="186">INDEX(HW_Data,MATCH(A41,HW_Year,0),$AK$1)</f>
        <v>156</v>
      </c>
      <c r="AL41" s="31">
        <f t="shared" si="64"/>
        <v>3.3653846153846154</v>
      </c>
      <c r="AM41" s="21">
        <f t="shared" si="156"/>
        <v>0</v>
      </c>
      <c r="AN41" s="3">
        <v>3192666</v>
      </c>
      <c r="AO41" s="80">
        <f t="shared" ref="AO41:AO72" si="187">INDEX(HW_Data,MATCH(A41,HW_Year,0),$AO$1)</f>
        <v>175</v>
      </c>
      <c r="AP41" s="31">
        <f t="shared" si="65"/>
        <v>3.2457142857142856</v>
      </c>
      <c r="AQ41" s="21">
        <f t="shared" si="157"/>
        <v>10362481.645714285</v>
      </c>
      <c r="AR41" s="3">
        <v>1985067</v>
      </c>
      <c r="AS41" s="80">
        <f t="shared" ref="AS41:AS72" si="188">INDEX(HW_Data,MATCH(A41,HW_Year,0),$AS$1)</f>
        <v>181</v>
      </c>
      <c r="AT41" s="31">
        <f t="shared" si="66"/>
        <v>3.7790055248618786</v>
      </c>
      <c r="AU41" s="21">
        <f t="shared" si="158"/>
        <v>7501579.1602209946</v>
      </c>
      <c r="AV41" s="3">
        <v>335526</v>
      </c>
      <c r="AW41" s="80">
        <f t="shared" ref="AW41:AW72" si="189">INDEX(HW_Data,MATCH(A41,HW_Year,0),$AW$1)</f>
        <v>163</v>
      </c>
      <c r="AX41" s="31">
        <f t="shared" si="16"/>
        <v>3.2269938650306749</v>
      </c>
      <c r="AY41" s="21">
        <f t="shared" si="159"/>
        <v>1082740.3435582821</v>
      </c>
      <c r="AZ41" s="3">
        <v>0</v>
      </c>
      <c r="BA41" s="80">
        <f t="shared" ref="BA41:BA72" si="190">INDEX(HW_Data,MATCH(A41,HW_Year,0),$BA$1)</f>
        <v>160</v>
      </c>
      <c r="BB41" s="31">
        <f t="shared" si="19"/>
        <v>3.8374999999999999</v>
      </c>
      <c r="BC41" s="21">
        <f t="shared" si="160"/>
        <v>0</v>
      </c>
      <c r="BD41" s="15">
        <v>3419340</v>
      </c>
      <c r="BE41" s="3">
        <f t="shared" si="161"/>
        <v>2817536.1599999997</v>
      </c>
      <c r="BF41" s="80">
        <f t="shared" ref="BF41:BF72" si="191">INDEX(HW_Data,MATCH(A41,HW_Year,0),$BF$1)</f>
        <v>159</v>
      </c>
      <c r="BG41" s="31">
        <f t="shared" si="68"/>
        <v>3.8490566037735849</v>
      </c>
      <c r="BH41" s="21">
        <f t="shared" si="162"/>
        <v>10844856.163018867</v>
      </c>
      <c r="BI41" s="3">
        <f t="shared" si="163"/>
        <v>601803.84</v>
      </c>
      <c r="BJ41" s="80">
        <f t="shared" ref="BJ41:BJ76" si="192">INDEX(HW_Data,MATCH(A41,HW_Year,0),$BJ$1)</f>
        <v>135</v>
      </c>
      <c r="BK41" s="31">
        <f t="shared" si="69"/>
        <v>4.8296296296296299</v>
      </c>
      <c r="BL41" s="21">
        <f t="shared" si="164"/>
        <v>2906489.6568888891</v>
      </c>
      <c r="BM41" s="3">
        <v>1976995</v>
      </c>
      <c r="BN41" s="80">
        <f t="shared" ref="BN41:BN72" si="193">INDEX(HW_Data,MATCH(A41,HW_Year,0),$BN$1)</f>
        <v>165</v>
      </c>
      <c r="BO41" s="31">
        <f t="shared" si="70"/>
        <v>3.084848484848485</v>
      </c>
      <c r="BP41" s="21">
        <f t="shared" si="165"/>
        <v>6098730.0303030303</v>
      </c>
      <c r="BQ41" s="3">
        <v>550977</v>
      </c>
      <c r="BR41" s="3"/>
      <c r="BS41" s="3">
        <f t="shared" si="166"/>
        <v>550977</v>
      </c>
      <c r="BT41" s="80">
        <f t="shared" ref="BT41:BT72" si="194">INDEX(HW_Data,MATCH(A41,HW_Year,0),$BT$1)</f>
        <v>148</v>
      </c>
      <c r="BU41" s="31">
        <f t="shared" si="71"/>
        <v>2.3986486486486487</v>
      </c>
      <c r="BV41" s="21">
        <f t="shared" si="167"/>
        <v>1321600.2364864864</v>
      </c>
      <c r="BW41" s="2">
        <v>242252</v>
      </c>
      <c r="BX41" s="80">
        <f t="shared" ref="BX41:BX72" si="195">INDEX(HW_Data,MATCH(A41,HW_Year,0),$BX$1)</f>
        <v>193</v>
      </c>
      <c r="BY41" s="31">
        <f t="shared" si="72"/>
        <v>3.7823834196891193</v>
      </c>
      <c r="BZ41" s="22">
        <f t="shared" si="168"/>
        <v>916289.94818652852</v>
      </c>
      <c r="CA41" s="2">
        <v>0</v>
      </c>
      <c r="CB41" s="2"/>
      <c r="CD41" s="22">
        <v>0</v>
      </c>
      <c r="CE41" s="3">
        <v>120463</v>
      </c>
      <c r="CF41" s="3">
        <v>0</v>
      </c>
      <c r="CG41" s="3">
        <f t="shared" si="170"/>
        <v>120463</v>
      </c>
      <c r="CH41" s="25">
        <f t="shared" si="171"/>
        <v>36138.9</v>
      </c>
      <c r="CI41" s="3">
        <v>179060</v>
      </c>
      <c r="CJ41" s="3">
        <v>0</v>
      </c>
      <c r="CK41" s="3">
        <f t="shared" si="172"/>
        <v>179060</v>
      </c>
      <c r="CL41" s="134">
        <f t="shared" ref="CL41:CL72" si="196">INDEX(HW_Data,MATCH(A41,HW_Year,0),$CL$1)</f>
        <v>169</v>
      </c>
      <c r="CM41" s="31">
        <f t="shared" si="74"/>
        <v>3.0769230769230771</v>
      </c>
      <c r="CN41" s="21">
        <f t="shared" si="173"/>
        <v>550953.84615384613</v>
      </c>
      <c r="CO41" s="3">
        <v>4302405</v>
      </c>
      <c r="CP41" s="3">
        <v>0</v>
      </c>
      <c r="CQ41" s="59">
        <v>0</v>
      </c>
      <c r="CR41" s="2">
        <f t="shared" si="174"/>
        <v>4302405</v>
      </c>
      <c r="CS41" s="80">
        <f t="shared" ref="CS41:CS72" si="197">INDEX(HW_Data,MATCH(A41,HW_Year,0),$CS$1)</f>
        <v>182</v>
      </c>
      <c r="CT41" s="31">
        <f t="shared" si="75"/>
        <v>3.7967032967032965</v>
      </c>
      <c r="CU41" s="21">
        <f t="shared" si="175"/>
        <v>16334955.247252747</v>
      </c>
      <c r="CV41" s="2">
        <v>140592</v>
      </c>
      <c r="CW41" s="92">
        <f t="shared" ref="CW41:CW72" si="198">INDEX(HW_Data,MATCH(A41,HW_Year,0),$CW$1)</f>
        <v>169</v>
      </c>
      <c r="CX41" s="31">
        <f t="shared" si="76"/>
        <v>3.0769230769230771</v>
      </c>
      <c r="CY41" s="21">
        <f t="shared" si="176"/>
        <v>432590.76923076925</v>
      </c>
      <c r="CZ41" s="3">
        <v>2264233</v>
      </c>
      <c r="DA41" s="80">
        <f t="shared" ref="DA41:DA72" si="199">INDEX(HW_Data,MATCH(A41,HW_Year,0),$DA$1)</f>
        <v>175</v>
      </c>
      <c r="DB41" s="31">
        <f t="shared" si="77"/>
        <v>3.7142857142857144</v>
      </c>
      <c r="DC41" s="21">
        <f t="shared" si="177"/>
        <v>8410008.2857142854</v>
      </c>
      <c r="DD41" s="3">
        <v>24514</v>
      </c>
      <c r="DE41" s="3">
        <v>24514</v>
      </c>
      <c r="DF41" s="3">
        <v>0</v>
      </c>
      <c r="DG41" s="3">
        <f t="shared" si="178"/>
        <v>24514</v>
      </c>
      <c r="DH41" s="3">
        <f t="shared" si="180"/>
        <v>12257</v>
      </c>
      <c r="DI41" s="136">
        <f t="shared" ref="DI41:DI72" si="200">INDEX(HW_Data,MATCH(A41,HW_Year,0),$DI$1)</f>
        <v>179</v>
      </c>
      <c r="DJ41" s="41">
        <f t="shared" si="78"/>
        <v>4.8491620111731848</v>
      </c>
      <c r="DK41" s="21">
        <f t="shared" si="179"/>
        <v>59436.178770949729</v>
      </c>
    </row>
    <row r="42" spans="1:115">
      <c r="A42" s="7">
        <v>1977</v>
      </c>
      <c r="B42" s="3">
        <v>241681</v>
      </c>
      <c r="C42" s="3">
        <v>0</v>
      </c>
      <c r="D42" s="3">
        <f t="shared" si="145"/>
        <v>241681</v>
      </c>
      <c r="E42" s="25">
        <f t="shared" si="146"/>
        <v>169176.69999999998</v>
      </c>
      <c r="F42" s="3">
        <v>30841</v>
      </c>
      <c r="G42" s="59">
        <v>0</v>
      </c>
      <c r="H42" s="15">
        <f t="shared" si="147"/>
        <v>30841</v>
      </c>
      <c r="I42" s="80">
        <f t="shared" si="181"/>
        <v>155</v>
      </c>
      <c r="J42" s="132">
        <f t="shared" si="59"/>
        <v>3.3548387096774195</v>
      </c>
      <c r="K42" s="21">
        <f t="shared" si="148"/>
        <v>103466.58064516129</v>
      </c>
      <c r="L42" s="3">
        <v>571982</v>
      </c>
      <c r="M42" s="3">
        <v>0</v>
      </c>
      <c r="N42" s="59">
        <v>0</v>
      </c>
      <c r="O42" s="3">
        <f t="shared" si="149"/>
        <v>571982</v>
      </c>
      <c r="P42" s="80">
        <f t="shared" si="182"/>
        <v>160</v>
      </c>
      <c r="Q42" s="31">
        <f t="shared" si="60"/>
        <v>3.71875</v>
      </c>
      <c r="R42" s="21">
        <f t="shared" si="150"/>
        <v>2127058.0625</v>
      </c>
      <c r="S42" s="3">
        <v>378594</v>
      </c>
      <c r="T42" s="3">
        <v>0</v>
      </c>
      <c r="U42" s="59">
        <v>0</v>
      </c>
      <c r="V42" s="3">
        <f t="shared" si="151"/>
        <v>378594</v>
      </c>
      <c r="W42" s="80">
        <f t="shared" si="183"/>
        <v>187</v>
      </c>
      <c r="X42" s="31">
        <f t="shared" si="61"/>
        <v>3.2620320855614975</v>
      </c>
      <c r="Y42" s="21">
        <f t="shared" si="152"/>
        <v>1234985.7754010695</v>
      </c>
      <c r="Z42" s="3">
        <v>0</v>
      </c>
      <c r="AA42" s="80">
        <f t="shared" si="184"/>
        <v>156</v>
      </c>
      <c r="AB42" s="31">
        <f t="shared" si="62"/>
        <v>3.5128205128205128</v>
      </c>
      <c r="AC42" s="21">
        <f t="shared" si="153"/>
        <v>0</v>
      </c>
      <c r="AD42" s="3">
        <v>0</v>
      </c>
      <c r="AE42" s="80">
        <f t="shared" si="185"/>
        <v>158</v>
      </c>
      <c r="AF42" s="31">
        <f t="shared" si="63"/>
        <v>5.2468354430379751</v>
      </c>
      <c r="AG42" s="21">
        <f t="shared" si="154"/>
        <v>0</v>
      </c>
      <c r="AH42" s="3">
        <v>0</v>
      </c>
      <c r="AI42" s="15"/>
      <c r="AJ42" s="3">
        <f t="shared" si="155"/>
        <v>0</v>
      </c>
      <c r="AK42" s="80">
        <f t="shared" si="186"/>
        <v>145</v>
      </c>
      <c r="AL42" s="31">
        <f t="shared" si="64"/>
        <v>3.6206896551724137</v>
      </c>
      <c r="AM42" s="21">
        <f t="shared" si="156"/>
        <v>0</v>
      </c>
      <c r="AN42" s="3">
        <v>2856836</v>
      </c>
      <c r="AO42" s="80">
        <f t="shared" si="187"/>
        <v>163</v>
      </c>
      <c r="AP42" s="31">
        <f t="shared" si="65"/>
        <v>3.4846625766871164</v>
      </c>
      <c r="AQ42" s="21">
        <f t="shared" si="157"/>
        <v>9955109.4969325159</v>
      </c>
      <c r="AR42" s="3">
        <v>1806243</v>
      </c>
      <c r="AS42" s="80">
        <f t="shared" si="188"/>
        <v>183</v>
      </c>
      <c r="AT42" s="31">
        <f t="shared" si="66"/>
        <v>3.737704918032787</v>
      </c>
      <c r="AU42" s="21">
        <f t="shared" si="158"/>
        <v>6751203.3442622954</v>
      </c>
      <c r="AV42" s="3">
        <v>364374</v>
      </c>
      <c r="AW42" s="80">
        <f t="shared" si="189"/>
        <v>150</v>
      </c>
      <c r="AX42" s="31">
        <f t="shared" si="16"/>
        <v>3.5066666666666668</v>
      </c>
      <c r="AY42" s="21">
        <f t="shared" si="159"/>
        <v>1277738.1600000001</v>
      </c>
      <c r="AZ42" s="3">
        <v>0</v>
      </c>
      <c r="BA42" s="80">
        <f t="shared" si="190"/>
        <v>150</v>
      </c>
      <c r="BB42" s="31">
        <f t="shared" si="19"/>
        <v>4.0933333333333337</v>
      </c>
      <c r="BC42" s="21">
        <f t="shared" si="160"/>
        <v>0</v>
      </c>
      <c r="BD42" s="15">
        <v>2834879</v>
      </c>
      <c r="BE42" s="3">
        <f t="shared" si="161"/>
        <v>2335940.2960000001</v>
      </c>
      <c r="BF42" s="80">
        <f t="shared" si="191"/>
        <v>148</v>
      </c>
      <c r="BG42" s="31">
        <f t="shared" si="68"/>
        <v>4.1351351351351351</v>
      </c>
      <c r="BH42" s="21">
        <f t="shared" si="162"/>
        <v>9659428.7915675677</v>
      </c>
      <c r="BI42" s="3">
        <f t="shared" si="163"/>
        <v>498938.70399999997</v>
      </c>
      <c r="BJ42" s="80">
        <f t="shared" si="192"/>
        <v>122</v>
      </c>
      <c r="BK42" s="31">
        <f t="shared" si="69"/>
        <v>5.3442622950819674</v>
      </c>
      <c r="BL42" s="21">
        <f t="shared" si="164"/>
        <v>2666459.3033442623</v>
      </c>
      <c r="BM42" s="3">
        <v>1830539</v>
      </c>
      <c r="BN42" s="80">
        <f t="shared" si="193"/>
        <v>152</v>
      </c>
      <c r="BO42" s="31">
        <f t="shared" si="70"/>
        <v>3.3486842105263159</v>
      </c>
      <c r="BP42" s="21">
        <f t="shared" si="165"/>
        <v>6129897.0460526319</v>
      </c>
      <c r="BQ42" s="3">
        <v>491591</v>
      </c>
      <c r="BR42" s="3"/>
      <c r="BS42" s="3">
        <f t="shared" si="166"/>
        <v>491591</v>
      </c>
      <c r="BT42" s="80">
        <f t="shared" si="194"/>
        <v>143</v>
      </c>
      <c r="BU42" s="31">
        <f t="shared" si="71"/>
        <v>2.4825174825174825</v>
      </c>
      <c r="BV42" s="21">
        <f t="shared" si="167"/>
        <v>1220383.2517482517</v>
      </c>
      <c r="BW42" s="2">
        <v>411778</v>
      </c>
      <c r="BX42" s="80">
        <f t="shared" si="195"/>
        <v>175</v>
      </c>
      <c r="BY42" s="31">
        <f t="shared" si="72"/>
        <v>4.1714285714285717</v>
      </c>
      <c r="BZ42" s="22">
        <f t="shared" si="168"/>
        <v>1717702.5142857144</v>
      </c>
      <c r="CA42" s="2">
        <v>0</v>
      </c>
      <c r="CB42" s="2"/>
      <c r="CD42" s="22">
        <v>0</v>
      </c>
      <c r="CE42" s="3">
        <v>241681</v>
      </c>
      <c r="CF42" s="3">
        <v>0</v>
      </c>
      <c r="CG42" s="3">
        <f t="shared" si="170"/>
        <v>241681</v>
      </c>
      <c r="CH42" s="25">
        <f t="shared" si="171"/>
        <v>72504.3</v>
      </c>
      <c r="CI42" s="3">
        <v>109761</v>
      </c>
      <c r="CJ42" s="3">
        <v>0</v>
      </c>
      <c r="CK42" s="3">
        <f t="shared" si="172"/>
        <v>109761</v>
      </c>
      <c r="CL42" s="134">
        <f t="shared" si="196"/>
        <v>155</v>
      </c>
      <c r="CM42" s="31">
        <f t="shared" si="74"/>
        <v>3.3548387096774195</v>
      </c>
      <c r="CN42" s="21">
        <f t="shared" si="173"/>
        <v>368230.45161290321</v>
      </c>
      <c r="CO42" s="3">
        <v>2024135</v>
      </c>
      <c r="CP42" s="3">
        <v>0</v>
      </c>
      <c r="CQ42" s="59">
        <v>0</v>
      </c>
      <c r="CR42" s="2">
        <f t="shared" si="174"/>
        <v>2024135</v>
      </c>
      <c r="CS42" s="80">
        <f t="shared" si="197"/>
        <v>170</v>
      </c>
      <c r="CT42" s="31">
        <f t="shared" si="75"/>
        <v>4.0647058823529409</v>
      </c>
      <c r="CU42" s="21">
        <f t="shared" si="175"/>
        <v>8227513.4411764704</v>
      </c>
      <c r="CV42" s="2">
        <v>84939</v>
      </c>
      <c r="CW42" s="92">
        <f t="shared" si="198"/>
        <v>155</v>
      </c>
      <c r="CX42" s="31">
        <f t="shared" si="76"/>
        <v>3.3548387096774195</v>
      </c>
      <c r="CY42" s="21">
        <f t="shared" si="176"/>
        <v>284956.64516129036</v>
      </c>
      <c r="CZ42" s="3">
        <v>1726615</v>
      </c>
      <c r="DA42" s="80">
        <f t="shared" si="199"/>
        <v>164</v>
      </c>
      <c r="DB42" s="31">
        <f t="shared" si="77"/>
        <v>3.9634146341463414</v>
      </c>
      <c r="DC42" s="21">
        <f t="shared" si="177"/>
        <v>6843291.158536585</v>
      </c>
      <c r="DD42" s="3">
        <v>67009</v>
      </c>
      <c r="DE42" s="3">
        <v>67009</v>
      </c>
      <c r="DF42" s="3">
        <v>0</v>
      </c>
      <c r="DG42" s="3">
        <f t="shared" si="178"/>
        <v>67009</v>
      </c>
      <c r="DH42" s="3">
        <f t="shared" si="180"/>
        <v>33504.5</v>
      </c>
      <c r="DI42" s="136">
        <f t="shared" si="200"/>
        <v>169</v>
      </c>
      <c r="DJ42" s="41">
        <f t="shared" si="78"/>
        <v>5.1360946745562126</v>
      </c>
      <c r="DK42" s="21">
        <f t="shared" si="179"/>
        <v>172082.28402366862</v>
      </c>
    </row>
    <row r="43" spans="1:115">
      <c r="A43" s="7">
        <v>1976</v>
      </c>
      <c r="B43" s="3">
        <v>145475</v>
      </c>
      <c r="C43" s="3">
        <v>0</v>
      </c>
      <c r="D43" s="3">
        <f t="shared" si="145"/>
        <v>145475</v>
      </c>
      <c r="E43" s="25">
        <f t="shared" si="146"/>
        <v>101832.5</v>
      </c>
      <c r="F43" s="3">
        <v>1665076</v>
      </c>
      <c r="G43" s="59">
        <v>0</v>
      </c>
      <c r="H43" s="15">
        <f t="shared" si="147"/>
        <v>1665076</v>
      </c>
      <c r="I43" s="80">
        <f t="shared" si="181"/>
        <v>149</v>
      </c>
      <c r="J43" s="132">
        <f t="shared" si="59"/>
        <v>3.4899328859060401</v>
      </c>
      <c r="K43" s="21">
        <f t="shared" si="148"/>
        <v>5811003.4899328854</v>
      </c>
      <c r="L43" s="3">
        <v>1078684</v>
      </c>
      <c r="M43" s="3">
        <v>0</v>
      </c>
      <c r="N43" s="59">
        <v>0</v>
      </c>
      <c r="O43" s="3">
        <f t="shared" si="149"/>
        <v>1078684</v>
      </c>
      <c r="P43" s="80">
        <f t="shared" si="182"/>
        <v>150</v>
      </c>
      <c r="Q43" s="31">
        <f t="shared" si="60"/>
        <v>3.9666666666666668</v>
      </c>
      <c r="R43" s="21">
        <f t="shared" si="150"/>
        <v>4278779.8666666672</v>
      </c>
      <c r="S43" s="3">
        <v>684307</v>
      </c>
      <c r="T43" s="3">
        <v>0</v>
      </c>
      <c r="U43" s="59">
        <v>0</v>
      </c>
      <c r="V43" s="3">
        <f t="shared" si="151"/>
        <v>684307</v>
      </c>
      <c r="W43" s="80">
        <f t="shared" si="183"/>
        <v>172</v>
      </c>
      <c r="X43" s="31">
        <f t="shared" si="61"/>
        <v>3.5465116279069768</v>
      </c>
      <c r="Y43" s="21">
        <f t="shared" si="152"/>
        <v>2426902.7325581396</v>
      </c>
      <c r="Z43" s="3">
        <v>276899</v>
      </c>
      <c r="AA43" s="80">
        <f t="shared" si="184"/>
        <v>143</v>
      </c>
      <c r="AB43" s="31">
        <f t="shared" si="62"/>
        <v>3.8321678321678321</v>
      </c>
      <c r="AC43" s="21">
        <f t="shared" si="153"/>
        <v>1061123.4405594405</v>
      </c>
      <c r="AD43" s="3">
        <v>207807</v>
      </c>
      <c r="AE43" s="80">
        <f t="shared" si="185"/>
        <v>143</v>
      </c>
      <c r="AF43" s="31">
        <f t="shared" si="63"/>
        <v>5.7972027972027975</v>
      </c>
      <c r="AG43" s="21">
        <f t="shared" si="154"/>
        <v>1204699.3216783218</v>
      </c>
      <c r="AH43" s="3">
        <v>0</v>
      </c>
      <c r="AI43" s="15"/>
      <c r="AJ43" s="3">
        <f t="shared" si="155"/>
        <v>0</v>
      </c>
      <c r="AK43" s="80">
        <f t="shared" si="186"/>
        <v>137</v>
      </c>
      <c r="AL43" s="31">
        <f t="shared" si="64"/>
        <v>3.832116788321168</v>
      </c>
      <c r="AM43" s="21">
        <f t="shared" si="156"/>
        <v>0</v>
      </c>
      <c r="AN43" s="3">
        <v>2505708</v>
      </c>
      <c r="AO43" s="80">
        <f t="shared" si="187"/>
        <v>152</v>
      </c>
      <c r="AP43" s="31">
        <f t="shared" si="65"/>
        <v>3.736842105263158</v>
      </c>
      <c r="AQ43" s="21">
        <f t="shared" si="157"/>
        <v>9363435.1578947362</v>
      </c>
      <c r="AR43" s="3">
        <v>1612863</v>
      </c>
      <c r="AS43" s="80">
        <f t="shared" si="188"/>
        <v>166</v>
      </c>
      <c r="AT43" s="31">
        <f t="shared" si="66"/>
        <v>4.1204819277108431</v>
      </c>
      <c r="AU43" s="21">
        <f t="shared" si="158"/>
        <v>6645772.8433734933</v>
      </c>
      <c r="AV43" s="3">
        <v>194466</v>
      </c>
      <c r="AW43" s="80">
        <f t="shared" si="189"/>
        <v>138</v>
      </c>
      <c r="AX43" s="31">
        <f t="shared" si="16"/>
        <v>3.8115942028985508</v>
      </c>
      <c r="AY43" s="21">
        <f t="shared" si="159"/>
        <v>741225.47826086963</v>
      </c>
      <c r="AZ43" s="3">
        <v>118224</v>
      </c>
      <c r="BA43" s="80">
        <f t="shared" si="190"/>
        <v>138</v>
      </c>
      <c r="BB43" s="31">
        <f t="shared" si="19"/>
        <v>4.4492753623188408</v>
      </c>
      <c r="BC43" s="21">
        <f t="shared" si="160"/>
        <v>526011.13043478259</v>
      </c>
      <c r="BD43" s="15">
        <v>2394553</v>
      </c>
      <c r="BE43" s="3">
        <f t="shared" si="161"/>
        <v>1973111.6719999998</v>
      </c>
      <c r="BF43" s="80">
        <f t="shared" si="191"/>
        <v>136</v>
      </c>
      <c r="BG43" s="31">
        <f t="shared" si="68"/>
        <v>4.5</v>
      </c>
      <c r="BH43" s="21">
        <f t="shared" si="162"/>
        <v>8879002.5239999983</v>
      </c>
      <c r="BI43" s="3">
        <f t="shared" si="163"/>
        <v>421441.32799999998</v>
      </c>
      <c r="BJ43" s="80">
        <f t="shared" si="192"/>
        <v>109</v>
      </c>
      <c r="BK43" s="31">
        <f t="shared" si="69"/>
        <v>5.9816513761467887</v>
      </c>
      <c r="BL43" s="21">
        <f t="shared" si="164"/>
        <v>2520915.09959633</v>
      </c>
      <c r="BM43" s="3">
        <v>1520213</v>
      </c>
      <c r="BN43" s="80">
        <f t="shared" si="193"/>
        <v>136</v>
      </c>
      <c r="BO43" s="31">
        <f t="shared" si="70"/>
        <v>3.7426470588235294</v>
      </c>
      <c r="BP43" s="21">
        <f t="shared" si="165"/>
        <v>5689620.7132352944</v>
      </c>
      <c r="BQ43" s="3">
        <v>393953</v>
      </c>
      <c r="BR43" s="15"/>
      <c r="BS43" s="3">
        <f t="shared" si="166"/>
        <v>393953</v>
      </c>
      <c r="BT43" s="80">
        <f t="shared" si="194"/>
        <v>136</v>
      </c>
      <c r="BU43" s="31">
        <f t="shared" si="71"/>
        <v>2.6102941176470589</v>
      </c>
      <c r="BV43" s="21">
        <f t="shared" si="167"/>
        <v>1028333.1985294118</v>
      </c>
      <c r="BW43" s="2">
        <v>363137</v>
      </c>
      <c r="BX43" s="80">
        <f t="shared" si="195"/>
        <v>161</v>
      </c>
      <c r="BY43" s="31">
        <f t="shared" si="72"/>
        <v>4.5341614906832302</v>
      </c>
      <c r="BZ43" s="22">
        <f t="shared" si="168"/>
        <v>1646521.801242236</v>
      </c>
      <c r="CA43" s="2">
        <v>0</v>
      </c>
      <c r="CB43" s="2"/>
      <c r="CD43" s="22">
        <v>0</v>
      </c>
      <c r="CE43" s="3">
        <v>145475</v>
      </c>
      <c r="CF43" s="3">
        <v>0</v>
      </c>
      <c r="CG43" s="3">
        <f t="shared" si="170"/>
        <v>145475</v>
      </c>
      <c r="CH43" s="25">
        <f t="shared" si="171"/>
        <v>43642.5</v>
      </c>
      <c r="CI43" s="3">
        <v>96383</v>
      </c>
      <c r="CJ43" s="3">
        <v>0</v>
      </c>
      <c r="CK43" s="3">
        <f t="shared" si="172"/>
        <v>96383</v>
      </c>
      <c r="CL43" s="134">
        <f t="shared" si="196"/>
        <v>149</v>
      </c>
      <c r="CM43" s="31">
        <f t="shared" si="74"/>
        <v>3.4899328859060401</v>
      </c>
      <c r="CN43" s="21">
        <f t="shared" si="173"/>
        <v>336370.20134228189</v>
      </c>
      <c r="CO43" s="3">
        <v>2361158</v>
      </c>
      <c r="CP43" s="3">
        <v>0</v>
      </c>
      <c r="CQ43" s="59">
        <v>0</v>
      </c>
      <c r="CR43" s="2">
        <f t="shared" si="174"/>
        <v>2361158</v>
      </c>
      <c r="CS43" s="80">
        <f t="shared" si="197"/>
        <v>157</v>
      </c>
      <c r="CT43" s="31">
        <f t="shared" si="75"/>
        <v>4.4012738853503182</v>
      </c>
      <c r="CU43" s="21">
        <f t="shared" si="175"/>
        <v>10392103.044585986</v>
      </c>
      <c r="CV43" s="2">
        <v>357731</v>
      </c>
      <c r="CW43" s="92">
        <f t="shared" si="198"/>
        <v>149</v>
      </c>
      <c r="CX43" s="31">
        <f t="shared" si="76"/>
        <v>3.4899328859060401</v>
      </c>
      <c r="CY43" s="21">
        <f t="shared" si="176"/>
        <v>1248457.1812080536</v>
      </c>
      <c r="CZ43" s="3">
        <v>1647026</v>
      </c>
      <c r="DA43" s="80">
        <f t="shared" si="199"/>
        <v>150</v>
      </c>
      <c r="DB43" s="31">
        <f t="shared" si="77"/>
        <v>4.333333333333333</v>
      </c>
      <c r="DC43" s="21">
        <f t="shared" si="177"/>
        <v>7137112.666666666</v>
      </c>
      <c r="DD43" s="3">
        <v>9807</v>
      </c>
      <c r="DE43" s="3">
        <v>9807</v>
      </c>
      <c r="DF43" s="59">
        <v>0</v>
      </c>
      <c r="DG43" s="3">
        <f t="shared" si="178"/>
        <v>9807</v>
      </c>
      <c r="DH43" s="3">
        <f t="shared" si="180"/>
        <v>4903.5</v>
      </c>
      <c r="DI43" s="136">
        <f t="shared" si="200"/>
        <v>151</v>
      </c>
      <c r="DJ43" s="41">
        <f t="shared" si="78"/>
        <v>5.7483443708609272</v>
      </c>
      <c r="DK43" s="21">
        <f t="shared" si="179"/>
        <v>28187.006622516557</v>
      </c>
    </row>
    <row r="44" spans="1:115">
      <c r="A44" s="7">
        <v>1975</v>
      </c>
      <c r="B44" s="3">
        <v>246646</v>
      </c>
      <c r="C44" s="3">
        <v>0</v>
      </c>
      <c r="D44" s="3">
        <f t="shared" si="145"/>
        <v>246646</v>
      </c>
      <c r="E44" s="25">
        <f t="shared" si="146"/>
        <v>172652.19999999998</v>
      </c>
      <c r="F44" s="3">
        <v>304215</v>
      </c>
      <c r="G44" s="3">
        <v>0</v>
      </c>
      <c r="H44" s="15">
        <f t="shared" si="147"/>
        <v>304215</v>
      </c>
      <c r="I44" s="80">
        <f t="shared" si="181"/>
        <v>145</v>
      </c>
      <c r="J44" s="132">
        <f t="shared" si="59"/>
        <v>3.5862068965517242</v>
      </c>
      <c r="K44" s="21">
        <f t="shared" si="148"/>
        <v>1090977.9310344828</v>
      </c>
      <c r="L44" s="3">
        <v>1407872</v>
      </c>
      <c r="M44" s="3">
        <v>0</v>
      </c>
      <c r="N44" s="59">
        <v>0</v>
      </c>
      <c r="O44" s="3">
        <f t="shared" si="149"/>
        <v>1407872</v>
      </c>
      <c r="P44" s="80">
        <f t="shared" si="182"/>
        <v>144</v>
      </c>
      <c r="Q44" s="31">
        <f t="shared" si="60"/>
        <v>4.1319444444444446</v>
      </c>
      <c r="R44" s="21">
        <f t="shared" si="150"/>
        <v>5817248.888888889</v>
      </c>
      <c r="S44" s="3">
        <v>1210086</v>
      </c>
      <c r="T44" s="3">
        <v>0</v>
      </c>
      <c r="U44" s="59">
        <v>0</v>
      </c>
      <c r="V44" s="3">
        <f t="shared" si="151"/>
        <v>1210086</v>
      </c>
      <c r="W44" s="80">
        <f t="shared" si="183"/>
        <v>146</v>
      </c>
      <c r="X44" s="31">
        <f t="shared" si="61"/>
        <v>4.1780821917808222</v>
      </c>
      <c r="Y44" s="21">
        <f t="shared" si="152"/>
        <v>5055838.7671232875</v>
      </c>
      <c r="Z44" s="3">
        <v>0</v>
      </c>
      <c r="AA44" s="80">
        <f t="shared" si="184"/>
        <v>128</v>
      </c>
      <c r="AB44" s="31">
        <f t="shared" si="62"/>
        <v>4.28125</v>
      </c>
      <c r="AC44" s="21">
        <f t="shared" si="153"/>
        <v>0</v>
      </c>
      <c r="AD44" s="3">
        <v>0</v>
      </c>
      <c r="AE44" s="80">
        <f t="shared" si="185"/>
        <v>137</v>
      </c>
      <c r="AF44" s="31">
        <f t="shared" si="63"/>
        <v>6.0510948905109485</v>
      </c>
      <c r="AG44" s="21">
        <f t="shared" si="154"/>
        <v>0</v>
      </c>
      <c r="AH44" s="3">
        <v>0</v>
      </c>
      <c r="AI44" s="15"/>
      <c r="AJ44" s="3">
        <f t="shared" si="155"/>
        <v>0</v>
      </c>
      <c r="AK44" s="80">
        <f t="shared" si="186"/>
        <v>125</v>
      </c>
      <c r="AL44" s="31">
        <f t="shared" si="64"/>
        <v>4.2</v>
      </c>
      <c r="AM44" s="21">
        <f t="shared" si="156"/>
        <v>0</v>
      </c>
      <c r="AN44" s="3">
        <v>2193873</v>
      </c>
      <c r="AO44" s="80">
        <f t="shared" si="187"/>
        <v>146</v>
      </c>
      <c r="AP44" s="31">
        <f t="shared" si="65"/>
        <v>3.8904109589041096</v>
      </c>
      <c r="AQ44" s="21">
        <f t="shared" si="157"/>
        <v>8535067.5616438352</v>
      </c>
      <c r="AR44" s="3">
        <v>1553659</v>
      </c>
      <c r="AS44" s="80">
        <f t="shared" si="188"/>
        <v>143</v>
      </c>
      <c r="AT44" s="31">
        <f t="shared" si="66"/>
        <v>4.7832167832167833</v>
      </c>
      <c r="AU44" s="21">
        <f t="shared" si="158"/>
        <v>7431487.8041958045</v>
      </c>
      <c r="AV44" s="3">
        <v>252125</v>
      </c>
      <c r="AW44" s="80">
        <f t="shared" si="189"/>
        <v>127</v>
      </c>
      <c r="AX44" s="31">
        <f t="shared" si="16"/>
        <v>4.1417322834645667</v>
      </c>
      <c r="AY44" s="21">
        <f t="shared" si="159"/>
        <v>1044234.2519685039</v>
      </c>
      <c r="AZ44" s="3">
        <v>41205</v>
      </c>
      <c r="BA44" s="80">
        <f t="shared" si="190"/>
        <v>129</v>
      </c>
      <c r="BB44" s="31">
        <f t="shared" si="19"/>
        <v>4.7596899224806197</v>
      </c>
      <c r="BC44" s="21">
        <f t="shared" si="160"/>
        <v>196123.02325581393</v>
      </c>
      <c r="BD44" s="15">
        <v>2340915</v>
      </c>
      <c r="BE44" s="3">
        <f t="shared" si="161"/>
        <v>1928913.96</v>
      </c>
      <c r="BF44" s="80">
        <f t="shared" si="191"/>
        <v>130</v>
      </c>
      <c r="BG44" s="31">
        <f t="shared" si="68"/>
        <v>4.7076923076923078</v>
      </c>
      <c r="BH44" s="21">
        <f t="shared" si="162"/>
        <v>9080733.4116923083</v>
      </c>
      <c r="BI44" s="3">
        <f t="shared" si="163"/>
        <v>412001.04</v>
      </c>
      <c r="BJ44" s="80">
        <f t="shared" si="192"/>
        <v>106</v>
      </c>
      <c r="BK44" s="31">
        <f t="shared" si="69"/>
        <v>6.1509433962264151</v>
      </c>
      <c r="BL44" s="21">
        <f t="shared" si="164"/>
        <v>2534195.0762264151</v>
      </c>
      <c r="BM44" s="3">
        <v>1243487</v>
      </c>
      <c r="BN44" s="80">
        <f t="shared" si="193"/>
        <v>121</v>
      </c>
      <c r="BO44" s="31">
        <f t="shared" si="70"/>
        <v>4.2066115702479339</v>
      </c>
      <c r="BP44" s="21">
        <f t="shared" si="165"/>
        <v>5230866.8016528925</v>
      </c>
      <c r="BQ44" s="3">
        <v>311893</v>
      </c>
      <c r="BR44" s="15"/>
      <c r="BS44" s="3">
        <f t="shared" si="166"/>
        <v>311893</v>
      </c>
      <c r="BT44" s="80">
        <f t="shared" si="194"/>
        <v>124</v>
      </c>
      <c r="BU44" s="31">
        <f t="shared" si="71"/>
        <v>2.8629032258064515</v>
      </c>
      <c r="BV44" s="21">
        <f t="shared" si="167"/>
        <v>892919.47580645164</v>
      </c>
      <c r="BW44" s="2">
        <v>245798</v>
      </c>
      <c r="BX44" s="80">
        <f t="shared" si="195"/>
        <v>149</v>
      </c>
      <c r="BY44" s="31">
        <f t="shared" si="72"/>
        <v>4.8993288590604029</v>
      </c>
      <c r="BZ44" s="22">
        <f t="shared" si="168"/>
        <v>1204245.234899329</v>
      </c>
      <c r="CA44" s="2">
        <v>0</v>
      </c>
      <c r="CB44" s="2"/>
      <c r="CD44" s="22">
        <v>0</v>
      </c>
      <c r="CE44" s="3">
        <v>246646</v>
      </c>
      <c r="CF44" s="3">
        <v>0</v>
      </c>
      <c r="CG44" s="3">
        <f t="shared" si="170"/>
        <v>246646</v>
      </c>
      <c r="CH44" s="25">
        <f t="shared" si="171"/>
        <v>73993.8</v>
      </c>
      <c r="CI44" s="3">
        <v>79373</v>
      </c>
      <c r="CJ44" s="3">
        <v>0</v>
      </c>
      <c r="CK44" s="3">
        <f t="shared" si="172"/>
        <v>79373</v>
      </c>
      <c r="CL44" s="134">
        <f t="shared" si="196"/>
        <v>145</v>
      </c>
      <c r="CM44" s="31">
        <f t="shared" si="74"/>
        <v>3.5862068965517242</v>
      </c>
      <c r="CN44" s="21">
        <f t="shared" si="173"/>
        <v>284648</v>
      </c>
      <c r="CO44" s="3">
        <v>1195516</v>
      </c>
      <c r="CP44" s="3">
        <v>0</v>
      </c>
      <c r="CQ44" s="59">
        <v>0</v>
      </c>
      <c r="CR44" s="2">
        <f t="shared" si="174"/>
        <v>1195516</v>
      </c>
      <c r="CS44" s="80">
        <f t="shared" si="197"/>
        <v>148</v>
      </c>
      <c r="CT44" s="31">
        <f t="shared" si="75"/>
        <v>4.6689189189189193</v>
      </c>
      <c r="CU44" s="21">
        <f t="shared" si="175"/>
        <v>5581767.2702702703</v>
      </c>
      <c r="CV44" s="2">
        <v>322752</v>
      </c>
      <c r="CW44" s="92">
        <f t="shared" si="198"/>
        <v>145</v>
      </c>
      <c r="CX44" s="31">
        <f t="shared" si="76"/>
        <v>3.5862068965517242</v>
      </c>
      <c r="CY44" s="21">
        <f t="shared" si="176"/>
        <v>1157455.448275862</v>
      </c>
      <c r="CZ44" s="3">
        <v>1869744</v>
      </c>
      <c r="DA44" s="80">
        <f t="shared" si="199"/>
        <v>142</v>
      </c>
      <c r="DB44" s="31">
        <f t="shared" si="77"/>
        <v>4.577464788732394</v>
      </c>
      <c r="DC44" s="21">
        <f t="shared" si="177"/>
        <v>8558687.3239436615</v>
      </c>
      <c r="DD44" s="3">
        <v>39269</v>
      </c>
      <c r="DE44" s="3">
        <v>39269</v>
      </c>
      <c r="DF44" s="59">
        <v>0</v>
      </c>
      <c r="DG44" s="3">
        <f t="shared" si="178"/>
        <v>39269</v>
      </c>
      <c r="DH44" s="3">
        <f t="shared" si="180"/>
        <v>19634.5</v>
      </c>
      <c r="DI44" s="136">
        <f t="shared" si="200"/>
        <v>135</v>
      </c>
      <c r="DJ44" s="41">
        <f t="shared" si="78"/>
        <v>6.4296296296296296</v>
      </c>
      <c r="DK44" s="21">
        <f t="shared" si="179"/>
        <v>126242.56296296297</v>
      </c>
    </row>
    <row r="45" spans="1:115">
      <c r="A45" s="7">
        <v>1974</v>
      </c>
      <c r="B45" s="3">
        <v>228460</v>
      </c>
      <c r="C45" s="59">
        <v>0</v>
      </c>
      <c r="D45" s="3">
        <f t="shared" si="145"/>
        <v>228460</v>
      </c>
      <c r="E45" s="25">
        <f t="shared" si="146"/>
        <v>159922</v>
      </c>
      <c r="F45" s="3">
        <v>0</v>
      </c>
      <c r="G45" s="59">
        <v>0</v>
      </c>
      <c r="H45" s="15">
        <f t="shared" si="147"/>
        <v>0</v>
      </c>
      <c r="I45" s="80">
        <f t="shared" si="181"/>
        <v>123</v>
      </c>
      <c r="J45" s="132">
        <f t="shared" si="59"/>
        <v>4.2276422764227641</v>
      </c>
      <c r="K45" s="21">
        <f t="shared" si="148"/>
        <v>0</v>
      </c>
      <c r="L45" s="3">
        <v>844925</v>
      </c>
      <c r="M45" s="59">
        <v>0</v>
      </c>
      <c r="N45" s="59">
        <v>0</v>
      </c>
      <c r="O45" s="3">
        <f t="shared" si="149"/>
        <v>844925</v>
      </c>
      <c r="P45" s="80">
        <f t="shared" si="182"/>
        <v>126</v>
      </c>
      <c r="Q45" s="31">
        <f t="shared" si="60"/>
        <v>4.7222222222222223</v>
      </c>
      <c r="R45" s="21">
        <f t="shared" si="150"/>
        <v>3989923.611111111</v>
      </c>
      <c r="S45" s="3">
        <v>448074</v>
      </c>
      <c r="T45" s="59">
        <v>0</v>
      </c>
      <c r="U45" s="59">
        <v>0</v>
      </c>
      <c r="V45" s="3">
        <f t="shared" si="151"/>
        <v>448074</v>
      </c>
      <c r="W45" s="80">
        <f t="shared" si="183"/>
        <v>117</v>
      </c>
      <c r="X45" s="31">
        <f t="shared" si="61"/>
        <v>5.2136752136752138</v>
      </c>
      <c r="Y45" s="21">
        <f t="shared" si="152"/>
        <v>2336112.307692308</v>
      </c>
      <c r="Z45" s="3">
        <v>96421</v>
      </c>
      <c r="AA45" s="80">
        <f t="shared" si="184"/>
        <v>112</v>
      </c>
      <c r="AB45" s="31">
        <f t="shared" si="62"/>
        <v>4.8928571428571432</v>
      </c>
      <c r="AC45" s="21">
        <f t="shared" si="153"/>
        <v>471774.17857142858</v>
      </c>
      <c r="AD45" s="3">
        <v>250465</v>
      </c>
      <c r="AE45" s="80">
        <f t="shared" si="185"/>
        <v>134</v>
      </c>
      <c r="AF45" s="31">
        <f t="shared" si="63"/>
        <v>6.1865671641791042</v>
      </c>
      <c r="AG45" s="21">
        <f t="shared" si="154"/>
        <v>1549518.5447761193</v>
      </c>
      <c r="AH45" s="3">
        <v>0</v>
      </c>
      <c r="AI45" s="15"/>
      <c r="AJ45" s="3">
        <f t="shared" si="155"/>
        <v>0</v>
      </c>
      <c r="AK45" s="80">
        <f t="shared" si="186"/>
        <v>109</v>
      </c>
      <c r="AL45" s="31">
        <f t="shared" si="64"/>
        <v>4.8165137614678901</v>
      </c>
      <c r="AM45" s="21">
        <f t="shared" si="156"/>
        <v>0</v>
      </c>
      <c r="AN45" s="3">
        <v>1572058</v>
      </c>
      <c r="AO45" s="80">
        <f t="shared" si="187"/>
        <v>124</v>
      </c>
      <c r="AP45" s="31">
        <f t="shared" si="65"/>
        <v>4.580645161290323</v>
      </c>
      <c r="AQ45" s="21">
        <f t="shared" si="157"/>
        <v>7201039.8709677421</v>
      </c>
      <c r="AR45" s="3">
        <v>1222106</v>
      </c>
      <c r="AS45" s="80">
        <f t="shared" si="188"/>
        <v>115</v>
      </c>
      <c r="AT45" s="31">
        <f t="shared" si="66"/>
        <v>5.947826086956522</v>
      </c>
      <c r="AU45" s="21">
        <f t="shared" si="158"/>
        <v>7268873.9478260875</v>
      </c>
      <c r="AV45" s="3">
        <v>228080</v>
      </c>
      <c r="AW45" s="80">
        <f t="shared" si="189"/>
        <v>112</v>
      </c>
      <c r="AX45" s="31">
        <f t="shared" si="16"/>
        <v>4.6964285714285712</v>
      </c>
      <c r="AY45" s="21">
        <f t="shared" si="159"/>
        <v>1071161.4285714284</v>
      </c>
      <c r="AZ45" s="3">
        <v>0</v>
      </c>
      <c r="BA45" s="80">
        <f t="shared" si="190"/>
        <v>124</v>
      </c>
      <c r="BB45" s="31">
        <f t="shared" si="19"/>
        <v>4.9516129032258061</v>
      </c>
      <c r="BC45" s="21">
        <f t="shared" si="160"/>
        <v>0</v>
      </c>
      <c r="BD45" s="15">
        <v>1758259</v>
      </c>
      <c r="BE45" s="3">
        <f t="shared" si="161"/>
        <v>1448805.416</v>
      </c>
      <c r="BF45" s="80">
        <f t="shared" si="191"/>
        <v>109</v>
      </c>
      <c r="BG45" s="31">
        <f t="shared" si="68"/>
        <v>5.6146788990825689</v>
      </c>
      <c r="BH45" s="21">
        <f t="shared" si="162"/>
        <v>8134577.1980917435</v>
      </c>
      <c r="BI45" s="3">
        <f t="shared" si="163"/>
        <v>309453.58399999997</v>
      </c>
      <c r="BJ45" s="80">
        <f t="shared" si="192"/>
        <v>103</v>
      </c>
      <c r="BK45" s="31">
        <f t="shared" si="69"/>
        <v>6.3300970873786406</v>
      </c>
      <c r="BL45" s="21">
        <f t="shared" si="164"/>
        <v>1958871.2307572814</v>
      </c>
      <c r="BM45" s="3">
        <v>1069890</v>
      </c>
      <c r="BN45" s="80">
        <f t="shared" si="193"/>
        <v>108</v>
      </c>
      <c r="BO45" s="31">
        <f t="shared" si="70"/>
        <v>4.7129629629629628</v>
      </c>
      <c r="BP45" s="21">
        <f t="shared" si="165"/>
        <v>5042351.944444444</v>
      </c>
      <c r="BQ45" s="3">
        <v>294842</v>
      </c>
      <c r="BR45" s="15"/>
      <c r="BS45" s="3">
        <f t="shared" si="166"/>
        <v>294842</v>
      </c>
      <c r="BT45" s="80">
        <f t="shared" si="194"/>
        <v>107</v>
      </c>
      <c r="BU45" s="31">
        <f t="shared" si="71"/>
        <v>3.3177570093457942</v>
      </c>
      <c r="BV45" s="21">
        <f t="shared" si="167"/>
        <v>978214.11214953265</v>
      </c>
      <c r="BW45" s="2">
        <v>491410</v>
      </c>
      <c r="BX45" s="80">
        <f t="shared" si="195"/>
        <v>121</v>
      </c>
      <c r="BY45" s="31">
        <f t="shared" si="72"/>
        <v>6.0330578512396693</v>
      </c>
      <c r="BZ45" s="22">
        <f t="shared" si="168"/>
        <v>2964704.9586776858</v>
      </c>
      <c r="CA45" s="2">
        <v>0</v>
      </c>
      <c r="CB45" s="2"/>
      <c r="CD45" s="22">
        <v>0</v>
      </c>
      <c r="CE45" s="3">
        <v>228460</v>
      </c>
      <c r="CF45" s="59">
        <v>0</v>
      </c>
      <c r="CG45" s="3">
        <f t="shared" si="170"/>
        <v>228460</v>
      </c>
      <c r="CH45" s="25">
        <f t="shared" si="171"/>
        <v>68538</v>
      </c>
      <c r="CI45" s="3">
        <v>579</v>
      </c>
      <c r="CJ45" s="59">
        <v>0</v>
      </c>
      <c r="CK45" s="3">
        <f t="shared" si="172"/>
        <v>579</v>
      </c>
      <c r="CL45" s="134">
        <f t="shared" si="196"/>
        <v>123</v>
      </c>
      <c r="CM45" s="31">
        <f t="shared" si="74"/>
        <v>4.2276422764227641</v>
      </c>
      <c r="CN45" s="21">
        <f t="shared" si="173"/>
        <v>2447.8048780487802</v>
      </c>
      <c r="CO45" s="3">
        <v>519098</v>
      </c>
      <c r="CP45" s="59">
        <v>0</v>
      </c>
      <c r="CQ45" s="59">
        <v>0</v>
      </c>
      <c r="CR45" s="2">
        <f t="shared" si="174"/>
        <v>519098</v>
      </c>
      <c r="CS45" s="80">
        <f t="shared" si="197"/>
        <v>124</v>
      </c>
      <c r="CT45" s="31">
        <f t="shared" si="75"/>
        <v>5.57258064516129</v>
      </c>
      <c r="CU45" s="21">
        <f t="shared" si="175"/>
        <v>2892715.4677419355</v>
      </c>
      <c r="CV45" s="2">
        <v>84185</v>
      </c>
      <c r="CW45" s="92">
        <f t="shared" si="198"/>
        <v>123</v>
      </c>
      <c r="CX45" s="31">
        <f t="shared" si="76"/>
        <v>4.2276422764227641</v>
      </c>
      <c r="CY45" s="21">
        <f t="shared" si="176"/>
        <v>355904.06504065037</v>
      </c>
      <c r="CZ45" s="3">
        <v>940704</v>
      </c>
      <c r="DA45" s="80">
        <f t="shared" si="199"/>
        <v>123</v>
      </c>
      <c r="DB45" s="31">
        <f t="shared" si="77"/>
        <v>5.2845528455284549</v>
      </c>
      <c r="DC45" s="21">
        <f t="shared" si="177"/>
        <v>4971200</v>
      </c>
      <c r="DD45" s="3">
        <v>19574</v>
      </c>
      <c r="DE45" s="3">
        <v>19574</v>
      </c>
      <c r="DF45" s="3">
        <v>0</v>
      </c>
      <c r="DG45" s="3">
        <f t="shared" si="178"/>
        <v>19574</v>
      </c>
      <c r="DH45" s="3">
        <f t="shared" si="180"/>
        <v>9787</v>
      </c>
      <c r="DI45" s="136">
        <f t="shared" si="200"/>
        <v>116</v>
      </c>
      <c r="DJ45" s="41">
        <f t="shared" si="78"/>
        <v>7.4827586206896548</v>
      </c>
      <c r="DK45" s="21">
        <f t="shared" si="179"/>
        <v>73233.758620689652</v>
      </c>
    </row>
    <row r="46" spans="1:115">
      <c r="A46" s="7">
        <v>1973</v>
      </c>
      <c r="B46" s="3">
        <v>49824</v>
      </c>
      <c r="C46" s="59">
        <v>0</v>
      </c>
      <c r="D46" s="3">
        <f t="shared" si="145"/>
        <v>49824</v>
      </c>
      <c r="E46" s="25">
        <f t="shared" si="146"/>
        <v>34876.799999999996</v>
      </c>
      <c r="F46" s="3">
        <v>84599</v>
      </c>
      <c r="G46" s="59">
        <v>0</v>
      </c>
      <c r="H46" s="15">
        <f t="shared" si="147"/>
        <v>84599</v>
      </c>
      <c r="I46" s="80">
        <f t="shared" si="181"/>
        <v>100</v>
      </c>
      <c r="J46" s="132">
        <f t="shared" si="59"/>
        <v>5.2</v>
      </c>
      <c r="K46" s="21">
        <f t="shared" si="148"/>
        <v>439914.8</v>
      </c>
      <c r="L46" s="3">
        <v>1152488</v>
      </c>
      <c r="M46" s="59">
        <v>0</v>
      </c>
      <c r="N46" s="59">
        <v>0</v>
      </c>
      <c r="O46" s="3">
        <f t="shared" si="149"/>
        <v>1152488</v>
      </c>
      <c r="P46" s="80">
        <f t="shared" si="182"/>
        <v>100</v>
      </c>
      <c r="Q46" s="31">
        <f t="shared" si="60"/>
        <v>5.95</v>
      </c>
      <c r="R46" s="21">
        <f t="shared" si="150"/>
        <v>6857303.6000000006</v>
      </c>
      <c r="S46" s="3">
        <v>478216</v>
      </c>
      <c r="T46" s="59">
        <v>0</v>
      </c>
      <c r="U46" s="59">
        <v>0</v>
      </c>
      <c r="V46" s="3">
        <f t="shared" si="151"/>
        <v>478216</v>
      </c>
      <c r="W46" s="80">
        <f t="shared" si="183"/>
        <v>100</v>
      </c>
      <c r="X46" s="31">
        <f t="shared" si="61"/>
        <v>6.1</v>
      </c>
      <c r="Y46" s="21">
        <f t="shared" si="152"/>
        <v>2917117.5999999996</v>
      </c>
      <c r="Z46" s="3">
        <v>0</v>
      </c>
      <c r="AA46" s="80">
        <f t="shared" si="184"/>
        <v>100</v>
      </c>
      <c r="AB46" s="31">
        <f t="shared" si="62"/>
        <v>5.48</v>
      </c>
      <c r="AC46" s="21">
        <v>0</v>
      </c>
      <c r="AD46" s="3">
        <v>0</v>
      </c>
      <c r="AE46" s="80">
        <f t="shared" si="185"/>
        <v>100</v>
      </c>
      <c r="AF46" s="31">
        <f t="shared" si="63"/>
        <v>8.2899999999999991</v>
      </c>
      <c r="AG46" s="21">
        <v>0</v>
      </c>
      <c r="AH46" s="3">
        <v>0</v>
      </c>
      <c r="AI46" s="15"/>
      <c r="AJ46" s="3">
        <f t="shared" si="155"/>
        <v>0</v>
      </c>
      <c r="AK46" s="80">
        <f t="shared" si="186"/>
        <v>100</v>
      </c>
      <c r="AL46" s="31">
        <f t="shared" si="64"/>
        <v>5.25</v>
      </c>
      <c r="AM46" s="21">
        <f t="shared" si="156"/>
        <v>0</v>
      </c>
      <c r="AN46" s="3">
        <v>2059480</v>
      </c>
      <c r="AO46" s="80">
        <f t="shared" si="187"/>
        <v>100</v>
      </c>
      <c r="AP46" s="31">
        <f t="shared" si="65"/>
        <v>5.68</v>
      </c>
      <c r="AQ46" s="21">
        <f t="shared" si="157"/>
        <v>11697846.399999999</v>
      </c>
      <c r="AR46" s="3">
        <v>1450559</v>
      </c>
      <c r="AS46" s="80">
        <f t="shared" si="188"/>
        <v>100</v>
      </c>
      <c r="AT46" s="31">
        <f t="shared" si="66"/>
        <v>6.84</v>
      </c>
      <c r="AU46" s="21">
        <f t="shared" si="158"/>
        <v>9921823.5600000005</v>
      </c>
      <c r="AV46" s="3">
        <v>189077</v>
      </c>
      <c r="AW46" s="80">
        <f t="shared" si="189"/>
        <v>100</v>
      </c>
      <c r="AX46" s="31">
        <f t="shared" si="16"/>
        <v>5.26</v>
      </c>
      <c r="AY46" s="21">
        <f t="shared" si="159"/>
        <v>994545.0199999999</v>
      </c>
      <c r="AZ46" s="3">
        <v>251603</v>
      </c>
      <c r="BA46" s="80">
        <f t="shared" si="190"/>
        <v>100</v>
      </c>
      <c r="BB46" s="31">
        <f t="shared" si="19"/>
        <v>6.14</v>
      </c>
      <c r="BC46" s="21">
        <f t="shared" si="160"/>
        <v>1544842.42</v>
      </c>
      <c r="BD46" s="15">
        <v>1685833</v>
      </c>
      <c r="BE46" s="3">
        <f t="shared" si="161"/>
        <v>1389126.392</v>
      </c>
      <c r="BF46" s="80">
        <f t="shared" si="191"/>
        <v>100</v>
      </c>
      <c r="BG46" s="31">
        <f t="shared" si="68"/>
        <v>6.12</v>
      </c>
      <c r="BH46" s="21">
        <f t="shared" si="162"/>
        <v>8501453.5190399997</v>
      </c>
      <c r="BI46" s="3">
        <f t="shared" si="163"/>
        <v>296706.60800000001</v>
      </c>
      <c r="BJ46" s="80">
        <f t="shared" si="192"/>
        <v>100</v>
      </c>
      <c r="BK46" s="31">
        <f t="shared" si="69"/>
        <v>6.52</v>
      </c>
      <c r="BL46" s="21">
        <f t="shared" si="164"/>
        <v>1934527.0841599999</v>
      </c>
      <c r="BM46" s="3">
        <v>650560</v>
      </c>
      <c r="BN46" s="80">
        <f t="shared" si="193"/>
        <v>100</v>
      </c>
      <c r="BO46" s="31">
        <f t="shared" si="70"/>
        <v>5.09</v>
      </c>
      <c r="BP46" s="21">
        <f t="shared" si="165"/>
        <v>3311350.4</v>
      </c>
      <c r="BQ46" s="3">
        <v>212653</v>
      </c>
      <c r="BR46" s="15"/>
      <c r="BS46" s="3">
        <f t="shared" si="166"/>
        <v>212653</v>
      </c>
      <c r="BT46" s="80">
        <f t="shared" si="194"/>
        <v>100</v>
      </c>
      <c r="BU46" s="31">
        <f t="shared" si="71"/>
        <v>3.55</v>
      </c>
      <c r="BV46" s="21">
        <f t="shared" si="167"/>
        <v>754918.14999999991</v>
      </c>
      <c r="BW46" s="2">
        <v>150377</v>
      </c>
      <c r="BX46" s="80">
        <f t="shared" si="195"/>
        <v>100</v>
      </c>
      <c r="BY46" s="31">
        <f t="shared" si="72"/>
        <v>7.3</v>
      </c>
      <c r="BZ46" s="22">
        <f t="shared" si="168"/>
        <v>1097752.0999999999</v>
      </c>
      <c r="CA46" s="2">
        <v>0</v>
      </c>
      <c r="CB46" s="2"/>
      <c r="CD46" s="22">
        <v>0</v>
      </c>
      <c r="CE46" s="3">
        <v>49824</v>
      </c>
      <c r="CF46" s="59">
        <v>0</v>
      </c>
      <c r="CG46" s="3">
        <f t="shared" si="170"/>
        <v>49824</v>
      </c>
      <c r="CH46" s="25">
        <f t="shared" si="171"/>
        <v>14947.199999999999</v>
      </c>
      <c r="CI46" s="3">
        <v>60354</v>
      </c>
      <c r="CJ46" s="59">
        <v>0</v>
      </c>
      <c r="CK46" s="3">
        <f t="shared" si="172"/>
        <v>60354</v>
      </c>
      <c r="CL46" s="134">
        <f t="shared" si="196"/>
        <v>100</v>
      </c>
      <c r="CM46" s="31">
        <f t="shared" si="74"/>
        <v>5.2</v>
      </c>
      <c r="CN46" s="21">
        <f t="shared" si="173"/>
        <v>313840.8</v>
      </c>
      <c r="CO46" s="3">
        <v>1842246</v>
      </c>
      <c r="CP46" s="59">
        <v>0</v>
      </c>
      <c r="CQ46" s="59">
        <v>0</v>
      </c>
      <c r="CR46" s="2">
        <f t="shared" si="174"/>
        <v>1842246</v>
      </c>
      <c r="CS46" s="80">
        <f t="shared" si="197"/>
        <v>100</v>
      </c>
      <c r="CT46" s="31">
        <f t="shared" si="75"/>
        <v>6.91</v>
      </c>
      <c r="CU46" s="21">
        <f t="shared" si="175"/>
        <v>12729919.859999999</v>
      </c>
      <c r="CV46" s="2">
        <v>49108</v>
      </c>
      <c r="CW46" s="92">
        <f t="shared" si="198"/>
        <v>100</v>
      </c>
      <c r="CX46" s="31">
        <f t="shared" si="76"/>
        <v>5.2</v>
      </c>
      <c r="CY46" s="21">
        <f t="shared" si="176"/>
        <v>255361.6</v>
      </c>
      <c r="CZ46" s="3">
        <v>483708</v>
      </c>
      <c r="DA46" s="80">
        <f t="shared" si="199"/>
        <v>100</v>
      </c>
      <c r="DB46" s="31">
        <f t="shared" si="77"/>
        <v>6.5</v>
      </c>
      <c r="DC46" s="21">
        <f t="shared" si="177"/>
        <v>3144102</v>
      </c>
      <c r="DD46" s="3">
        <v>27751</v>
      </c>
      <c r="DE46" s="3">
        <v>27751</v>
      </c>
      <c r="DF46" s="3">
        <v>0</v>
      </c>
      <c r="DG46" s="3">
        <f t="shared" si="178"/>
        <v>27751</v>
      </c>
      <c r="DH46" s="3">
        <f t="shared" si="180"/>
        <v>13875.5</v>
      </c>
      <c r="DI46" s="136">
        <f t="shared" si="200"/>
        <v>100</v>
      </c>
      <c r="DJ46" s="41">
        <f t="shared" si="78"/>
        <v>8.68</v>
      </c>
      <c r="DK46" s="21">
        <f t="shared" si="179"/>
        <v>120439.34</v>
      </c>
    </row>
    <row r="47" spans="1:115">
      <c r="A47" s="7">
        <v>1972</v>
      </c>
      <c r="B47" s="58">
        <v>114898</v>
      </c>
      <c r="C47" s="59">
        <v>0</v>
      </c>
      <c r="D47" s="3">
        <f t="shared" si="145"/>
        <v>114898</v>
      </c>
      <c r="E47" s="25">
        <f t="shared" si="146"/>
        <v>80428.599999999991</v>
      </c>
      <c r="F47" s="58">
        <v>716</v>
      </c>
      <c r="G47" s="59">
        <v>0</v>
      </c>
      <c r="H47" s="15">
        <f t="shared" si="147"/>
        <v>716</v>
      </c>
      <c r="I47" s="80">
        <f t="shared" si="181"/>
        <v>92</v>
      </c>
      <c r="J47" s="132">
        <f t="shared" si="59"/>
        <v>5.6521739130434785</v>
      </c>
      <c r="K47" s="21">
        <f t="shared" si="148"/>
        <v>4046.9565217391305</v>
      </c>
      <c r="L47" s="3">
        <v>331441</v>
      </c>
      <c r="M47" s="59">
        <v>0</v>
      </c>
      <c r="N47" s="59">
        <v>0</v>
      </c>
      <c r="O47" s="3">
        <f t="shared" si="149"/>
        <v>331441</v>
      </c>
      <c r="P47" s="80">
        <f t="shared" si="182"/>
        <v>87</v>
      </c>
      <c r="Q47" s="31">
        <f t="shared" si="60"/>
        <v>6.8390804597701154</v>
      </c>
      <c r="R47" s="21">
        <f t="shared" si="150"/>
        <v>2266751.666666667</v>
      </c>
      <c r="S47" s="3">
        <v>219750</v>
      </c>
      <c r="T47" s="59">
        <v>0</v>
      </c>
      <c r="U47" s="59">
        <v>0</v>
      </c>
      <c r="V47" s="3">
        <f t="shared" si="151"/>
        <v>219750</v>
      </c>
      <c r="W47" s="80">
        <f t="shared" si="183"/>
        <v>99</v>
      </c>
      <c r="X47" s="31">
        <f t="shared" si="61"/>
        <v>6.1616161616161618</v>
      </c>
      <c r="Y47" s="21">
        <f t="shared" si="152"/>
        <v>1354015.1515151516</v>
      </c>
      <c r="Z47" s="3">
        <v>0</v>
      </c>
      <c r="AA47" s="80">
        <f t="shared" si="184"/>
        <v>97</v>
      </c>
      <c r="AB47" s="31">
        <f t="shared" si="62"/>
        <v>5.6494845360824746</v>
      </c>
      <c r="AC47" s="21">
        <v>0</v>
      </c>
      <c r="AD47" s="3">
        <v>0</v>
      </c>
      <c r="AE47" s="80">
        <f t="shared" si="185"/>
        <v>92</v>
      </c>
      <c r="AF47" s="31">
        <f t="shared" si="63"/>
        <v>9.0108695652173907</v>
      </c>
      <c r="AG47" s="21">
        <v>0</v>
      </c>
      <c r="AH47" s="3">
        <v>4984</v>
      </c>
      <c r="AI47" s="15"/>
      <c r="AJ47" s="3">
        <f t="shared" si="155"/>
        <v>4984</v>
      </c>
      <c r="AK47" s="80">
        <f t="shared" si="186"/>
        <v>95</v>
      </c>
      <c r="AL47" s="31">
        <f t="shared" si="64"/>
        <v>5.5263157894736841</v>
      </c>
      <c r="AM47" s="21">
        <f t="shared" si="156"/>
        <v>27543.15789473684</v>
      </c>
      <c r="AN47" s="3">
        <v>1304421</v>
      </c>
      <c r="AO47" s="80">
        <f t="shared" si="187"/>
        <v>88</v>
      </c>
      <c r="AP47" s="31">
        <f t="shared" si="65"/>
        <v>6.4545454545454541</v>
      </c>
      <c r="AQ47" s="21">
        <f t="shared" si="157"/>
        <v>8419444.6363636367</v>
      </c>
      <c r="AR47" s="3">
        <v>795646</v>
      </c>
      <c r="AS47" s="80">
        <f t="shared" si="188"/>
        <v>98</v>
      </c>
      <c r="AT47" s="31">
        <f t="shared" si="66"/>
        <v>6.9795918367346941</v>
      </c>
      <c r="AU47" s="21">
        <f t="shared" si="158"/>
        <v>5553284.3265306121</v>
      </c>
      <c r="AV47" s="3">
        <v>75585</v>
      </c>
      <c r="AW47" s="80">
        <f t="shared" si="189"/>
        <v>95</v>
      </c>
      <c r="AX47" s="31">
        <f t="shared" si="16"/>
        <v>5.5368421052631582</v>
      </c>
      <c r="AY47" s="21">
        <f t="shared" si="159"/>
        <v>418502.21052631579</v>
      </c>
      <c r="AZ47" s="3">
        <v>0</v>
      </c>
      <c r="BA47" s="80">
        <f t="shared" si="190"/>
        <v>99</v>
      </c>
      <c r="BB47" s="31">
        <f t="shared" si="19"/>
        <v>6.2020202020202024</v>
      </c>
      <c r="BC47" s="21">
        <f t="shared" si="160"/>
        <v>0</v>
      </c>
      <c r="BD47" s="15">
        <v>1271668</v>
      </c>
      <c r="BE47" s="3">
        <f t="shared" si="161"/>
        <v>1047854.4319999999</v>
      </c>
      <c r="BF47" s="80">
        <f t="shared" si="191"/>
        <v>99</v>
      </c>
      <c r="BG47" s="31">
        <f t="shared" si="68"/>
        <v>6.1818181818181817</v>
      </c>
      <c r="BH47" s="21">
        <f t="shared" si="162"/>
        <v>6477645.5796363633</v>
      </c>
      <c r="BI47" s="3">
        <f t="shared" si="163"/>
        <v>223813.568</v>
      </c>
      <c r="BJ47" s="80">
        <f t="shared" si="192"/>
        <v>99</v>
      </c>
      <c r="BK47" s="31">
        <f t="shared" si="69"/>
        <v>6.5858585858585856</v>
      </c>
      <c r="BL47" s="21">
        <f t="shared" si="164"/>
        <v>1474004.5084444443</v>
      </c>
      <c r="BM47" s="3">
        <v>607254</v>
      </c>
      <c r="BN47" s="80">
        <f t="shared" si="193"/>
        <v>97</v>
      </c>
      <c r="BO47" s="31">
        <f t="shared" si="70"/>
        <v>5.2474226804123711</v>
      </c>
      <c r="BP47" s="21">
        <f t="shared" si="165"/>
        <v>3186518.4123711339</v>
      </c>
      <c r="BQ47" s="3">
        <v>231688</v>
      </c>
      <c r="BR47" s="15"/>
      <c r="BS47" s="3">
        <f t="shared" si="166"/>
        <v>231688</v>
      </c>
      <c r="BT47" s="80">
        <f t="shared" si="194"/>
        <v>100</v>
      </c>
      <c r="BU47" s="31">
        <f t="shared" si="71"/>
        <v>3.55</v>
      </c>
      <c r="BV47" s="21">
        <f t="shared" si="167"/>
        <v>822492.39999999991</v>
      </c>
      <c r="BW47" s="2">
        <v>287684</v>
      </c>
      <c r="BX47" s="80">
        <f t="shared" si="195"/>
        <v>97</v>
      </c>
      <c r="BY47" s="31">
        <f t="shared" si="72"/>
        <v>7.5257731958762886</v>
      </c>
      <c r="BZ47" s="22">
        <f t="shared" si="168"/>
        <v>2165044.536082474</v>
      </c>
      <c r="CA47" s="2">
        <v>0</v>
      </c>
      <c r="CB47" s="2"/>
      <c r="CD47" s="22">
        <v>0</v>
      </c>
      <c r="CE47" s="55">
        <v>114898</v>
      </c>
      <c r="CF47" s="59">
        <v>0</v>
      </c>
      <c r="CG47" s="3">
        <f t="shared" si="170"/>
        <v>114898</v>
      </c>
      <c r="CH47" s="25">
        <f t="shared" si="171"/>
        <v>34469.4</v>
      </c>
      <c r="CI47" s="3">
        <v>72519</v>
      </c>
      <c r="CJ47" s="59">
        <v>0</v>
      </c>
      <c r="CK47" s="3">
        <f t="shared" si="172"/>
        <v>72519</v>
      </c>
      <c r="CL47" s="134">
        <f t="shared" si="196"/>
        <v>92</v>
      </c>
      <c r="CM47" s="31">
        <f t="shared" si="74"/>
        <v>5.6521739130434785</v>
      </c>
      <c r="CN47" s="21">
        <f t="shared" si="173"/>
        <v>409890</v>
      </c>
      <c r="CO47" s="3">
        <v>1405803</v>
      </c>
      <c r="CP47" s="59">
        <v>0</v>
      </c>
      <c r="CQ47" s="59">
        <v>0</v>
      </c>
      <c r="CR47" s="2">
        <f t="shared" si="174"/>
        <v>1405803</v>
      </c>
      <c r="CS47" s="80">
        <f t="shared" si="197"/>
        <v>94</v>
      </c>
      <c r="CT47" s="31">
        <f t="shared" si="75"/>
        <v>7.3510638297872344</v>
      </c>
      <c r="CU47" s="21">
        <f t="shared" si="175"/>
        <v>10334147.585106384</v>
      </c>
      <c r="CV47" s="2">
        <v>52419</v>
      </c>
      <c r="CW47" s="92">
        <f t="shared" si="198"/>
        <v>92</v>
      </c>
      <c r="CX47" s="31">
        <f t="shared" si="76"/>
        <v>5.6521739130434785</v>
      </c>
      <c r="CY47" s="21">
        <f t="shared" si="176"/>
        <v>296281.30434782611</v>
      </c>
      <c r="CZ47" s="3">
        <v>510086</v>
      </c>
      <c r="DA47" s="80">
        <f t="shared" si="199"/>
        <v>93</v>
      </c>
      <c r="DB47" s="31">
        <f t="shared" si="77"/>
        <v>6.989247311827957</v>
      </c>
      <c r="DC47" s="21">
        <f t="shared" si="177"/>
        <v>3565117.2043010751</v>
      </c>
      <c r="DD47" s="3">
        <v>33680</v>
      </c>
      <c r="DE47" s="3">
        <v>33680</v>
      </c>
      <c r="DF47" s="3">
        <v>0</v>
      </c>
      <c r="DG47" s="3">
        <f t="shared" si="178"/>
        <v>33680</v>
      </c>
      <c r="DH47" s="3">
        <f t="shared" si="180"/>
        <v>16840</v>
      </c>
      <c r="DI47" s="136">
        <f t="shared" si="200"/>
        <v>96</v>
      </c>
      <c r="DJ47" s="41">
        <f t="shared" si="78"/>
        <v>9.0416666666666661</v>
      </c>
      <c r="DK47" s="21">
        <f t="shared" si="179"/>
        <v>152261.66666666666</v>
      </c>
    </row>
    <row r="48" spans="1:115">
      <c r="A48" s="7">
        <v>1971</v>
      </c>
      <c r="B48" s="3">
        <v>113555</v>
      </c>
      <c r="C48" s="15"/>
      <c r="D48" s="3">
        <f t="shared" si="145"/>
        <v>113555</v>
      </c>
      <c r="E48" s="25">
        <f t="shared" si="146"/>
        <v>79488.5</v>
      </c>
      <c r="F48" s="3">
        <v>105739</v>
      </c>
      <c r="G48" s="15"/>
      <c r="H48" s="15">
        <f t="shared" si="147"/>
        <v>105739</v>
      </c>
      <c r="I48" s="80">
        <f t="shared" si="181"/>
        <v>87</v>
      </c>
      <c r="J48" s="132">
        <f t="shared" si="59"/>
        <v>5.9770114942528734</v>
      </c>
      <c r="K48" s="21">
        <f t="shared" si="148"/>
        <v>632003.2183908046</v>
      </c>
      <c r="L48" s="3">
        <v>265031</v>
      </c>
      <c r="M48" s="15"/>
      <c r="N48"/>
      <c r="O48" s="3">
        <f t="shared" si="149"/>
        <v>265031</v>
      </c>
      <c r="P48" s="80">
        <f t="shared" si="182"/>
        <v>81</v>
      </c>
      <c r="Q48" s="31">
        <f t="shared" si="60"/>
        <v>7.3456790123456788</v>
      </c>
      <c r="R48" s="21">
        <f t="shared" si="150"/>
        <v>1946832.6543209876</v>
      </c>
      <c r="S48" s="3">
        <v>245642</v>
      </c>
      <c r="T48" s="15"/>
      <c r="U48" s="15"/>
      <c r="V48" s="3">
        <f t="shared" si="151"/>
        <v>245642</v>
      </c>
      <c r="W48" s="80">
        <f t="shared" si="183"/>
        <v>98</v>
      </c>
      <c r="X48" s="31">
        <f t="shared" si="61"/>
        <v>6.2244897959183669</v>
      </c>
      <c r="Y48" s="21">
        <f t="shared" si="152"/>
        <v>1528996.1224489794</v>
      </c>
      <c r="Z48" s="3">
        <v>0</v>
      </c>
      <c r="AA48" s="80">
        <f t="shared" si="184"/>
        <v>89</v>
      </c>
      <c r="AB48" s="31">
        <f t="shared" si="62"/>
        <v>6.1573033707865168</v>
      </c>
      <c r="AC48" s="21">
        <v>0</v>
      </c>
      <c r="AD48" s="3">
        <v>0</v>
      </c>
      <c r="AE48" s="80">
        <f t="shared" si="185"/>
        <v>82</v>
      </c>
      <c r="AF48" s="31">
        <f t="shared" si="63"/>
        <v>10.109756097560975</v>
      </c>
      <c r="AG48" s="21">
        <v>0</v>
      </c>
      <c r="AH48" s="3">
        <v>0</v>
      </c>
      <c r="AI48" s="15"/>
      <c r="AJ48" s="3">
        <f t="shared" si="155"/>
        <v>0</v>
      </c>
      <c r="AK48" s="80">
        <f t="shared" si="186"/>
        <v>86</v>
      </c>
      <c r="AL48" s="31">
        <f t="shared" si="64"/>
        <v>6.1046511627906979</v>
      </c>
      <c r="AM48" s="21">
        <f t="shared" si="156"/>
        <v>0</v>
      </c>
      <c r="AN48" s="3">
        <v>1422029</v>
      </c>
      <c r="AO48" s="80">
        <f t="shared" si="187"/>
        <v>82</v>
      </c>
      <c r="AP48" s="31">
        <f t="shared" si="65"/>
        <v>6.9268292682926829</v>
      </c>
      <c r="AQ48" s="21">
        <f t="shared" si="157"/>
        <v>9850152.0975609757</v>
      </c>
      <c r="AR48" s="3">
        <v>910073</v>
      </c>
      <c r="AS48" s="80">
        <f t="shared" si="188"/>
        <v>95</v>
      </c>
      <c r="AT48" s="31">
        <f t="shared" si="66"/>
        <v>7.2</v>
      </c>
      <c r="AU48" s="21">
        <f t="shared" si="158"/>
        <v>6552525.6000000006</v>
      </c>
      <c r="AV48" s="3">
        <v>85772</v>
      </c>
      <c r="AW48" s="80">
        <f t="shared" si="189"/>
        <v>87</v>
      </c>
      <c r="AX48" s="31">
        <f t="shared" si="16"/>
        <v>6.0459770114942533</v>
      </c>
      <c r="AY48" s="21">
        <f t="shared" si="159"/>
        <v>518575.54022988508</v>
      </c>
      <c r="AZ48" s="3">
        <v>76775</v>
      </c>
      <c r="BA48" s="80">
        <f t="shared" si="190"/>
        <v>86</v>
      </c>
      <c r="BB48" s="31">
        <f t="shared" si="19"/>
        <v>7.1395348837209305</v>
      </c>
      <c r="BC48" s="21">
        <f t="shared" si="160"/>
        <v>548137.79069767438</v>
      </c>
      <c r="BD48" s="15">
        <v>1087396</v>
      </c>
      <c r="BE48" s="3">
        <f t="shared" si="161"/>
        <v>896014.304</v>
      </c>
      <c r="BF48" s="80">
        <f t="shared" si="191"/>
        <v>101</v>
      </c>
      <c r="BG48" s="31">
        <f t="shared" si="68"/>
        <v>6.0594059405940595</v>
      </c>
      <c r="BH48" s="21">
        <f t="shared" si="162"/>
        <v>5429314.3965148516</v>
      </c>
      <c r="BI48" s="3">
        <f t="shared" si="163"/>
        <v>191381.696</v>
      </c>
      <c r="BJ48" s="80">
        <f t="shared" si="192"/>
        <v>97</v>
      </c>
      <c r="BK48" s="31">
        <f t="shared" si="69"/>
        <v>6.7216494845360826</v>
      </c>
      <c r="BL48" s="21">
        <f t="shared" si="164"/>
        <v>1286400.6782680412</v>
      </c>
      <c r="BM48" s="3">
        <v>499830</v>
      </c>
      <c r="BN48" s="80">
        <f t="shared" si="193"/>
        <v>91</v>
      </c>
      <c r="BO48" s="31">
        <f t="shared" si="70"/>
        <v>5.5934065934065931</v>
      </c>
      <c r="BP48" s="21">
        <f t="shared" si="165"/>
        <v>2795752.4175824174</v>
      </c>
      <c r="BQ48" s="3">
        <v>196061</v>
      </c>
      <c r="BR48" s="15"/>
      <c r="BS48" s="3">
        <f t="shared" si="166"/>
        <v>196061</v>
      </c>
      <c r="BT48" s="80">
        <f t="shared" si="194"/>
        <v>98</v>
      </c>
      <c r="BU48" s="31">
        <f t="shared" si="71"/>
        <v>3.6224489795918369</v>
      </c>
      <c r="BV48" s="21">
        <f t="shared" si="167"/>
        <v>710220.96938775515</v>
      </c>
      <c r="BW48" s="2">
        <v>322085</v>
      </c>
      <c r="BX48" s="80">
        <f t="shared" si="195"/>
        <v>92</v>
      </c>
      <c r="BY48" s="31">
        <f t="shared" si="72"/>
        <v>7.9347826086956523</v>
      </c>
      <c r="BZ48" s="22">
        <f t="shared" si="168"/>
        <v>2555674.4565217393</v>
      </c>
      <c r="CA48" s="2">
        <v>0</v>
      </c>
      <c r="CB48" s="2"/>
      <c r="CD48" s="22">
        <v>0</v>
      </c>
      <c r="CE48" s="3">
        <v>113555</v>
      </c>
      <c r="CF48" s="15"/>
      <c r="CG48" s="3">
        <f t="shared" si="170"/>
        <v>113555</v>
      </c>
      <c r="CH48" s="25">
        <f t="shared" si="171"/>
        <v>34066.5</v>
      </c>
      <c r="CI48" s="3">
        <v>3648</v>
      </c>
      <c r="CJ48" s="15"/>
      <c r="CK48" s="3">
        <f t="shared" si="172"/>
        <v>3648</v>
      </c>
      <c r="CL48" s="134">
        <f t="shared" si="196"/>
        <v>87</v>
      </c>
      <c r="CM48" s="31">
        <f t="shared" si="74"/>
        <v>5.9770114942528734</v>
      </c>
      <c r="CN48" s="21">
        <f t="shared" si="173"/>
        <v>21804.137931034482</v>
      </c>
      <c r="CO48" s="3">
        <v>422680</v>
      </c>
      <c r="CP48" s="3"/>
      <c r="CQ48" s="3"/>
      <c r="CR48" s="2">
        <f t="shared" si="174"/>
        <v>422680</v>
      </c>
      <c r="CS48" s="80">
        <f t="shared" si="197"/>
        <v>91</v>
      </c>
      <c r="CT48" s="31">
        <f t="shared" si="75"/>
        <v>7.5934065934065931</v>
      </c>
      <c r="CU48" s="21">
        <f t="shared" si="175"/>
        <v>3209581.0989010986</v>
      </c>
      <c r="CV48" s="2">
        <v>30450</v>
      </c>
      <c r="CW48" s="92">
        <f t="shared" si="198"/>
        <v>87</v>
      </c>
      <c r="CX48" s="31">
        <f t="shared" si="76"/>
        <v>5.9770114942528734</v>
      </c>
      <c r="CY48" s="21">
        <f t="shared" si="176"/>
        <v>182000</v>
      </c>
      <c r="CZ48" s="3">
        <v>258554</v>
      </c>
      <c r="DA48" s="80">
        <f t="shared" si="199"/>
        <v>90</v>
      </c>
      <c r="DB48" s="31">
        <f t="shared" si="77"/>
        <v>7.2222222222222223</v>
      </c>
      <c r="DC48" s="21">
        <f t="shared" si="177"/>
        <v>1867334.4444444445</v>
      </c>
      <c r="DD48" s="3">
        <v>23945</v>
      </c>
      <c r="DE48" s="3">
        <v>23945</v>
      </c>
      <c r="DF48" s="3"/>
      <c r="DG48" s="3">
        <f t="shared" si="178"/>
        <v>23945</v>
      </c>
      <c r="DH48" s="3">
        <f t="shared" si="180"/>
        <v>11972.5</v>
      </c>
      <c r="DI48" s="136">
        <f t="shared" si="200"/>
        <v>90</v>
      </c>
      <c r="DJ48" s="41">
        <f t="shared" si="78"/>
        <v>9.6444444444444439</v>
      </c>
      <c r="DK48" s="21">
        <f t="shared" si="179"/>
        <v>115468.11111111111</v>
      </c>
    </row>
    <row r="49" spans="1:115">
      <c r="A49" s="7">
        <v>1970</v>
      </c>
      <c r="B49" s="3">
        <v>30817</v>
      </c>
      <c r="C49" s="15"/>
      <c r="D49" s="3">
        <f t="shared" si="145"/>
        <v>30817</v>
      </c>
      <c r="E49" s="25">
        <f t="shared" si="146"/>
        <v>21571.899999999998</v>
      </c>
      <c r="F49" s="3">
        <v>396</v>
      </c>
      <c r="G49" s="15"/>
      <c r="H49" s="15">
        <f t="shared" si="147"/>
        <v>396</v>
      </c>
      <c r="I49" s="80">
        <f t="shared" si="181"/>
        <v>82</v>
      </c>
      <c r="J49" s="132">
        <f t="shared" si="59"/>
        <v>6.3414634146341466</v>
      </c>
      <c r="K49" s="21">
        <f t="shared" si="148"/>
        <v>2511.2195121951222</v>
      </c>
      <c r="L49" s="3">
        <v>191536</v>
      </c>
      <c r="M49" s="15"/>
      <c r="N49" s="3" t="s">
        <v>28</v>
      </c>
      <c r="O49" s="3">
        <v>199021</v>
      </c>
      <c r="P49" s="80">
        <f t="shared" si="182"/>
        <v>76</v>
      </c>
      <c r="Q49" s="31">
        <f t="shared" si="60"/>
        <v>7.8289473684210522</v>
      </c>
      <c r="R49" s="21">
        <f t="shared" si="150"/>
        <v>1558124.9342105263</v>
      </c>
      <c r="S49" s="3">
        <v>158454</v>
      </c>
      <c r="T49" s="15"/>
      <c r="U49" s="3" t="s">
        <v>29</v>
      </c>
      <c r="V49" s="3">
        <v>162257</v>
      </c>
      <c r="W49" s="80">
        <f t="shared" si="183"/>
        <v>89</v>
      </c>
      <c r="X49" s="31">
        <f t="shared" si="61"/>
        <v>6.8539325842696632</v>
      </c>
      <c r="Y49" s="21">
        <f t="shared" si="152"/>
        <v>1112098.5393258426</v>
      </c>
      <c r="Z49" s="3">
        <v>0</v>
      </c>
      <c r="AA49" s="80">
        <f t="shared" si="184"/>
        <v>82</v>
      </c>
      <c r="AB49" s="31">
        <f t="shared" si="62"/>
        <v>6.6829268292682924</v>
      </c>
      <c r="AC49" s="21">
        <v>0</v>
      </c>
      <c r="AD49" s="3">
        <v>0</v>
      </c>
      <c r="AE49" s="80">
        <f t="shared" si="185"/>
        <v>82</v>
      </c>
      <c r="AF49" s="31">
        <f t="shared" si="63"/>
        <v>10.109756097560975</v>
      </c>
      <c r="AG49" s="21">
        <v>0</v>
      </c>
      <c r="AH49" s="3">
        <v>0</v>
      </c>
      <c r="AI49" s="15"/>
      <c r="AJ49" s="3">
        <f t="shared" si="155"/>
        <v>0</v>
      </c>
      <c r="AK49" s="80">
        <f t="shared" si="186"/>
        <v>79</v>
      </c>
      <c r="AL49" s="31">
        <f t="shared" si="64"/>
        <v>6.6455696202531644</v>
      </c>
      <c r="AM49" s="21">
        <f t="shared" si="156"/>
        <v>0</v>
      </c>
      <c r="AN49" s="3">
        <v>1067466</v>
      </c>
      <c r="AO49" s="80">
        <f t="shared" si="187"/>
        <v>76</v>
      </c>
      <c r="AP49" s="31">
        <f t="shared" si="65"/>
        <v>7.4736842105263159</v>
      </c>
      <c r="AQ49" s="21">
        <f t="shared" si="157"/>
        <v>7977903.7894736845</v>
      </c>
      <c r="AR49" s="3">
        <v>837700</v>
      </c>
      <c r="AS49" s="80">
        <f t="shared" si="188"/>
        <v>87</v>
      </c>
      <c r="AT49" s="31">
        <f t="shared" si="66"/>
        <v>7.8620689655172411</v>
      </c>
      <c r="AU49" s="21">
        <f t="shared" si="158"/>
        <v>6586055.1724137925</v>
      </c>
      <c r="AV49" s="3">
        <v>26277</v>
      </c>
      <c r="AW49" s="80">
        <f t="shared" si="189"/>
        <v>81</v>
      </c>
      <c r="AX49" s="31">
        <f t="shared" si="16"/>
        <v>6.4938271604938276</v>
      </c>
      <c r="AY49" s="21">
        <f t="shared" si="159"/>
        <v>170638.29629629632</v>
      </c>
      <c r="AZ49" s="3">
        <v>0</v>
      </c>
      <c r="BA49" s="80">
        <f t="shared" si="190"/>
        <v>86</v>
      </c>
      <c r="BB49" s="31">
        <f t="shared" si="19"/>
        <v>7.1395348837209305</v>
      </c>
      <c r="BC49" s="21">
        <f t="shared" si="160"/>
        <v>0</v>
      </c>
      <c r="BD49" s="15">
        <v>602462</v>
      </c>
      <c r="BE49" s="3">
        <f t="shared" si="161"/>
        <v>496428.68799999997</v>
      </c>
      <c r="BF49" s="80">
        <f t="shared" si="191"/>
        <v>102</v>
      </c>
      <c r="BG49" s="31">
        <f t="shared" si="68"/>
        <v>6</v>
      </c>
      <c r="BH49" s="21">
        <f t="shared" si="162"/>
        <v>2978572.1279999996</v>
      </c>
      <c r="BI49" s="3">
        <f t="shared" si="163"/>
        <v>106033.31199999999</v>
      </c>
      <c r="BJ49" s="80">
        <f t="shared" si="192"/>
        <v>95</v>
      </c>
      <c r="BK49" s="31">
        <f t="shared" si="69"/>
        <v>6.8631578947368421</v>
      </c>
      <c r="BL49" s="21">
        <f t="shared" si="164"/>
        <v>727723.36235789466</v>
      </c>
      <c r="BM49" s="3">
        <v>369394</v>
      </c>
      <c r="BN49" s="80">
        <f t="shared" si="193"/>
        <v>84</v>
      </c>
      <c r="BO49" s="31">
        <f t="shared" si="70"/>
        <v>6.0595238095238093</v>
      </c>
      <c r="BP49" s="21">
        <f t="shared" si="165"/>
        <v>2238351.7380952379</v>
      </c>
      <c r="BQ49" s="3">
        <v>119713</v>
      </c>
      <c r="BR49" s="15"/>
      <c r="BS49" s="3">
        <f t="shared" si="166"/>
        <v>119713</v>
      </c>
      <c r="BT49" s="80">
        <f t="shared" si="194"/>
        <v>94</v>
      </c>
      <c r="BU49" s="31">
        <f t="shared" si="71"/>
        <v>3.7765957446808511</v>
      </c>
      <c r="BV49" s="21">
        <f t="shared" si="167"/>
        <v>452107.60638297873</v>
      </c>
      <c r="BW49" s="2">
        <v>157383</v>
      </c>
      <c r="BX49" s="80">
        <f t="shared" si="195"/>
        <v>88</v>
      </c>
      <c r="BY49" s="31">
        <f t="shared" si="72"/>
        <v>8.295454545454545</v>
      </c>
      <c r="BZ49" s="22">
        <f t="shared" si="168"/>
        <v>1305563.5227272727</v>
      </c>
      <c r="CA49" s="2">
        <v>0</v>
      </c>
      <c r="CB49" s="2"/>
      <c r="CD49" s="22">
        <v>0</v>
      </c>
      <c r="CE49" s="3">
        <v>30817</v>
      </c>
      <c r="CF49" s="15"/>
      <c r="CG49" s="3">
        <f t="shared" si="170"/>
        <v>30817</v>
      </c>
      <c r="CH49" s="25">
        <f t="shared" si="171"/>
        <v>9245.1</v>
      </c>
      <c r="CI49" s="3">
        <v>9477</v>
      </c>
      <c r="CJ49" s="15"/>
      <c r="CK49" s="3">
        <f t="shared" si="172"/>
        <v>9477</v>
      </c>
      <c r="CL49" s="134">
        <f t="shared" si="196"/>
        <v>82</v>
      </c>
      <c r="CM49" s="31">
        <f t="shared" si="74"/>
        <v>6.3414634146341466</v>
      </c>
      <c r="CN49" s="21">
        <f t="shared" si="173"/>
        <v>60098.048780487807</v>
      </c>
      <c r="CO49" s="3">
        <v>344607</v>
      </c>
      <c r="CP49" s="3"/>
      <c r="CQ49" s="3" t="s">
        <v>30</v>
      </c>
      <c r="CR49" s="3">
        <v>354134</v>
      </c>
      <c r="CS49" s="80">
        <f t="shared" si="197"/>
        <v>89</v>
      </c>
      <c r="CT49" s="31">
        <f t="shared" si="75"/>
        <v>7.7640449438202248</v>
      </c>
      <c r="CU49" s="21">
        <f t="shared" si="175"/>
        <v>2749512.2921348317</v>
      </c>
      <c r="CV49" s="2">
        <v>29475</v>
      </c>
      <c r="CW49" s="92">
        <f t="shared" si="198"/>
        <v>82</v>
      </c>
      <c r="CX49" s="31">
        <f t="shared" si="76"/>
        <v>6.3414634146341466</v>
      </c>
      <c r="CY49" s="21">
        <f t="shared" si="176"/>
        <v>186914.63414634147</v>
      </c>
      <c r="CZ49" s="3">
        <v>540779</v>
      </c>
      <c r="DA49" s="80">
        <f t="shared" si="199"/>
        <v>90</v>
      </c>
      <c r="DB49" s="31">
        <f t="shared" si="77"/>
        <v>7.2222222222222223</v>
      </c>
      <c r="DC49" s="21">
        <f t="shared" si="177"/>
        <v>3905626.111111111</v>
      </c>
      <c r="DD49" s="3">
        <v>3462</v>
      </c>
      <c r="DE49" s="3">
        <v>3462</v>
      </c>
      <c r="DF49" s="3"/>
      <c r="DG49" s="3">
        <f t="shared" si="178"/>
        <v>3462</v>
      </c>
      <c r="DH49" s="3">
        <f t="shared" si="180"/>
        <v>1731</v>
      </c>
      <c r="DI49" s="136">
        <f t="shared" si="200"/>
        <v>85</v>
      </c>
      <c r="DJ49" s="41">
        <f t="shared" si="78"/>
        <v>10.211764705882352</v>
      </c>
      <c r="DK49" s="21">
        <f t="shared" si="179"/>
        <v>17676.564705882352</v>
      </c>
    </row>
    <row r="50" spans="1:115">
      <c r="A50" s="7">
        <v>1969</v>
      </c>
      <c r="B50" s="3">
        <v>53830</v>
      </c>
      <c r="C50" s="15"/>
      <c r="D50" s="3">
        <f t="shared" si="145"/>
        <v>53830</v>
      </c>
      <c r="E50" s="25">
        <f t="shared" si="146"/>
        <v>37681</v>
      </c>
      <c r="F50" s="3">
        <v>3398</v>
      </c>
      <c r="G50" s="15"/>
      <c r="H50" s="15">
        <f t="shared" si="147"/>
        <v>3398</v>
      </c>
      <c r="I50" s="80">
        <f t="shared" si="181"/>
        <v>78</v>
      </c>
      <c r="J50" s="132">
        <f t="shared" si="59"/>
        <v>6.666666666666667</v>
      </c>
      <c r="K50" s="21">
        <f t="shared" si="148"/>
        <v>22653.333333333336</v>
      </c>
      <c r="L50" s="3">
        <v>239885</v>
      </c>
      <c r="M50" s="15"/>
      <c r="N50" s="3" t="s">
        <v>31</v>
      </c>
      <c r="O50" s="3">
        <v>241771</v>
      </c>
      <c r="P50" s="80">
        <f t="shared" si="182"/>
        <v>69</v>
      </c>
      <c r="Q50" s="31">
        <f t="shared" si="60"/>
        <v>8.6231884057971016</v>
      </c>
      <c r="R50" s="21">
        <f t="shared" si="150"/>
        <v>2084836.884057971</v>
      </c>
      <c r="S50" s="3">
        <v>157735</v>
      </c>
      <c r="T50" s="15"/>
      <c r="U50" s="3" t="s">
        <v>32</v>
      </c>
      <c r="V50" s="3">
        <v>158403</v>
      </c>
      <c r="W50" s="80">
        <f t="shared" si="183"/>
        <v>80</v>
      </c>
      <c r="X50" s="31">
        <f t="shared" si="61"/>
        <v>7.625</v>
      </c>
      <c r="Y50" s="21">
        <f t="shared" si="152"/>
        <v>1207822.875</v>
      </c>
      <c r="Z50" s="3">
        <v>0</v>
      </c>
      <c r="AA50" s="80">
        <f t="shared" si="184"/>
        <v>79</v>
      </c>
      <c r="AB50" s="31">
        <f t="shared" si="62"/>
        <v>6.9367088607594933</v>
      </c>
      <c r="AC50" s="21">
        <v>0</v>
      </c>
      <c r="AD50" s="3">
        <v>0</v>
      </c>
      <c r="AE50" s="80">
        <f t="shared" si="185"/>
        <v>79</v>
      </c>
      <c r="AF50" s="31">
        <f t="shared" si="63"/>
        <v>10.49367088607595</v>
      </c>
      <c r="AG50" s="21">
        <v>0</v>
      </c>
      <c r="AH50" s="3">
        <v>0</v>
      </c>
      <c r="AI50" s="15"/>
      <c r="AJ50" s="3">
        <f t="shared" si="155"/>
        <v>0</v>
      </c>
      <c r="AK50" s="80">
        <f t="shared" si="186"/>
        <v>73</v>
      </c>
      <c r="AL50" s="31">
        <f t="shared" si="64"/>
        <v>7.1917808219178081</v>
      </c>
      <c r="AM50" s="21">
        <f t="shared" si="156"/>
        <v>0</v>
      </c>
      <c r="AN50" s="3">
        <v>885288</v>
      </c>
      <c r="AO50" s="80">
        <f t="shared" si="187"/>
        <v>69</v>
      </c>
      <c r="AP50" s="31">
        <f t="shared" si="65"/>
        <v>8.2318840579710137</v>
      </c>
      <c r="AQ50" s="21">
        <f t="shared" si="157"/>
        <v>7287588.173913043</v>
      </c>
      <c r="AR50" s="3">
        <v>434511</v>
      </c>
      <c r="AS50" s="80">
        <f t="shared" si="188"/>
        <v>78</v>
      </c>
      <c r="AT50" s="31">
        <f t="shared" si="66"/>
        <v>8.7692307692307701</v>
      </c>
      <c r="AU50" s="21">
        <f t="shared" si="158"/>
        <v>3810327.230769231</v>
      </c>
      <c r="AV50" s="3">
        <v>30025</v>
      </c>
      <c r="AW50" s="80">
        <f t="shared" si="189"/>
        <v>76</v>
      </c>
      <c r="AX50" s="31">
        <f t="shared" si="16"/>
        <v>6.9210526315789478</v>
      </c>
      <c r="AY50" s="21">
        <f t="shared" si="159"/>
        <v>207804.60526315789</v>
      </c>
      <c r="AZ50" s="3">
        <v>0</v>
      </c>
      <c r="BA50" s="80">
        <f t="shared" si="190"/>
        <v>83</v>
      </c>
      <c r="BB50" s="31">
        <f t="shared" si="19"/>
        <v>7.3975903614457827</v>
      </c>
      <c r="BC50" s="21">
        <f t="shared" si="160"/>
        <v>0</v>
      </c>
      <c r="BD50" s="15">
        <v>598944</v>
      </c>
      <c r="BE50" s="3">
        <f t="shared" si="161"/>
        <v>493529.85599999997</v>
      </c>
      <c r="BF50" s="80">
        <f t="shared" si="191"/>
        <v>102</v>
      </c>
      <c r="BG50" s="31">
        <f t="shared" si="68"/>
        <v>6</v>
      </c>
      <c r="BH50" s="21">
        <f t="shared" si="162"/>
        <v>2961179.1359999999</v>
      </c>
      <c r="BI50" s="3">
        <f t="shared" si="163"/>
        <v>105414.144</v>
      </c>
      <c r="BJ50" s="80">
        <f t="shared" si="192"/>
        <v>96</v>
      </c>
      <c r="BK50" s="31">
        <f t="shared" si="69"/>
        <v>6.791666666666667</v>
      </c>
      <c r="BL50" s="21">
        <f t="shared" si="164"/>
        <v>715937.728</v>
      </c>
      <c r="BM50" s="3">
        <v>346459</v>
      </c>
      <c r="BN50" s="80">
        <f t="shared" si="193"/>
        <v>74</v>
      </c>
      <c r="BO50" s="31">
        <f t="shared" si="70"/>
        <v>6.8783783783783781</v>
      </c>
      <c r="BP50" s="21">
        <f t="shared" si="165"/>
        <v>2383076.0945945946</v>
      </c>
      <c r="BQ50" s="3">
        <v>147939</v>
      </c>
      <c r="BR50" s="15"/>
      <c r="BS50" s="3">
        <f t="shared" si="166"/>
        <v>147939</v>
      </c>
      <c r="BT50" s="80">
        <f t="shared" si="194"/>
        <v>91</v>
      </c>
      <c r="BU50" s="31">
        <f t="shared" si="71"/>
        <v>3.901098901098901</v>
      </c>
      <c r="BV50" s="21">
        <f t="shared" si="167"/>
        <v>577124.67032967031</v>
      </c>
      <c r="BW50" s="2">
        <v>103148</v>
      </c>
      <c r="BX50" s="80">
        <f t="shared" si="195"/>
        <v>81</v>
      </c>
      <c r="BY50" s="31">
        <f t="shared" si="72"/>
        <v>9.0123456790123448</v>
      </c>
      <c r="BZ50" s="22">
        <f t="shared" si="168"/>
        <v>929605.43209876539</v>
      </c>
      <c r="CA50" s="2">
        <v>0</v>
      </c>
      <c r="CB50" s="2"/>
      <c r="CD50" s="22">
        <v>0</v>
      </c>
      <c r="CE50" s="3">
        <v>53830</v>
      </c>
      <c r="CF50" s="15"/>
      <c r="CG50" s="3">
        <f t="shared" si="170"/>
        <v>53830</v>
      </c>
      <c r="CH50" s="25">
        <f t="shared" si="171"/>
        <v>16149</v>
      </c>
      <c r="CI50" s="3">
        <v>5148</v>
      </c>
      <c r="CJ50" s="15"/>
      <c r="CK50" s="3">
        <f t="shared" si="172"/>
        <v>5148</v>
      </c>
      <c r="CL50" s="134">
        <f t="shared" si="196"/>
        <v>78</v>
      </c>
      <c r="CM50" s="31">
        <f t="shared" si="74"/>
        <v>6.666666666666667</v>
      </c>
      <c r="CN50" s="21">
        <f t="shared" si="173"/>
        <v>34320</v>
      </c>
      <c r="CO50" s="3">
        <v>201348</v>
      </c>
      <c r="CP50" s="3"/>
      <c r="CQ50" s="3" t="s">
        <v>33</v>
      </c>
      <c r="CR50" s="3">
        <v>294443</v>
      </c>
      <c r="CS50" s="80">
        <f t="shared" si="197"/>
        <v>85</v>
      </c>
      <c r="CT50" s="31">
        <f t="shared" si="75"/>
        <v>8.1294117647058819</v>
      </c>
      <c r="CU50" s="21">
        <f t="shared" si="175"/>
        <v>2393648.3882352938</v>
      </c>
      <c r="CV50" s="2">
        <v>15091</v>
      </c>
      <c r="CW50" s="92">
        <f t="shared" si="198"/>
        <v>78</v>
      </c>
      <c r="CX50" s="31">
        <f t="shared" si="76"/>
        <v>6.666666666666667</v>
      </c>
      <c r="CY50" s="21">
        <f t="shared" si="176"/>
        <v>100606.66666666667</v>
      </c>
      <c r="CZ50" s="3">
        <v>283268</v>
      </c>
      <c r="DA50" s="80">
        <f t="shared" si="199"/>
        <v>87</v>
      </c>
      <c r="DB50" s="31">
        <f t="shared" si="77"/>
        <v>7.4712643678160919</v>
      </c>
      <c r="DC50" s="21">
        <f t="shared" si="177"/>
        <v>2116370.1149425288</v>
      </c>
      <c r="DD50" s="3">
        <v>17943</v>
      </c>
      <c r="DE50" s="3">
        <v>17943</v>
      </c>
      <c r="DF50" s="3"/>
      <c r="DG50" s="3">
        <f t="shared" si="178"/>
        <v>17943</v>
      </c>
      <c r="DH50" s="3">
        <f t="shared" si="180"/>
        <v>8971.5</v>
      </c>
      <c r="DI50" s="136">
        <f t="shared" si="200"/>
        <v>80</v>
      </c>
      <c r="DJ50" s="41">
        <f t="shared" si="78"/>
        <v>10.85</v>
      </c>
      <c r="DK50" s="21">
        <f t="shared" si="179"/>
        <v>97340.774999999994</v>
      </c>
    </row>
    <row r="51" spans="1:115">
      <c r="A51" s="7">
        <v>1968</v>
      </c>
      <c r="B51" s="3">
        <v>74984</v>
      </c>
      <c r="C51" s="15"/>
      <c r="D51" s="3">
        <f t="shared" si="145"/>
        <v>74984</v>
      </c>
      <c r="E51" s="25">
        <f t="shared" si="146"/>
        <v>52488.799999999996</v>
      </c>
      <c r="F51" s="3">
        <v>0</v>
      </c>
      <c r="G51" s="15"/>
      <c r="H51" s="15">
        <f t="shared" si="147"/>
        <v>0</v>
      </c>
      <c r="I51" s="80">
        <f t="shared" si="181"/>
        <v>74</v>
      </c>
      <c r="J51" s="132">
        <f t="shared" si="59"/>
        <v>7.0270270270270272</v>
      </c>
      <c r="K51" s="21">
        <f t="shared" si="148"/>
        <v>0</v>
      </c>
      <c r="L51" s="3">
        <v>314880</v>
      </c>
      <c r="M51" s="15"/>
      <c r="N51" s="15"/>
      <c r="O51" s="3">
        <f t="shared" ref="O51:O82" si="201">L51-M51+N51</f>
        <v>314880</v>
      </c>
      <c r="P51" s="80">
        <f t="shared" si="182"/>
        <v>65</v>
      </c>
      <c r="Q51" s="31">
        <f t="shared" si="60"/>
        <v>9.1538461538461533</v>
      </c>
      <c r="R51" s="21">
        <f t="shared" si="150"/>
        <v>2882363.0769230765</v>
      </c>
      <c r="S51" s="3">
        <v>404495</v>
      </c>
      <c r="T51" s="15"/>
      <c r="U51" s="15" t="s">
        <v>0</v>
      </c>
      <c r="V51" s="3">
        <v>409707</v>
      </c>
      <c r="W51" s="80">
        <f t="shared" si="183"/>
        <v>73</v>
      </c>
      <c r="X51" s="31">
        <f t="shared" si="61"/>
        <v>8.3561643835616444</v>
      </c>
      <c r="Y51" s="21">
        <f t="shared" si="152"/>
        <v>3423579.0410958906</v>
      </c>
      <c r="Z51" s="3">
        <v>0</v>
      </c>
      <c r="AA51" s="80">
        <f t="shared" si="184"/>
        <v>75</v>
      </c>
      <c r="AB51" s="31">
        <f t="shared" si="62"/>
        <v>7.3066666666666666</v>
      </c>
      <c r="AC51" s="21">
        <v>0</v>
      </c>
      <c r="AD51" s="3">
        <v>0</v>
      </c>
      <c r="AE51" s="80">
        <f t="shared" si="185"/>
        <v>73</v>
      </c>
      <c r="AF51" s="31">
        <f t="shared" si="63"/>
        <v>11.356164383561644</v>
      </c>
      <c r="AG51" s="21">
        <v>0</v>
      </c>
      <c r="AH51" s="3">
        <v>0</v>
      </c>
      <c r="AI51" s="15"/>
      <c r="AJ51" s="3">
        <f t="shared" si="155"/>
        <v>0</v>
      </c>
      <c r="AK51" s="80">
        <f t="shared" si="186"/>
        <v>68</v>
      </c>
      <c r="AL51" s="31">
        <f t="shared" si="64"/>
        <v>7.7205882352941178</v>
      </c>
      <c r="AM51" s="21">
        <f t="shared" si="156"/>
        <v>0</v>
      </c>
      <c r="AN51" s="3">
        <v>675933</v>
      </c>
      <c r="AO51" s="80">
        <f t="shared" si="187"/>
        <v>65</v>
      </c>
      <c r="AP51" s="31">
        <f t="shared" si="65"/>
        <v>8.7384615384615376</v>
      </c>
      <c r="AQ51" s="21">
        <f t="shared" si="157"/>
        <v>5906614.5230769226</v>
      </c>
      <c r="AR51" s="3">
        <v>449811</v>
      </c>
      <c r="AS51" s="80">
        <f t="shared" si="188"/>
        <v>71</v>
      </c>
      <c r="AT51" s="31">
        <f t="shared" si="66"/>
        <v>9.6338028169014081</v>
      </c>
      <c r="AU51" s="21">
        <f t="shared" si="158"/>
        <v>4333390.4788732389</v>
      </c>
      <c r="AV51" s="3">
        <v>0</v>
      </c>
      <c r="AW51" s="80">
        <f t="shared" si="189"/>
        <v>72</v>
      </c>
      <c r="AX51" s="31">
        <f t="shared" si="16"/>
        <v>7.3055555555555554</v>
      </c>
      <c r="AY51" s="21">
        <f t="shared" si="159"/>
        <v>0</v>
      </c>
      <c r="AZ51" s="3">
        <v>18185</v>
      </c>
      <c r="BA51" s="80">
        <f t="shared" si="190"/>
        <v>76</v>
      </c>
      <c r="BB51" s="31">
        <f t="shared" si="19"/>
        <v>8.0789473684210531</v>
      </c>
      <c r="BC51" s="21">
        <f t="shared" si="160"/>
        <v>146915.65789473685</v>
      </c>
      <c r="BD51" s="15">
        <v>421570</v>
      </c>
      <c r="BE51" s="3">
        <f t="shared" si="161"/>
        <v>347373.68</v>
      </c>
      <c r="BF51" s="80">
        <f t="shared" si="191"/>
        <v>103</v>
      </c>
      <c r="BG51" s="31">
        <f t="shared" si="68"/>
        <v>5.941747572815534</v>
      </c>
      <c r="BH51" s="21">
        <f t="shared" si="162"/>
        <v>2064006.72</v>
      </c>
      <c r="BI51" s="3">
        <f t="shared" si="163"/>
        <v>74196.319999999992</v>
      </c>
      <c r="BJ51" s="80">
        <f t="shared" si="192"/>
        <v>99</v>
      </c>
      <c r="BK51" s="31">
        <f t="shared" si="69"/>
        <v>6.5858585858585856</v>
      </c>
      <c r="BL51" s="21">
        <f t="shared" si="164"/>
        <v>488646.47111111105</v>
      </c>
      <c r="BM51" s="3">
        <v>287306</v>
      </c>
      <c r="BN51" s="80">
        <f t="shared" si="193"/>
        <v>67</v>
      </c>
      <c r="BO51" s="31">
        <f t="shared" si="70"/>
        <v>7.5970149253731343</v>
      </c>
      <c r="BP51" s="21">
        <f t="shared" si="165"/>
        <v>2182667.9701492535</v>
      </c>
      <c r="BQ51" s="3">
        <v>111645</v>
      </c>
      <c r="BR51" s="15"/>
      <c r="BS51" s="3">
        <f t="shared" si="166"/>
        <v>111645</v>
      </c>
      <c r="BT51" s="80">
        <f t="shared" si="194"/>
        <v>87</v>
      </c>
      <c r="BU51" s="31">
        <f t="shared" si="71"/>
        <v>4.0804597701149428</v>
      </c>
      <c r="BV51" s="21">
        <f t="shared" si="167"/>
        <v>455562.93103448278</v>
      </c>
      <c r="BW51" s="2">
        <v>176374</v>
      </c>
      <c r="BX51" s="80">
        <f t="shared" si="195"/>
        <v>76</v>
      </c>
      <c r="BY51" s="31">
        <f t="shared" si="72"/>
        <v>9.6052631578947363</v>
      </c>
      <c r="BZ51" s="22">
        <f t="shared" si="168"/>
        <v>1694118.6842105263</v>
      </c>
      <c r="CA51" s="2">
        <v>0</v>
      </c>
      <c r="CB51" s="2"/>
      <c r="CD51" s="22">
        <v>0</v>
      </c>
      <c r="CE51" s="3">
        <v>74984</v>
      </c>
      <c r="CF51" s="15"/>
      <c r="CG51" s="3">
        <f t="shared" si="170"/>
        <v>74984</v>
      </c>
      <c r="CH51" s="25">
        <f t="shared" si="171"/>
        <v>22495.200000000001</v>
      </c>
      <c r="CI51" s="3">
        <v>65130</v>
      </c>
      <c r="CJ51" s="15"/>
      <c r="CK51" s="3">
        <f t="shared" si="172"/>
        <v>65130</v>
      </c>
      <c r="CL51" s="134">
        <f t="shared" si="196"/>
        <v>74</v>
      </c>
      <c r="CM51" s="31">
        <f t="shared" si="74"/>
        <v>7.0270270270270272</v>
      </c>
      <c r="CN51" s="21">
        <f t="shared" si="173"/>
        <v>457670.2702702703</v>
      </c>
      <c r="CO51" s="3">
        <v>606472</v>
      </c>
      <c r="CP51" s="3"/>
      <c r="CQ51" s="3" t="s">
        <v>34</v>
      </c>
      <c r="CR51" s="3">
        <v>641307</v>
      </c>
      <c r="CS51" s="80">
        <f t="shared" si="197"/>
        <v>83</v>
      </c>
      <c r="CT51" s="31">
        <f t="shared" si="75"/>
        <v>8.3253012048192776</v>
      </c>
      <c r="CU51" s="21">
        <f t="shared" si="175"/>
        <v>5339073.9397590365</v>
      </c>
      <c r="CV51" s="2">
        <v>37085</v>
      </c>
      <c r="CW51" s="92">
        <f t="shared" si="198"/>
        <v>74</v>
      </c>
      <c r="CX51" s="31">
        <f t="shared" si="76"/>
        <v>7.0270270270270272</v>
      </c>
      <c r="CY51" s="21">
        <f t="shared" si="176"/>
        <v>260597.29729729731</v>
      </c>
      <c r="CZ51" s="3">
        <v>516197</v>
      </c>
      <c r="DA51" s="80">
        <f t="shared" si="199"/>
        <v>84</v>
      </c>
      <c r="DB51" s="31">
        <f t="shared" si="77"/>
        <v>7.7380952380952381</v>
      </c>
      <c r="DC51" s="21">
        <f t="shared" si="177"/>
        <v>3994381.5476190476</v>
      </c>
      <c r="DD51" s="3">
        <v>23383</v>
      </c>
      <c r="DE51" s="3">
        <v>23383</v>
      </c>
      <c r="DF51" s="3"/>
      <c r="DG51" s="3">
        <f t="shared" si="178"/>
        <v>23383</v>
      </c>
      <c r="DH51" s="3">
        <f t="shared" si="180"/>
        <v>11691.5</v>
      </c>
      <c r="DI51" s="136">
        <f t="shared" si="200"/>
        <v>77</v>
      </c>
      <c r="DJ51" s="41">
        <f t="shared" si="78"/>
        <v>11.272727272727273</v>
      </c>
      <c r="DK51" s="21">
        <f t="shared" si="179"/>
        <v>131795.09090909091</v>
      </c>
    </row>
    <row r="52" spans="1:115">
      <c r="A52" s="7">
        <v>1967</v>
      </c>
      <c r="B52" s="3">
        <v>4950</v>
      </c>
      <c r="C52" s="15"/>
      <c r="D52" s="3">
        <f t="shared" si="145"/>
        <v>4950</v>
      </c>
      <c r="E52" s="25">
        <f t="shared" si="146"/>
        <v>3465</v>
      </c>
      <c r="F52" s="3">
        <v>0</v>
      </c>
      <c r="G52" s="15"/>
      <c r="H52" s="15">
        <f t="shared" si="147"/>
        <v>0</v>
      </c>
      <c r="I52" s="80">
        <f t="shared" si="181"/>
        <v>71</v>
      </c>
      <c r="J52" s="132">
        <f t="shared" si="59"/>
        <v>7.323943661971831</v>
      </c>
      <c r="K52" s="21">
        <f t="shared" si="148"/>
        <v>0</v>
      </c>
      <c r="L52" s="3">
        <v>165067</v>
      </c>
      <c r="M52" s="15"/>
      <c r="N52" s="15"/>
      <c r="O52" s="3">
        <f t="shared" si="201"/>
        <v>165067</v>
      </c>
      <c r="P52" s="80">
        <f t="shared" si="182"/>
        <v>63</v>
      </c>
      <c r="Q52" s="31">
        <f t="shared" si="60"/>
        <v>9.4444444444444446</v>
      </c>
      <c r="R52" s="21">
        <f t="shared" si="150"/>
        <v>1558966.1111111112</v>
      </c>
      <c r="S52" s="3">
        <v>105001</v>
      </c>
      <c r="T52" s="15"/>
      <c r="U52" s="15"/>
      <c r="V52" s="3">
        <f t="shared" ref="V52:V83" si="202">S52-T52+U52</f>
        <v>105001</v>
      </c>
      <c r="W52" s="80">
        <f t="shared" si="183"/>
        <v>73</v>
      </c>
      <c r="X52" s="31">
        <f t="shared" si="61"/>
        <v>8.3561643835616444</v>
      </c>
      <c r="Y52" s="21">
        <f t="shared" si="152"/>
        <v>877405.61643835623</v>
      </c>
      <c r="Z52" s="3">
        <v>0</v>
      </c>
      <c r="AA52" s="80">
        <f t="shared" si="184"/>
        <v>73</v>
      </c>
      <c r="AB52" s="31">
        <f t="shared" si="62"/>
        <v>7.506849315068493</v>
      </c>
      <c r="AC52" s="21">
        <v>0</v>
      </c>
      <c r="AD52" s="3">
        <v>0</v>
      </c>
      <c r="AE52" s="80">
        <f t="shared" si="185"/>
        <v>75</v>
      </c>
      <c r="AF52" s="31">
        <f t="shared" si="63"/>
        <v>11.053333333333333</v>
      </c>
      <c r="AG52" s="21">
        <v>0</v>
      </c>
      <c r="AH52" s="3">
        <v>0</v>
      </c>
      <c r="AI52" s="15"/>
      <c r="AJ52" s="3">
        <f t="shared" si="155"/>
        <v>0</v>
      </c>
      <c r="AK52" s="80">
        <f t="shared" si="186"/>
        <v>65</v>
      </c>
      <c r="AL52" s="31">
        <f t="shared" si="64"/>
        <v>8.0769230769230766</v>
      </c>
      <c r="AM52" s="21">
        <f t="shared" si="156"/>
        <v>0</v>
      </c>
      <c r="AN52" s="3">
        <v>716397</v>
      </c>
      <c r="AO52" s="80">
        <f t="shared" si="187"/>
        <v>63</v>
      </c>
      <c r="AP52" s="31">
        <f t="shared" si="65"/>
        <v>9.0158730158730158</v>
      </c>
      <c r="AQ52" s="21">
        <f t="shared" si="157"/>
        <v>6458944.3809523806</v>
      </c>
      <c r="AR52" s="3">
        <v>369548</v>
      </c>
      <c r="AS52" s="80">
        <f t="shared" si="188"/>
        <v>67</v>
      </c>
      <c r="AT52" s="31">
        <f t="shared" si="66"/>
        <v>10.208955223880597</v>
      </c>
      <c r="AU52" s="21">
        <f t="shared" si="158"/>
        <v>3772698.9850746267</v>
      </c>
      <c r="AV52" s="3">
        <v>7603</v>
      </c>
      <c r="AW52" s="80">
        <f t="shared" si="189"/>
        <v>69</v>
      </c>
      <c r="AX52" s="31">
        <f t="shared" si="16"/>
        <v>7.6231884057971016</v>
      </c>
      <c r="AY52" s="21">
        <f t="shared" si="159"/>
        <v>57959.10144927536</v>
      </c>
      <c r="AZ52" s="3">
        <v>109075</v>
      </c>
      <c r="BA52" s="80">
        <f t="shared" si="190"/>
        <v>79</v>
      </c>
      <c r="BB52" s="31">
        <f t="shared" si="19"/>
        <v>7.7721518987341769</v>
      </c>
      <c r="BC52" s="21">
        <f t="shared" si="160"/>
        <v>847747.4683544304</v>
      </c>
      <c r="BD52" s="15">
        <v>477632</v>
      </c>
      <c r="BE52" s="3">
        <f t="shared" si="161"/>
        <v>393568.76799999998</v>
      </c>
      <c r="BF52" s="80">
        <f t="shared" si="191"/>
        <v>100</v>
      </c>
      <c r="BG52" s="31">
        <f t="shared" si="68"/>
        <v>6.12</v>
      </c>
      <c r="BH52" s="21">
        <f t="shared" si="162"/>
        <v>2408640.8601600002</v>
      </c>
      <c r="BI52" s="3">
        <f t="shared" si="163"/>
        <v>84063.231999999989</v>
      </c>
      <c r="BJ52" s="80">
        <f t="shared" si="192"/>
        <v>96</v>
      </c>
      <c r="BK52" s="31">
        <f t="shared" si="69"/>
        <v>6.791666666666667</v>
      </c>
      <c r="BL52" s="21">
        <f t="shared" si="164"/>
        <v>570929.45066666661</v>
      </c>
      <c r="BM52" s="3">
        <v>294764</v>
      </c>
      <c r="BN52" s="80">
        <f t="shared" si="193"/>
        <v>63</v>
      </c>
      <c r="BO52" s="31">
        <f t="shared" si="70"/>
        <v>8.0793650793650791</v>
      </c>
      <c r="BP52" s="21">
        <f t="shared" si="165"/>
        <v>2381505.9682539683</v>
      </c>
      <c r="BQ52" s="3">
        <v>96107</v>
      </c>
      <c r="BR52" s="15"/>
      <c r="BS52" s="3">
        <f t="shared" si="166"/>
        <v>96107</v>
      </c>
      <c r="BT52" s="80">
        <f t="shared" si="194"/>
        <v>84</v>
      </c>
      <c r="BU52" s="31">
        <f t="shared" si="71"/>
        <v>4.2261904761904763</v>
      </c>
      <c r="BV52" s="21">
        <f t="shared" si="167"/>
        <v>406166.48809523811</v>
      </c>
      <c r="BW52" s="2">
        <v>118426</v>
      </c>
      <c r="BX52" s="80">
        <f t="shared" si="195"/>
        <v>74</v>
      </c>
      <c r="BY52" s="31">
        <f t="shared" si="72"/>
        <v>9.8648648648648649</v>
      </c>
      <c r="BZ52" s="22">
        <f t="shared" si="168"/>
        <v>1168256.4864864864</v>
      </c>
      <c r="CA52" s="2">
        <v>0</v>
      </c>
      <c r="CB52" s="2"/>
      <c r="CD52" s="22">
        <v>0</v>
      </c>
      <c r="CE52" s="3">
        <v>4950</v>
      </c>
      <c r="CF52" s="15"/>
      <c r="CG52" s="3">
        <f t="shared" si="170"/>
        <v>4950</v>
      </c>
      <c r="CH52" s="25">
        <f t="shared" si="171"/>
        <v>1485</v>
      </c>
      <c r="CI52" s="3">
        <v>1667</v>
      </c>
      <c r="CJ52" s="15"/>
      <c r="CK52" s="3">
        <f t="shared" si="172"/>
        <v>1667</v>
      </c>
      <c r="CL52" s="134">
        <f t="shared" si="196"/>
        <v>71</v>
      </c>
      <c r="CM52" s="31">
        <f t="shared" si="74"/>
        <v>7.323943661971831</v>
      </c>
      <c r="CN52" s="21">
        <f t="shared" si="173"/>
        <v>12209.014084507042</v>
      </c>
      <c r="CO52" s="3">
        <v>157954</v>
      </c>
      <c r="CP52" s="3"/>
      <c r="CQ52" s="3" t="s">
        <v>35</v>
      </c>
      <c r="CR52" s="3">
        <v>157954</v>
      </c>
      <c r="CS52" s="80">
        <f t="shared" si="197"/>
        <v>79</v>
      </c>
      <c r="CT52" s="31">
        <f t="shared" si="75"/>
        <v>8.7468354430379751</v>
      </c>
      <c r="CU52" s="21">
        <f t="shared" si="175"/>
        <v>1381597.6455696204</v>
      </c>
      <c r="CV52" s="2">
        <v>31519</v>
      </c>
      <c r="CW52" s="92">
        <f t="shared" si="198"/>
        <v>71</v>
      </c>
      <c r="CX52" s="31">
        <f t="shared" si="76"/>
        <v>7.323943661971831</v>
      </c>
      <c r="CY52" s="21">
        <f t="shared" si="176"/>
        <v>230843.38028169013</v>
      </c>
      <c r="CZ52" s="3">
        <v>394160</v>
      </c>
      <c r="DA52" s="80">
        <f t="shared" si="199"/>
        <v>81</v>
      </c>
      <c r="DB52" s="31">
        <f t="shared" si="77"/>
        <v>8.0246913580246915</v>
      </c>
      <c r="DC52" s="21">
        <f t="shared" si="177"/>
        <v>3163012.3456790126</v>
      </c>
      <c r="DD52" s="3">
        <v>10372</v>
      </c>
      <c r="DE52" s="3">
        <v>10372</v>
      </c>
      <c r="DF52" s="15"/>
      <c r="DG52" s="3">
        <f t="shared" si="178"/>
        <v>10372</v>
      </c>
      <c r="DH52" s="3">
        <f t="shared" si="180"/>
        <v>5186</v>
      </c>
      <c r="DI52" s="136">
        <f t="shared" si="200"/>
        <v>73</v>
      </c>
      <c r="DJ52" s="41">
        <f t="shared" si="78"/>
        <v>11.890410958904109</v>
      </c>
      <c r="DK52" s="21">
        <f t="shared" si="179"/>
        <v>61663.67123287671</v>
      </c>
    </row>
    <row r="53" spans="1:115">
      <c r="A53" s="7">
        <v>1966</v>
      </c>
      <c r="B53" s="3">
        <v>121573</v>
      </c>
      <c r="C53" s="15"/>
      <c r="D53" s="3">
        <f t="shared" si="145"/>
        <v>121573</v>
      </c>
      <c r="E53" s="25">
        <f t="shared" si="146"/>
        <v>85101.099999999991</v>
      </c>
      <c r="F53" s="3">
        <v>0</v>
      </c>
      <c r="G53" s="15"/>
      <c r="H53" s="15">
        <f t="shared" si="147"/>
        <v>0</v>
      </c>
      <c r="I53" s="80">
        <f t="shared" si="181"/>
        <v>67</v>
      </c>
      <c r="J53" s="132">
        <f t="shared" si="59"/>
        <v>7.7611940298507465</v>
      </c>
      <c r="K53" s="21">
        <f t="shared" si="148"/>
        <v>0</v>
      </c>
      <c r="L53" s="3">
        <v>457172</v>
      </c>
      <c r="M53" s="15"/>
      <c r="N53" s="15"/>
      <c r="O53" s="3">
        <f t="shared" si="201"/>
        <v>457172</v>
      </c>
      <c r="P53" s="80">
        <f t="shared" si="182"/>
        <v>61</v>
      </c>
      <c r="Q53" s="31">
        <f t="shared" si="60"/>
        <v>9.7540983606557372</v>
      </c>
      <c r="R53" s="21">
        <f t="shared" si="150"/>
        <v>4459300.6557377046</v>
      </c>
      <c r="S53" s="3">
        <v>446470</v>
      </c>
      <c r="T53" s="15"/>
      <c r="U53" s="15"/>
      <c r="V53" s="3">
        <f t="shared" si="202"/>
        <v>446470</v>
      </c>
      <c r="W53" s="80">
        <f t="shared" si="183"/>
        <v>70</v>
      </c>
      <c r="X53" s="31">
        <f t="shared" si="61"/>
        <v>8.7142857142857135</v>
      </c>
      <c r="Y53" s="21">
        <f t="shared" si="152"/>
        <v>3890667.1428571427</v>
      </c>
      <c r="Z53" s="3">
        <v>0</v>
      </c>
      <c r="AA53" s="80">
        <f t="shared" si="184"/>
        <v>70</v>
      </c>
      <c r="AB53" s="31">
        <f t="shared" si="62"/>
        <v>7.8285714285714283</v>
      </c>
      <c r="AC53" s="21">
        <v>0</v>
      </c>
      <c r="AD53" s="3">
        <v>0</v>
      </c>
      <c r="AE53" s="80">
        <f t="shared" si="185"/>
        <v>73</v>
      </c>
      <c r="AF53" s="31">
        <f t="shared" si="63"/>
        <v>11.356164383561644</v>
      </c>
      <c r="AG53" s="21">
        <v>0</v>
      </c>
      <c r="AH53" s="3">
        <v>0</v>
      </c>
      <c r="AI53" s="15"/>
      <c r="AJ53" s="3">
        <f t="shared" si="155"/>
        <v>0</v>
      </c>
      <c r="AK53" s="80">
        <f t="shared" si="186"/>
        <v>61</v>
      </c>
      <c r="AL53" s="31">
        <f t="shared" si="64"/>
        <v>8.6065573770491799</v>
      </c>
      <c r="AM53" s="21">
        <f t="shared" si="156"/>
        <v>0</v>
      </c>
      <c r="AN53" s="3">
        <v>554314</v>
      </c>
      <c r="AO53" s="80">
        <f t="shared" si="187"/>
        <v>61</v>
      </c>
      <c r="AP53" s="31">
        <f t="shared" si="65"/>
        <v>9.3114754098360653</v>
      </c>
      <c r="AQ53" s="21">
        <f t="shared" si="157"/>
        <v>5161481.180327869</v>
      </c>
      <c r="AR53" s="3">
        <v>370531</v>
      </c>
      <c r="AS53" s="80">
        <f t="shared" si="188"/>
        <v>63</v>
      </c>
      <c r="AT53" s="31">
        <f t="shared" si="66"/>
        <v>10.857142857142858</v>
      </c>
      <c r="AU53" s="21">
        <f t="shared" si="158"/>
        <v>4022908</v>
      </c>
      <c r="AV53" s="3">
        <v>23584</v>
      </c>
      <c r="AW53" s="80">
        <f t="shared" si="189"/>
        <v>67</v>
      </c>
      <c r="AX53" s="31">
        <f t="shared" si="16"/>
        <v>7.8507462686567164</v>
      </c>
      <c r="AY53" s="21">
        <f t="shared" si="159"/>
        <v>185152</v>
      </c>
      <c r="AZ53" s="3">
        <v>47364</v>
      </c>
      <c r="BA53" s="80">
        <f t="shared" si="190"/>
        <v>77</v>
      </c>
      <c r="BB53" s="31">
        <f t="shared" si="19"/>
        <v>7.9740259740259738</v>
      </c>
      <c r="BC53" s="21">
        <f t="shared" si="160"/>
        <v>377681.76623376622</v>
      </c>
      <c r="BD53" s="15">
        <v>376566</v>
      </c>
      <c r="BE53" s="3">
        <f t="shared" si="161"/>
        <v>310290.38399999996</v>
      </c>
      <c r="BF53" s="80">
        <f t="shared" si="191"/>
        <v>97</v>
      </c>
      <c r="BG53" s="31">
        <f t="shared" si="68"/>
        <v>6.3092783505154637</v>
      </c>
      <c r="BH53" s="21">
        <f t="shared" si="162"/>
        <v>1957708.4021443296</v>
      </c>
      <c r="BI53" s="3">
        <f t="shared" si="163"/>
        <v>66275.615999999995</v>
      </c>
      <c r="BJ53" s="80">
        <f t="shared" si="192"/>
        <v>93</v>
      </c>
      <c r="BK53" s="31">
        <f t="shared" si="69"/>
        <v>7.010752688172043</v>
      </c>
      <c r="BL53" s="21">
        <f t="shared" si="164"/>
        <v>464641.95303225802</v>
      </c>
      <c r="BM53" s="3">
        <v>310376</v>
      </c>
      <c r="BN53" s="80">
        <f t="shared" si="193"/>
        <v>59</v>
      </c>
      <c r="BO53" s="31">
        <f t="shared" si="70"/>
        <v>8.6271186440677958</v>
      </c>
      <c r="BP53" s="21">
        <f t="shared" si="165"/>
        <v>2677650.5762711861</v>
      </c>
      <c r="BQ53" s="3">
        <v>118966</v>
      </c>
      <c r="BR53" s="15"/>
      <c r="BS53" s="3">
        <f t="shared" si="166"/>
        <v>118966</v>
      </c>
      <c r="BT53" s="80">
        <f t="shared" si="194"/>
        <v>83</v>
      </c>
      <c r="BU53" s="31">
        <f t="shared" si="71"/>
        <v>4.2771084337349397</v>
      </c>
      <c r="BV53" s="21">
        <f t="shared" si="167"/>
        <v>508830.48192771082</v>
      </c>
      <c r="BW53" s="2">
        <v>43465</v>
      </c>
      <c r="BX53" s="80">
        <f t="shared" si="195"/>
        <v>70</v>
      </c>
      <c r="BY53" s="31">
        <f t="shared" si="72"/>
        <v>10.428571428571429</v>
      </c>
      <c r="BZ53" s="22">
        <f t="shared" si="168"/>
        <v>453277.85714285716</v>
      </c>
      <c r="CA53" s="2">
        <v>0</v>
      </c>
      <c r="CB53" s="2"/>
      <c r="CD53" s="22">
        <v>0</v>
      </c>
      <c r="CE53" s="3">
        <v>121573</v>
      </c>
      <c r="CF53" s="15"/>
      <c r="CG53" s="3">
        <f t="shared" si="170"/>
        <v>121573</v>
      </c>
      <c r="CH53" s="25">
        <f t="shared" si="171"/>
        <v>36471.9</v>
      </c>
      <c r="CI53" s="3">
        <v>16641</v>
      </c>
      <c r="CJ53" s="15"/>
      <c r="CK53" s="3">
        <f t="shared" si="172"/>
        <v>16641</v>
      </c>
      <c r="CL53" s="134">
        <f t="shared" si="196"/>
        <v>67</v>
      </c>
      <c r="CM53" s="31">
        <f t="shared" si="74"/>
        <v>7.7611940298507465</v>
      </c>
      <c r="CN53" s="21">
        <f t="shared" si="173"/>
        <v>129154.02985074627</v>
      </c>
      <c r="CO53" s="3">
        <v>321606</v>
      </c>
      <c r="CP53" s="3"/>
      <c r="CQ53" s="3" t="s">
        <v>36</v>
      </c>
      <c r="CR53" s="3">
        <v>321606</v>
      </c>
      <c r="CS53" s="80">
        <f t="shared" si="197"/>
        <v>75</v>
      </c>
      <c r="CT53" s="31">
        <f t="shared" si="75"/>
        <v>9.2133333333333329</v>
      </c>
      <c r="CU53" s="21">
        <f t="shared" si="175"/>
        <v>2963063.28</v>
      </c>
      <c r="CV53" s="2">
        <v>29488</v>
      </c>
      <c r="CW53" s="92">
        <f t="shared" si="198"/>
        <v>67</v>
      </c>
      <c r="CX53" s="31">
        <f t="shared" si="76"/>
        <v>7.7611940298507465</v>
      </c>
      <c r="CY53" s="21">
        <f t="shared" si="176"/>
        <v>228862.08955223882</v>
      </c>
      <c r="CZ53" s="3">
        <v>166574</v>
      </c>
      <c r="DA53" s="80">
        <f t="shared" si="199"/>
        <v>77</v>
      </c>
      <c r="DB53" s="31">
        <f t="shared" si="77"/>
        <v>8.4415584415584419</v>
      </c>
      <c r="DC53" s="21">
        <f t="shared" si="177"/>
        <v>1406144.1558441559</v>
      </c>
      <c r="DD53" s="3">
        <v>30340</v>
      </c>
      <c r="DE53" s="3">
        <v>30340</v>
      </c>
      <c r="DF53" s="15"/>
      <c r="DG53" s="3">
        <f t="shared" si="178"/>
        <v>30340</v>
      </c>
      <c r="DH53" s="3">
        <f t="shared" si="180"/>
        <v>15170</v>
      </c>
      <c r="DI53" s="136">
        <f t="shared" si="200"/>
        <v>68</v>
      </c>
      <c r="DJ53" s="41">
        <f t="shared" si="78"/>
        <v>12.764705882352942</v>
      </c>
      <c r="DK53" s="21">
        <f t="shared" si="179"/>
        <v>193640.58823529413</v>
      </c>
    </row>
    <row r="54" spans="1:115">
      <c r="A54" s="7">
        <v>1965</v>
      </c>
      <c r="B54" s="3">
        <v>219202</v>
      </c>
      <c r="C54" s="15"/>
      <c r="D54" s="3">
        <f t="shared" si="145"/>
        <v>219202</v>
      </c>
      <c r="E54" s="25">
        <f t="shared" si="146"/>
        <v>153441.4</v>
      </c>
      <c r="F54" s="3">
        <v>0</v>
      </c>
      <c r="G54" s="15"/>
      <c r="H54" s="15">
        <f t="shared" si="147"/>
        <v>0</v>
      </c>
      <c r="I54" s="80">
        <f t="shared" si="181"/>
        <v>63</v>
      </c>
      <c r="J54" s="132">
        <f t="shared" si="59"/>
        <v>8.2539682539682548</v>
      </c>
      <c r="K54" s="21">
        <f t="shared" si="148"/>
        <v>0</v>
      </c>
      <c r="L54" s="3">
        <v>1058391</v>
      </c>
      <c r="M54" s="15"/>
      <c r="N54" s="15"/>
      <c r="O54" s="3">
        <f t="shared" si="201"/>
        <v>1058391</v>
      </c>
      <c r="P54" s="80">
        <f t="shared" si="182"/>
        <v>58</v>
      </c>
      <c r="Q54" s="31">
        <f t="shared" si="60"/>
        <v>10.258620689655173</v>
      </c>
      <c r="R54" s="21">
        <f t="shared" si="150"/>
        <v>10857631.810344828</v>
      </c>
      <c r="S54" s="3">
        <v>1855393</v>
      </c>
      <c r="T54" s="15"/>
      <c r="U54" s="15"/>
      <c r="V54" s="3">
        <f t="shared" si="202"/>
        <v>1855393</v>
      </c>
      <c r="W54" s="80">
        <f t="shared" si="183"/>
        <v>67</v>
      </c>
      <c r="X54" s="31">
        <f t="shared" si="61"/>
        <v>9.1044776119402986</v>
      </c>
      <c r="Y54" s="21">
        <f t="shared" si="152"/>
        <v>16892384.029850747</v>
      </c>
      <c r="Z54" s="3">
        <v>0</v>
      </c>
      <c r="AA54" s="80">
        <f t="shared" si="184"/>
        <v>67</v>
      </c>
      <c r="AB54" s="31">
        <f t="shared" si="62"/>
        <v>8.1791044776119399</v>
      </c>
      <c r="AC54" s="21">
        <v>0</v>
      </c>
      <c r="AD54" s="3">
        <v>0</v>
      </c>
      <c r="AE54" s="80">
        <f t="shared" si="185"/>
        <v>72</v>
      </c>
      <c r="AF54" s="31">
        <f t="shared" si="63"/>
        <v>11.513888888888889</v>
      </c>
      <c r="AG54" s="21">
        <v>0</v>
      </c>
      <c r="AH54" s="3">
        <v>0</v>
      </c>
      <c r="AI54" s="15"/>
      <c r="AJ54" s="3">
        <f t="shared" si="155"/>
        <v>0</v>
      </c>
      <c r="AK54" s="80">
        <f t="shared" si="186"/>
        <v>58</v>
      </c>
      <c r="AL54" s="31">
        <f t="shared" si="64"/>
        <v>9.0517241379310338</v>
      </c>
      <c r="AM54" s="21">
        <f t="shared" si="156"/>
        <v>0</v>
      </c>
      <c r="AN54" s="3">
        <v>680007</v>
      </c>
      <c r="AO54" s="80">
        <f t="shared" si="187"/>
        <v>58</v>
      </c>
      <c r="AP54" s="31">
        <f t="shared" si="65"/>
        <v>9.7931034482758612</v>
      </c>
      <c r="AQ54" s="21">
        <f t="shared" si="157"/>
        <v>6659378.8965517236</v>
      </c>
      <c r="AR54" s="3">
        <v>461137</v>
      </c>
      <c r="AS54" s="80">
        <f t="shared" si="188"/>
        <v>60</v>
      </c>
      <c r="AT54" s="31">
        <f t="shared" si="66"/>
        <v>11.4</v>
      </c>
      <c r="AU54" s="21">
        <f t="shared" si="158"/>
        <v>5256961.8</v>
      </c>
      <c r="AV54" s="3">
        <v>17556</v>
      </c>
      <c r="AW54" s="80">
        <f t="shared" si="189"/>
        <v>66</v>
      </c>
      <c r="AX54" s="31">
        <f t="shared" si="16"/>
        <v>7.9696969696969697</v>
      </c>
      <c r="AY54" s="21">
        <f t="shared" si="159"/>
        <v>139916</v>
      </c>
      <c r="AZ54" s="3">
        <v>7197</v>
      </c>
      <c r="BA54" s="80">
        <f t="shared" si="190"/>
        <v>75</v>
      </c>
      <c r="BB54" s="31">
        <f t="shared" si="19"/>
        <v>8.1866666666666674</v>
      </c>
      <c r="BC54" s="21">
        <f t="shared" si="160"/>
        <v>58919.44</v>
      </c>
      <c r="BD54" s="15">
        <v>292318</v>
      </c>
      <c r="BE54" s="3">
        <f t="shared" si="161"/>
        <v>240870.03199999998</v>
      </c>
      <c r="BF54" s="80">
        <f t="shared" si="191"/>
        <v>96</v>
      </c>
      <c r="BG54" s="31">
        <f t="shared" si="68"/>
        <v>6.375</v>
      </c>
      <c r="BH54" s="21">
        <f t="shared" si="162"/>
        <v>1535546.4539999999</v>
      </c>
      <c r="BI54" s="3">
        <f t="shared" si="163"/>
        <v>51447.967999999993</v>
      </c>
      <c r="BJ54" s="80">
        <f t="shared" si="192"/>
        <v>91</v>
      </c>
      <c r="BK54" s="31">
        <f t="shared" si="69"/>
        <v>7.1648351648351651</v>
      </c>
      <c r="BL54" s="21">
        <f t="shared" si="164"/>
        <v>368616.21028571425</v>
      </c>
      <c r="BM54" s="3">
        <v>260649</v>
      </c>
      <c r="BN54" s="80">
        <f t="shared" si="193"/>
        <v>56</v>
      </c>
      <c r="BO54" s="31">
        <f t="shared" si="70"/>
        <v>9.0892857142857135</v>
      </c>
      <c r="BP54" s="21">
        <f t="shared" si="165"/>
        <v>2369113.2321428568</v>
      </c>
      <c r="BQ54" s="3">
        <v>93227</v>
      </c>
      <c r="BR54" s="15"/>
      <c r="BS54" s="3">
        <f t="shared" si="166"/>
        <v>93227</v>
      </c>
      <c r="BT54" s="80">
        <f t="shared" si="194"/>
        <v>82</v>
      </c>
      <c r="BU54" s="31">
        <f t="shared" si="71"/>
        <v>4.3292682926829267</v>
      </c>
      <c r="BV54" s="21">
        <f t="shared" si="167"/>
        <v>403604.69512195123</v>
      </c>
      <c r="BW54" s="2">
        <v>176205</v>
      </c>
      <c r="BX54" s="80">
        <f t="shared" si="195"/>
        <v>68</v>
      </c>
      <c r="BY54" s="31">
        <f t="shared" si="72"/>
        <v>10.735294117647058</v>
      </c>
      <c r="BZ54" s="22">
        <f t="shared" si="168"/>
        <v>1891612.4999999998</v>
      </c>
      <c r="CA54" s="2">
        <v>0</v>
      </c>
      <c r="CB54" s="2"/>
      <c r="CD54" s="22">
        <v>0</v>
      </c>
      <c r="CE54" s="3">
        <v>219202</v>
      </c>
      <c r="CF54" s="15"/>
      <c r="CG54" s="3">
        <f t="shared" si="170"/>
        <v>219202</v>
      </c>
      <c r="CH54" s="25">
        <f t="shared" si="171"/>
        <v>65760.599999999991</v>
      </c>
      <c r="CI54" s="3">
        <v>0</v>
      </c>
      <c r="CJ54" s="15"/>
      <c r="CK54" s="3">
        <f t="shared" si="172"/>
        <v>0</v>
      </c>
      <c r="CL54" s="134">
        <f t="shared" si="196"/>
        <v>63</v>
      </c>
      <c r="CM54" s="31">
        <f t="shared" si="74"/>
        <v>8.2539682539682548</v>
      </c>
      <c r="CN54" s="21">
        <f t="shared" si="173"/>
        <v>0</v>
      </c>
      <c r="CO54" s="3">
        <v>262942</v>
      </c>
      <c r="CP54" s="3"/>
      <c r="CQ54" s="3" t="s">
        <v>37</v>
      </c>
      <c r="CR54" s="3">
        <v>304030</v>
      </c>
      <c r="CS54" s="80">
        <f t="shared" si="197"/>
        <v>73</v>
      </c>
      <c r="CT54" s="31">
        <f t="shared" si="75"/>
        <v>9.4657534246575334</v>
      </c>
      <c r="CU54" s="21">
        <f t="shared" si="175"/>
        <v>2877873.01369863</v>
      </c>
      <c r="CV54" s="2">
        <v>20054</v>
      </c>
      <c r="CW54" s="92">
        <f t="shared" si="198"/>
        <v>63</v>
      </c>
      <c r="CX54" s="31">
        <f t="shared" si="76"/>
        <v>8.2539682539682548</v>
      </c>
      <c r="CY54" s="21">
        <f t="shared" si="176"/>
        <v>165525.07936507938</v>
      </c>
      <c r="CZ54" s="3">
        <v>320682</v>
      </c>
      <c r="DA54" s="80">
        <f t="shared" si="199"/>
        <v>75</v>
      </c>
      <c r="DB54" s="31">
        <f t="shared" si="77"/>
        <v>8.6666666666666661</v>
      </c>
      <c r="DC54" s="21">
        <f t="shared" si="177"/>
        <v>2779244</v>
      </c>
      <c r="DD54" s="3">
        <v>0</v>
      </c>
      <c r="DE54" s="3">
        <v>0</v>
      </c>
      <c r="DF54" s="15"/>
      <c r="DG54" s="3">
        <f t="shared" si="178"/>
        <v>0</v>
      </c>
      <c r="DH54" s="3">
        <f t="shared" si="180"/>
        <v>0</v>
      </c>
      <c r="DI54" s="136">
        <f t="shared" si="200"/>
        <v>66</v>
      </c>
      <c r="DJ54" s="41">
        <f t="shared" si="78"/>
        <v>13.151515151515152</v>
      </c>
      <c r="DK54" s="21">
        <f t="shared" si="179"/>
        <v>0</v>
      </c>
    </row>
    <row r="55" spans="1:115">
      <c r="A55" s="7">
        <v>1964</v>
      </c>
      <c r="B55" s="3">
        <v>3020</v>
      </c>
      <c r="C55" s="15"/>
      <c r="D55" s="3">
        <f t="shared" si="145"/>
        <v>3020</v>
      </c>
      <c r="E55" s="25">
        <f t="shared" si="146"/>
        <v>2114</v>
      </c>
      <c r="F55" s="3">
        <v>0</v>
      </c>
      <c r="G55" s="15"/>
      <c r="H55" s="15">
        <f t="shared" si="147"/>
        <v>0</v>
      </c>
      <c r="I55" s="80">
        <f t="shared" si="181"/>
        <v>61</v>
      </c>
      <c r="J55" s="132">
        <f t="shared" si="59"/>
        <v>8.5245901639344268</v>
      </c>
      <c r="K55" s="21">
        <f t="shared" si="148"/>
        <v>0</v>
      </c>
      <c r="L55" s="3">
        <v>118207</v>
      </c>
      <c r="M55" s="15"/>
      <c r="N55" s="15"/>
      <c r="O55" s="3">
        <f t="shared" si="201"/>
        <v>118207</v>
      </c>
      <c r="P55" s="80">
        <f t="shared" si="182"/>
        <v>56</v>
      </c>
      <c r="Q55" s="31">
        <f t="shared" si="60"/>
        <v>10.625</v>
      </c>
      <c r="R55" s="21">
        <f t="shared" si="150"/>
        <v>1255949.375</v>
      </c>
      <c r="S55" s="3">
        <v>104438</v>
      </c>
      <c r="T55" s="15"/>
      <c r="U55" s="15"/>
      <c r="V55" s="3">
        <f t="shared" si="202"/>
        <v>104438</v>
      </c>
      <c r="W55" s="80">
        <f t="shared" si="183"/>
        <v>64</v>
      </c>
      <c r="X55" s="31">
        <f t="shared" si="61"/>
        <v>9.53125</v>
      </c>
      <c r="Y55" s="21">
        <f t="shared" si="152"/>
        <v>995424.6875</v>
      </c>
      <c r="Z55" s="3">
        <v>0</v>
      </c>
      <c r="AA55" s="80">
        <f t="shared" si="184"/>
        <v>65</v>
      </c>
      <c r="AB55" s="31">
        <f t="shared" si="62"/>
        <v>8.430769230769231</v>
      </c>
      <c r="AC55" s="21">
        <v>0</v>
      </c>
      <c r="AD55" s="3">
        <v>0</v>
      </c>
      <c r="AE55" s="80">
        <f t="shared" si="185"/>
        <v>66</v>
      </c>
      <c r="AF55" s="31">
        <f t="shared" si="63"/>
        <v>12.560606060606061</v>
      </c>
      <c r="AG55" s="21">
        <v>0</v>
      </c>
      <c r="AH55" s="3">
        <v>0</v>
      </c>
      <c r="AI55" s="15"/>
      <c r="AJ55" s="3">
        <f t="shared" si="155"/>
        <v>0</v>
      </c>
      <c r="AK55" s="80">
        <f t="shared" si="186"/>
        <v>55</v>
      </c>
      <c r="AL55" s="31">
        <f t="shared" si="64"/>
        <v>9.545454545454545</v>
      </c>
      <c r="AM55" s="21">
        <f t="shared" si="156"/>
        <v>0</v>
      </c>
      <c r="AN55" s="3">
        <v>452672</v>
      </c>
      <c r="AO55" s="80">
        <f t="shared" si="187"/>
        <v>56</v>
      </c>
      <c r="AP55" s="31">
        <f t="shared" si="65"/>
        <v>10.142857142857142</v>
      </c>
      <c r="AQ55" s="21">
        <f t="shared" si="157"/>
        <v>4591387.4285714282</v>
      </c>
      <c r="AR55" s="3">
        <v>279075</v>
      </c>
      <c r="AS55" s="80">
        <f t="shared" si="188"/>
        <v>57</v>
      </c>
      <c r="AT55" s="31">
        <f t="shared" si="66"/>
        <v>12</v>
      </c>
      <c r="AU55" s="21">
        <f t="shared" si="158"/>
        <v>3348900</v>
      </c>
      <c r="AV55" s="3">
        <v>22041</v>
      </c>
      <c r="AW55" s="80">
        <f t="shared" si="189"/>
        <v>64</v>
      </c>
      <c r="AX55" s="31">
        <f t="shared" si="16"/>
        <v>8.21875</v>
      </c>
      <c r="AY55" s="21">
        <f t="shared" si="159"/>
        <v>181149.46875</v>
      </c>
      <c r="AZ55" s="3">
        <v>13495</v>
      </c>
      <c r="BA55" s="80">
        <f t="shared" si="190"/>
        <v>69</v>
      </c>
      <c r="BB55" s="31">
        <f t="shared" si="19"/>
        <v>8.8985507246376816</v>
      </c>
      <c r="BC55" s="21">
        <f t="shared" si="160"/>
        <v>120085.94202898552</v>
      </c>
      <c r="BD55" s="15">
        <v>286355</v>
      </c>
      <c r="BE55" s="3">
        <f t="shared" si="161"/>
        <v>235956.52</v>
      </c>
      <c r="BF55" s="80">
        <f t="shared" si="191"/>
        <v>94</v>
      </c>
      <c r="BG55" s="31">
        <f t="shared" si="68"/>
        <v>6.5106382978723403</v>
      </c>
      <c r="BH55" s="21">
        <f t="shared" si="162"/>
        <v>1536227.5557446808</v>
      </c>
      <c r="BI55" s="3">
        <f t="shared" si="163"/>
        <v>50398.479999999996</v>
      </c>
      <c r="BJ55" s="80">
        <f t="shared" si="192"/>
        <v>91</v>
      </c>
      <c r="BK55" s="31">
        <f t="shared" si="69"/>
        <v>7.1648351648351651</v>
      </c>
      <c r="BL55" s="21">
        <f t="shared" si="164"/>
        <v>361096.80175824172</v>
      </c>
      <c r="BM55" s="3">
        <v>261297</v>
      </c>
      <c r="BN55" s="80">
        <f t="shared" si="193"/>
        <v>53</v>
      </c>
      <c r="BO55" s="31">
        <f t="shared" si="70"/>
        <v>9.6037735849056602</v>
      </c>
      <c r="BP55" s="21">
        <f t="shared" si="165"/>
        <v>2509437.2264150945</v>
      </c>
      <c r="BQ55" s="3">
        <v>78030</v>
      </c>
      <c r="BR55" s="15"/>
      <c r="BS55" s="3">
        <f t="shared" si="166"/>
        <v>78030</v>
      </c>
      <c r="BT55" s="80">
        <f t="shared" si="194"/>
        <v>83</v>
      </c>
      <c r="BU55" s="31">
        <f t="shared" si="71"/>
        <v>4.2771084337349397</v>
      </c>
      <c r="BV55" s="21">
        <f t="shared" si="167"/>
        <v>333742.77108433732</v>
      </c>
      <c r="BW55" s="2">
        <v>6144</v>
      </c>
      <c r="BX55" s="80">
        <f t="shared" si="195"/>
        <v>67</v>
      </c>
      <c r="BY55" s="31">
        <f t="shared" si="72"/>
        <v>10.895522388059701</v>
      </c>
      <c r="BZ55" s="22">
        <f t="shared" si="168"/>
        <v>66942.089552238802</v>
      </c>
      <c r="CA55" s="2">
        <v>0</v>
      </c>
      <c r="CB55" s="2"/>
      <c r="CD55" s="22">
        <v>0</v>
      </c>
      <c r="CE55" s="3">
        <v>3020</v>
      </c>
      <c r="CF55" s="15"/>
      <c r="CG55" s="3">
        <f t="shared" si="170"/>
        <v>3020</v>
      </c>
      <c r="CH55" s="25">
        <f t="shared" si="171"/>
        <v>906</v>
      </c>
      <c r="CI55" s="3">
        <v>295</v>
      </c>
      <c r="CJ55" s="15"/>
      <c r="CK55" s="3">
        <f t="shared" si="172"/>
        <v>295</v>
      </c>
      <c r="CL55" s="134">
        <f t="shared" si="196"/>
        <v>61</v>
      </c>
      <c r="CM55" s="31">
        <f t="shared" si="74"/>
        <v>8.5245901639344268</v>
      </c>
      <c r="CN55" s="21">
        <f t="shared" si="173"/>
        <v>2514.7540983606559</v>
      </c>
      <c r="CO55" s="3">
        <v>230373</v>
      </c>
      <c r="CP55" s="3"/>
      <c r="CQ55" s="3"/>
      <c r="CR55" s="2">
        <f>CO55-CP55+CQ55</f>
        <v>230373</v>
      </c>
      <c r="CS55" s="80">
        <f t="shared" si="197"/>
        <v>69</v>
      </c>
      <c r="CT55" s="31">
        <f t="shared" si="75"/>
        <v>10.014492753623188</v>
      </c>
      <c r="CU55" s="21">
        <f t="shared" si="175"/>
        <v>2307068.7391304346</v>
      </c>
      <c r="CV55" s="2">
        <v>1473</v>
      </c>
      <c r="CW55" s="92">
        <f t="shared" si="198"/>
        <v>61</v>
      </c>
      <c r="CX55" s="31">
        <f t="shared" si="76"/>
        <v>8.5245901639344268</v>
      </c>
      <c r="CY55" s="21">
        <f t="shared" si="176"/>
        <v>12556.72131147541</v>
      </c>
      <c r="CZ55" s="3">
        <v>68423</v>
      </c>
      <c r="DA55" s="80">
        <f t="shared" si="199"/>
        <v>73</v>
      </c>
      <c r="DB55" s="31">
        <f t="shared" si="77"/>
        <v>8.9041095890410951</v>
      </c>
      <c r="DC55" s="21">
        <f t="shared" si="177"/>
        <v>609245.89041095879</v>
      </c>
      <c r="DD55" s="3">
        <v>0</v>
      </c>
      <c r="DE55" s="3">
        <v>0</v>
      </c>
      <c r="DF55" s="15"/>
      <c r="DG55" s="3">
        <f t="shared" si="178"/>
        <v>0</v>
      </c>
      <c r="DH55" s="3">
        <f t="shared" si="180"/>
        <v>0</v>
      </c>
      <c r="DI55" s="136">
        <f t="shared" si="200"/>
        <v>62</v>
      </c>
      <c r="DJ55" s="41">
        <f t="shared" si="78"/>
        <v>14</v>
      </c>
      <c r="DK55" s="21">
        <f t="shared" si="179"/>
        <v>0</v>
      </c>
    </row>
    <row r="56" spans="1:115">
      <c r="A56" s="7">
        <v>1963</v>
      </c>
      <c r="B56" s="3">
        <v>97660</v>
      </c>
      <c r="C56" s="15"/>
      <c r="D56" s="3">
        <f t="shared" si="145"/>
        <v>97660</v>
      </c>
      <c r="E56" s="25">
        <f t="shared" si="146"/>
        <v>68362</v>
      </c>
      <c r="F56" s="3">
        <v>12424</v>
      </c>
      <c r="G56" s="15"/>
      <c r="H56" s="15">
        <f t="shared" si="147"/>
        <v>12424</v>
      </c>
      <c r="I56" s="80">
        <f t="shared" si="181"/>
        <v>59</v>
      </c>
      <c r="J56" s="132">
        <f t="shared" si="59"/>
        <v>8.8135593220338979</v>
      </c>
      <c r="K56" s="21">
        <f t="shared" si="148"/>
        <v>109499.66101694915</v>
      </c>
      <c r="L56" s="3">
        <v>699766</v>
      </c>
      <c r="M56" s="15"/>
      <c r="N56" s="15"/>
      <c r="O56" s="3">
        <f t="shared" si="201"/>
        <v>699766</v>
      </c>
      <c r="P56" s="80">
        <f t="shared" si="182"/>
        <v>55</v>
      </c>
      <c r="Q56" s="31">
        <f t="shared" si="60"/>
        <v>10.818181818181818</v>
      </c>
      <c r="R56" s="21">
        <f t="shared" si="150"/>
        <v>7570195.8181818184</v>
      </c>
      <c r="S56" s="3">
        <v>801575</v>
      </c>
      <c r="T56" s="15"/>
      <c r="U56" s="15"/>
      <c r="V56" s="3">
        <f t="shared" si="202"/>
        <v>801575</v>
      </c>
      <c r="W56" s="80">
        <f t="shared" si="183"/>
        <v>61</v>
      </c>
      <c r="X56" s="31">
        <f t="shared" si="61"/>
        <v>10</v>
      </c>
      <c r="Y56" s="21">
        <f t="shared" si="152"/>
        <v>8015750</v>
      </c>
      <c r="Z56" s="3">
        <v>0</v>
      </c>
      <c r="AA56" s="80">
        <f t="shared" si="184"/>
        <v>63</v>
      </c>
      <c r="AB56" s="31">
        <f t="shared" si="62"/>
        <v>8.6984126984126977</v>
      </c>
      <c r="AC56" s="21">
        <v>0</v>
      </c>
      <c r="AD56" s="3">
        <v>0</v>
      </c>
      <c r="AE56" s="80">
        <f t="shared" si="185"/>
        <v>61</v>
      </c>
      <c r="AF56" s="31">
        <f t="shared" si="63"/>
        <v>13.590163934426229</v>
      </c>
      <c r="AG56" s="21">
        <v>0</v>
      </c>
      <c r="AH56" s="3">
        <v>0</v>
      </c>
      <c r="AI56" s="15"/>
      <c r="AJ56" s="3">
        <f t="shared" si="155"/>
        <v>0</v>
      </c>
      <c r="AK56" s="80">
        <f t="shared" si="186"/>
        <v>53</v>
      </c>
      <c r="AL56" s="31">
        <f t="shared" si="64"/>
        <v>9.9056603773584904</v>
      </c>
      <c r="AM56" s="21">
        <f t="shared" si="156"/>
        <v>0</v>
      </c>
      <c r="AN56" s="3">
        <v>488400</v>
      </c>
      <c r="AO56" s="80">
        <f t="shared" si="187"/>
        <v>55</v>
      </c>
      <c r="AP56" s="31">
        <f t="shared" si="65"/>
        <v>10.327272727272728</v>
      </c>
      <c r="AQ56" s="21">
        <f t="shared" si="157"/>
        <v>5043840</v>
      </c>
      <c r="AR56" s="3">
        <v>343852</v>
      </c>
      <c r="AS56" s="80">
        <f t="shared" si="188"/>
        <v>55</v>
      </c>
      <c r="AT56" s="31">
        <f t="shared" si="66"/>
        <v>12.436363636363636</v>
      </c>
      <c r="AU56" s="21">
        <f t="shared" si="158"/>
        <v>4276268.5090909088</v>
      </c>
      <c r="AV56" s="3">
        <v>23768</v>
      </c>
      <c r="AW56" s="80">
        <f t="shared" si="189"/>
        <v>62</v>
      </c>
      <c r="AX56" s="31">
        <f t="shared" si="16"/>
        <v>8.4838709677419359</v>
      </c>
      <c r="AY56" s="21">
        <f t="shared" si="159"/>
        <v>201644.64516129033</v>
      </c>
      <c r="AZ56" s="3">
        <v>0</v>
      </c>
      <c r="BA56" s="80">
        <f t="shared" si="190"/>
        <v>64</v>
      </c>
      <c r="BB56" s="31">
        <f t="shared" si="19"/>
        <v>9.59375</v>
      </c>
      <c r="BC56" s="21">
        <f t="shared" si="160"/>
        <v>0</v>
      </c>
      <c r="BD56" s="15">
        <v>283459</v>
      </c>
      <c r="BE56" s="3">
        <f t="shared" si="161"/>
        <v>233570.21599999999</v>
      </c>
      <c r="BF56" s="80">
        <f t="shared" si="191"/>
        <v>94</v>
      </c>
      <c r="BG56" s="31">
        <f t="shared" si="68"/>
        <v>6.5106382978723403</v>
      </c>
      <c r="BH56" s="21">
        <f t="shared" si="162"/>
        <v>1520691.1935319148</v>
      </c>
      <c r="BI56" s="3">
        <f t="shared" si="163"/>
        <v>49888.784</v>
      </c>
      <c r="BJ56" s="80">
        <f t="shared" si="192"/>
        <v>95</v>
      </c>
      <c r="BK56" s="31">
        <f t="shared" si="69"/>
        <v>6.8631578947368421</v>
      </c>
      <c r="BL56" s="21">
        <f t="shared" si="164"/>
        <v>342394.60176842107</v>
      </c>
      <c r="BM56" s="3">
        <v>229532</v>
      </c>
      <c r="BN56" s="80">
        <f t="shared" si="193"/>
        <v>51</v>
      </c>
      <c r="BO56" s="31">
        <f t="shared" si="70"/>
        <v>9.9803921568627452</v>
      </c>
      <c r="BP56" s="21">
        <f t="shared" si="165"/>
        <v>2290819.3725490198</v>
      </c>
      <c r="BQ56" s="3">
        <v>91516</v>
      </c>
      <c r="BR56" s="15"/>
      <c r="BS56" s="3">
        <f t="shared" si="166"/>
        <v>91516</v>
      </c>
      <c r="BT56" s="80">
        <f t="shared" si="194"/>
        <v>83</v>
      </c>
      <c r="BU56" s="31">
        <f t="shared" si="71"/>
        <v>4.2771084337349397</v>
      </c>
      <c r="BV56" s="21">
        <f t="shared" si="167"/>
        <v>391423.85542168672</v>
      </c>
      <c r="BW56" s="2">
        <v>0</v>
      </c>
      <c r="BX56" s="80">
        <f t="shared" si="195"/>
        <v>65</v>
      </c>
      <c r="BY56" s="31">
        <f t="shared" si="72"/>
        <v>11.23076923076923</v>
      </c>
      <c r="BZ56" s="22">
        <v>0</v>
      </c>
      <c r="CA56" s="2">
        <v>0</v>
      </c>
      <c r="CB56" s="2"/>
      <c r="CD56" s="22">
        <v>0</v>
      </c>
      <c r="CE56" s="3">
        <v>97660</v>
      </c>
      <c r="CF56" s="15"/>
      <c r="CG56" s="3">
        <f t="shared" si="170"/>
        <v>97660</v>
      </c>
      <c r="CH56" s="25">
        <f t="shared" si="171"/>
        <v>29298</v>
      </c>
      <c r="CI56" s="3">
        <v>10739</v>
      </c>
      <c r="CJ56" s="15"/>
      <c r="CK56" s="3">
        <f t="shared" si="172"/>
        <v>10739</v>
      </c>
      <c r="CL56" s="134">
        <f t="shared" si="196"/>
        <v>59</v>
      </c>
      <c r="CM56" s="31">
        <f t="shared" si="74"/>
        <v>8.8135593220338979</v>
      </c>
      <c r="CN56" s="21">
        <f t="shared" si="173"/>
        <v>94648.813559322036</v>
      </c>
      <c r="CO56" s="3">
        <v>158661</v>
      </c>
      <c r="CP56" s="3"/>
      <c r="CQ56" s="3"/>
      <c r="CR56" s="2">
        <f>CO56-CP56+CQ56</f>
        <v>158661</v>
      </c>
      <c r="CS56" s="80">
        <f t="shared" si="197"/>
        <v>65</v>
      </c>
      <c r="CT56" s="31">
        <f t="shared" si="75"/>
        <v>10.63076923076923</v>
      </c>
      <c r="CU56" s="21">
        <f t="shared" si="175"/>
        <v>1686688.4769230769</v>
      </c>
      <c r="CV56" s="2">
        <v>6538</v>
      </c>
      <c r="CW56" s="92">
        <f t="shared" si="198"/>
        <v>59</v>
      </c>
      <c r="CX56" s="31">
        <f t="shared" si="76"/>
        <v>8.8135593220338979</v>
      </c>
      <c r="CY56" s="21">
        <f t="shared" si="176"/>
        <v>57623.050847457627</v>
      </c>
      <c r="CZ56" s="3">
        <v>200541</v>
      </c>
      <c r="DA56" s="80">
        <f t="shared" si="199"/>
        <v>70</v>
      </c>
      <c r="DB56" s="31">
        <f t="shared" si="77"/>
        <v>9.2857142857142865</v>
      </c>
      <c r="DC56" s="21">
        <f t="shared" si="177"/>
        <v>1862166.4285714286</v>
      </c>
      <c r="DD56" s="3">
        <v>0</v>
      </c>
      <c r="DE56" s="3">
        <v>0</v>
      </c>
      <c r="DF56" s="15"/>
      <c r="DG56" s="3">
        <f t="shared" si="178"/>
        <v>0</v>
      </c>
      <c r="DH56" s="3">
        <f t="shared" si="180"/>
        <v>0</v>
      </c>
      <c r="DI56" s="136">
        <f t="shared" si="200"/>
        <v>59</v>
      </c>
      <c r="DJ56" s="41">
        <f t="shared" si="78"/>
        <v>14.711864406779661</v>
      </c>
      <c r="DK56" s="21">
        <f t="shared" si="179"/>
        <v>0</v>
      </c>
    </row>
    <row r="57" spans="1:115">
      <c r="A57" s="7">
        <v>1962</v>
      </c>
      <c r="B57" s="3">
        <v>95862</v>
      </c>
      <c r="C57" s="15"/>
      <c r="D57" s="3">
        <f t="shared" si="145"/>
        <v>95862</v>
      </c>
      <c r="E57" s="25">
        <f t="shared" si="146"/>
        <v>67103.399999999994</v>
      </c>
      <c r="F57" s="3">
        <v>25900</v>
      </c>
      <c r="G57" s="15"/>
      <c r="H57" s="15">
        <f t="shared" si="147"/>
        <v>25900</v>
      </c>
      <c r="I57" s="80">
        <f t="shared" si="181"/>
        <v>57</v>
      </c>
      <c r="J57" s="132">
        <f t="shared" si="59"/>
        <v>9.1228070175438596</v>
      </c>
      <c r="K57" s="21">
        <f t="shared" si="148"/>
        <v>236280.70175438595</v>
      </c>
      <c r="L57" s="3">
        <v>487562</v>
      </c>
      <c r="M57" s="15"/>
      <c r="N57" s="15"/>
      <c r="O57" s="3">
        <f t="shared" si="201"/>
        <v>487562</v>
      </c>
      <c r="P57" s="80">
        <f t="shared" si="182"/>
        <v>54</v>
      </c>
      <c r="Q57" s="31">
        <f t="shared" si="60"/>
        <v>11.018518518518519</v>
      </c>
      <c r="R57" s="21">
        <f t="shared" si="150"/>
        <v>5372210.9259259263</v>
      </c>
      <c r="S57" s="3">
        <v>596976</v>
      </c>
      <c r="T57" s="15"/>
      <c r="U57" s="15"/>
      <c r="V57" s="3">
        <f t="shared" si="202"/>
        <v>596976</v>
      </c>
      <c r="W57" s="80">
        <f t="shared" si="183"/>
        <v>65</v>
      </c>
      <c r="X57" s="31">
        <f t="shared" si="61"/>
        <v>9.384615384615385</v>
      </c>
      <c r="Y57" s="21">
        <f t="shared" si="152"/>
        <v>5602390.153846154</v>
      </c>
      <c r="Z57" s="3">
        <v>0</v>
      </c>
      <c r="AA57" s="80">
        <f t="shared" si="184"/>
        <v>62</v>
      </c>
      <c r="AB57" s="31">
        <f t="shared" si="62"/>
        <v>8.8387096774193541</v>
      </c>
      <c r="AC57" s="21">
        <v>0</v>
      </c>
      <c r="AD57" s="3">
        <v>0</v>
      </c>
      <c r="AE57" s="80">
        <f t="shared" si="185"/>
        <v>61</v>
      </c>
      <c r="AF57" s="31">
        <f t="shared" si="63"/>
        <v>13.590163934426229</v>
      </c>
      <c r="AG57" s="21">
        <v>0</v>
      </c>
      <c r="AH57" s="3">
        <v>0</v>
      </c>
      <c r="AI57" s="15"/>
      <c r="AJ57" s="3">
        <f t="shared" si="155"/>
        <v>0</v>
      </c>
      <c r="AK57" s="80">
        <f t="shared" si="186"/>
        <v>51</v>
      </c>
      <c r="AL57" s="31">
        <f t="shared" si="64"/>
        <v>10.294117647058824</v>
      </c>
      <c r="AM57" s="21">
        <f t="shared" si="156"/>
        <v>0</v>
      </c>
      <c r="AN57" s="3">
        <v>490502</v>
      </c>
      <c r="AO57" s="80">
        <f t="shared" si="187"/>
        <v>54</v>
      </c>
      <c r="AP57" s="31">
        <f t="shared" si="65"/>
        <v>10.518518518518519</v>
      </c>
      <c r="AQ57" s="21">
        <f t="shared" si="157"/>
        <v>5159354.3703703703</v>
      </c>
      <c r="AR57" s="3">
        <v>302964</v>
      </c>
      <c r="AS57" s="80">
        <f t="shared" si="188"/>
        <v>53</v>
      </c>
      <c r="AT57" s="31">
        <f t="shared" si="66"/>
        <v>12.90566037735849</v>
      </c>
      <c r="AU57" s="21">
        <f t="shared" si="158"/>
        <v>3909950.4905660376</v>
      </c>
      <c r="AV57" s="3">
        <v>31</v>
      </c>
      <c r="AW57" s="80">
        <f t="shared" si="189"/>
        <v>61</v>
      </c>
      <c r="AX57" s="31">
        <f t="shared" si="16"/>
        <v>8.6229508196721305</v>
      </c>
      <c r="AY57" s="21">
        <f t="shared" si="159"/>
        <v>267.31147540983602</v>
      </c>
      <c r="AZ57" s="3">
        <v>0</v>
      </c>
      <c r="BA57" s="80">
        <f t="shared" si="190"/>
        <v>64</v>
      </c>
      <c r="BB57" s="31">
        <f t="shared" si="19"/>
        <v>9.59375</v>
      </c>
      <c r="BC57" s="21">
        <f t="shared" si="160"/>
        <v>0</v>
      </c>
      <c r="BD57" s="15">
        <v>281113</v>
      </c>
      <c r="BE57" s="3">
        <f t="shared" si="161"/>
        <v>231637.11199999999</v>
      </c>
      <c r="BF57" s="80">
        <f t="shared" si="191"/>
        <v>99</v>
      </c>
      <c r="BG57" s="31">
        <f t="shared" si="68"/>
        <v>6.1818181818181817</v>
      </c>
      <c r="BH57" s="21">
        <f t="shared" si="162"/>
        <v>1431938.5105454545</v>
      </c>
      <c r="BI57" s="3">
        <f t="shared" si="163"/>
        <v>49475.887999999999</v>
      </c>
      <c r="BJ57" s="80">
        <f t="shared" si="192"/>
        <v>94</v>
      </c>
      <c r="BK57" s="31">
        <f t="shared" si="69"/>
        <v>6.9361702127659575</v>
      </c>
      <c r="BL57" s="21">
        <f t="shared" si="164"/>
        <v>343173.18059574469</v>
      </c>
      <c r="BM57" s="3">
        <v>228843</v>
      </c>
      <c r="BN57" s="80">
        <f t="shared" si="193"/>
        <v>49</v>
      </c>
      <c r="BO57" s="31">
        <f t="shared" si="70"/>
        <v>10.387755102040817</v>
      </c>
      <c r="BP57" s="21">
        <f t="shared" si="165"/>
        <v>2377165.0408163266</v>
      </c>
      <c r="BQ57" s="3">
        <v>100080</v>
      </c>
      <c r="BR57" s="15"/>
      <c r="BS57" s="3">
        <f t="shared" si="166"/>
        <v>100080</v>
      </c>
      <c r="BT57" s="80">
        <f t="shared" si="194"/>
        <v>83</v>
      </c>
      <c r="BU57" s="31">
        <f t="shared" si="71"/>
        <v>4.2771084337349397</v>
      </c>
      <c r="BV57" s="21">
        <f t="shared" si="167"/>
        <v>428053.01204819279</v>
      </c>
      <c r="BW57" s="2">
        <v>0</v>
      </c>
      <c r="BX57" s="80">
        <f t="shared" si="195"/>
        <v>64</v>
      </c>
      <c r="BY57" s="31">
        <f t="shared" si="72"/>
        <v>11.40625</v>
      </c>
      <c r="BZ57" s="22">
        <v>0</v>
      </c>
      <c r="CA57" s="2">
        <v>0</v>
      </c>
      <c r="CB57" s="2"/>
      <c r="CD57" s="22">
        <v>0</v>
      </c>
      <c r="CE57" s="3">
        <v>95862</v>
      </c>
      <c r="CF57" s="15"/>
      <c r="CG57" s="3">
        <f t="shared" si="170"/>
        <v>95862</v>
      </c>
      <c r="CH57" s="25">
        <f t="shared" si="171"/>
        <v>28758.6</v>
      </c>
      <c r="CI57" s="3">
        <v>3557</v>
      </c>
      <c r="CJ57" s="15"/>
      <c r="CK57" s="3">
        <f t="shared" si="172"/>
        <v>3557</v>
      </c>
      <c r="CL57" s="134">
        <f t="shared" si="196"/>
        <v>57</v>
      </c>
      <c r="CM57" s="31">
        <f t="shared" si="74"/>
        <v>9.1228070175438596</v>
      </c>
      <c r="CN57" s="21">
        <f t="shared" si="173"/>
        <v>32449.824561403508</v>
      </c>
      <c r="CO57" s="3">
        <v>214370</v>
      </c>
      <c r="CP57" s="3"/>
      <c r="CQ57" s="3"/>
      <c r="CR57" s="2">
        <f>CO57-CP57+CQ57</f>
        <v>214370</v>
      </c>
      <c r="CS57" s="80">
        <f t="shared" si="197"/>
        <v>69</v>
      </c>
      <c r="CT57" s="31">
        <f t="shared" si="75"/>
        <v>10.014492753623188</v>
      </c>
      <c r="CU57" s="21">
        <f t="shared" si="175"/>
        <v>2146806.8115942026</v>
      </c>
      <c r="CV57" s="2">
        <v>16889</v>
      </c>
      <c r="CW57" s="92">
        <f t="shared" si="198"/>
        <v>57</v>
      </c>
      <c r="CX57" s="31">
        <f t="shared" si="76"/>
        <v>9.1228070175438596</v>
      </c>
      <c r="CY57" s="21">
        <f t="shared" si="176"/>
        <v>154075.08771929826</v>
      </c>
      <c r="CZ57" s="3">
        <v>100655</v>
      </c>
      <c r="DA57" s="80">
        <f t="shared" si="199"/>
        <v>71</v>
      </c>
      <c r="DB57" s="31">
        <f t="shared" si="77"/>
        <v>9.1549295774647881</v>
      </c>
      <c r="DC57" s="21">
        <f t="shared" si="177"/>
        <v>921489.43661971821</v>
      </c>
      <c r="DD57" s="3">
        <v>0</v>
      </c>
      <c r="DE57" s="3">
        <v>0</v>
      </c>
      <c r="DF57" s="15"/>
      <c r="DG57" s="3">
        <f t="shared" si="178"/>
        <v>0</v>
      </c>
      <c r="DH57" s="3">
        <f t="shared" si="180"/>
        <v>0</v>
      </c>
      <c r="DI57" s="136">
        <f t="shared" si="200"/>
        <v>59</v>
      </c>
      <c r="DJ57" s="41">
        <f t="shared" si="78"/>
        <v>14.711864406779661</v>
      </c>
      <c r="DK57" s="21">
        <f t="shared" si="179"/>
        <v>0</v>
      </c>
    </row>
    <row r="58" spans="1:115">
      <c r="A58" s="7">
        <v>1961</v>
      </c>
      <c r="B58" s="3">
        <v>3773</v>
      </c>
      <c r="C58" s="15"/>
      <c r="D58" s="3">
        <f t="shared" ref="D58:D89" si="203">B58-C58</f>
        <v>3773</v>
      </c>
      <c r="E58" s="25">
        <f t="shared" ref="E58:E89" si="204">D58*0.7</f>
        <v>2641.1</v>
      </c>
      <c r="F58" s="3">
        <v>0</v>
      </c>
      <c r="G58" s="15"/>
      <c r="H58" s="15">
        <f t="shared" ref="H58:H89" si="205">F58-G58</f>
        <v>0</v>
      </c>
      <c r="I58" s="80">
        <f t="shared" si="181"/>
        <v>57</v>
      </c>
      <c r="J58" s="132">
        <f t="shared" si="59"/>
        <v>9.1228070175438596</v>
      </c>
      <c r="K58" s="21">
        <f t="shared" ref="K58:K89" si="206">J58*H58</f>
        <v>0</v>
      </c>
      <c r="L58" s="3">
        <v>55777</v>
      </c>
      <c r="M58" s="15"/>
      <c r="N58" s="15"/>
      <c r="O58" s="3">
        <f t="shared" si="201"/>
        <v>55777</v>
      </c>
      <c r="P58" s="80">
        <f t="shared" si="182"/>
        <v>53</v>
      </c>
      <c r="Q58" s="31">
        <f t="shared" si="60"/>
        <v>11.226415094339623</v>
      </c>
      <c r="R58" s="21">
        <f t="shared" ref="R58:R89" si="207">O58*Q58</f>
        <v>626175.7547169812</v>
      </c>
      <c r="S58" s="3">
        <v>16039</v>
      </c>
      <c r="T58" s="15"/>
      <c r="U58" s="15"/>
      <c r="V58" s="3">
        <f t="shared" si="202"/>
        <v>16039</v>
      </c>
      <c r="W58" s="80">
        <f t="shared" si="183"/>
        <v>63</v>
      </c>
      <c r="X58" s="31">
        <f t="shared" si="61"/>
        <v>9.6825396825396819</v>
      </c>
      <c r="Y58" s="21">
        <f t="shared" ref="Y58:Y89" si="208">V58*X58</f>
        <v>155298.25396825396</v>
      </c>
      <c r="Z58" s="3">
        <v>0</v>
      </c>
      <c r="AA58" s="80">
        <f t="shared" si="184"/>
        <v>61</v>
      </c>
      <c r="AB58" s="31">
        <f t="shared" si="62"/>
        <v>8.9836065573770494</v>
      </c>
      <c r="AC58" s="21">
        <v>0</v>
      </c>
      <c r="AD58" s="3">
        <v>0</v>
      </c>
      <c r="AE58" s="80">
        <f t="shared" si="185"/>
        <v>61</v>
      </c>
      <c r="AF58" s="31">
        <f t="shared" si="63"/>
        <v>13.590163934426229</v>
      </c>
      <c r="AG58" s="21">
        <v>0</v>
      </c>
      <c r="AH58" s="3">
        <v>0</v>
      </c>
      <c r="AI58" s="15"/>
      <c r="AJ58" s="3">
        <f t="shared" ref="AJ58:AJ89" si="209">AH58-AI58</f>
        <v>0</v>
      </c>
      <c r="AK58" s="80">
        <f t="shared" si="186"/>
        <v>49</v>
      </c>
      <c r="AL58" s="31">
        <f t="shared" si="64"/>
        <v>10.714285714285714</v>
      </c>
      <c r="AM58" s="21">
        <f t="shared" si="156"/>
        <v>0</v>
      </c>
      <c r="AN58" s="3">
        <v>756310</v>
      </c>
      <c r="AO58" s="80">
        <f t="shared" si="187"/>
        <v>53</v>
      </c>
      <c r="AP58" s="31">
        <f t="shared" si="65"/>
        <v>10.716981132075471</v>
      </c>
      <c r="AQ58" s="21">
        <f t="shared" ref="AQ58:AQ80" si="210">AP58*AN58</f>
        <v>8105360</v>
      </c>
      <c r="AR58" s="3">
        <v>571703</v>
      </c>
      <c r="AS58" s="80">
        <f t="shared" si="188"/>
        <v>53</v>
      </c>
      <c r="AT58" s="31">
        <f t="shared" si="66"/>
        <v>12.90566037735849</v>
      </c>
      <c r="AU58" s="21">
        <f t="shared" ref="AU58:AU82" si="211">AT58*AR58</f>
        <v>7378204.7547169812</v>
      </c>
      <c r="AV58" s="3">
        <v>23953</v>
      </c>
      <c r="AW58" s="80">
        <f t="shared" si="189"/>
        <v>59</v>
      </c>
      <c r="AX58" s="31">
        <f t="shared" si="16"/>
        <v>8.9152542372881349</v>
      </c>
      <c r="AY58" s="21">
        <f t="shared" ref="AY58:AY89" si="212">AX58*AV58</f>
        <v>213547.0847457627</v>
      </c>
      <c r="AZ58" s="3">
        <v>0</v>
      </c>
      <c r="BA58" s="80">
        <f t="shared" si="190"/>
        <v>64</v>
      </c>
      <c r="BB58" s="31">
        <f t="shared" si="19"/>
        <v>9.59375</v>
      </c>
      <c r="BC58" s="21">
        <f t="shared" ref="BC58:BC89" si="213">BB58*AZ58</f>
        <v>0</v>
      </c>
      <c r="BD58" s="15">
        <v>321815</v>
      </c>
      <c r="BE58" s="3">
        <f t="shared" ref="BE58:BE89" si="214">BD58*0.824</f>
        <v>265175.56</v>
      </c>
      <c r="BF58" s="80">
        <f t="shared" si="191"/>
        <v>109</v>
      </c>
      <c r="BG58" s="31">
        <f t="shared" si="68"/>
        <v>5.6146788990825689</v>
      </c>
      <c r="BH58" s="21">
        <f t="shared" ref="BH58:BH76" si="215">BG58*BE58</f>
        <v>1488875.6212844036</v>
      </c>
      <c r="BI58" s="3">
        <f t="shared" ref="BI58:BI89" si="216">BD58*0.176</f>
        <v>56639.439999999995</v>
      </c>
      <c r="BJ58" s="80">
        <f t="shared" si="192"/>
        <v>95</v>
      </c>
      <c r="BK58" s="31">
        <f t="shared" si="69"/>
        <v>6.8631578947368421</v>
      </c>
      <c r="BL58" s="21">
        <f t="shared" ref="BL58:BL76" si="217">BK58*BI58</f>
        <v>388725.41978947364</v>
      </c>
      <c r="BM58" s="3">
        <v>236768</v>
      </c>
      <c r="BN58" s="80">
        <f t="shared" si="193"/>
        <v>49</v>
      </c>
      <c r="BO58" s="31">
        <f t="shared" si="70"/>
        <v>10.387755102040817</v>
      </c>
      <c r="BP58" s="21">
        <f t="shared" ref="BP58:BP79" si="218">BO58*BM58</f>
        <v>2459488</v>
      </c>
      <c r="BQ58" s="3">
        <v>95090</v>
      </c>
      <c r="BR58" s="15"/>
      <c r="BS58" s="3">
        <f t="shared" ref="BS58:BS89" si="219">BQ58-BR58</f>
        <v>95090</v>
      </c>
      <c r="BT58" s="80">
        <f t="shared" si="194"/>
        <v>83</v>
      </c>
      <c r="BU58" s="31">
        <f t="shared" si="71"/>
        <v>4.2771084337349397</v>
      </c>
      <c r="BV58" s="21">
        <f t="shared" ref="BV58:BV89" si="220">BU58*BS58</f>
        <v>406710.24096385541</v>
      </c>
      <c r="BW58" s="2">
        <v>0</v>
      </c>
      <c r="BX58" s="80">
        <f t="shared" si="195"/>
        <v>64</v>
      </c>
      <c r="BY58" s="31">
        <f t="shared" si="72"/>
        <v>11.40625</v>
      </c>
      <c r="BZ58" s="22">
        <v>0</v>
      </c>
      <c r="CA58" s="2">
        <v>0</v>
      </c>
      <c r="CB58" s="2"/>
      <c r="CD58" s="22">
        <v>0</v>
      </c>
      <c r="CE58" s="3">
        <v>3773</v>
      </c>
      <c r="CF58" s="15"/>
      <c r="CG58" s="3">
        <f t="shared" ref="CG58:CG89" si="221">CE58-CF58</f>
        <v>3773</v>
      </c>
      <c r="CH58" s="25">
        <f t="shared" ref="CH58:CH89" si="222">CG58*0.3</f>
        <v>1131.8999999999999</v>
      </c>
      <c r="CI58" s="3">
        <v>80</v>
      </c>
      <c r="CJ58" s="15"/>
      <c r="CK58" s="3">
        <f t="shared" ref="CK58:CK89" si="223">CI58-CJ58</f>
        <v>80</v>
      </c>
      <c r="CL58" s="134">
        <f t="shared" si="196"/>
        <v>57</v>
      </c>
      <c r="CM58" s="31">
        <f t="shared" si="74"/>
        <v>9.1228070175438596</v>
      </c>
      <c r="CN58" s="21">
        <f t="shared" ref="CN58:CN89" si="224">CK58*CM58</f>
        <v>729.82456140350882</v>
      </c>
      <c r="CO58" s="3">
        <v>41425</v>
      </c>
      <c r="CP58" s="3"/>
      <c r="CQ58" s="3"/>
      <c r="CR58" s="2">
        <f>CO58-CP58+CQ58</f>
        <v>41425</v>
      </c>
      <c r="CS58" s="80">
        <f t="shared" si="197"/>
        <v>70</v>
      </c>
      <c r="CT58" s="31">
        <f t="shared" si="75"/>
        <v>9.8714285714285719</v>
      </c>
      <c r="CU58" s="21">
        <f t="shared" ref="CU58:CU89" si="225">CR58*CT58</f>
        <v>408923.92857142858</v>
      </c>
      <c r="CV58" s="2">
        <v>1130</v>
      </c>
      <c r="CW58" s="92">
        <f t="shared" si="198"/>
        <v>57</v>
      </c>
      <c r="CX58" s="31">
        <f t="shared" si="76"/>
        <v>9.1228070175438596</v>
      </c>
      <c r="CY58" s="21">
        <f t="shared" ref="CY58:CY89" si="226">CX58*CV58</f>
        <v>10308.771929824561</v>
      </c>
      <c r="CZ58" s="3">
        <v>0</v>
      </c>
      <c r="DA58" s="80">
        <f t="shared" si="199"/>
        <v>71</v>
      </c>
      <c r="DB58" s="31">
        <f t="shared" si="77"/>
        <v>9.1549295774647881</v>
      </c>
      <c r="DC58" s="21">
        <f t="shared" ref="DC58:DC89" si="227">DB58*CZ58</f>
        <v>0</v>
      </c>
      <c r="DD58" s="3">
        <v>0</v>
      </c>
      <c r="DE58" s="3">
        <v>0</v>
      </c>
      <c r="DF58" s="15"/>
      <c r="DG58" s="3">
        <f t="shared" ref="DG58:DG89" si="228">DD58-DF58</f>
        <v>0</v>
      </c>
      <c r="DH58" s="3">
        <f t="shared" ref="DH58:DH89" si="229">DG58/2</f>
        <v>0</v>
      </c>
      <c r="DI58" s="136">
        <f t="shared" si="200"/>
        <v>59</v>
      </c>
      <c r="DJ58" s="41">
        <f t="shared" si="78"/>
        <v>14.711864406779661</v>
      </c>
      <c r="DK58" s="21">
        <f t="shared" ref="DK58:DK89" si="230">DH58*DJ58</f>
        <v>0</v>
      </c>
    </row>
    <row r="59" spans="1:115">
      <c r="A59" s="7">
        <v>1960</v>
      </c>
      <c r="B59" s="3">
        <v>109455</v>
      </c>
      <c r="C59" s="15"/>
      <c r="D59" s="3">
        <f t="shared" si="203"/>
        <v>109455</v>
      </c>
      <c r="E59" s="25">
        <f t="shared" si="204"/>
        <v>76618.5</v>
      </c>
      <c r="F59" s="3">
        <v>24247</v>
      </c>
      <c r="G59" s="15"/>
      <c r="H59" s="15">
        <f t="shared" si="205"/>
        <v>24247</v>
      </c>
      <c r="I59" s="80">
        <f t="shared" si="181"/>
        <v>55</v>
      </c>
      <c r="J59" s="132">
        <f t="shared" si="59"/>
        <v>9.454545454545455</v>
      </c>
      <c r="K59" s="21">
        <f t="shared" si="206"/>
        <v>229244.36363636365</v>
      </c>
      <c r="L59" s="3">
        <v>517443</v>
      </c>
      <c r="M59" s="15"/>
      <c r="N59" s="15"/>
      <c r="O59" s="3">
        <f t="shared" si="201"/>
        <v>517443</v>
      </c>
      <c r="P59" s="80">
        <f t="shared" si="182"/>
        <v>52</v>
      </c>
      <c r="Q59" s="31">
        <f t="shared" si="60"/>
        <v>11.442307692307692</v>
      </c>
      <c r="R59" s="21">
        <f t="shared" si="207"/>
        <v>5920742.019230769</v>
      </c>
      <c r="S59" s="3">
        <v>1013807</v>
      </c>
      <c r="T59" s="15"/>
      <c r="U59" s="15"/>
      <c r="V59" s="3">
        <f t="shared" si="202"/>
        <v>1013807</v>
      </c>
      <c r="W59" s="80">
        <f t="shared" si="183"/>
        <v>63</v>
      </c>
      <c r="X59" s="31">
        <f t="shared" si="61"/>
        <v>9.6825396825396819</v>
      </c>
      <c r="Y59" s="21">
        <f t="shared" si="208"/>
        <v>9816226.5079365075</v>
      </c>
      <c r="Z59" s="3">
        <v>0</v>
      </c>
      <c r="AA59" s="80">
        <f t="shared" si="184"/>
        <v>59</v>
      </c>
      <c r="AB59" s="31">
        <f t="shared" si="62"/>
        <v>9.2881355932203391</v>
      </c>
      <c r="AC59" s="21">
        <v>0</v>
      </c>
      <c r="AD59" s="3">
        <v>0</v>
      </c>
      <c r="AE59" s="80">
        <f t="shared" si="185"/>
        <v>61</v>
      </c>
      <c r="AF59" s="31">
        <f t="shared" si="63"/>
        <v>13.590163934426229</v>
      </c>
      <c r="AG59" s="21">
        <v>0</v>
      </c>
      <c r="AH59" s="3">
        <v>114</v>
      </c>
      <c r="AI59" s="15"/>
      <c r="AJ59" s="3">
        <f t="shared" si="209"/>
        <v>114</v>
      </c>
      <c r="AK59" s="80">
        <f t="shared" si="186"/>
        <v>47</v>
      </c>
      <c r="AL59" s="31">
        <f t="shared" si="64"/>
        <v>11.170212765957446</v>
      </c>
      <c r="AM59" s="21">
        <f t="shared" si="156"/>
        <v>1273.4042553191489</v>
      </c>
      <c r="AN59" s="3">
        <v>356275</v>
      </c>
      <c r="AO59" s="80">
        <f t="shared" si="187"/>
        <v>52</v>
      </c>
      <c r="AP59" s="31">
        <f t="shared" si="65"/>
        <v>10.923076923076923</v>
      </c>
      <c r="AQ59" s="21">
        <f t="shared" si="210"/>
        <v>3891619.230769231</v>
      </c>
      <c r="AR59" s="3">
        <v>251158</v>
      </c>
      <c r="AS59" s="80">
        <f t="shared" si="188"/>
        <v>52</v>
      </c>
      <c r="AT59" s="31">
        <f t="shared" si="66"/>
        <v>13.153846153846153</v>
      </c>
      <c r="AU59" s="21">
        <f t="shared" si="211"/>
        <v>3303693.692307692</v>
      </c>
      <c r="AV59" s="3">
        <v>5025</v>
      </c>
      <c r="AW59" s="80">
        <f t="shared" si="189"/>
        <v>58</v>
      </c>
      <c r="AX59" s="31">
        <f t="shared" si="16"/>
        <v>9.068965517241379</v>
      </c>
      <c r="AY59" s="21">
        <f t="shared" si="212"/>
        <v>45571.551724137928</v>
      </c>
      <c r="AZ59" s="3">
        <v>195</v>
      </c>
      <c r="BA59" s="80">
        <f t="shared" si="190"/>
        <v>65</v>
      </c>
      <c r="BB59" s="31">
        <f t="shared" si="19"/>
        <v>9.4461538461538463</v>
      </c>
      <c r="BC59" s="21">
        <f t="shared" si="213"/>
        <v>1842</v>
      </c>
      <c r="BD59" s="15">
        <v>401828</v>
      </c>
      <c r="BE59" s="3">
        <f t="shared" si="214"/>
        <v>331106.272</v>
      </c>
      <c r="BF59" s="80">
        <f t="shared" si="191"/>
        <v>113</v>
      </c>
      <c r="BG59" s="31">
        <f t="shared" si="68"/>
        <v>5.4159292035398234</v>
      </c>
      <c r="BH59" s="21">
        <f t="shared" si="215"/>
        <v>1793248.128</v>
      </c>
      <c r="BI59" s="3">
        <f t="shared" si="216"/>
        <v>70721.728000000003</v>
      </c>
      <c r="BJ59" s="80">
        <f t="shared" si="192"/>
        <v>100</v>
      </c>
      <c r="BK59" s="31">
        <f t="shared" si="69"/>
        <v>6.52</v>
      </c>
      <c r="BL59" s="21">
        <f t="shared" si="217"/>
        <v>461105.66655999998</v>
      </c>
      <c r="BM59" s="3">
        <v>158028</v>
      </c>
      <c r="BN59" s="80">
        <f t="shared" si="193"/>
        <v>48</v>
      </c>
      <c r="BO59" s="31">
        <f t="shared" si="70"/>
        <v>10.604166666666666</v>
      </c>
      <c r="BP59" s="21">
        <f t="shared" si="218"/>
        <v>1675755.25</v>
      </c>
      <c r="BQ59" s="3">
        <v>102652</v>
      </c>
      <c r="BR59" s="15"/>
      <c r="BS59" s="3">
        <f t="shared" si="219"/>
        <v>102652</v>
      </c>
      <c r="BT59" s="80">
        <f t="shared" si="194"/>
        <v>84</v>
      </c>
      <c r="BU59" s="31">
        <f t="shared" si="71"/>
        <v>4.2261904761904763</v>
      </c>
      <c r="BV59" s="21">
        <f t="shared" si="220"/>
        <v>433826.90476190479</v>
      </c>
      <c r="BW59" s="2">
        <v>0</v>
      </c>
      <c r="BX59" s="80">
        <f t="shared" si="195"/>
        <v>65</v>
      </c>
      <c r="BY59" s="31">
        <f t="shared" si="72"/>
        <v>11.23076923076923</v>
      </c>
      <c r="BZ59" s="22">
        <v>0</v>
      </c>
      <c r="CA59" s="2">
        <v>0</v>
      </c>
      <c r="CB59" s="2"/>
      <c r="CD59" s="22">
        <v>0</v>
      </c>
      <c r="CE59" s="3">
        <v>109455</v>
      </c>
      <c r="CF59" s="15"/>
      <c r="CG59" s="3">
        <f t="shared" si="221"/>
        <v>109455</v>
      </c>
      <c r="CH59" s="25">
        <f t="shared" si="222"/>
        <v>32836.5</v>
      </c>
      <c r="CI59" s="3">
        <v>1109</v>
      </c>
      <c r="CJ59" s="15"/>
      <c r="CK59" s="3">
        <f t="shared" si="223"/>
        <v>1109</v>
      </c>
      <c r="CL59" s="134">
        <f t="shared" si="196"/>
        <v>55</v>
      </c>
      <c r="CM59" s="31">
        <f t="shared" si="74"/>
        <v>9.454545454545455</v>
      </c>
      <c r="CN59" s="21">
        <f t="shared" si="224"/>
        <v>10485.09090909091</v>
      </c>
      <c r="CO59" s="3">
        <v>1073933</v>
      </c>
      <c r="CP59" s="3"/>
      <c r="CQ59" s="3"/>
      <c r="CR59" s="2">
        <f>CO59-CP59+CQ59</f>
        <v>1073933</v>
      </c>
      <c r="CS59" s="80">
        <f t="shared" si="197"/>
        <v>77</v>
      </c>
      <c r="CT59" s="31">
        <f t="shared" si="75"/>
        <v>8.9740259740259738</v>
      </c>
      <c r="CU59" s="21">
        <f t="shared" si="225"/>
        <v>9637502.6363636367</v>
      </c>
      <c r="CV59" s="2">
        <v>9250</v>
      </c>
      <c r="CW59" s="92">
        <f t="shared" si="198"/>
        <v>55</v>
      </c>
      <c r="CX59" s="31">
        <f t="shared" si="76"/>
        <v>9.454545454545455</v>
      </c>
      <c r="CY59" s="21">
        <f t="shared" si="226"/>
        <v>87454.545454545456</v>
      </c>
      <c r="CZ59" s="3">
        <v>199598</v>
      </c>
      <c r="DA59" s="80">
        <f t="shared" si="199"/>
        <v>76</v>
      </c>
      <c r="DB59" s="31">
        <f t="shared" si="77"/>
        <v>8.5526315789473681</v>
      </c>
      <c r="DC59" s="21">
        <f t="shared" si="227"/>
        <v>1707088.1578947369</v>
      </c>
      <c r="DD59" s="3">
        <v>0</v>
      </c>
      <c r="DE59" s="3">
        <v>0</v>
      </c>
      <c r="DF59" s="15"/>
      <c r="DG59" s="3">
        <f t="shared" si="228"/>
        <v>0</v>
      </c>
      <c r="DH59" s="3">
        <f t="shared" si="229"/>
        <v>0</v>
      </c>
      <c r="DI59" s="136">
        <f t="shared" si="200"/>
        <v>67</v>
      </c>
      <c r="DJ59" s="41">
        <f t="shared" si="78"/>
        <v>12.955223880597014</v>
      </c>
      <c r="DK59" s="21">
        <f t="shared" si="230"/>
        <v>0</v>
      </c>
    </row>
    <row r="60" spans="1:115">
      <c r="A60" s="7">
        <v>1959</v>
      </c>
      <c r="B60" s="3">
        <v>229772</v>
      </c>
      <c r="C60" s="15"/>
      <c r="D60" s="3">
        <f t="shared" si="203"/>
        <v>229772</v>
      </c>
      <c r="E60" s="25">
        <f t="shared" si="204"/>
        <v>160840.4</v>
      </c>
      <c r="F60" s="3">
        <v>93535</v>
      </c>
      <c r="G60" s="15"/>
      <c r="H60" s="15">
        <f t="shared" si="205"/>
        <v>93535</v>
      </c>
      <c r="I60" s="80">
        <f t="shared" si="181"/>
        <v>53</v>
      </c>
      <c r="J60" s="132">
        <f t="shared" si="59"/>
        <v>9.8113207547169807</v>
      </c>
      <c r="K60" s="21">
        <f t="shared" si="206"/>
        <v>917701.88679245277</v>
      </c>
      <c r="L60" s="3">
        <v>499329</v>
      </c>
      <c r="M60" s="15"/>
      <c r="N60" s="15"/>
      <c r="O60" s="3">
        <f t="shared" si="201"/>
        <v>499329</v>
      </c>
      <c r="P60" s="80">
        <f t="shared" si="182"/>
        <v>50</v>
      </c>
      <c r="Q60" s="31">
        <f t="shared" si="60"/>
        <v>11.9</v>
      </c>
      <c r="R60" s="21">
        <f t="shared" si="207"/>
        <v>5942015.1000000006</v>
      </c>
      <c r="S60" s="3">
        <v>1485405</v>
      </c>
      <c r="T60" s="15"/>
      <c r="U60" s="15"/>
      <c r="V60" s="3">
        <f t="shared" si="202"/>
        <v>1485405</v>
      </c>
      <c r="W60" s="80">
        <f t="shared" si="183"/>
        <v>62</v>
      </c>
      <c r="X60" s="31">
        <f t="shared" si="61"/>
        <v>9.8387096774193541</v>
      </c>
      <c r="Y60" s="21">
        <f t="shared" si="208"/>
        <v>14614468.548387095</v>
      </c>
      <c r="Z60" s="3">
        <v>0</v>
      </c>
      <c r="AA60" s="80">
        <f t="shared" si="184"/>
        <v>57</v>
      </c>
      <c r="AB60" s="31">
        <f t="shared" si="62"/>
        <v>9.6140350877192979</v>
      </c>
      <c r="AC60" s="21">
        <v>0</v>
      </c>
      <c r="AD60" s="3">
        <v>0</v>
      </c>
      <c r="AE60" s="80">
        <f t="shared" si="185"/>
        <v>60</v>
      </c>
      <c r="AF60" s="31">
        <f t="shared" si="63"/>
        <v>13.816666666666666</v>
      </c>
      <c r="AG60" s="21">
        <v>0</v>
      </c>
      <c r="AH60" s="3">
        <v>0</v>
      </c>
      <c r="AI60" s="15"/>
      <c r="AJ60" s="3">
        <f t="shared" si="209"/>
        <v>0</v>
      </c>
      <c r="AK60" s="80" t="str">
        <f t="shared" si="186"/>
        <v xml:space="preserve"> </v>
      </c>
      <c r="AL60" s="31"/>
      <c r="AM60" s="21">
        <v>0</v>
      </c>
      <c r="AN60" s="3">
        <v>450484</v>
      </c>
      <c r="AO60" s="80">
        <f t="shared" si="187"/>
        <v>50</v>
      </c>
      <c r="AP60" s="31">
        <f t="shared" si="65"/>
        <v>11.36</v>
      </c>
      <c r="AQ60" s="21">
        <f t="shared" si="210"/>
        <v>5117498.2399999993</v>
      </c>
      <c r="AR60" s="3">
        <v>313939</v>
      </c>
      <c r="AS60" s="80">
        <f t="shared" si="188"/>
        <v>50</v>
      </c>
      <c r="AT60" s="31">
        <f t="shared" si="66"/>
        <v>13.68</v>
      </c>
      <c r="AU60" s="21">
        <f t="shared" si="211"/>
        <v>4294685.5199999996</v>
      </c>
      <c r="AV60" s="3">
        <v>3137</v>
      </c>
      <c r="AW60" s="80">
        <f t="shared" si="189"/>
        <v>55</v>
      </c>
      <c r="AX60" s="31">
        <f t="shared" si="16"/>
        <v>9.5636363636363644</v>
      </c>
      <c r="AY60" s="21">
        <f t="shared" si="212"/>
        <v>30001.127272727274</v>
      </c>
      <c r="AZ60" s="3">
        <v>3606</v>
      </c>
      <c r="BA60" s="80">
        <f t="shared" si="190"/>
        <v>63</v>
      </c>
      <c r="BB60" s="31">
        <f t="shared" si="19"/>
        <v>9.7460317460317452</v>
      </c>
      <c r="BC60" s="21">
        <f t="shared" si="213"/>
        <v>35144.190476190473</v>
      </c>
      <c r="BD60" s="15">
        <v>518711</v>
      </c>
      <c r="BE60" s="3">
        <f t="shared" si="214"/>
        <v>427417.864</v>
      </c>
      <c r="BF60" s="80">
        <f t="shared" si="191"/>
        <v>115</v>
      </c>
      <c r="BG60" s="31">
        <f t="shared" si="68"/>
        <v>5.321739130434783</v>
      </c>
      <c r="BH60" s="21">
        <f t="shared" si="215"/>
        <v>2274606.3718956523</v>
      </c>
      <c r="BI60" s="3">
        <f t="shared" si="216"/>
        <v>91293.135999999999</v>
      </c>
      <c r="BJ60" s="80">
        <f t="shared" si="192"/>
        <v>102</v>
      </c>
      <c r="BK60" s="31">
        <f t="shared" si="69"/>
        <v>6.3921568627450984</v>
      </c>
      <c r="BL60" s="21">
        <f t="shared" si="217"/>
        <v>583560.04580392165</v>
      </c>
      <c r="BM60" s="3">
        <v>271272</v>
      </c>
      <c r="BN60" s="80">
        <f t="shared" si="193"/>
        <v>46</v>
      </c>
      <c r="BO60" s="31">
        <f t="shared" si="70"/>
        <v>11.065217391304348</v>
      </c>
      <c r="BP60" s="21">
        <f t="shared" si="218"/>
        <v>3001683.6521739131</v>
      </c>
      <c r="BQ60" s="3">
        <v>101571</v>
      </c>
      <c r="BR60" s="15"/>
      <c r="BS60" s="3">
        <f t="shared" si="219"/>
        <v>101571</v>
      </c>
      <c r="BT60" s="80">
        <f t="shared" si="194"/>
        <v>83</v>
      </c>
      <c r="BU60" s="31">
        <f t="shared" si="71"/>
        <v>4.2771084337349397</v>
      </c>
      <c r="BV60" s="21">
        <f t="shared" si="220"/>
        <v>434430.18072289153</v>
      </c>
      <c r="BW60" s="2">
        <v>0</v>
      </c>
      <c r="BX60" s="80">
        <f t="shared" si="195"/>
        <v>64</v>
      </c>
      <c r="BY60" s="31">
        <f t="shared" si="72"/>
        <v>11.40625</v>
      </c>
      <c r="BZ60" s="22">
        <v>0</v>
      </c>
      <c r="CA60" s="2">
        <v>0</v>
      </c>
      <c r="CB60" s="2"/>
      <c r="CD60" s="22">
        <v>0</v>
      </c>
      <c r="CE60" s="3">
        <v>229772</v>
      </c>
      <c r="CF60" s="15"/>
      <c r="CG60" s="3">
        <f t="shared" si="221"/>
        <v>229772</v>
      </c>
      <c r="CH60" s="25">
        <f t="shared" si="222"/>
        <v>68931.599999999991</v>
      </c>
      <c r="CI60" s="3">
        <v>120349</v>
      </c>
      <c r="CJ60" s="15"/>
      <c r="CK60" s="3">
        <f t="shared" si="223"/>
        <v>120349</v>
      </c>
      <c r="CL60" s="134">
        <f t="shared" si="196"/>
        <v>53</v>
      </c>
      <c r="CM60" s="31">
        <f t="shared" si="74"/>
        <v>9.8113207547169807</v>
      </c>
      <c r="CN60" s="21">
        <f t="shared" si="224"/>
        <v>1180782.641509434</v>
      </c>
      <c r="CO60" s="3">
        <v>2818950</v>
      </c>
      <c r="CP60" s="3" t="s">
        <v>0</v>
      </c>
      <c r="CQ60" s="3"/>
      <c r="CR60" s="2">
        <f>CO60</f>
        <v>2818950</v>
      </c>
      <c r="CS60" s="80">
        <f t="shared" si="197"/>
        <v>83</v>
      </c>
      <c r="CT60" s="31">
        <f t="shared" si="75"/>
        <v>8.3253012048192776</v>
      </c>
      <c r="CU60" s="21">
        <f t="shared" si="225"/>
        <v>23468607.831325304</v>
      </c>
      <c r="CV60" s="2">
        <v>3646</v>
      </c>
      <c r="CW60" s="92">
        <f t="shared" si="198"/>
        <v>53</v>
      </c>
      <c r="CX60" s="31">
        <f t="shared" si="76"/>
        <v>9.8113207547169807</v>
      </c>
      <c r="CY60" s="21">
        <f t="shared" si="226"/>
        <v>35772.07547169811</v>
      </c>
      <c r="CZ60" s="3">
        <v>226555</v>
      </c>
      <c r="DA60" s="80">
        <f t="shared" si="199"/>
        <v>77</v>
      </c>
      <c r="DB60" s="31">
        <f t="shared" si="77"/>
        <v>8.4415584415584419</v>
      </c>
      <c r="DC60" s="21">
        <f t="shared" si="227"/>
        <v>1912477.2727272727</v>
      </c>
      <c r="DD60" s="3">
        <v>0</v>
      </c>
      <c r="DE60" s="3">
        <v>0</v>
      </c>
      <c r="DF60" s="15"/>
      <c r="DG60" s="3">
        <f t="shared" si="228"/>
        <v>0</v>
      </c>
      <c r="DH60" s="3">
        <f t="shared" si="229"/>
        <v>0</v>
      </c>
      <c r="DI60" s="136">
        <f t="shared" si="200"/>
        <v>71</v>
      </c>
      <c r="DJ60" s="41">
        <f t="shared" si="78"/>
        <v>12.225352112676056</v>
      </c>
      <c r="DK60" s="21">
        <f t="shared" si="230"/>
        <v>0</v>
      </c>
    </row>
    <row r="61" spans="1:115">
      <c r="A61" s="7">
        <v>1958</v>
      </c>
      <c r="B61" s="3">
        <v>55476</v>
      </c>
      <c r="C61" s="15"/>
      <c r="D61" s="3">
        <f t="shared" si="203"/>
        <v>55476</v>
      </c>
      <c r="E61" s="25">
        <f t="shared" si="204"/>
        <v>38833.199999999997</v>
      </c>
      <c r="F61" s="3">
        <v>0</v>
      </c>
      <c r="G61" s="15"/>
      <c r="H61" s="15">
        <f t="shared" si="205"/>
        <v>0</v>
      </c>
      <c r="I61" s="80">
        <f t="shared" si="181"/>
        <v>51</v>
      </c>
      <c r="J61" s="132">
        <f t="shared" si="59"/>
        <v>10.196078431372548</v>
      </c>
      <c r="K61" s="21">
        <f t="shared" si="206"/>
        <v>0</v>
      </c>
      <c r="L61" s="3">
        <v>82088</v>
      </c>
      <c r="M61" s="15"/>
      <c r="N61" s="15"/>
      <c r="O61" s="3">
        <f t="shared" si="201"/>
        <v>82088</v>
      </c>
      <c r="P61" s="80">
        <f t="shared" si="182"/>
        <v>49</v>
      </c>
      <c r="Q61" s="31">
        <f t="shared" si="60"/>
        <v>12.142857142857142</v>
      </c>
      <c r="R61" s="21">
        <f t="shared" si="207"/>
        <v>996782.85714285704</v>
      </c>
      <c r="S61" s="3">
        <v>108281</v>
      </c>
      <c r="T61" s="15"/>
      <c r="U61" s="15"/>
      <c r="V61" s="3">
        <f t="shared" si="202"/>
        <v>108281</v>
      </c>
      <c r="W61" s="80">
        <f t="shared" si="183"/>
        <v>63</v>
      </c>
      <c r="X61" s="31">
        <f t="shared" si="61"/>
        <v>9.6825396825396819</v>
      </c>
      <c r="Y61" s="21">
        <f t="shared" si="208"/>
        <v>1048435.0793650793</v>
      </c>
      <c r="Z61" s="3">
        <v>0</v>
      </c>
      <c r="AA61" s="80">
        <f t="shared" si="184"/>
        <v>55</v>
      </c>
      <c r="AB61" s="31">
        <f t="shared" si="62"/>
        <v>9.963636363636363</v>
      </c>
      <c r="AC61" s="21">
        <v>0</v>
      </c>
      <c r="AD61" s="3">
        <v>0</v>
      </c>
      <c r="AE61" s="80">
        <f t="shared" si="185"/>
        <v>57</v>
      </c>
      <c r="AF61" s="31">
        <f t="shared" si="63"/>
        <v>14.543859649122806</v>
      </c>
      <c r="AG61" s="21">
        <v>0</v>
      </c>
      <c r="AH61" s="3">
        <v>0</v>
      </c>
      <c r="AI61" s="15"/>
      <c r="AJ61" s="3">
        <f t="shared" si="209"/>
        <v>0</v>
      </c>
      <c r="AK61" s="80" t="str">
        <f t="shared" si="186"/>
        <v xml:space="preserve"> </v>
      </c>
      <c r="AL61" s="31"/>
      <c r="AM61" s="21">
        <v>0</v>
      </c>
      <c r="AN61" s="3">
        <v>418104</v>
      </c>
      <c r="AO61" s="80">
        <f t="shared" si="187"/>
        <v>48</v>
      </c>
      <c r="AP61" s="31">
        <f t="shared" si="65"/>
        <v>11.833333333333334</v>
      </c>
      <c r="AQ61" s="21">
        <f t="shared" si="210"/>
        <v>4947564</v>
      </c>
      <c r="AR61" s="3">
        <v>403260</v>
      </c>
      <c r="AS61" s="80">
        <f t="shared" si="188"/>
        <v>48</v>
      </c>
      <c r="AT61" s="31">
        <f t="shared" si="66"/>
        <v>14.25</v>
      </c>
      <c r="AU61" s="21">
        <f t="shared" si="211"/>
        <v>5746455</v>
      </c>
      <c r="AV61" s="3">
        <v>10167</v>
      </c>
      <c r="AW61" s="80">
        <f t="shared" si="189"/>
        <v>53</v>
      </c>
      <c r="AX61" s="31">
        <f t="shared" si="16"/>
        <v>9.9245283018867916</v>
      </c>
      <c r="AY61" s="21">
        <f t="shared" si="212"/>
        <v>100902.67924528301</v>
      </c>
      <c r="AZ61" s="3">
        <v>0</v>
      </c>
      <c r="BA61" s="80">
        <f t="shared" si="190"/>
        <v>60</v>
      </c>
      <c r="BB61" s="31">
        <f t="shared" si="19"/>
        <v>10.233333333333333</v>
      </c>
      <c r="BC61" s="21">
        <f t="shared" si="213"/>
        <v>0</v>
      </c>
      <c r="BD61" s="15">
        <v>402011</v>
      </c>
      <c r="BE61" s="3">
        <f t="shared" si="214"/>
        <v>331257.06399999995</v>
      </c>
      <c r="BF61" s="80">
        <f t="shared" si="191"/>
        <v>118</v>
      </c>
      <c r="BG61" s="31">
        <f t="shared" si="68"/>
        <v>5.1864406779661021</v>
      </c>
      <c r="BH61" s="21">
        <f t="shared" si="215"/>
        <v>1718045.1115932202</v>
      </c>
      <c r="BI61" s="3">
        <f t="shared" si="216"/>
        <v>70753.936000000002</v>
      </c>
      <c r="BJ61" s="80">
        <f t="shared" si="192"/>
        <v>102</v>
      </c>
      <c r="BK61" s="31">
        <f t="shared" si="69"/>
        <v>6.3921568627450984</v>
      </c>
      <c r="BL61" s="21">
        <f t="shared" si="217"/>
        <v>452270.25756862748</v>
      </c>
      <c r="BM61" s="3">
        <v>183607</v>
      </c>
      <c r="BN61" s="80">
        <f t="shared" si="193"/>
        <v>43</v>
      </c>
      <c r="BO61" s="31">
        <f t="shared" si="70"/>
        <v>11.837209302325581</v>
      </c>
      <c r="BP61" s="21">
        <f t="shared" si="218"/>
        <v>2173394.4883720931</v>
      </c>
      <c r="BQ61" s="3">
        <v>41252</v>
      </c>
      <c r="BR61" s="15"/>
      <c r="BS61" s="3">
        <f t="shared" si="219"/>
        <v>41252</v>
      </c>
      <c r="BT61" s="80">
        <f t="shared" si="194"/>
        <v>80</v>
      </c>
      <c r="BU61" s="31">
        <f t="shared" si="71"/>
        <v>4.4375</v>
      </c>
      <c r="BV61" s="21">
        <f t="shared" si="220"/>
        <v>183055.75</v>
      </c>
      <c r="BW61" s="2">
        <v>0</v>
      </c>
      <c r="BX61" s="80">
        <f t="shared" si="195"/>
        <v>64</v>
      </c>
      <c r="BY61" s="31">
        <f t="shared" si="72"/>
        <v>11.40625</v>
      </c>
      <c r="BZ61" s="22">
        <v>0</v>
      </c>
      <c r="CA61" s="2">
        <v>0</v>
      </c>
      <c r="CB61" s="2"/>
      <c r="CD61" s="22">
        <v>0</v>
      </c>
      <c r="CE61" s="3">
        <v>55476</v>
      </c>
      <c r="CF61" s="15"/>
      <c r="CG61" s="3">
        <f t="shared" si="221"/>
        <v>55476</v>
      </c>
      <c r="CH61" s="25">
        <f t="shared" si="222"/>
        <v>16642.8</v>
      </c>
      <c r="CI61" s="3">
        <v>2646</v>
      </c>
      <c r="CJ61" s="15"/>
      <c r="CK61" s="3">
        <f t="shared" si="223"/>
        <v>2646</v>
      </c>
      <c r="CL61" s="134">
        <f t="shared" si="196"/>
        <v>51</v>
      </c>
      <c r="CM61" s="31">
        <f t="shared" si="74"/>
        <v>10.196078431372548</v>
      </c>
      <c r="CN61" s="21">
        <f t="shared" si="224"/>
        <v>26978.823529411762</v>
      </c>
      <c r="CO61" s="3">
        <v>541693</v>
      </c>
      <c r="CP61" s="3"/>
      <c r="CQ61" s="3"/>
      <c r="CR61" s="2">
        <f t="shared" ref="CR61:CR92" si="231">CO61-CP61+CQ61</f>
        <v>541693</v>
      </c>
      <c r="CS61" s="80">
        <f t="shared" si="197"/>
        <v>84</v>
      </c>
      <c r="CT61" s="31">
        <f t="shared" si="75"/>
        <v>8.2261904761904763</v>
      </c>
      <c r="CU61" s="21">
        <f t="shared" si="225"/>
        <v>4456069.7976190476</v>
      </c>
      <c r="CV61" s="2">
        <v>37209</v>
      </c>
      <c r="CW61" s="92">
        <f t="shared" si="198"/>
        <v>51</v>
      </c>
      <c r="CX61" s="31">
        <f t="shared" si="76"/>
        <v>10.196078431372548</v>
      </c>
      <c r="CY61" s="21">
        <f t="shared" si="226"/>
        <v>379385.88235294115</v>
      </c>
      <c r="CZ61" s="3">
        <v>86064</v>
      </c>
      <c r="DA61" s="80">
        <f t="shared" si="199"/>
        <v>76</v>
      </c>
      <c r="DB61" s="31">
        <f t="shared" si="77"/>
        <v>8.5526315789473681</v>
      </c>
      <c r="DC61" s="21">
        <f t="shared" si="227"/>
        <v>736073.68421052629</v>
      </c>
      <c r="DD61" s="3">
        <v>0</v>
      </c>
      <c r="DE61" s="3">
        <v>0</v>
      </c>
      <c r="DF61" s="15"/>
      <c r="DG61" s="3">
        <f t="shared" si="228"/>
        <v>0</v>
      </c>
      <c r="DH61" s="3">
        <f t="shared" si="229"/>
        <v>0</v>
      </c>
      <c r="DI61" s="136">
        <f t="shared" si="200"/>
        <v>70</v>
      </c>
      <c r="DJ61" s="41">
        <f t="shared" si="78"/>
        <v>12.4</v>
      </c>
      <c r="DK61" s="21">
        <f t="shared" si="230"/>
        <v>0</v>
      </c>
    </row>
    <row r="62" spans="1:115">
      <c r="A62" s="7">
        <v>1957</v>
      </c>
      <c r="B62" s="3">
        <v>429014</v>
      </c>
      <c r="C62" s="15"/>
      <c r="D62" s="3">
        <f t="shared" si="203"/>
        <v>429014</v>
      </c>
      <c r="E62" s="25">
        <f t="shared" si="204"/>
        <v>300309.8</v>
      </c>
      <c r="F62" s="3">
        <v>58127</v>
      </c>
      <c r="G62" s="15"/>
      <c r="H62" s="15">
        <f t="shared" si="205"/>
        <v>58127</v>
      </c>
      <c r="I62" s="80">
        <f t="shared" si="181"/>
        <v>48</v>
      </c>
      <c r="J62" s="132">
        <f t="shared" si="59"/>
        <v>10.833333333333334</v>
      </c>
      <c r="K62" s="21">
        <f t="shared" si="206"/>
        <v>629709.16666666674</v>
      </c>
      <c r="L62" s="3">
        <v>523576</v>
      </c>
      <c r="M62" s="15"/>
      <c r="N62" s="15"/>
      <c r="O62" s="3">
        <f t="shared" si="201"/>
        <v>523576</v>
      </c>
      <c r="P62" s="80">
        <f t="shared" si="182"/>
        <v>47</v>
      </c>
      <c r="Q62" s="31">
        <f t="shared" si="60"/>
        <v>12.659574468085106</v>
      </c>
      <c r="R62" s="21">
        <f t="shared" si="207"/>
        <v>6628249.3617021274</v>
      </c>
      <c r="S62" s="3">
        <v>1625571</v>
      </c>
      <c r="T62" s="15"/>
      <c r="U62" s="15"/>
      <c r="V62" s="3">
        <f t="shared" si="202"/>
        <v>1625571</v>
      </c>
      <c r="W62" s="80">
        <f t="shared" si="183"/>
        <v>63</v>
      </c>
      <c r="X62" s="31">
        <f t="shared" si="61"/>
        <v>9.6825396825396819</v>
      </c>
      <c r="Y62" s="21">
        <f t="shared" si="208"/>
        <v>15739655.714285713</v>
      </c>
      <c r="Z62" s="3">
        <v>0</v>
      </c>
      <c r="AA62" s="80">
        <f t="shared" si="184"/>
        <v>52</v>
      </c>
      <c r="AB62" s="31">
        <f t="shared" si="62"/>
        <v>10.538461538461538</v>
      </c>
      <c r="AC62" s="21">
        <v>0</v>
      </c>
      <c r="AD62" s="3">
        <v>0</v>
      </c>
      <c r="AE62" s="80">
        <f t="shared" si="185"/>
        <v>57</v>
      </c>
      <c r="AF62" s="31">
        <f t="shared" si="63"/>
        <v>14.543859649122806</v>
      </c>
      <c r="AG62" s="21">
        <v>0</v>
      </c>
      <c r="AH62" s="3">
        <v>0</v>
      </c>
      <c r="AI62" s="15"/>
      <c r="AJ62" s="3">
        <f t="shared" si="209"/>
        <v>0</v>
      </c>
      <c r="AK62" s="80" t="str">
        <f t="shared" si="186"/>
        <v xml:space="preserve"> </v>
      </c>
      <c r="AL62" s="31"/>
      <c r="AM62" s="21">
        <v>0</v>
      </c>
      <c r="AN62" s="3">
        <v>506933</v>
      </c>
      <c r="AO62" s="80">
        <f t="shared" si="187"/>
        <v>47</v>
      </c>
      <c r="AP62" s="31">
        <f t="shared" si="65"/>
        <v>12.085106382978724</v>
      </c>
      <c r="AQ62" s="21">
        <f t="shared" si="210"/>
        <v>6126339.2340425532</v>
      </c>
      <c r="AR62" s="3">
        <v>489405</v>
      </c>
      <c r="AS62" s="80">
        <f t="shared" si="188"/>
        <v>47</v>
      </c>
      <c r="AT62" s="31">
        <f t="shared" si="66"/>
        <v>14.553191489361701</v>
      </c>
      <c r="AU62" s="21">
        <f t="shared" si="211"/>
        <v>7122404.6808510637</v>
      </c>
      <c r="AV62" s="3">
        <v>2408</v>
      </c>
      <c r="AW62" s="80">
        <f t="shared" si="189"/>
        <v>50</v>
      </c>
      <c r="AX62" s="31">
        <f t="shared" si="16"/>
        <v>10.52</v>
      </c>
      <c r="AY62" s="21">
        <f t="shared" si="212"/>
        <v>25332.16</v>
      </c>
      <c r="AZ62" s="3">
        <v>11179</v>
      </c>
      <c r="BA62" s="80">
        <f t="shared" si="190"/>
        <v>60</v>
      </c>
      <c r="BB62" s="31">
        <f t="shared" si="19"/>
        <v>10.233333333333333</v>
      </c>
      <c r="BC62" s="21">
        <f t="shared" si="213"/>
        <v>114398.43333333332</v>
      </c>
      <c r="BD62" s="15">
        <v>550670</v>
      </c>
      <c r="BE62" s="3">
        <f t="shared" si="214"/>
        <v>453752.07999999996</v>
      </c>
      <c r="BF62" s="80">
        <f t="shared" si="191"/>
        <v>122</v>
      </c>
      <c r="BG62" s="31">
        <f t="shared" si="68"/>
        <v>5.0163934426229506</v>
      </c>
      <c r="BH62" s="21">
        <f t="shared" si="215"/>
        <v>2276198.9586885241</v>
      </c>
      <c r="BI62" s="3">
        <f t="shared" si="216"/>
        <v>96917.92</v>
      </c>
      <c r="BJ62" s="80">
        <f t="shared" si="192"/>
        <v>102</v>
      </c>
      <c r="BK62" s="31">
        <f t="shared" si="69"/>
        <v>6.3921568627450984</v>
      </c>
      <c r="BL62" s="21">
        <f t="shared" si="217"/>
        <v>619514.5474509804</v>
      </c>
      <c r="BM62" s="3">
        <v>253856</v>
      </c>
      <c r="BN62" s="80">
        <f t="shared" si="193"/>
        <v>43</v>
      </c>
      <c r="BO62" s="31">
        <f t="shared" si="70"/>
        <v>11.837209302325581</v>
      </c>
      <c r="BP62" s="21">
        <f t="shared" si="218"/>
        <v>3004946.6046511629</v>
      </c>
      <c r="BQ62" s="3">
        <v>60536</v>
      </c>
      <c r="BR62" s="15"/>
      <c r="BS62" s="3">
        <f t="shared" si="219"/>
        <v>60536</v>
      </c>
      <c r="BT62" s="80">
        <f t="shared" si="194"/>
        <v>78</v>
      </c>
      <c r="BU62" s="31">
        <f t="shared" si="71"/>
        <v>4.5512820512820511</v>
      </c>
      <c r="BV62" s="21">
        <f t="shared" si="220"/>
        <v>275516.41025641025</v>
      </c>
      <c r="BW62" s="2">
        <v>0</v>
      </c>
      <c r="BX62" s="80">
        <f t="shared" si="195"/>
        <v>60</v>
      </c>
      <c r="BY62" s="31">
        <f t="shared" si="72"/>
        <v>12.166666666666666</v>
      </c>
      <c r="BZ62" s="22">
        <v>0</v>
      </c>
      <c r="CA62" s="2">
        <v>0</v>
      </c>
      <c r="CB62" s="2"/>
      <c r="CD62" s="22">
        <v>0</v>
      </c>
      <c r="CE62" s="3">
        <v>429014</v>
      </c>
      <c r="CF62" s="15"/>
      <c r="CG62" s="3">
        <f t="shared" si="221"/>
        <v>429014</v>
      </c>
      <c r="CH62" s="25">
        <f t="shared" si="222"/>
        <v>128704.2</v>
      </c>
      <c r="CI62" s="3">
        <v>23743</v>
      </c>
      <c r="CJ62" s="15"/>
      <c r="CK62" s="3">
        <f t="shared" si="223"/>
        <v>23743</v>
      </c>
      <c r="CL62" s="134">
        <f t="shared" si="196"/>
        <v>48</v>
      </c>
      <c r="CM62" s="31">
        <f t="shared" si="74"/>
        <v>10.833333333333334</v>
      </c>
      <c r="CN62" s="21">
        <f t="shared" si="224"/>
        <v>257215.83333333334</v>
      </c>
      <c r="CO62" s="3">
        <v>835071</v>
      </c>
      <c r="CP62" s="3"/>
      <c r="CQ62" s="3"/>
      <c r="CR62" s="2">
        <f t="shared" si="231"/>
        <v>835071</v>
      </c>
      <c r="CS62" s="80">
        <f t="shared" si="197"/>
        <v>81</v>
      </c>
      <c r="CT62" s="31">
        <f t="shared" si="75"/>
        <v>8.5308641975308639</v>
      </c>
      <c r="CU62" s="21">
        <f t="shared" si="225"/>
        <v>7123877.2962962957</v>
      </c>
      <c r="CV62" s="2">
        <v>21649</v>
      </c>
      <c r="CW62" s="92">
        <f t="shared" si="198"/>
        <v>48</v>
      </c>
      <c r="CX62" s="31">
        <f t="shared" si="76"/>
        <v>10.833333333333334</v>
      </c>
      <c r="CY62" s="21">
        <f t="shared" si="226"/>
        <v>234530.83333333334</v>
      </c>
      <c r="CZ62" s="3">
        <v>549555</v>
      </c>
      <c r="DA62" s="80">
        <f t="shared" si="199"/>
        <v>73</v>
      </c>
      <c r="DB62" s="31">
        <f t="shared" si="77"/>
        <v>8.9041095890410951</v>
      </c>
      <c r="DC62" s="21">
        <f t="shared" si="227"/>
        <v>4893297.9452054789</v>
      </c>
      <c r="DD62" s="3">
        <v>0</v>
      </c>
      <c r="DE62" s="3">
        <v>0</v>
      </c>
      <c r="DF62" s="15"/>
      <c r="DG62" s="3">
        <f t="shared" si="228"/>
        <v>0</v>
      </c>
      <c r="DH62" s="3">
        <f t="shared" si="229"/>
        <v>0</v>
      </c>
      <c r="DI62" s="136">
        <f t="shared" si="200"/>
        <v>68</v>
      </c>
      <c r="DJ62" s="41">
        <f t="shared" si="78"/>
        <v>12.764705882352942</v>
      </c>
      <c r="DK62" s="21">
        <f t="shared" si="230"/>
        <v>0</v>
      </c>
    </row>
    <row r="63" spans="1:115">
      <c r="A63" s="7">
        <v>1956</v>
      </c>
      <c r="B63" s="3">
        <v>3381</v>
      </c>
      <c r="C63" s="15"/>
      <c r="D63" s="3">
        <f t="shared" si="203"/>
        <v>3381</v>
      </c>
      <c r="E63" s="25">
        <f t="shared" si="204"/>
        <v>2366.6999999999998</v>
      </c>
      <c r="F63" s="3">
        <v>178</v>
      </c>
      <c r="G63" s="15"/>
      <c r="H63" s="15">
        <f t="shared" si="205"/>
        <v>178</v>
      </c>
      <c r="I63" s="80">
        <f t="shared" si="181"/>
        <v>46</v>
      </c>
      <c r="J63" s="132">
        <f t="shared" si="59"/>
        <v>11.304347826086957</v>
      </c>
      <c r="K63" s="21">
        <f t="shared" si="206"/>
        <v>2012.1739130434783</v>
      </c>
      <c r="L63" s="3">
        <v>41670.769999999997</v>
      </c>
      <c r="M63" s="15"/>
      <c r="N63" s="15"/>
      <c r="O63" s="3">
        <f t="shared" si="201"/>
        <v>41670.769999999997</v>
      </c>
      <c r="P63" s="80">
        <f t="shared" si="182"/>
        <v>44</v>
      </c>
      <c r="Q63" s="31">
        <f t="shared" si="60"/>
        <v>13.522727272727273</v>
      </c>
      <c r="R63" s="21">
        <f t="shared" si="207"/>
        <v>563502.45795454539</v>
      </c>
      <c r="S63" s="3">
        <v>45504</v>
      </c>
      <c r="T63" s="15"/>
      <c r="U63" s="15"/>
      <c r="V63" s="3">
        <f t="shared" si="202"/>
        <v>45504</v>
      </c>
      <c r="W63" s="80">
        <f t="shared" si="183"/>
        <v>61</v>
      </c>
      <c r="X63" s="31">
        <f t="shared" si="61"/>
        <v>10</v>
      </c>
      <c r="Y63" s="21">
        <f t="shared" si="208"/>
        <v>455040</v>
      </c>
      <c r="Z63" s="3">
        <v>0</v>
      </c>
      <c r="AA63" s="80">
        <f t="shared" si="184"/>
        <v>50</v>
      </c>
      <c r="AB63" s="31">
        <f t="shared" si="62"/>
        <v>10.96</v>
      </c>
      <c r="AC63" s="21">
        <v>0</v>
      </c>
      <c r="AD63" s="3">
        <v>0</v>
      </c>
      <c r="AE63" s="80">
        <f t="shared" si="185"/>
        <v>65</v>
      </c>
      <c r="AF63" s="31">
        <f t="shared" si="63"/>
        <v>12.753846153846155</v>
      </c>
      <c r="AG63" s="21">
        <v>0</v>
      </c>
      <c r="AH63" s="3">
        <v>0</v>
      </c>
      <c r="AI63" s="15"/>
      <c r="AJ63" s="3">
        <f t="shared" si="209"/>
        <v>0</v>
      </c>
      <c r="AK63" s="80" t="str">
        <f t="shared" si="186"/>
        <v xml:space="preserve"> </v>
      </c>
      <c r="AL63" s="31"/>
      <c r="AM63" s="21">
        <v>0</v>
      </c>
      <c r="AN63" s="3">
        <v>597100</v>
      </c>
      <c r="AO63" s="80">
        <f t="shared" si="187"/>
        <v>45</v>
      </c>
      <c r="AP63" s="31">
        <f t="shared" si="65"/>
        <v>12.622222222222222</v>
      </c>
      <c r="AQ63" s="21">
        <f t="shared" si="210"/>
        <v>7536728.888888889</v>
      </c>
      <c r="AR63" s="3">
        <v>806726</v>
      </c>
      <c r="AS63" s="80">
        <f t="shared" si="188"/>
        <v>48</v>
      </c>
      <c r="AT63" s="31">
        <f t="shared" si="66"/>
        <v>14.25</v>
      </c>
      <c r="AU63" s="21">
        <f t="shared" si="211"/>
        <v>11495845.5</v>
      </c>
      <c r="AV63" s="3">
        <v>7058</v>
      </c>
      <c r="AW63" s="80">
        <f t="shared" si="189"/>
        <v>48</v>
      </c>
      <c r="AX63" s="31">
        <f t="shared" si="16"/>
        <v>10.958333333333334</v>
      </c>
      <c r="AY63" s="21">
        <f t="shared" si="212"/>
        <v>77343.916666666672</v>
      </c>
      <c r="AZ63" s="3">
        <v>26336</v>
      </c>
      <c r="BA63" s="80">
        <f t="shared" si="190"/>
        <v>68</v>
      </c>
      <c r="BB63" s="31">
        <f t="shared" si="19"/>
        <v>9.0294117647058822</v>
      </c>
      <c r="BC63" s="21">
        <f t="shared" si="213"/>
        <v>237798.58823529413</v>
      </c>
      <c r="BD63" s="15">
        <v>574357</v>
      </c>
      <c r="BE63" s="3">
        <f t="shared" si="214"/>
        <v>473270.16799999995</v>
      </c>
      <c r="BF63" s="80">
        <f t="shared" si="191"/>
        <v>115</v>
      </c>
      <c r="BG63" s="31">
        <f t="shared" si="68"/>
        <v>5.321739130434783</v>
      </c>
      <c r="BH63" s="21">
        <f t="shared" si="215"/>
        <v>2518620.3723130436</v>
      </c>
      <c r="BI63" s="3">
        <f t="shared" si="216"/>
        <v>101086.83199999999</v>
      </c>
      <c r="BJ63" s="80">
        <f t="shared" si="192"/>
        <v>102</v>
      </c>
      <c r="BK63" s="31">
        <f t="shared" si="69"/>
        <v>6.3921568627450984</v>
      </c>
      <c r="BL63" s="21">
        <f t="shared" si="217"/>
        <v>646162.88690196082</v>
      </c>
      <c r="BM63" s="3">
        <v>280170</v>
      </c>
      <c r="BN63" s="80">
        <f t="shared" si="193"/>
        <v>44</v>
      </c>
      <c r="BO63" s="31">
        <f t="shared" si="70"/>
        <v>11.568181818181818</v>
      </c>
      <c r="BP63" s="21">
        <f t="shared" si="218"/>
        <v>3241057.5</v>
      </c>
      <c r="BQ63" s="3">
        <v>81114</v>
      </c>
      <c r="BR63" s="15"/>
      <c r="BS63" s="3">
        <f t="shared" si="219"/>
        <v>81114</v>
      </c>
      <c r="BT63" s="80">
        <f t="shared" si="194"/>
        <v>74</v>
      </c>
      <c r="BU63" s="31">
        <f t="shared" si="71"/>
        <v>4.7972972972972974</v>
      </c>
      <c r="BV63" s="21">
        <f t="shared" si="220"/>
        <v>389127.97297297296</v>
      </c>
      <c r="BW63" s="2">
        <v>0</v>
      </c>
      <c r="BX63" s="80">
        <f t="shared" si="195"/>
        <v>56</v>
      </c>
      <c r="BY63" s="31">
        <f t="shared" si="72"/>
        <v>13.035714285714286</v>
      </c>
      <c r="BZ63" s="22">
        <v>0</v>
      </c>
      <c r="CA63" s="2">
        <v>0</v>
      </c>
      <c r="CB63" s="2"/>
      <c r="CD63" s="22">
        <v>0</v>
      </c>
      <c r="CE63" s="3">
        <v>3381</v>
      </c>
      <c r="CF63" s="15"/>
      <c r="CG63" s="3">
        <f t="shared" si="221"/>
        <v>3381</v>
      </c>
      <c r="CH63" s="25">
        <f t="shared" si="222"/>
        <v>1014.3</v>
      </c>
      <c r="CI63" s="3">
        <v>6835</v>
      </c>
      <c r="CJ63" s="15"/>
      <c r="CK63" s="3">
        <f t="shared" si="223"/>
        <v>6835</v>
      </c>
      <c r="CL63" s="134">
        <f t="shared" si="196"/>
        <v>46</v>
      </c>
      <c r="CM63" s="31">
        <f t="shared" si="74"/>
        <v>11.304347826086957</v>
      </c>
      <c r="CN63" s="21">
        <f t="shared" si="224"/>
        <v>77265.217391304352</v>
      </c>
      <c r="CO63" s="3">
        <v>79776</v>
      </c>
      <c r="CP63" s="3"/>
      <c r="CQ63" s="3"/>
      <c r="CR63" s="2">
        <f t="shared" si="231"/>
        <v>79776</v>
      </c>
      <c r="CS63" s="80">
        <f t="shared" si="197"/>
        <v>77</v>
      </c>
      <c r="CT63" s="31">
        <f t="shared" si="75"/>
        <v>8.9740259740259738</v>
      </c>
      <c r="CU63" s="21">
        <f t="shared" si="225"/>
        <v>715911.89610389608</v>
      </c>
      <c r="CV63" s="2">
        <v>7327</v>
      </c>
      <c r="CW63" s="92">
        <f t="shared" si="198"/>
        <v>46</v>
      </c>
      <c r="CX63" s="31">
        <f t="shared" si="76"/>
        <v>11.304347826086957</v>
      </c>
      <c r="CY63" s="21">
        <f t="shared" si="226"/>
        <v>82826.956521739135</v>
      </c>
      <c r="CZ63" s="3">
        <v>0</v>
      </c>
      <c r="DA63" s="80">
        <f t="shared" si="199"/>
        <v>69</v>
      </c>
      <c r="DB63" s="31">
        <f t="shared" si="77"/>
        <v>9.420289855072463</v>
      </c>
      <c r="DC63" s="21">
        <f t="shared" si="227"/>
        <v>0</v>
      </c>
      <c r="DD63" s="3">
        <v>0</v>
      </c>
      <c r="DE63" s="3">
        <v>0</v>
      </c>
      <c r="DF63" s="15"/>
      <c r="DG63" s="3">
        <f t="shared" si="228"/>
        <v>0</v>
      </c>
      <c r="DH63" s="3">
        <f t="shared" si="229"/>
        <v>0</v>
      </c>
      <c r="DI63" s="136">
        <f t="shared" si="200"/>
        <v>63</v>
      </c>
      <c r="DJ63" s="41">
        <f t="shared" si="78"/>
        <v>13.777777777777779</v>
      </c>
      <c r="DK63" s="21">
        <f t="shared" si="230"/>
        <v>0</v>
      </c>
    </row>
    <row r="64" spans="1:115">
      <c r="A64" s="7">
        <v>1955</v>
      </c>
      <c r="B64" s="3">
        <v>39766</v>
      </c>
      <c r="C64" s="15"/>
      <c r="D64" s="3">
        <f t="shared" si="203"/>
        <v>39766</v>
      </c>
      <c r="E64" s="25">
        <f t="shared" si="204"/>
        <v>27836.199999999997</v>
      </c>
      <c r="F64" s="3">
        <v>40778</v>
      </c>
      <c r="G64" s="15"/>
      <c r="H64" s="15">
        <f t="shared" si="205"/>
        <v>40778</v>
      </c>
      <c r="I64" s="80">
        <f t="shared" si="181"/>
        <v>43</v>
      </c>
      <c r="J64" s="132">
        <f t="shared" si="59"/>
        <v>12.093023255813954</v>
      </c>
      <c r="K64" s="21">
        <f t="shared" si="206"/>
        <v>493129.30232558138</v>
      </c>
      <c r="L64" s="3">
        <v>90867</v>
      </c>
      <c r="M64" s="15"/>
      <c r="N64" s="15"/>
      <c r="O64" s="3">
        <f t="shared" si="201"/>
        <v>90867</v>
      </c>
      <c r="P64" s="80">
        <f t="shared" si="182"/>
        <v>42</v>
      </c>
      <c r="Q64" s="31">
        <f t="shared" si="60"/>
        <v>14.166666666666666</v>
      </c>
      <c r="R64" s="21">
        <f t="shared" si="207"/>
        <v>1287282.5</v>
      </c>
      <c r="S64" s="3">
        <v>87002</v>
      </c>
      <c r="T64" s="15"/>
      <c r="U64" s="15"/>
      <c r="V64" s="3">
        <f t="shared" si="202"/>
        <v>87002</v>
      </c>
      <c r="W64" s="80">
        <f t="shared" si="183"/>
        <v>55</v>
      </c>
      <c r="X64" s="31">
        <f t="shared" si="61"/>
        <v>11.090909090909092</v>
      </c>
      <c r="Y64" s="21">
        <f t="shared" si="208"/>
        <v>964931.27272727282</v>
      </c>
      <c r="Z64" s="3">
        <v>0</v>
      </c>
      <c r="AA64" s="80">
        <f t="shared" si="184"/>
        <v>47</v>
      </c>
      <c r="AB64" s="31">
        <f t="shared" si="62"/>
        <v>11.659574468085106</v>
      </c>
      <c r="AC64" s="21">
        <v>0</v>
      </c>
      <c r="AD64" s="3">
        <v>0</v>
      </c>
      <c r="AE64" s="80">
        <f t="shared" si="185"/>
        <v>66</v>
      </c>
      <c r="AF64" s="31">
        <f t="shared" si="63"/>
        <v>12.560606060606061</v>
      </c>
      <c r="AG64" s="21">
        <v>0</v>
      </c>
      <c r="AH64" s="3">
        <v>0</v>
      </c>
      <c r="AI64" s="15"/>
      <c r="AJ64" s="3">
        <f t="shared" si="209"/>
        <v>0</v>
      </c>
      <c r="AK64" s="80" t="str">
        <f t="shared" si="186"/>
        <v xml:space="preserve"> </v>
      </c>
      <c r="AL64" s="31"/>
      <c r="AM64" s="21">
        <v>0</v>
      </c>
      <c r="AN64" s="3">
        <v>475083</v>
      </c>
      <c r="AO64" s="80">
        <f t="shared" si="187"/>
        <v>42</v>
      </c>
      <c r="AP64" s="31">
        <f t="shared" si="65"/>
        <v>13.523809523809524</v>
      </c>
      <c r="AQ64" s="21">
        <f t="shared" si="210"/>
        <v>6424932</v>
      </c>
      <c r="AR64" s="3">
        <v>439260</v>
      </c>
      <c r="AS64" s="80">
        <f t="shared" si="188"/>
        <v>44</v>
      </c>
      <c r="AT64" s="31">
        <f t="shared" si="66"/>
        <v>15.545454545454545</v>
      </c>
      <c r="AU64" s="21">
        <f t="shared" si="211"/>
        <v>6828496.3636363633</v>
      </c>
      <c r="AV64" s="3">
        <v>27900</v>
      </c>
      <c r="AW64" s="80">
        <f t="shared" si="189"/>
        <v>46</v>
      </c>
      <c r="AX64" s="31">
        <f t="shared" si="16"/>
        <v>11.434782608695652</v>
      </c>
      <c r="AY64" s="21">
        <f t="shared" si="212"/>
        <v>319030.4347826087</v>
      </c>
      <c r="AZ64" s="3">
        <v>9615</v>
      </c>
      <c r="BA64" s="80">
        <f t="shared" si="190"/>
        <v>69</v>
      </c>
      <c r="BB64" s="31">
        <f t="shared" si="19"/>
        <v>8.8985507246376816</v>
      </c>
      <c r="BC64" s="21">
        <f t="shared" si="213"/>
        <v>85559.565217391311</v>
      </c>
      <c r="BD64" s="15">
        <v>573942</v>
      </c>
      <c r="BE64" s="3">
        <f t="shared" si="214"/>
        <v>472928.20799999998</v>
      </c>
      <c r="BF64" s="80">
        <f t="shared" si="191"/>
        <v>112</v>
      </c>
      <c r="BG64" s="31">
        <f t="shared" si="68"/>
        <v>5.4642857142857144</v>
      </c>
      <c r="BH64" s="21">
        <f t="shared" si="215"/>
        <v>2584214.8508571428</v>
      </c>
      <c r="BI64" s="3">
        <f t="shared" si="216"/>
        <v>101013.792</v>
      </c>
      <c r="BJ64" s="80">
        <f t="shared" si="192"/>
        <v>102</v>
      </c>
      <c r="BK64" s="31">
        <f t="shared" si="69"/>
        <v>6.3921568627450984</v>
      </c>
      <c r="BL64" s="21">
        <f t="shared" si="217"/>
        <v>645696.00376470597</v>
      </c>
      <c r="BM64" s="3">
        <v>239505</v>
      </c>
      <c r="BN64" s="80">
        <f t="shared" si="193"/>
        <v>41</v>
      </c>
      <c r="BO64" s="31">
        <f t="shared" si="70"/>
        <v>12.414634146341463</v>
      </c>
      <c r="BP64" s="21">
        <f t="shared" si="218"/>
        <v>2973366.9512195121</v>
      </c>
      <c r="BQ64" s="3">
        <v>122941</v>
      </c>
      <c r="BR64" s="15"/>
      <c r="BS64" s="3">
        <f t="shared" si="219"/>
        <v>122941</v>
      </c>
      <c r="BT64" s="80">
        <f t="shared" si="194"/>
        <v>71</v>
      </c>
      <c r="BU64" s="31">
        <f t="shared" si="71"/>
        <v>5</v>
      </c>
      <c r="BV64" s="21">
        <f t="shared" si="220"/>
        <v>614705</v>
      </c>
      <c r="BW64" s="2">
        <v>0</v>
      </c>
      <c r="BX64" s="80">
        <f t="shared" si="195"/>
        <v>53</v>
      </c>
      <c r="BY64" s="31">
        <f t="shared" si="72"/>
        <v>13.773584905660377</v>
      </c>
      <c r="BZ64" s="22">
        <v>0</v>
      </c>
      <c r="CA64" s="2">
        <v>0</v>
      </c>
      <c r="CB64" s="2"/>
      <c r="CD64" s="22">
        <v>0</v>
      </c>
      <c r="CE64" s="3">
        <v>39766</v>
      </c>
      <c r="CF64" s="15"/>
      <c r="CG64" s="3">
        <f t="shared" si="221"/>
        <v>39766</v>
      </c>
      <c r="CH64" s="25">
        <f t="shared" si="222"/>
        <v>11929.8</v>
      </c>
      <c r="CI64" s="3">
        <v>4883</v>
      </c>
      <c r="CJ64" s="15"/>
      <c r="CK64" s="3">
        <f t="shared" si="223"/>
        <v>4883</v>
      </c>
      <c r="CL64" s="134">
        <f t="shared" si="196"/>
        <v>43</v>
      </c>
      <c r="CM64" s="31">
        <f t="shared" si="74"/>
        <v>12.093023255813954</v>
      </c>
      <c r="CN64" s="21">
        <f t="shared" si="224"/>
        <v>59050.232558139534</v>
      </c>
      <c r="CO64" s="3">
        <v>316381</v>
      </c>
      <c r="CP64" s="3"/>
      <c r="CQ64" s="3"/>
      <c r="CR64" s="2">
        <f t="shared" si="231"/>
        <v>316381</v>
      </c>
      <c r="CS64" s="80">
        <f t="shared" si="197"/>
        <v>70</v>
      </c>
      <c r="CT64" s="31">
        <f t="shared" si="75"/>
        <v>9.8714285714285719</v>
      </c>
      <c r="CU64" s="21">
        <f t="shared" si="225"/>
        <v>3123132.442857143</v>
      </c>
      <c r="CV64" s="2">
        <v>20861</v>
      </c>
      <c r="CW64" s="92">
        <f t="shared" si="198"/>
        <v>43</v>
      </c>
      <c r="CX64" s="31">
        <f t="shared" si="76"/>
        <v>12.093023255813954</v>
      </c>
      <c r="CY64" s="21">
        <f t="shared" si="226"/>
        <v>252272.5581395349</v>
      </c>
      <c r="CZ64" s="3">
        <v>14407</v>
      </c>
      <c r="DA64" s="80">
        <f t="shared" si="199"/>
        <v>63</v>
      </c>
      <c r="DB64" s="31">
        <f t="shared" si="77"/>
        <v>10.317460317460318</v>
      </c>
      <c r="DC64" s="21">
        <f t="shared" si="227"/>
        <v>148643.6507936508</v>
      </c>
      <c r="DD64" s="3">
        <v>0</v>
      </c>
      <c r="DE64" s="3">
        <v>0</v>
      </c>
      <c r="DF64" s="15"/>
      <c r="DG64" s="3">
        <f t="shared" si="228"/>
        <v>0</v>
      </c>
      <c r="DH64" s="3">
        <f t="shared" si="229"/>
        <v>0</v>
      </c>
      <c r="DI64" s="136">
        <f t="shared" si="200"/>
        <v>60</v>
      </c>
      <c r="DJ64" s="41">
        <f t="shared" si="78"/>
        <v>14.466666666666667</v>
      </c>
      <c r="DK64" s="21">
        <f t="shared" si="230"/>
        <v>0</v>
      </c>
    </row>
    <row r="65" spans="1:115">
      <c r="A65" s="7">
        <v>1954</v>
      </c>
      <c r="B65" s="3">
        <v>66487</v>
      </c>
      <c r="C65" s="15"/>
      <c r="D65" s="3">
        <f t="shared" si="203"/>
        <v>66487</v>
      </c>
      <c r="E65" s="25">
        <f t="shared" si="204"/>
        <v>46540.899999999994</v>
      </c>
      <c r="F65" s="3">
        <v>15259</v>
      </c>
      <c r="G65" s="15"/>
      <c r="H65" s="15">
        <f t="shared" si="205"/>
        <v>15259</v>
      </c>
      <c r="I65" s="80">
        <f t="shared" si="181"/>
        <v>42</v>
      </c>
      <c r="J65" s="132">
        <f t="shared" si="59"/>
        <v>12.380952380952381</v>
      </c>
      <c r="K65" s="21">
        <f t="shared" si="206"/>
        <v>188920.9523809524</v>
      </c>
      <c r="L65" s="3">
        <v>154408</v>
      </c>
      <c r="M65" s="15"/>
      <c r="N65" s="15"/>
      <c r="O65" s="3">
        <f t="shared" si="201"/>
        <v>154408</v>
      </c>
      <c r="P65" s="80">
        <f t="shared" si="182"/>
        <v>40</v>
      </c>
      <c r="Q65" s="31">
        <f t="shared" si="60"/>
        <v>14.875</v>
      </c>
      <c r="R65" s="21">
        <f t="shared" si="207"/>
        <v>2296819</v>
      </c>
      <c r="S65" s="3">
        <v>219237</v>
      </c>
      <c r="T65" s="15"/>
      <c r="U65" s="15"/>
      <c r="V65" s="3">
        <f t="shared" si="202"/>
        <v>219237</v>
      </c>
      <c r="W65" s="80">
        <f t="shared" si="183"/>
        <v>52</v>
      </c>
      <c r="X65" s="31">
        <f t="shared" si="61"/>
        <v>11.73076923076923</v>
      </c>
      <c r="Y65" s="21">
        <f t="shared" si="208"/>
        <v>2571818.6538461535</v>
      </c>
      <c r="Z65" s="3">
        <v>0</v>
      </c>
      <c r="AA65" s="80">
        <f t="shared" si="184"/>
        <v>45</v>
      </c>
      <c r="AB65" s="31">
        <f t="shared" si="62"/>
        <v>12.177777777777777</v>
      </c>
      <c r="AC65" s="21">
        <v>0</v>
      </c>
      <c r="AD65" s="3">
        <v>0</v>
      </c>
      <c r="AE65" s="80">
        <f t="shared" si="185"/>
        <v>63</v>
      </c>
      <c r="AF65" s="31">
        <f t="shared" si="63"/>
        <v>13.158730158730158</v>
      </c>
      <c r="AG65" s="21">
        <v>0</v>
      </c>
      <c r="AH65" s="3">
        <v>0</v>
      </c>
      <c r="AI65" s="15"/>
      <c r="AJ65" s="3">
        <f t="shared" si="209"/>
        <v>0</v>
      </c>
      <c r="AK65" s="80" t="str">
        <f t="shared" si="186"/>
        <v xml:space="preserve"> </v>
      </c>
      <c r="AL65" s="31"/>
      <c r="AM65" s="21">
        <v>0</v>
      </c>
      <c r="AN65" s="3">
        <v>374306</v>
      </c>
      <c r="AO65" s="80">
        <f t="shared" si="187"/>
        <v>40</v>
      </c>
      <c r="AP65" s="31">
        <f t="shared" si="65"/>
        <v>14.2</v>
      </c>
      <c r="AQ65" s="21">
        <f t="shared" si="210"/>
        <v>5315145.2</v>
      </c>
      <c r="AR65" s="3">
        <v>288347</v>
      </c>
      <c r="AS65" s="80">
        <f t="shared" si="188"/>
        <v>40</v>
      </c>
      <c r="AT65" s="31">
        <f t="shared" si="66"/>
        <v>17.100000000000001</v>
      </c>
      <c r="AU65" s="21">
        <f t="shared" si="211"/>
        <v>4930733.7</v>
      </c>
      <c r="AV65" s="3">
        <v>11599</v>
      </c>
      <c r="AW65" s="80">
        <f t="shared" si="189"/>
        <v>44</v>
      </c>
      <c r="AX65" s="31">
        <f t="shared" si="16"/>
        <v>11.954545454545455</v>
      </c>
      <c r="AY65" s="21">
        <f t="shared" si="212"/>
        <v>138660.77272727274</v>
      </c>
      <c r="AZ65" s="3">
        <v>36527</v>
      </c>
      <c r="BA65" s="80">
        <f t="shared" si="190"/>
        <v>67</v>
      </c>
      <c r="BB65" s="31">
        <f t="shared" si="19"/>
        <v>9.1641791044776113</v>
      </c>
      <c r="BC65" s="21">
        <f t="shared" si="213"/>
        <v>334739.97014925373</v>
      </c>
      <c r="BD65" s="15">
        <v>419318</v>
      </c>
      <c r="BE65" s="3">
        <f t="shared" si="214"/>
        <v>345518.03200000001</v>
      </c>
      <c r="BF65" s="80">
        <f t="shared" si="191"/>
        <v>112</v>
      </c>
      <c r="BG65" s="31">
        <f t="shared" si="68"/>
        <v>5.4642857142857144</v>
      </c>
      <c r="BH65" s="21">
        <f t="shared" si="215"/>
        <v>1888009.2462857144</v>
      </c>
      <c r="BI65" s="3">
        <f t="shared" si="216"/>
        <v>73799.967999999993</v>
      </c>
      <c r="BJ65" s="80">
        <f t="shared" si="192"/>
        <v>102</v>
      </c>
      <c r="BK65" s="31">
        <f t="shared" si="69"/>
        <v>6.3921568627450984</v>
      </c>
      <c r="BL65" s="21">
        <f t="shared" si="217"/>
        <v>471740.97192156862</v>
      </c>
      <c r="BM65" s="3">
        <v>204689</v>
      </c>
      <c r="BN65" s="80">
        <f t="shared" si="193"/>
        <v>38</v>
      </c>
      <c r="BO65" s="31">
        <f t="shared" si="70"/>
        <v>13.394736842105264</v>
      </c>
      <c r="BP65" s="21">
        <f t="shared" si="218"/>
        <v>2741755.2894736845</v>
      </c>
      <c r="BQ65" s="3">
        <v>73921</v>
      </c>
      <c r="BR65" s="15"/>
      <c r="BS65" s="3">
        <f t="shared" si="219"/>
        <v>73921</v>
      </c>
      <c r="BT65" s="80">
        <f t="shared" si="194"/>
        <v>74</v>
      </c>
      <c r="BU65" s="31">
        <f t="shared" si="71"/>
        <v>4.7972972972972974</v>
      </c>
      <c r="BV65" s="21">
        <f t="shared" si="220"/>
        <v>354621.01351351349</v>
      </c>
      <c r="BW65" s="2">
        <v>0</v>
      </c>
      <c r="BX65" s="80">
        <f t="shared" si="195"/>
        <v>52</v>
      </c>
      <c r="BY65" s="31">
        <f t="shared" si="72"/>
        <v>14.038461538461538</v>
      </c>
      <c r="BZ65" s="22">
        <v>0</v>
      </c>
      <c r="CA65" s="2">
        <v>0</v>
      </c>
      <c r="CB65" s="2"/>
      <c r="CD65" s="22">
        <v>0</v>
      </c>
      <c r="CE65" s="3">
        <v>66487</v>
      </c>
      <c r="CF65" s="15"/>
      <c r="CG65" s="3">
        <f t="shared" si="221"/>
        <v>66487</v>
      </c>
      <c r="CH65" s="25">
        <f t="shared" si="222"/>
        <v>19946.099999999999</v>
      </c>
      <c r="CI65" s="3">
        <v>12072</v>
      </c>
      <c r="CJ65" s="15"/>
      <c r="CK65" s="3">
        <f t="shared" si="223"/>
        <v>12072</v>
      </c>
      <c r="CL65" s="134">
        <f t="shared" si="196"/>
        <v>42</v>
      </c>
      <c r="CM65" s="31">
        <f t="shared" si="74"/>
        <v>12.380952380952381</v>
      </c>
      <c r="CN65" s="21">
        <f t="shared" si="224"/>
        <v>149462.85714285716</v>
      </c>
      <c r="CO65" s="3">
        <v>21317</v>
      </c>
      <c r="CP65" s="3"/>
      <c r="CQ65" s="3"/>
      <c r="CR65" s="2">
        <f t="shared" si="231"/>
        <v>21317</v>
      </c>
      <c r="CS65" s="80">
        <f t="shared" si="197"/>
        <v>69</v>
      </c>
      <c r="CT65" s="31">
        <f t="shared" si="75"/>
        <v>10.014492753623188</v>
      </c>
      <c r="CU65" s="21">
        <f t="shared" si="225"/>
        <v>213478.94202898548</v>
      </c>
      <c r="CV65" s="2">
        <v>7035</v>
      </c>
      <c r="CW65" s="92">
        <f t="shared" si="198"/>
        <v>42</v>
      </c>
      <c r="CX65" s="31">
        <f t="shared" si="76"/>
        <v>12.380952380952381</v>
      </c>
      <c r="CY65" s="21">
        <f t="shared" si="226"/>
        <v>87100</v>
      </c>
      <c r="CZ65" s="3">
        <v>167426</v>
      </c>
      <c r="DA65" s="80">
        <f t="shared" si="199"/>
        <v>61</v>
      </c>
      <c r="DB65" s="31">
        <f t="shared" si="77"/>
        <v>10.655737704918034</v>
      </c>
      <c r="DC65" s="21">
        <f t="shared" si="227"/>
        <v>1784047.5409836066</v>
      </c>
      <c r="DD65" s="3">
        <v>0</v>
      </c>
      <c r="DE65" s="3">
        <v>0</v>
      </c>
      <c r="DF65" s="15"/>
      <c r="DG65" s="3">
        <f t="shared" si="228"/>
        <v>0</v>
      </c>
      <c r="DH65" s="3">
        <f t="shared" si="229"/>
        <v>0</v>
      </c>
      <c r="DI65" s="136">
        <f t="shared" si="200"/>
        <v>59</v>
      </c>
      <c r="DJ65" s="41">
        <f t="shared" si="78"/>
        <v>14.711864406779661</v>
      </c>
      <c r="DK65" s="21">
        <f t="shared" si="230"/>
        <v>0</v>
      </c>
    </row>
    <row r="66" spans="1:115">
      <c r="A66" s="7">
        <v>1953</v>
      </c>
      <c r="B66" s="3">
        <v>15486</v>
      </c>
      <c r="C66" s="15"/>
      <c r="D66" s="3">
        <f t="shared" si="203"/>
        <v>15486</v>
      </c>
      <c r="E66" s="25">
        <f t="shared" si="204"/>
        <v>10840.199999999999</v>
      </c>
      <c r="F66" s="3">
        <v>0</v>
      </c>
      <c r="G66" s="15"/>
      <c r="H66" s="15">
        <f t="shared" si="205"/>
        <v>0</v>
      </c>
      <c r="I66" s="80">
        <f t="shared" si="181"/>
        <v>41</v>
      </c>
      <c r="J66" s="132">
        <f t="shared" si="59"/>
        <v>12.682926829268293</v>
      </c>
      <c r="K66" s="21">
        <f t="shared" si="206"/>
        <v>0</v>
      </c>
      <c r="L66" s="3">
        <v>58438</v>
      </c>
      <c r="M66" s="15"/>
      <c r="N66" s="15"/>
      <c r="O66" s="3">
        <f t="shared" si="201"/>
        <v>58438</v>
      </c>
      <c r="P66" s="80">
        <f t="shared" si="182"/>
        <v>39</v>
      </c>
      <c r="Q66" s="31">
        <f t="shared" si="60"/>
        <v>15.256410256410257</v>
      </c>
      <c r="R66" s="21">
        <f t="shared" si="207"/>
        <v>891554.10256410262</v>
      </c>
      <c r="S66" s="3">
        <v>106250</v>
      </c>
      <c r="T66" s="15"/>
      <c r="U66" s="15"/>
      <c r="V66" s="3">
        <f t="shared" si="202"/>
        <v>106250</v>
      </c>
      <c r="W66" s="80">
        <f t="shared" si="183"/>
        <v>51</v>
      </c>
      <c r="X66" s="31">
        <f t="shared" si="61"/>
        <v>11.96078431372549</v>
      </c>
      <c r="Y66" s="21">
        <f t="shared" si="208"/>
        <v>1270833.3333333333</v>
      </c>
      <c r="Z66" s="3">
        <v>0</v>
      </c>
      <c r="AA66" s="80">
        <f t="shared" si="184"/>
        <v>43</v>
      </c>
      <c r="AB66" s="31">
        <f t="shared" si="62"/>
        <v>12.744186046511627</v>
      </c>
      <c r="AC66" s="21">
        <v>0</v>
      </c>
      <c r="AD66" s="3">
        <v>0</v>
      </c>
      <c r="AE66" s="80">
        <f t="shared" si="185"/>
        <v>62</v>
      </c>
      <c r="AF66" s="31">
        <f t="shared" si="63"/>
        <v>13.370967741935484</v>
      </c>
      <c r="AG66" s="21">
        <v>0</v>
      </c>
      <c r="AH66" s="3">
        <v>97</v>
      </c>
      <c r="AI66" s="15"/>
      <c r="AJ66" s="3">
        <f t="shared" si="209"/>
        <v>97</v>
      </c>
      <c r="AK66" s="80">
        <f t="shared" si="186"/>
        <v>33</v>
      </c>
      <c r="AL66" s="31">
        <f t="shared" ref="AL66:AL67" si="232">$AK$4/AK66</f>
        <v>15.909090909090908</v>
      </c>
      <c r="AM66" s="21">
        <f>AL66*AJ66</f>
        <v>1543.181818181818</v>
      </c>
      <c r="AN66" s="3">
        <v>370937</v>
      </c>
      <c r="AO66" s="80">
        <f t="shared" si="187"/>
        <v>39</v>
      </c>
      <c r="AP66" s="31">
        <f t="shared" si="65"/>
        <v>14.564102564102564</v>
      </c>
      <c r="AQ66" s="21">
        <f t="shared" si="210"/>
        <v>5402364.512820513</v>
      </c>
      <c r="AR66" s="3">
        <v>424405</v>
      </c>
      <c r="AS66" s="80">
        <f t="shared" si="188"/>
        <v>40</v>
      </c>
      <c r="AT66" s="31">
        <f t="shared" si="66"/>
        <v>17.100000000000001</v>
      </c>
      <c r="AU66" s="21">
        <f t="shared" si="211"/>
        <v>7257325.5000000009</v>
      </c>
      <c r="AV66" s="3">
        <v>42515</v>
      </c>
      <c r="AW66" s="80">
        <f t="shared" si="189"/>
        <v>42</v>
      </c>
      <c r="AX66" s="31">
        <f t="shared" si="16"/>
        <v>12.523809523809524</v>
      </c>
      <c r="AY66" s="21">
        <f t="shared" si="212"/>
        <v>532449.76190476189</v>
      </c>
      <c r="AZ66" s="3">
        <v>62475</v>
      </c>
      <c r="BA66" s="80">
        <f t="shared" si="190"/>
        <v>65</v>
      </c>
      <c r="BB66" s="31">
        <f t="shared" si="19"/>
        <v>9.4461538461538463</v>
      </c>
      <c r="BC66" s="21">
        <f t="shared" si="213"/>
        <v>590148.4615384615</v>
      </c>
      <c r="BD66" s="15">
        <v>319271</v>
      </c>
      <c r="BE66" s="3">
        <f t="shared" si="214"/>
        <v>263079.304</v>
      </c>
      <c r="BF66" s="80">
        <f t="shared" si="191"/>
        <v>110</v>
      </c>
      <c r="BG66" s="31">
        <f t="shared" si="68"/>
        <v>5.5636363636363635</v>
      </c>
      <c r="BH66" s="21">
        <f t="shared" si="215"/>
        <v>1463677.5822545455</v>
      </c>
      <c r="BI66" s="3">
        <f t="shared" si="216"/>
        <v>56191.695999999996</v>
      </c>
      <c r="BJ66" s="80">
        <f t="shared" si="192"/>
        <v>102</v>
      </c>
      <c r="BK66" s="31">
        <f t="shared" si="69"/>
        <v>6.3921568627450984</v>
      </c>
      <c r="BL66" s="21">
        <f t="shared" si="217"/>
        <v>359186.13521568628</v>
      </c>
      <c r="BM66" s="3">
        <v>129229</v>
      </c>
      <c r="BN66" s="80">
        <f t="shared" si="193"/>
        <v>38</v>
      </c>
      <c r="BO66" s="31">
        <f t="shared" si="70"/>
        <v>13.394736842105264</v>
      </c>
      <c r="BP66" s="21">
        <f t="shared" si="218"/>
        <v>1730988.4473684211</v>
      </c>
      <c r="BQ66" s="3">
        <v>74858</v>
      </c>
      <c r="BR66" s="15"/>
      <c r="BS66" s="3">
        <f t="shared" si="219"/>
        <v>74858</v>
      </c>
      <c r="BT66" s="80">
        <f t="shared" si="194"/>
        <v>73</v>
      </c>
      <c r="BU66" s="31">
        <f t="shared" si="71"/>
        <v>4.8630136986301373</v>
      </c>
      <c r="BV66" s="21">
        <f t="shared" si="220"/>
        <v>364035.47945205483</v>
      </c>
      <c r="BW66" s="2">
        <v>0</v>
      </c>
      <c r="BX66" s="80">
        <f t="shared" si="195"/>
        <v>50</v>
      </c>
      <c r="BY66" s="31">
        <f t="shared" si="72"/>
        <v>14.6</v>
      </c>
      <c r="BZ66" s="22">
        <v>0</v>
      </c>
      <c r="CA66" s="2">
        <v>0</v>
      </c>
      <c r="CB66" s="2"/>
      <c r="CD66" s="22">
        <v>0</v>
      </c>
      <c r="CE66" s="3">
        <v>15486</v>
      </c>
      <c r="CF66" s="15"/>
      <c r="CG66" s="3">
        <f t="shared" si="221"/>
        <v>15486</v>
      </c>
      <c r="CH66" s="25">
        <f t="shared" si="222"/>
        <v>4645.8</v>
      </c>
      <c r="CI66" s="3">
        <v>2730</v>
      </c>
      <c r="CJ66" s="15"/>
      <c r="CK66" s="3">
        <f t="shared" si="223"/>
        <v>2730</v>
      </c>
      <c r="CL66" s="134">
        <f t="shared" si="196"/>
        <v>41</v>
      </c>
      <c r="CM66" s="31">
        <f t="shared" si="74"/>
        <v>12.682926829268293</v>
      </c>
      <c r="CN66" s="21">
        <f t="shared" si="224"/>
        <v>34624.390243902439</v>
      </c>
      <c r="CO66" s="3">
        <v>40660</v>
      </c>
      <c r="CP66" s="3"/>
      <c r="CQ66" s="3"/>
      <c r="CR66" s="2">
        <f t="shared" si="231"/>
        <v>40660</v>
      </c>
      <c r="CS66" s="80">
        <f t="shared" si="197"/>
        <v>68</v>
      </c>
      <c r="CT66" s="31">
        <f t="shared" si="75"/>
        <v>10.161764705882353</v>
      </c>
      <c r="CU66" s="21">
        <f t="shared" si="225"/>
        <v>413177.3529411765</v>
      </c>
      <c r="CV66" s="2">
        <v>15297</v>
      </c>
      <c r="CW66" s="92">
        <f t="shared" si="198"/>
        <v>41</v>
      </c>
      <c r="CX66" s="31">
        <f t="shared" si="76"/>
        <v>12.682926829268293</v>
      </c>
      <c r="CY66" s="21">
        <f t="shared" si="226"/>
        <v>194010.73170731709</v>
      </c>
      <c r="CZ66" s="3">
        <v>639108</v>
      </c>
      <c r="DA66" s="80">
        <f t="shared" si="199"/>
        <v>60</v>
      </c>
      <c r="DB66" s="31">
        <f t="shared" si="77"/>
        <v>10.833333333333334</v>
      </c>
      <c r="DC66" s="21">
        <f t="shared" si="227"/>
        <v>6923670</v>
      </c>
      <c r="DD66" s="3">
        <v>0</v>
      </c>
      <c r="DE66" s="3">
        <v>0</v>
      </c>
      <c r="DF66" s="15"/>
      <c r="DG66" s="3">
        <f t="shared" si="228"/>
        <v>0</v>
      </c>
      <c r="DH66" s="3">
        <f t="shared" si="229"/>
        <v>0</v>
      </c>
      <c r="DI66" s="136">
        <f t="shared" si="200"/>
        <v>58</v>
      </c>
      <c r="DJ66" s="41">
        <f t="shared" si="78"/>
        <v>14.96551724137931</v>
      </c>
      <c r="DK66" s="21">
        <f t="shared" si="230"/>
        <v>0</v>
      </c>
    </row>
    <row r="67" spans="1:115">
      <c r="A67" s="7">
        <v>1952</v>
      </c>
      <c r="B67" s="3">
        <v>125892</v>
      </c>
      <c r="C67" s="15"/>
      <c r="D67" s="3">
        <f t="shared" si="203"/>
        <v>125892</v>
      </c>
      <c r="E67" s="25">
        <f t="shared" si="204"/>
        <v>88124.4</v>
      </c>
      <c r="F67" s="3">
        <v>26123</v>
      </c>
      <c r="G67" s="15"/>
      <c r="H67" s="15">
        <f t="shared" si="205"/>
        <v>26123</v>
      </c>
      <c r="I67" s="80">
        <f t="shared" si="181"/>
        <v>39</v>
      </c>
      <c r="J67" s="132">
        <f t="shared" si="59"/>
        <v>13.333333333333334</v>
      </c>
      <c r="K67" s="21">
        <f t="shared" si="206"/>
        <v>348306.66666666669</v>
      </c>
      <c r="L67" s="3">
        <v>297010</v>
      </c>
      <c r="M67" s="15"/>
      <c r="N67" s="15"/>
      <c r="O67" s="3">
        <f t="shared" si="201"/>
        <v>297010</v>
      </c>
      <c r="P67" s="80">
        <f t="shared" si="182"/>
        <v>37</v>
      </c>
      <c r="Q67" s="31">
        <f t="shared" si="60"/>
        <v>16.081081081081081</v>
      </c>
      <c r="R67" s="21">
        <f t="shared" si="207"/>
        <v>4776241.8918918921</v>
      </c>
      <c r="S67" s="3">
        <v>641903</v>
      </c>
      <c r="T67" s="15"/>
      <c r="U67" s="15"/>
      <c r="V67" s="3">
        <f t="shared" si="202"/>
        <v>641903</v>
      </c>
      <c r="W67" s="80">
        <f t="shared" si="183"/>
        <v>49</v>
      </c>
      <c r="X67" s="31">
        <f t="shared" si="61"/>
        <v>12.448979591836734</v>
      </c>
      <c r="Y67" s="21">
        <f t="shared" si="208"/>
        <v>7991037.3469387749</v>
      </c>
      <c r="Z67" s="3">
        <v>0</v>
      </c>
      <c r="AA67" s="80">
        <f t="shared" si="184"/>
        <v>41</v>
      </c>
      <c r="AB67" s="31">
        <f t="shared" si="62"/>
        <v>13.365853658536585</v>
      </c>
      <c r="AC67" s="21">
        <v>0</v>
      </c>
      <c r="AD67" s="3">
        <v>0</v>
      </c>
      <c r="AE67" s="80">
        <f t="shared" si="185"/>
        <v>63</v>
      </c>
      <c r="AF67" s="31">
        <f t="shared" si="63"/>
        <v>13.158730158730158</v>
      </c>
      <c r="AG67" s="21">
        <v>0</v>
      </c>
      <c r="AH67" s="3">
        <v>95</v>
      </c>
      <c r="AI67" s="15"/>
      <c r="AJ67" s="3">
        <f t="shared" si="209"/>
        <v>95</v>
      </c>
      <c r="AK67" s="80">
        <f t="shared" si="186"/>
        <v>31</v>
      </c>
      <c r="AL67" s="31">
        <f t="shared" si="232"/>
        <v>16.93548387096774</v>
      </c>
      <c r="AM67" s="21">
        <f>AL67*AJ67</f>
        <v>1608.8709677419354</v>
      </c>
      <c r="AN67" s="3">
        <v>330040</v>
      </c>
      <c r="AO67" s="80">
        <f t="shared" si="187"/>
        <v>37</v>
      </c>
      <c r="AP67" s="31">
        <f t="shared" si="65"/>
        <v>15.351351351351351</v>
      </c>
      <c r="AQ67" s="21">
        <f t="shared" si="210"/>
        <v>5066560</v>
      </c>
      <c r="AR67" s="3">
        <v>392457</v>
      </c>
      <c r="AS67" s="80">
        <f t="shared" si="188"/>
        <v>38</v>
      </c>
      <c r="AT67" s="31">
        <f t="shared" si="66"/>
        <v>18</v>
      </c>
      <c r="AU67" s="21">
        <f t="shared" si="211"/>
        <v>7064226</v>
      </c>
      <c r="AV67" s="3">
        <v>26054</v>
      </c>
      <c r="AW67" s="80">
        <f t="shared" si="189"/>
        <v>41</v>
      </c>
      <c r="AX67" s="31">
        <f t="shared" si="16"/>
        <v>12.829268292682928</v>
      </c>
      <c r="AY67" s="21">
        <f t="shared" si="212"/>
        <v>334253.75609756098</v>
      </c>
      <c r="AZ67" s="3">
        <v>73330</v>
      </c>
      <c r="BA67" s="80">
        <f t="shared" si="190"/>
        <v>66</v>
      </c>
      <c r="BB67" s="31">
        <f t="shared" si="19"/>
        <v>9.3030303030303028</v>
      </c>
      <c r="BC67" s="21">
        <f t="shared" si="213"/>
        <v>682191.21212121216</v>
      </c>
      <c r="BD67" s="15">
        <v>268312</v>
      </c>
      <c r="BE67" s="3">
        <f t="shared" si="214"/>
        <v>221089.08799999999</v>
      </c>
      <c r="BF67" s="80">
        <f t="shared" si="191"/>
        <v>103</v>
      </c>
      <c r="BG67" s="31">
        <f t="shared" si="68"/>
        <v>5.941747572815534</v>
      </c>
      <c r="BH67" s="21">
        <f t="shared" si="215"/>
        <v>1313655.5519999999</v>
      </c>
      <c r="BI67" s="3">
        <f t="shared" si="216"/>
        <v>47222.911999999997</v>
      </c>
      <c r="BJ67" s="80">
        <f t="shared" si="192"/>
        <v>102</v>
      </c>
      <c r="BK67" s="31">
        <f t="shared" si="69"/>
        <v>6.3921568627450984</v>
      </c>
      <c r="BL67" s="21">
        <f t="shared" si="217"/>
        <v>301856.26101960783</v>
      </c>
      <c r="BM67" s="3">
        <v>143250</v>
      </c>
      <c r="BN67" s="80">
        <f t="shared" si="193"/>
        <v>36</v>
      </c>
      <c r="BO67" s="31">
        <f t="shared" si="70"/>
        <v>14.138888888888889</v>
      </c>
      <c r="BP67" s="21">
        <f t="shared" si="218"/>
        <v>2025395.8333333335</v>
      </c>
      <c r="BQ67" s="3">
        <v>54002</v>
      </c>
      <c r="BR67" s="15"/>
      <c r="BS67" s="3">
        <f t="shared" si="219"/>
        <v>54002</v>
      </c>
      <c r="BT67" s="80">
        <f t="shared" si="194"/>
        <v>70</v>
      </c>
      <c r="BU67" s="31">
        <f t="shared" si="71"/>
        <v>5.0714285714285712</v>
      </c>
      <c r="BV67" s="21">
        <f t="shared" si="220"/>
        <v>273867.28571428568</v>
      </c>
      <c r="BW67" s="2">
        <v>0</v>
      </c>
      <c r="BX67" s="80">
        <f t="shared" si="195"/>
        <v>49</v>
      </c>
      <c r="BY67" s="31">
        <f t="shared" si="72"/>
        <v>14.897959183673469</v>
      </c>
      <c r="BZ67" s="22">
        <v>0</v>
      </c>
      <c r="CA67" s="2">
        <v>0</v>
      </c>
      <c r="CB67" s="2"/>
      <c r="CD67" s="22">
        <v>0</v>
      </c>
      <c r="CE67" s="3">
        <v>125892</v>
      </c>
      <c r="CF67" s="15"/>
      <c r="CG67" s="3">
        <f t="shared" si="221"/>
        <v>125892</v>
      </c>
      <c r="CH67" s="25">
        <f t="shared" si="222"/>
        <v>37767.599999999999</v>
      </c>
      <c r="CI67" s="3">
        <v>99221</v>
      </c>
      <c r="CJ67" s="15"/>
      <c r="CK67" s="3">
        <f t="shared" si="223"/>
        <v>99221</v>
      </c>
      <c r="CL67" s="134">
        <f t="shared" si="196"/>
        <v>39</v>
      </c>
      <c r="CM67" s="31">
        <f t="shared" si="74"/>
        <v>13.333333333333334</v>
      </c>
      <c r="CN67" s="21">
        <f t="shared" si="224"/>
        <v>1322946.6666666667</v>
      </c>
      <c r="CO67" s="3">
        <v>1516723</v>
      </c>
      <c r="CP67" s="3"/>
      <c r="CQ67" s="3"/>
      <c r="CR67" s="2">
        <f t="shared" si="231"/>
        <v>1516723</v>
      </c>
      <c r="CS67" s="80">
        <f t="shared" si="197"/>
        <v>64</v>
      </c>
      <c r="CT67" s="31">
        <f t="shared" si="75"/>
        <v>10.796875</v>
      </c>
      <c r="CU67" s="21">
        <f t="shared" si="225"/>
        <v>16375868.640625</v>
      </c>
      <c r="CV67" s="2">
        <v>6662</v>
      </c>
      <c r="CW67" s="92">
        <f t="shared" si="198"/>
        <v>39</v>
      </c>
      <c r="CX67" s="31">
        <f t="shared" si="76"/>
        <v>13.333333333333334</v>
      </c>
      <c r="CY67" s="21">
        <f t="shared" si="226"/>
        <v>88826.666666666672</v>
      </c>
      <c r="CZ67" s="3">
        <v>247753</v>
      </c>
      <c r="DA67" s="80">
        <f t="shared" si="199"/>
        <v>58</v>
      </c>
      <c r="DB67" s="31">
        <f t="shared" si="77"/>
        <v>11.206896551724139</v>
      </c>
      <c r="DC67" s="21">
        <f t="shared" si="227"/>
        <v>2776542.2413793104</v>
      </c>
      <c r="DD67" s="3">
        <v>0</v>
      </c>
      <c r="DE67" s="3">
        <v>0</v>
      </c>
      <c r="DF67" s="15"/>
      <c r="DG67" s="3">
        <f t="shared" si="228"/>
        <v>0</v>
      </c>
      <c r="DH67" s="3">
        <f t="shared" si="229"/>
        <v>0</v>
      </c>
      <c r="DI67" s="136">
        <f t="shared" si="200"/>
        <v>55</v>
      </c>
      <c r="DJ67" s="41">
        <f t="shared" si="78"/>
        <v>15.781818181818181</v>
      </c>
      <c r="DK67" s="21">
        <f t="shared" si="230"/>
        <v>0</v>
      </c>
    </row>
    <row r="68" spans="1:115">
      <c r="A68" s="7">
        <v>1951</v>
      </c>
      <c r="B68" s="3">
        <v>1459</v>
      </c>
      <c r="C68" s="15"/>
      <c r="D68" s="3">
        <f t="shared" si="203"/>
        <v>1459</v>
      </c>
      <c r="E68" s="25">
        <f t="shared" si="204"/>
        <v>1021.3</v>
      </c>
      <c r="F68" s="3">
        <v>0</v>
      </c>
      <c r="G68" s="15"/>
      <c r="H68" s="15">
        <f t="shared" si="205"/>
        <v>0</v>
      </c>
      <c r="I68" s="80">
        <f t="shared" si="181"/>
        <v>37</v>
      </c>
      <c r="J68" s="132">
        <f t="shared" si="59"/>
        <v>14.054054054054054</v>
      </c>
      <c r="K68" s="21">
        <f t="shared" si="206"/>
        <v>0</v>
      </c>
      <c r="L68" s="3">
        <v>0</v>
      </c>
      <c r="M68" s="15"/>
      <c r="N68" s="15"/>
      <c r="O68" s="3">
        <f t="shared" si="201"/>
        <v>0</v>
      </c>
      <c r="P68" s="80">
        <f t="shared" si="182"/>
        <v>36</v>
      </c>
      <c r="Q68" s="31">
        <f t="shared" si="60"/>
        <v>16.527777777777779</v>
      </c>
      <c r="R68" s="21">
        <f t="shared" si="207"/>
        <v>0</v>
      </c>
      <c r="S68" s="3">
        <v>0</v>
      </c>
      <c r="T68" s="15"/>
      <c r="U68" s="15"/>
      <c r="V68" s="3">
        <f t="shared" si="202"/>
        <v>0</v>
      </c>
      <c r="W68" s="80">
        <f t="shared" si="183"/>
        <v>47</v>
      </c>
      <c r="X68" s="31">
        <f t="shared" si="61"/>
        <v>12.978723404255319</v>
      </c>
      <c r="Y68" s="21">
        <f t="shared" si="208"/>
        <v>0</v>
      </c>
      <c r="Z68" s="3">
        <v>0</v>
      </c>
      <c r="AA68" s="80">
        <f t="shared" si="184"/>
        <v>39</v>
      </c>
      <c r="AB68" s="31">
        <f t="shared" si="62"/>
        <v>14.051282051282051</v>
      </c>
      <c r="AC68" s="21">
        <v>0</v>
      </c>
      <c r="AD68" s="3">
        <v>0</v>
      </c>
      <c r="AE68" s="80">
        <f t="shared" si="185"/>
        <v>61</v>
      </c>
      <c r="AF68" s="31">
        <f t="shared" si="63"/>
        <v>13.590163934426229</v>
      </c>
      <c r="AG68" s="21">
        <v>0</v>
      </c>
      <c r="AH68" s="3">
        <v>0</v>
      </c>
      <c r="AI68" s="15"/>
      <c r="AJ68" s="3">
        <f t="shared" si="209"/>
        <v>0</v>
      </c>
      <c r="AL68" s="31"/>
      <c r="AM68" s="21">
        <v>0</v>
      </c>
      <c r="AN68" s="3">
        <v>313442</v>
      </c>
      <c r="AO68" s="80">
        <f t="shared" si="187"/>
        <v>35</v>
      </c>
      <c r="AP68" s="31">
        <f t="shared" si="65"/>
        <v>16.228571428571428</v>
      </c>
      <c r="AQ68" s="21">
        <f t="shared" si="210"/>
        <v>5086715.8857142851</v>
      </c>
      <c r="AR68" s="3">
        <v>372339</v>
      </c>
      <c r="AS68" s="80">
        <f t="shared" si="188"/>
        <v>37</v>
      </c>
      <c r="AT68" s="31">
        <f t="shared" si="66"/>
        <v>18.486486486486488</v>
      </c>
      <c r="AU68" s="21">
        <f t="shared" si="211"/>
        <v>6883239.8918918921</v>
      </c>
      <c r="AV68" s="3">
        <v>22793</v>
      </c>
      <c r="AW68" s="80">
        <f t="shared" si="189"/>
        <v>39</v>
      </c>
      <c r="AX68" s="31">
        <f t="shared" si="16"/>
        <v>13.487179487179487</v>
      </c>
      <c r="AY68" s="21">
        <f t="shared" si="212"/>
        <v>307413.28205128206</v>
      </c>
      <c r="AZ68" s="3">
        <v>9298</v>
      </c>
      <c r="BA68" s="80">
        <f t="shared" si="190"/>
        <v>64</v>
      </c>
      <c r="BB68" s="31">
        <f t="shared" si="19"/>
        <v>9.59375</v>
      </c>
      <c r="BC68" s="21">
        <f t="shared" si="213"/>
        <v>89202.6875</v>
      </c>
      <c r="BD68" s="15">
        <v>309329</v>
      </c>
      <c r="BE68" s="3">
        <f t="shared" si="214"/>
        <v>254887.09599999999</v>
      </c>
      <c r="BF68" s="80">
        <f t="shared" si="191"/>
        <v>103</v>
      </c>
      <c r="BG68" s="31">
        <f t="shared" si="68"/>
        <v>5.941747572815534</v>
      </c>
      <c r="BH68" s="21">
        <f t="shared" si="215"/>
        <v>1514474.784</v>
      </c>
      <c r="BI68" s="3">
        <f t="shared" si="216"/>
        <v>54441.903999999995</v>
      </c>
      <c r="BJ68" s="80">
        <f t="shared" si="192"/>
        <v>102</v>
      </c>
      <c r="BK68" s="31">
        <f t="shared" si="69"/>
        <v>6.3921568627450984</v>
      </c>
      <c r="BL68" s="21">
        <f t="shared" si="217"/>
        <v>348001.19027450978</v>
      </c>
      <c r="BM68" s="3">
        <v>88292</v>
      </c>
      <c r="BN68" s="80">
        <f t="shared" si="193"/>
        <v>35</v>
      </c>
      <c r="BO68" s="31">
        <f t="shared" si="70"/>
        <v>14.542857142857143</v>
      </c>
      <c r="BP68" s="21">
        <f t="shared" si="218"/>
        <v>1284017.9428571428</v>
      </c>
      <c r="BQ68" s="3">
        <v>70210</v>
      </c>
      <c r="BR68" s="15"/>
      <c r="BS68" s="3">
        <f t="shared" si="219"/>
        <v>70210</v>
      </c>
      <c r="BT68" s="80">
        <f t="shared" si="194"/>
        <v>71</v>
      </c>
      <c r="BU68" s="31">
        <f t="shared" si="71"/>
        <v>5</v>
      </c>
      <c r="BV68" s="21">
        <f t="shared" si="220"/>
        <v>351050</v>
      </c>
      <c r="BW68" s="2">
        <v>0</v>
      </c>
      <c r="BX68" s="80">
        <f t="shared" si="195"/>
        <v>48</v>
      </c>
      <c r="BY68" s="31">
        <f t="shared" si="72"/>
        <v>15.208333333333334</v>
      </c>
      <c r="BZ68" s="22">
        <v>0</v>
      </c>
      <c r="CA68" s="2">
        <v>0</v>
      </c>
      <c r="CB68" s="2"/>
      <c r="CD68" s="22">
        <v>0</v>
      </c>
      <c r="CE68" s="3">
        <v>1459</v>
      </c>
      <c r="CF68" s="15"/>
      <c r="CG68" s="3">
        <f t="shared" si="221"/>
        <v>1459</v>
      </c>
      <c r="CH68" s="25">
        <f t="shared" si="222"/>
        <v>437.7</v>
      </c>
      <c r="CI68" s="3">
        <v>3550</v>
      </c>
      <c r="CJ68" s="15"/>
      <c r="CK68" s="3">
        <f t="shared" si="223"/>
        <v>3550</v>
      </c>
      <c r="CL68" s="134">
        <f t="shared" si="196"/>
        <v>37</v>
      </c>
      <c r="CM68" s="31">
        <f t="shared" si="74"/>
        <v>14.054054054054054</v>
      </c>
      <c r="CN68" s="21">
        <f t="shared" si="224"/>
        <v>49891.891891891893</v>
      </c>
      <c r="CO68" s="3">
        <v>44634</v>
      </c>
      <c r="CP68" s="3"/>
      <c r="CQ68" s="3"/>
      <c r="CR68" s="2">
        <f t="shared" si="231"/>
        <v>44634</v>
      </c>
      <c r="CS68" s="80">
        <f t="shared" si="197"/>
        <v>63</v>
      </c>
      <c r="CT68" s="31">
        <f t="shared" si="75"/>
        <v>10.968253968253968</v>
      </c>
      <c r="CU68" s="21">
        <f t="shared" si="225"/>
        <v>489557.04761904763</v>
      </c>
      <c r="CV68" s="2">
        <v>16778</v>
      </c>
      <c r="CW68" s="92">
        <f t="shared" si="198"/>
        <v>37</v>
      </c>
      <c r="CX68" s="31">
        <f t="shared" si="76"/>
        <v>14.054054054054054</v>
      </c>
      <c r="CY68" s="21">
        <f t="shared" si="226"/>
        <v>235798.91891891893</v>
      </c>
      <c r="CZ68" s="3">
        <v>153857</v>
      </c>
      <c r="DA68" s="80">
        <f t="shared" si="199"/>
        <v>57</v>
      </c>
      <c r="DB68" s="31">
        <f t="shared" si="77"/>
        <v>11.403508771929825</v>
      </c>
      <c r="DC68" s="21">
        <f t="shared" si="227"/>
        <v>1754509.6491228072</v>
      </c>
      <c r="DD68" s="3">
        <v>0</v>
      </c>
      <c r="DE68" s="3">
        <v>0</v>
      </c>
      <c r="DF68" s="15"/>
      <c r="DG68" s="3">
        <f t="shared" si="228"/>
        <v>0</v>
      </c>
      <c r="DH68" s="3">
        <f t="shared" si="229"/>
        <v>0</v>
      </c>
      <c r="DI68" s="136">
        <f t="shared" si="200"/>
        <v>55</v>
      </c>
      <c r="DJ68" s="41">
        <f t="shared" si="78"/>
        <v>15.781818181818181</v>
      </c>
      <c r="DK68" s="21">
        <f t="shared" si="230"/>
        <v>0</v>
      </c>
    </row>
    <row r="69" spans="1:115">
      <c r="A69" s="7">
        <v>1950</v>
      </c>
      <c r="B69" s="3">
        <v>53927</v>
      </c>
      <c r="C69" s="15"/>
      <c r="D69" s="3">
        <f t="shared" si="203"/>
        <v>53927</v>
      </c>
      <c r="E69" s="25">
        <f t="shared" si="204"/>
        <v>37748.899999999994</v>
      </c>
      <c r="F69" s="3">
        <v>0</v>
      </c>
      <c r="G69" s="15"/>
      <c r="H69" s="15">
        <f t="shared" si="205"/>
        <v>0</v>
      </c>
      <c r="I69" s="80">
        <f t="shared" si="181"/>
        <v>34</v>
      </c>
      <c r="J69" s="132">
        <f t="shared" si="59"/>
        <v>15.294117647058824</v>
      </c>
      <c r="K69" s="21">
        <f t="shared" si="206"/>
        <v>0</v>
      </c>
      <c r="L69" s="3">
        <v>85801</v>
      </c>
      <c r="M69" s="15"/>
      <c r="N69" s="15"/>
      <c r="O69" s="3">
        <f t="shared" si="201"/>
        <v>85801</v>
      </c>
      <c r="P69" s="80">
        <f t="shared" si="182"/>
        <v>33</v>
      </c>
      <c r="Q69" s="31">
        <f t="shared" si="60"/>
        <v>18.030303030303031</v>
      </c>
      <c r="R69" s="21">
        <f t="shared" si="207"/>
        <v>1547018.0303030303</v>
      </c>
      <c r="S69" s="3">
        <v>309331</v>
      </c>
      <c r="T69" s="15"/>
      <c r="U69" s="15"/>
      <c r="V69" s="3">
        <f t="shared" si="202"/>
        <v>309331</v>
      </c>
      <c r="W69" s="80">
        <f t="shared" si="183"/>
        <v>41</v>
      </c>
      <c r="X69" s="31">
        <f t="shared" si="61"/>
        <v>14.878048780487806</v>
      </c>
      <c r="Y69" s="21">
        <f t="shared" si="208"/>
        <v>4602241.7073170738</v>
      </c>
      <c r="Z69" s="3">
        <v>0</v>
      </c>
      <c r="AA69" s="80">
        <f t="shared" si="184"/>
        <v>37</v>
      </c>
      <c r="AB69" s="31">
        <f t="shared" si="62"/>
        <v>14.810810810810811</v>
      </c>
      <c r="AC69" s="21">
        <v>0</v>
      </c>
      <c r="AD69" s="3">
        <v>0</v>
      </c>
      <c r="AE69" s="80">
        <f t="shared" si="185"/>
        <v>49</v>
      </c>
      <c r="AF69" s="31">
        <f t="shared" si="63"/>
        <v>16.918367346938776</v>
      </c>
      <c r="AG69" s="21">
        <v>0</v>
      </c>
      <c r="AH69" s="3">
        <v>0</v>
      </c>
      <c r="AI69" s="15"/>
      <c r="AJ69" s="3">
        <f t="shared" si="209"/>
        <v>0</v>
      </c>
      <c r="AL69" s="31"/>
      <c r="AM69" s="21">
        <v>0</v>
      </c>
      <c r="AN69" s="3">
        <v>250372</v>
      </c>
      <c r="AO69" s="80">
        <f t="shared" si="187"/>
        <v>33</v>
      </c>
      <c r="AP69" s="31">
        <f t="shared" si="65"/>
        <v>17.212121212121211</v>
      </c>
      <c r="AQ69" s="21">
        <f t="shared" si="210"/>
        <v>4309433.2121212119</v>
      </c>
      <c r="AR69" s="3">
        <v>256859</v>
      </c>
      <c r="AS69" s="80">
        <f t="shared" si="188"/>
        <v>32</v>
      </c>
      <c r="AT69" s="31">
        <f t="shared" si="66"/>
        <v>21.375</v>
      </c>
      <c r="AU69" s="21">
        <f t="shared" si="211"/>
        <v>5490361.125</v>
      </c>
      <c r="AV69" s="3">
        <v>50729</v>
      </c>
      <c r="AW69" s="80">
        <f t="shared" si="189"/>
        <v>37</v>
      </c>
      <c r="AX69" s="31">
        <f t="shared" si="16"/>
        <v>14.216216216216216</v>
      </c>
      <c r="AY69" s="21">
        <f t="shared" si="212"/>
        <v>721174.43243243243</v>
      </c>
      <c r="AZ69" s="3">
        <v>39989</v>
      </c>
      <c r="BA69" s="80">
        <f t="shared" si="190"/>
        <v>52</v>
      </c>
      <c r="BB69" s="31">
        <f t="shared" si="19"/>
        <v>11.807692307692308</v>
      </c>
      <c r="BC69" s="21">
        <f t="shared" si="213"/>
        <v>472177.80769230775</v>
      </c>
      <c r="BD69" s="15">
        <v>353078</v>
      </c>
      <c r="BE69" s="3">
        <f t="shared" si="214"/>
        <v>290936.272</v>
      </c>
      <c r="BF69" s="80">
        <f t="shared" si="191"/>
        <v>91</v>
      </c>
      <c r="BG69" s="31">
        <f t="shared" si="68"/>
        <v>6.7252747252747254</v>
      </c>
      <c r="BH69" s="21">
        <f t="shared" si="215"/>
        <v>1956626.3567472529</v>
      </c>
      <c r="BI69" s="3">
        <f t="shared" si="216"/>
        <v>62141.727999999996</v>
      </c>
      <c r="BJ69" s="80">
        <f t="shared" si="192"/>
        <v>102</v>
      </c>
      <c r="BK69" s="31">
        <f t="shared" si="69"/>
        <v>6.3921568627450984</v>
      </c>
      <c r="BL69" s="21">
        <f t="shared" si="217"/>
        <v>397219.67309803923</v>
      </c>
      <c r="BM69" s="3">
        <v>57241</v>
      </c>
      <c r="BN69" s="80">
        <f t="shared" si="193"/>
        <v>31</v>
      </c>
      <c r="BO69" s="31">
        <f t="shared" si="70"/>
        <v>16.419354838709676</v>
      </c>
      <c r="BP69" s="21">
        <f t="shared" si="218"/>
        <v>939860.29032258061</v>
      </c>
      <c r="BQ69" s="3">
        <v>23235</v>
      </c>
      <c r="BR69" s="15"/>
      <c r="BS69" s="3">
        <f t="shared" si="219"/>
        <v>23235</v>
      </c>
      <c r="BT69" s="80">
        <f t="shared" si="194"/>
        <v>70</v>
      </c>
      <c r="BU69" s="31">
        <f t="shared" si="71"/>
        <v>5.0714285714285712</v>
      </c>
      <c r="BV69" s="21">
        <f t="shared" si="220"/>
        <v>117834.64285714286</v>
      </c>
      <c r="BW69" s="2">
        <v>0</v>
      </c>
      <c r="BX69" s="80">
        <f t="shared" si="195"/>
        <v>43</v>
      </c>
      <c r="BY69" s="31">
        <f t="shared" si="72"/>
        <v>16.976744186046513</v>
      </c>
      <c r="BZ69" s="22">
        <v>0</v>
      </c>
      <c r="CA69" s="2">
        <v>0</v>
      </c>
      <c r="CB69" s="2"/>
      <c r="CD69" s="22">
        <v>0</v>
      </c>
      <c r="CE69" s="3">
        <v>53927</v>
      </c>
      <c r="CF69" s="15"/>
      <c r="CG69" s="3">
        <f t="shared" si="221"/>
        <v>53927</v>
      </c>
      <c r="CH69" s="25">
        <f t="shared" si="222"/>
        <v>16178.099999999999</v>
      </c>
      <c r="CI69" s="3">
        <v>10345</v>
      </c>
      <c r="CJ69" s="15"/>
      <c r="CK69" s="3">
        <f t="shared" si="223"/>
        <v>10345</v>
      </c>
      <c r="CL69" s="134">
        <f t="shared" si="196"/>
        <v>34</v>
      </c>
      <c r="CM69" s="31">
        <f t="shared" si="74"/>
        <v>15.294117647058824</v>
      </c>
      <c r="CN69" s="21">
        <f t="shared" si="224"/>
        <v>158217.64705882352</v>
      </c>
      <c r="CO69" s="3">
        <v>198788</v>
      </c>
      <c r="CP69" s="3"/>
      <c r="CQ69" s="3"/>
      <c r="CR69" s="2">
        <f t="shared" si="231"/>
        <v>198788</v>
      </c>
      <c r="CS69" s="80">
        <f t="shared" si="197"/>
        <v>56</v>
      </c>
      <c r="CT69" s="31">
        <f t="shared" si="75"/>
        <v>12.339285714285714</v>
      </c>
      <c r="CU69" s="21">
        <f t="shared" si="225"/>
        <v>2452901.9285714286</v>
      </c>
      <c r="CV69" s="2">
        <v>0</v>
      </c>
      <c r="CW69" s="92">
        <f t="shared" si="198"/>
        <v>34</v>
      </c>
      <c r="CX69" s="31">
        <f t="shared" si="76"/>
        <v>15.294117647058824</v>
      </c>
      <c r="CY69" s="21">
        <f t="shared" si="226"/>
        <v>0</v>
      </c>
      <c r="CZ69" s="3">
        <v>619530</v>
      </c>
      <c r="DA69" s="80">
        <f t="shared" si="199"/>
        <v>50</v>
      </c>
      <c r="DB69" s="31">
        <f t="shared" si="77"/>
        <v>13</v>
      </c>
      <c r="DC69" s="21">
        <f t="shared" si="227"/>
        <v>8053890</v>
      </c>
      <c r="DD69" s="3">
        <v>0</v>
      </c>
      <c r="DE69" s="3">
        <v>0</v>
      </c>
      <c r="DF69" s="15"/>
      <c r="DG69" s="3">
        <f t="shared" si="228"/>
        <v>0</v>
      </c>
      <c r="DH69" s="3">
        <f t="shared" si="229"/>
        <v>0</v>
      </c>
      <c r="DI69" s="136">
        <f t="shared" si="200"/>
        <v>47</v>
      </c>
      <c r="DJ69" s="41">
        <f t="shared" si="78"/>
        <v>18.468085106382979</v>
      </c>
      <c r="DK69" s="21">
        <f t="shared" si="230"/>
        <v>0</v>
      </c>
    </row>
    <row r="70" spans="1:115">
      <c r="A70" s="7">
        <v>1949</v>
      </c>
      <c r="B70" s="3">
        <v>1780</v>
      </c>
      <c r="C70" s="15"/>
      <c r="D70" s="3">
        <f t="shared" si="203"/>
        <v>1780</v>
      </c>
      <c r="E70" s="25">
        <f t="shared" si="204"/>
        <v>1246</v>
      </c>
      <c r="F70" s="3">
        <v>0</v>
      </c>
      <c r="G70" s="15"/>
      <c r="H70" s="15">
        <f t="shared" si="205"/>
        <v>0</v>
      </c>
      <c r="I70" s="80">
        <f t="shared" si="181"/>
        <v>32</v>
      </c>
      <c r="J70" s="132">
        <f t="shared" si="59"/>
        <v>16.25</v>
      </c>
      <c r="K70" s="21">
        <f t="shared" si="206"/>
        <v>0</v>
      </c>
      <c r="L70" s="3">
        <v>0</v>
      </c>
      <c r="M70" s="15"/>
      <c r="N70" s="15"/>
      <c r="O70" s="3">
        <f t="shared" si="201"/>
        <v>0</v>
      </c>
      <c r="P70" s="80">
        <f t="shared" si="182"/>
        <v>32</v>
      </c>
      <c r="Q70" s="31">
        <f t="shared" si="60"/>
        <v>18.59375</v>
      </c>
      <c r="R70" s="21">
        <f t="shared" si="207"/>
        <v>0</v>
      </c>
      <c r="S70" s="3">
        <v>17115</v>
      </c>
      <c r="T70" s="15"/>
      <c r="U70" s="15"/>
      <c r="V70" s="3">
        <f t="shared" si="202"/>
        <v>17115</v>
      </c>
      <c r="W70" s="80">
        <f t="shared" si="183"/>
        <v>39</v>
      </c>
      <c r="X70" s="31">
        <f t="shared" si="61"/>
        <v>15.641025641025641</v>
      </c>
      <c r="Y70" s="21">
        <f t="shared" si="208"/>
        <v>267696.15384615381</v>
      </c>
      <c r="Z70" s="3">
        <v>0</v>
      </c>
      <c r="AA70" s="80">
        <f t="shared" si="184"/>
        <v>35</v>
      </c>
      <c r="AB70" s="31">
        <f t="shared" si="62"/>
        <v>15.657142857142857</v>
      </c>
      <c r="AC70" s="21">
        <v>0</v>
      </c>
      <c r="AD70" s="3">
        <v>0</v>
      </c>
      <c r="AE70" s="80">
        <f t="shared" si="185"/>
        <v>46</v>
      </c>
      <c r="AF70" s="31">
        <f t="shared" si="63"/>
        <v>18.021739130434781</v>
      </c>
      <c r="AG70" s="21">
        <v>0</v>
      </c>
      <c r="AH70" s="3">
        <v>0</v>
      </c>
      <c r="AI70" s="15"/>
      <c r="AJ70" s="3">
        <f t="shared" si="209"/>
        <v>0</v>
      </c>
      <c r="AL70" s="31"/>
      <c r="AM70" s="21">
        <v>0</v>
      </c>
      <c r="AN70" s="3">
        <v>317882</v>
      </c>
      <c r="AO70" s="80">
        <f t="shared" si="187"/>
        <v>32</v>
      </c>
      <c r="AP70" s="31">
        <f t="shared" si="65"/>
        <v>17.75</v>
      </c>
      <c r="AQ70" s="21">
        <f t="shared" si="210"/>
        <v>5642405.5</v>
      </c>
      <c r="AR70" s="3">
        <v>379555</v>
      </c>
      <c r="AS70" s="80">
        <f t="shared" si="188"/>
        <v>30</v>
      </c>
      <c r="AT70" s="31">
        <f t="shared" si="66"/>
        <v>22.8</v>
      </c>
      <c r="AU70" s="21">
        <f t="shared" si="211"/>
        <v>8653854</v>
      </c>
      <c r="AV70" s="3">
        <v>15916</v>
      </c>
      <c r="AW70" s="80">
        <f t="shared" si="189"/>
        <v>36</v>
      </c>
      <c r="AX70" s="31">
        <f t="shared" si="16"/>
        <v>14.611111111111111</v>
      </c>
      <c r="AY70" s="21">
        <f t="shared" si="212"/>
        <v>232550.44444444444</v>
      </c>
      <c r="AZ70" s="3">
        <v>12557</v>
      </c>
      <c r="BA70" s="80">
        <f t="shared" si="190"/>
        <v>49</v>
      </c>
      <c r="BB70" s="31">
        <f t="shared" si="19"/>
        <v>12.530612244897959</v>
      </c>
      <c r="BC70" s="21">
        <f t="shared" si="213"/>
        <v>157346.89795918367</v>
      </c>
      <c r="BD70" s="15">
        <v>155291</v>
      </c>
      <c r="BE70" s="3">
        <f t="shared" si="214"/>
        <v>127959.784</v>
      </c>
      <c r="BF70" s="80">
        <f t="shared" si="191"/>
        <v>87</v>
      </c>
      <c r="BG70" s="31">
        <f t="shared" si="68"/>
        <v>7.0344827586206895</v>
      </c>
      <c r="BH70" s="21">
        <f t="shared" si="215"/>
        <v>900130.89434482751</v>
      </c>
      <c r="BI70" s="3">
        <f t="shared" si="216"/>
        <v>27331.215999999997</v>
      </c>
      <c r="BJ70" s="80">
        <f t="shared" si="192"/>
        <v>102</v>
      </c>
      <c r="BK70" s="31">
        <f t="shared" si="69"/>
        <v>6.3921568627450984</v>
      </c>
      <c r="BL70" s="21">
        <f t="shared" si="217"/>
        <v>174705.41992156862</v>
      </c>
      <c r="BM70" s="3">
        <v>80114</v>
      </c>
      <c r="BN70" s="80">
        <f t="shared" si="193"/>
        <v>29</v>
      </c>
      <c r="BO70" s="31">
        <f t="shared" si="70"/>
        <v>17.551724137931036</v>
      </c>
      <c r="BP70" s="21">
        <f t="shared" si="218"/>
        <v>1406138.8275862071</v>
      </c>
      <c r="BQ70" s="3">
        <v>13158</v>
      </c>
      <c r="BR70" s="15"/>
      <c r="BS70" s="3">
        <f t="shared" si="219"/>
        <v>13158</v>
      </c>
      <c r="BT70" s="80">
        <f t="shared" si="194"/>
        <v>70</v>
      </c>
      <c r="BU70" s="31">
        <f t="shared" si="71"/>
        <v>5.0714285714285712</v>
      </c>
      <c r="BV70" s="21">
        <f t="shared" si="220"/>
        <v>66729.857142857145</v>
      </c>
      <c r="BW70" s="2">
        <v>0</v>
      </c>
      <c r="BX70" s="80">
        <f t="shared" si="195"/>
        <v>41</v>
      </c>
      <c r="BY70" s="31">
        <f t="shared" si="72"/>
        <v>17.804878048780488</v>
      </c>
      <c r="BZ70" s="22">
        <v>0</v>
      </c>
      <c r="CA70" s="2">
        <v>0</v>
      </c>
      <c r="CB70" s="2"/>
      <c r="CD70" s="22">
        <v>0</v>
      </c>
      <c r="CE70" s="3">
        <v>1780</v>
      </c>
      <c r="CF70" s="15"/>
      <c r="CG70" s="3">
        <f t="shared" si="221"/>
        <v>1780</v>
      </c>
      <c r="CH70" s="25">
        <f t="shared" si="222"/>
        <v>534</v>
      </c>
      <c r="CI70" s="3">
        <v>4293</v>
      </c>
      <c r="CJ70" s="15"/>
      <c r="CK70" s="3">
        <f t="shared" si="223"/>
        <v>4293</v>
      </c>
      <c r="CL70" s="134">
        <f t="shared" si="196"/>
        <v>32</v>
      </c>
      <c r="CM70" s="31">
        <f t="shared" si="74"/>
        <v>16.25</v>
      </c>
      <c r="CN70" s="21">
        <f t="shared" si="224"/>
        <v>69761.25</v>
      </c>
      <c r="CO70" s="3">
        <v>0</v>
      </c>
      <c r="CP70" s="3"/>
      <c r="CQ70" s="3"/>
      <c r="CR70" s="2">
        <f t="shared" si="231"/>
        <v>0</v>
      </c>
      <c r="CS70" s="80">
        <f t="shared" si="197"/>
        <v>52</v>
      </c>
      <c r="CT70" s="31">
        <f t="shared" si="75"/>
        <v>13.288461538461538</v>
      </c>
      <c r="CU70" s="21">
        <f t="shared" si="225"/>
        <v>0</v>
      </c>
      <c r="CV70" s="2">
        <v>9342</v>
      </c>
      <c r="CW70" s="92">
        <f t="shared" si="198"/>
        <v>32</v>
      </c>
      <c r="CX70" s="31">
        <f t="shared" si="76"/>
        <v>16.25</v>
      </c>
      <c r="CY70" s="21">
        <f t="shared" si="226"/>
        <v>151807.5</v>
      </c>
      <c r="CZ70" s="3">
        <v>461632</v>
      </c>
      <c r="DA70" s="80">
        <f t="shared" si="199"/>
        <v>48</v>
      </c>
      <c r="DB70" s="31">
        <f t="shared" si="77"/>
        <v>13.541666666666666</v>
      </c>
      <c r="DC70" s="21">
        <f t="shared" si="227"/>
        <v>6251266.666666666</v>
      </c>
      <c r="DD70" s="3">
        <v>0</v>
      </c>
      <c r="DE70" s="3">
        <v>0</v>
      </c>
      <c r="DF70" s="15"/>
      <c r="DG70" s="3">
        <f t="shared" si="228"/>
        <v>0</v>
      </c>
      <c r="DH70" s="3">
        <f t="shared" si="229"/>
        <v>0</v>
      </c>
      <c r="DI70" s="136">
        <f t="shared" si="200"/>
        <v>44</v>
      </c>
      <c r="DJ70" s="41">
        <f t="shared" si="78"/>
        <v>19.727272727272727</v>
      </c>
      <c r="DK70" s="21">
        <f t="shared" si="230"/>
        <v>0</v>
      </c>
    </row>
    <row r="71" spans="1:115">
      <c r="A71" s="7">
        <v>1948</v>
      </c>
      <c r="B71" s="3">
        <v>13475</v>
      </c>
      <c r="C71" s="15"/>
      <c r="D71" s="3">
        <f t="shared" si="203"/>
        <v>13475</v>
      </c>
      <c r="E71" s="25">
        <f t="shared" si="204"/>
        <v>9432.5</v>
      </c>
      <c r="F71" s="3">
        <v>0</v>
      </c>
      <c r="G71" s="15"/>
      <c r="H71" s="15">
        <f t="shared" si="205"/>
        <v>0</v>
      </c>
      <c r="I71" s="80">
        <f t="shared" si="181"/>
        <v>31</v>
      </c>
      <c r="J71" s="132">
        <f t="shared" si="59"/>
        <v>16.774193548387096</v>
      </c>
      <c r="K71" s="21">
        <f t="shared" si="206"/>
        <v>0</v>
      </c>
      <c r="L71" s="3">
        <v>0</v>
      </c>
      <c r="M71" s="15"/>
      <c r="N71" s="15"/>
      <c r="O71" s="3">
        <f t="shared" si="201"/>
        <v>0</v>
      </c>
      <c r="P71" s="80">
        <f t="shared" si="182"/>
        <v>32</v>
      </c>
      <c r="Q71" s="31">
        <f t="shared" si="60"/>
        <v>18.59375</v>
      </c>
      <c r="R71" s="21">
        <f t="shared" si="207"/>
        <v>0</v>
      </c>
      <c r="S71" s="3">
        <v>8532</v>
      </c>
      <c r="T71" s="15"/>
      <c r="U71" s="15"/>
      <c r="V71" s="3">
        <f t="shared" si="202"/>
        <v>8532</v>
      </c>
      <c r="W71" s="80">
        <f t="shared" si="183"/>
        <v>39</v>
      </c>
      <c r="X71" s="31">
        <f t="shared" si="61"/>
        <v>15.641025641025641</v>
      </c>
      <c r="Y71" s="21">
        <f t="shared" si="208"/>
        <v>133449.23076923075</v>
      </c>
      <c r="Z71" s="3">
        <v>0</v>
      </c>
      <c r="AA71" s="80">
        <f t="shared" si="184"/>
        <v>35</v>
      </c>
      <c r="AB71" s="31">
        <f t="shared" si="62"/>
        <v>15.657142857142857</v>
      </c>
      <c r="AC71" s="21">
        <v>0</v>
      </c>
      <c r="AD71" s="3">
        <v>0</v>
      </c>
      <c r="AE71" s="80">
        <f t="shared" si="185"/>
        <v>42</v>
      </c>
      <c r="AF71" s="31">
        <f t="shared" si="63"/>
        <v>19.738095238095237</v>
      </c>
      <c r="AG71" s="21">
        <v>0</v>
      </c>
      <c r="AH71" s="3">
        <v>0</v>
      </c>
      <c r="AI71" s="15"/>
      <c r="AJ71" s="3">
        <f t="shared" si="209"/>
        <v>0</v>
      </c>
      <c r="AL71" s="31"/>
      <c r="AM71" s="21">
        <v>0</v>
      </c>
      <c r="AN71" s="3">
        <v>180901</v>
      </c>
      <c r="AO71" s="80">
        <f t="shared" si="187"/>
        <v>32</v>
      </c>
      <c r="AP71" s="31">
        <f t="shared" si="65"/>
        <v>17.75</v>
      </c>
      <c r="AQ71" s="21">
        <f t="shared" si="210"/>
        <v>3210992.75</v>
      </c>
      <c r="AR71" s="3">
        <v>297160</v>
      </c>
      <c r="AS71" s="80">
        <f t="shared" si="188"/>
        <v>30</v>
      </c>
      <c r="AT71" s="31">
        <f t="shared" si="66"/>
        <v>22.8</v>
      </c>
      <c r="AU71" s="21">
        <f t="shared" si="211"/>
        <v>6775248</v>
      </c>
      <c r="AV71" s="3">
        <v>25118</v>
      </c>
      <c r="AW71" s="80">
        <f t="shared" si="189"/>
        <v>34</v>
      </c>
      <c r="AX71" s="31">
        <f t="shared" si="16"/>
        <v>15.470588235294118</v>
      </c>
      <c r="AY71" s="21">
        <f t="shared" si="212"/>
        <v>388590.23529411765</v>
      </c>
      <c r="AZ71" s="3">
        <v>0</v>
      </c>
      <c r="BA71" s="80">
        <f t="shared" si="190"/>
        <v>44</v>
      </c>
      <c r="BB71" s="31">
        <f t="shared" si="19"/>
        <v>13.954545454545455</v>
      </c>
      <c r="BC71" s="21">
        <f t="shared" si="213"/>
        <v>0</v>
      </c>
      <c r="BD71" s="15">
        <v>328139</v>
      </c>
      <c r="BE71" s="3">
        <f t="shared" si="214"/>
        <v>270386.53599999996</v>
      </c>
      <c r="BF71" s="80">
        <f t="shared" si="191"/>
        <v>84</v>
      </c>
      <c r="BG71" s="31">
        <f t="shared" si="68"/>
        <v>7.2857142857142856</v>
      </c>
      <c r="BH71" s="21">
        <f t="shared" si="215"/>
        <v>1969959.0479999997</v>
      </c>
      <c r="BI71" s="3">
        <f t="shared" si="216"/>
        <v>57752.464</v>
      </c>
      <c r="BJ71" s="80">
        <f t="shared" si="192"/>
        <v>102</v>
      </c>
      <c r="BK71" s="31">
        <f t="shared" si="69"/>
        <v>6.3921568627450984</v>
      </c>
      <c r="BL71" s="21">
        <f t="shared" si="217"/>
        <v>369162.80909803923</v>
      </c>
      <c r="BM71" s="3">
        <v>71027</v>
      </c>
      <c r="BN71" s="80">
        <f t="shared" si="193"/>
        <v>29</v>
      </c>
      <c r="BO71" s="31">
        <f t="shared" si="70"/>
        <v>17.551724137931036</v>
      </c>
      <c r="BP71" s="21">
        <f t="shared" si="218"/>
        <v>1246646.3103448276</v>
      </c>
      <c r="BQ71" s="3">
        <v>52503</v>
      </c>
      <c r="BR71" s="15"/>
      <c r="BS71" s="3">
        <f t="shared" si="219"/>
        <v>52503</v>
      </c>
      <c r="BT71" s="80">
        <f t="shared" si="194"/>
        <v>65</v>
      </c>
      <c r="BU71" s="31">
        <f t="shared" si="71"/>
        <v>5.4615384615384617</v>
      </c>
      <c r="BV71" s="21">
        <f t="shared" si="220"/>
        <v>286747.15384615387</v>
      </c>
      <c r="BW71" s="2">
        <v>0</v>
      </c>
      <c r="BX71" s="80">
        <f t="shared" si="195"/>
        <v>38</v>
      </c>
      <c r="BY71" s="31">
        <f t="shared" si="72"/>
        <v>19.210526315789473</v>
      </c>
      <c r="BZ71" s="22">
        <v>0</v>
      </c>
      <c r="CA71" s="2">
        <v>0</v>
      </c>
      <c r="CB71" s="2"/>
      <c r="CD71" s="22">
        <v>0</v>
      </c>
      <c r="CE71" s="3">
        <v>13475</v>
      </c>
      <c r="CF71" s="15"/>
      <c r="CG71" s="3">
        <f t="shared" si="221"/>
        <v>13475</v>
      </c>
      <c r="CH71" s="25">
        <f t="shared" si="222"/>
        <v>4042.5</v>
      </c>
      <c r="CI71" s="3">
        <v>40042</v>
      </c>
      <c r="CJ71" s="15"/>
      <c r="CK71" s="3">
        <f t="shared" si="223"/>
        <v>40042</v>
      </c>
      <c r="CL71" s="134">
        <f t="shared" si="196"/>
        <v>31</v>
      </c>
      <c r="CM71" s="31">
        <f t="shared" si="74"/>
        <v>16.774193548387096</v>
      </c>
      <c r="CN71" s="21">
        <f t="shared" si="224"/>
        <v>671672.25806451612</v>
      </c>
      <c r="CO71" s="3">
        <v>18785</v>
      </c>
      <c r="CP71" s="3"/>
      <c r="CQ71" s="3"/>
      <c r="CR71" s="2">
        <f t="shared" si="231"/>
        <v>18785</v>
      </c>
      <c r="CS71" s="80">
        <f t="shared" si="197"/>
        <v>49</v>
      </c>
      <c r="CT71" s="31">
        <f t="shared" si="75"/>
        <v>14.102040816326531</v>
      </c>
      <c r="CU71" s="21">
        <f t="shared" si="225"/>
        <v>264906.83673469385</v>
      </c>
      <c r="CV71" s="2">
        <v>16160</v>
      </c>
      <c r="CW71" s="92">
        <f t="shared" si="198"/>
        <v>31</v>
      </c>
      <c r="CX71" s="31">
        <f t="shared" si="76"/>
        <v>16.774193548387096</v>
      </c>
      <c r="CY71" s="21">
        <f t="shared" si="226"/>
        <v>271070.96774193546</v>
      </c>
      <c r="CZ71" s="3">
        <v>176818</v>
      </c>
      <c r="DA71" s="80">
        <f t="shared" si="199"/>
        <v>46</v>
      </c>
      <c r="DB71" s="31">
        <f t="shared" si="77"/>
        <v>14.130434782608695</v>
      </c>
      <c r="DC71" s="21">
        <f t="shared" si="227"/>
        <v>2498515.2173913042</v>
      </c>
      <c r="DD71" s="3">
        <v>0</v>
      </c>
      <c r="DE71" s="3">
        <v>0</v>
      </c>
      <c r="DF71" s="15"/>
      <c r="DG71" s="3">
        <f t="shared" si="228"/>
        <v>0</v>
      </c>
      <c r="DH71" s="3">
        <f t="shared" si="229"/>
        <v>0</v>
      </c>
      <c r="DI71" s="136">
        <f t="shared" si="200"/>
        <v>43</v>
      </c>
      <c r="DJ71" s="41">
        <f t="shared" si="78"/>
        <v>20.186046511627907</v>
      </c>
      <c r="DK71" s="21">
        <f t="shared" si="230"/>
        <v>0</v>
      </c>
    </row>
    <row r="72" spans="1:115">
      <c r="A72" s="7">
        <v>1947</v>
      </c>
      <c r="B72" s="3">
        <v>26517</v>
      </c>
      <c r="C72" s="15"/>
      <c r="D72" s="3">
        <f t="shared" si="203"/>
        <v>26517</v>
      </c>
      <c r="E72" s="25">
        <f t="shared" si="204"/>
        <v>18561.899999999998</v>
      </c>
      <c r="F72" s="3">
        <v>0</v>
      </c>
      <c r="G72" s="15"/>
      <c r="H72" s="15">
        <f t="shared" si="205"/>
        <v>0</v>
      </c>
      <c r="I72" s="80">
        <f t="shared" si="181"/>
        <v>28</v>
      </c>
      <c r="J72" s="132">
        <f t="shared" si="59"/>
        <v>18.571428571428573</v>
      </c>
      <c r="K72" s="21">
        <f t="shared" si="206"/>
        <v>0</v>
      </c>
      <c r="L72" s="3">
        <v>48179</v>
      </c>
      <c r="M72" s="15"/>
      <c r="N72" s="15"/>
      <c r="O72" s="3">
        <f t="shared" si="201"/>
        <v>48179</v>
      </c>
      <c r="P72" s="80">
        <f t="shared" si="182"/>
        <v>29</v>
      </c>
      <c r="Q72" s="31">
        <f t="shared" si="60"/>
        <v>20.517241379310345</v>
      </c>
      <c r="R72" s="21">
        <f t="shared" si="207"/>
        <v>988500.17241379316</v>
      </c>
      <c r="S72" s="3">
        <v>169470</v>
      </c>
      <c r="T72" s="15"/>
      <c r="U72" s="15"/>
      <c r="V72" s="3">
        <f t="shared" si="202"/>
        <v>169470</v>
      </c>
      <c r="W72" s="80">
        <f t="shared" si="183"/>
        <v>35</v>
      </c>
      <c r="X72" s="31">
        <f t="shared" si="61"/>
        <v>17.428571428571427</v>
      </c>
      <c r="Y72" s="21">
        <f t="shared" si="208"/>
        <v>2953619.9999999995</v>
      </c>
      <c r="Z72" s="3">
        <v>0</v>
      </c>
      <c r="AA72" s="80">
        <f t="shared" si="184"/>
        <v>31</v>
      </c>
      <c r="AB72" s="31">
        <f t="shared" si="62"/>
        <v>17.677419354838708</v>
      </c>
      <c r="AC72" s="21">
        <v>0</v>
      </c>
      <c r="AD72" s="3">
        <v>0</v>
      </c>
      <c r="AE72" s="80">
        <f t="shared" si="185"/>
        <v>35</v>
      </c>
      <c r="AF72" s="31">
        <f t="shared" si="63"/>
        <v>23.685714285714287</v>
      </c>
      <c r="AG72" s="21">
        <v>0</v>
      </c>
      <c r="AH72" s="3">
        <v>0</v>
      </c>
      <c r="AI72" s="15"/>
      <c r="AJ72" s="3">
        <f t="shared" si="209"/>
        <v>0</v>
      </c>
      <c r="AL72" s="31"/>
      <c r="AM72" s="21">
        <v>0</v>
      </c>
      <c r="AN72" s="3">
        <v>208340</v>
      </c>
      <c r="AO72" s="80">
        <f t="shared" si="187"/>
        <v>29</v>
      </c>
      <c r="AP72" s="31">
        <f t="shared" si="65"/>
        <v>19.586206896551722</v>
      </c>
      <c r="AQ72" s="21">
        <f t="shared" si="210"/>
        <v>4080590.3448275859</v>
      </c>
      <c r="AR72" s="3">
        <v>225863</v>
      </c>
      <c r="AS72" s="80">
        <f t="shared" si="188"/>
        <v>28</v>
      </c>
      <c r="AT72" s="31">
        <f t="shared" si="66"/>
        <v>24.428571428571427</v>
      </c>
      <c r="AU72" s="21">
        <f t="shared" si="211"/>
        <v>5517510.4285714282</v>
      </c>
      <c r="AV72" s="3">
        <v>7848</v>
      </c>
      <c r="AW72" s="80">
        <f t="shared" si="189"/>
        <v>31</v>
      </c>
      <c r="AX72" s="31">
        <f t="shared" si="16"/>
        <v>16.967741935483872</v>
      </c>
      <c r="AY72" s="21">
        <f t="shared" si="212"/>
        <v>133162.83870967742</v>
      </c>
      <c r="AZ72" s="3">
        <v>0</v>
      </c>
      <c r="BA72" s="80">
        <f t="shared" si="190"/>
        <v>37</v>
      </c>
      <c r="BB72" s="31">
        <f t="shared" si="19"/>
        <v>16.594594594594593</v>
      </c>
      <c r="BC72" s="21">
        <f t="shared" si="213"/>
        <v>0</v>
      </c>
      <c r="BD72" s="15">
        <v>453440</v>
      </c>
      <c r="BE72" s="3">
        <f t="shared" si="214"/>
        <v>373634.56</v>
      </c>
      <c r="BF72" s="80">
        <f t="shared" si="191"/>
        <v>82</v>
      </c>
      <c r="BG72" s="31">
        <f t="shared" si="68"/>
        <v>7.4634146341463419</v>
      </c>
      <c r="BH72" s="21">
        <f t="shared" si="215"/>
        <v>2788589.6429268294</v>
      </c>
      <c r="BI72" s="3">
        <f t="shared" si="216"/>
        <v>79805.440000000002</v>
      </c>
      <c r="BJ72" s="80">
        <f t="shared" si="192"/>
        <v>102</v>
      </c>
      <c r="BK72" s="31">
        <f t="shared" si="69"/>
        <v>6.3921568627450984</v>
      </c>
      <c r="BL72" s="21">
        <f t="shared" si="217"/>
        <v>510128.89098039223</v>
      </c>
      <c r="BM72" s="3">
        <v>97533</v>
      </c>
      <c r="BN72" s="80">
        <f t="shared" si="193"/>
        <v>26</v>
      </c>
      <c r="BO72" s="31">
        <f t="shared" si="70"/>
        <v>19.576923076923077</v>
      </c>
      <c r="BP72" s="21">
        <f t="shared" si="218"/>
        <v>1909396.0384615385</v>
      </c>
      <c r="BQ72" s="3">
        <v>13359</v>
      </c>
      <c r="BR72" s="15"/>
      <c r="BS72" s="3">
        <f t="shared" si="219"/>
        <v>13359</v>
      </c>
      <c r="BT72" s="80">
        <f t="shared" si="194"/>
        <v>61</v>
      </c>
      <c r="BU72" s="31">
        <f t="shared" si="71"/>
        <v>5.8196721311475406</v>
      </c>
      <c r="BV72" s="21">
        <f t="shared" si="220"/>
        <v>77745</v>
      </c>
      <c r="BW72" s="2">
        <v>0</v>
      </c>
      <c r="BX72" s="80">
        <f t="shared" si="195"/>
        <v>34</v>
      </c>
      <c r="BY72" s="31">
        <f t="shared" si="72"/>
        <v>21.470588235294116</v>
      </c>
      <c r="BZ72" s="22">
        <v>0</v>
      </c>
      <c r="CA72" s="2">
        <v>0</v>
      </c>
      <c r="CB72" s="2"/>
      <c r="CD72" s="22">
        <v>0</v>
      </c>
      <c r="CE72" s="3">
        <v>26517</v>
      </c>
      <c r="CF72" s="15"/>
      <c r="CG72" s="3">
        <f t="shared" si="221"/>
        <v>26517</v>
      </c>
      <c r="CH72" s="25">
        <f t="shared" si="222"/>
        <v>7955.0999999999995</v>
      </c>
      <c r="CI72" s="3">
        <v>191</v>
      </c>
      <c r="CJ72" s="15"/>
      <c r="CK72" s="3">
        <f t="shared" si="223"/>
        <v>191</v>
      </c>
      <c r="CL72" s="134">
        <f t="shared" si="196"/>
        <v>28</v>
      </c>
      <c r="CM72" s="31">
        <f t="shared" si="74"/>
        <v>18.571428571428573</v>
      </c>
      <c r="CN72" s="21">
        <f t="shared" si="224"/>
        <v>3547.1428571428573</v>
      </c>
      <c r="CO72" s="3">
        <f t="shared" ref="CO72:CO113" si="233">SUM(CO159)</f>
        <v>0</v>
      </c>
      <c r="CP72" s="3"/>
      <c r="CQ72" s="3"/>
      <c r="CR72" s="2">
        <f t="shared" si="231"/>
        <v>0</v>
      </c>
      <c r="CS72" s="80">
        <f t="shared" si="197"/>
        <v>47</v>
      </c>
      <c r="CT72" s="31">
        <f t="shared" si="75"/>
        <v>14.702127659574469</v>
      </c>
      <c r="CU72" s="21">
        <f t="shared" si="225"/>
        <v>0</v>
      </c>
      <c r="CV72" s="3">
        <v>1465</v>
      </c>
      <c r="CW72" s="92">
        <f t="shared" si="198"/>
        <v>28</v>
      </c>
      <c r="CX72" s="31">
        <f t="shared" si="76"/>
        <v>18.571428571428573</v>
      </c>
      <c r="CY72" s="21">
        <f t="shared" si="226"/>
        <v>27207.142857142859</v>
      </c>
      <c r="CZ72" s="3">
        <v>0</v>
      </c>
      <c r="DA72" s="80">
        <f t="shared" si="199"/>
        <v>42</v>
      </c>
      <c r="DB72" s="31">
        <f t="shared" si="77"/>
        <v>15.476190476190476</v>
      </c>
      <c r="DC72" s="21">
        <f t="shared" si="227"/>
        <v>0</v>
      </c>
      <c r="DD72" s="3">
        <v>0</v>
      </c>
      <c r="DE72" s="3">
        <v>0</v>
      </c>
      <c r="DF72" s="15"/>
      <c r="DG72" s="3">
        <f t="shared" si="228"/>
        <v>0</v>
      </c>
      <c r="DH72" s="3">
        <f t="shared" si="229"/>
        <v>0</v>
      </c>
      <c r="DI72" s="136">
        <f t="shared" si="200"/>
        <v>40</v>
      </c>
      <c r="DJ72" s="41">
        <f t="shared" si="78"/>
        <v>21.7</v>
      </c>
      <c r="DK72" s="21">
        <f t="shared" si="230"/>
        <v>0</v>
      </c>
    </row>
    <row r="73" spans="1:115">
      <c r="A73" s="7">
        <v>1946</v>
      </c>
      <c r="B73" s="3">
        <v>0</v>
      </c>
      <c r="C73" s="15"/>
      <c r="D73" s="3">
        <f t="shared" si="203"/>
        <v>0</v>
      </c>
      <c r="E73" s="25">
        <f t="shared" si="204"/>
        <v>0</v>
      </c>
      <c r="F73" s="3">
        <v>0</v>
      </c>
      <c r="G73" s="15"/>
      <c r="H73" s="15">
        <f t="shared" si="205"/>
        <v>0</v>
      </c>
      <c r="I73" s="80">
        <f t="shared" ref="I73:I109" si="234">INDEX(HW_Data,MATCH(A73,HW_Year,0),$I$1)</f>
        <v>24</v>
      </c>
      <c r="J73" s="132">
        <f t="shared" si="59"/>
        <v>21.666666666666668</v>
      </c>
      <c r="K73" s="21">
        <f t="shared" si="206"/>
        <v>0</v>
      </c>
      <c r="L73" s="3">
        <v>49591</v>
      </c>
      <c r="M73" s="15"/>
      <c r="N73" s="15"/>
      <c r="O73" s="3">
        <f t="shared" si="201"/>
        <v>49591</v>
      </c>
      <c r="P73" s="80">
        <f t="shared" ref="P73:P107" si="235">INDEX(HW_Data,MATCH(A73,HW_Year,0),$P$1)</f>
        <v>24</v>
      </c>
      <c r="Q73" s="31">
        <f t="shared" si="60"/>
        <v>24.791666666666668</v>
      </c>
      <c r="R73" s="21">
        <f t="shared" si="207"/>
        <v>1229443.5416666667</v>
      </c>
      <c r="S73" s="3">
        <v>47759</v>
      </c>
      <c r="T73" s="15"/>
      <c r="U73" s="15"/>
      <c r="V73" s="3">
        <f t="shared" si="202"/>
        <v>47759</v>
      </c>
      <c r="W73" s="80">
        <f t="shared" ref="W73:W107" si="236">INDEX(HW_Data,MATCH(A73,HW_Year,0),$W$1)</f>
        <v>30</v>
      </c>
      <c r="X73" s="31">
        <f t="shared" si="61"/>
        <v>20.333333333333332</v>
      </c>
      <c r="Y73" s="21">
        <f t="shared" si="208"/>
        <v>971099.66666666663</v>
      </c>
      <c r="Z73" s="3">
        <v>0</v>
      </c>
      <c r="AA73" s="80">
        <f t="shared" ref="AA73:AA107" si="237">INDEX(HW_Data,MATCH(A73,HW_Year,0),$AA$1)</f>
        <v>27</v>
      </c>
      <c r="AB73" s="31">
        <f t="shared" si="62"/>
        <v>20.296296296296298</v>
      </c>
      <c r="AC73" s="21">
        <v>0</v>
      </c>
      <c r="AD73" s="3">
        <v>0</v>
      </c>
      <c r="AE73" s="80">
        <f t="shared" ref="AE73:AE107" si="238">INDEX(HW_Data,MATCH(A73,HW_Year,0),$AE$1)</f>
        <v>30</v>
      </c>
      <c r="AF73" s="31">
        <f t="shared" si="63"/>
        <v>27.633333333333333</v>
      </c>
      <c r="AG73" s="21">
        <v>0</v>
      </c>
      <c r="AH73" s="3">
        <v>0</v>
      </c>
      <c r="AI73" s="15"/>
      <c r="AJ73" s="3">
        <f t="shared" si="209"/>
        <v>0</v>
      </c>
      <c r="AL73" s="31"/>
      <c r="AM73" s="21">
        <v>0</v>
      </c>
      <c r="AN73" s="3">
        <v>190848</v>
      </c>
      <c r="AO73" s="80">
        <f t="shared" ref="AO73:AO107" si="239">INDEX(HW_Data,MATCH(A73,HW_Year,0),$AO$1)</f>
        <v>24</v>
      </c>
      <c r="AP73" s="31">
        <f t="shared" si="65"/>
        <v>23.666666666666668</v>
      </c>
      <c r="AQ73" s="21">
        <f t="shared" si="210"/>
        <v>4516736</v>
      </c>
      <c r="AR73" s="3">
        <v>198235</v>
      </c>
      <c r="AS73" s="80">
        <f t="shared" ref="AS73:AS107" si="240">INDEX(HW_Data,MATCH(A73,HW_Year,0),$AS$1)</f>
        <v>23</v>
      </c>
      <c r="AT73" s="31">
        <f t="shared" si="66"/>
        <v>29.739130434782609</v>
      </c>
      <c r="AU73" s="21">
        <f t="shared" si="211"/>
        <v>5895336.5217391308</v>
      </c>
      <c r="AV73" s="3">
        <v>413</v>
      </c>
      <c r="AW73" s="80">
        <f t="shared" ref="AW73:AW104" si="241">INDEX(HW_Data,MATCH(A73,HW_Year,0),$AW$1)</f>
        <v>27</v>
      </c>
      <c r="AX73" s="31">
        <f t="shared" si="16"/>
        <v>19.481481481481481</v>
      </c>
      <c r="AY73" s="21">
        <f t="shared" si="212"/>
        <v>8045.8518518518513</v>
      </c>
      <c r="AZ73" s="3">
        <v>0</v>
      </c>
      <c r="BA73" s="80">
        <f t="shared" ref="BA73:BA107" si="242">INDEX(HW_Data,MATCH(A73,HW_Year,0),$BA$1)</f>
        <v>31</v>
      </c>
      <c r="BB73" s="31">
        <f t="shared" si="19"/>
        <v>19.806451612903224</v>
      </c>
      <c r="BC73" s="21">
        <f t="shared" si="213"/>
        <v>0</v>
      </c>
      <c r="BD73" s="15">
        <v>32149</v>
      </c>
      <c r="BE73" s="3">
        <f t="shared" si="214"/>
        <v>26490.775999999998</v>
      </c>
      <c r="BF73" s="80">
        <f t="shared" ref="BF73:BF107" si="243">INDEX(HW_Data,MATCH(A73,HW_Year,0),$BF$1)</f>
        <v>66</v>
      </c>
      <c r="BG73" s="31">
        <f t="shared" si="68"/>
        <v>9.2727272727272734</v>
      </c>
      <c r="BH73" s="21">
        <f t="shared" si="215"/>
        <v>245641.74109090908</v>
      </c>
      <c r="BI73" s="3">
        <f t="shared" si="216"/>
        <v>5658.2239999999993</v>
      </c>
      <c r="BJ73" s="80">
        <f t="shared" si="192"/>
        <v>102</v>
      </c>
      <c r="BK73" s="31">
        <f t="shared" si="69"/>
        <v>6.3921568627450984</v>
      </c>
      <c r="BL73" s="21">
        <f t="shared" si="217"/>
        <v>36168.255372549014</v>
      </c>
      <c r="BM73" s="3">
        <v>53598</v>
      </c>
      <c r="BN73" s="80">
        <f t="shared" ref="BN73:BN107" si="244">INDEX(HW_Data,MATCH(A73,HW_Year,0),$BN$1)</f>
        <v>22</v>
      </c>
      <c r="BO73" s="31">
        <f t="shared" si="70"/>
        <v>23.136363636363637</v>
      </c>
      <c r="BP73" s="21">
        <f t="shared" si="218"/>
        <v>1240062.8181818181</v>
      </c>
      <c r="BQ73" s="3">
        <v>0</v>
      </c>
      <c r="BR73" s="15"/>
      <c r="BS73" s="3">
        <f t="shared" si="219"/>
        <v>0</v>
      </c>
      <c r="BT73" s="80">
        <f t="shared" ref="BT73:BT107" si="245">INDEX(HW_Data,MATCH(A73,HW_Year,0),$BT$1)</f>
        <v>53</v>
      </c>
      <c r="BU73" s="31">
        <f t="shared" si="71"/>
        <v>6.6981132075471699</v>
      </c>
      <c r="BV73" s="21">
        <f t="shared" si="220"/>
        <v>0</v>
      </c>
      <c r="BW73" s="2">
        <v>0</v>
      </c>
      <c r="BX73" s="80">
        <f t="shared" ref="BX73:BX95" si="246">INDEX(HW_Data,MATCH(A73,HW_Year,0),$BX$1)</f>
        <v>28</v>
      </c>
      <c r="BY73" s="31">
        <f t="shared" si="72"/>
        <v>26.071428571428573</v>
      </c>
      <c r="BZ73" s="22">
        <v>0</v>
      </c>
      <c r="CA73" s="2">
        <v>0</v>
      </c>
      <c r="CB73" s="2"/>
      <c r="CD73" s="22">
        <v>0</v>
      </c>
      <c r="CE73" s="3">
        <v>0</v>
      </c>
      <c r="CF73" s="15"/>
      <c r="CG73" s="3">
        <f t="shared" si="221"/>
        <v>0</v>
      </c>
      <c r="CH73" s="25">
        <f t="shared" si="222"/>
        <v>0</v>
      </c>
      <c r="CI73" s="3">
        <v>0</v>
      </c>
      <c r="CJ73" s="15"/>
      <c r="CK73" s="3">
        <f t="shared" si="223"/>
        <v>0</v>
      </c>
      <c r="CL73" s="134">
        <f t="shared" ref="CL73:CL109" si="247">INDEX(HW_Data,MATCH(A73,HW_Year,0),$CL$1)</f>
        <v>24</v>
      </c>
      <c r="CM73" s="31">
        <f t="shared" si="74"/>
        <v>21.666666666666668</v>
      </c>
      <c r="CN73" s="21">
        <f t="shared" si="224"/>
        <v>0</v>
      </c>
      <c r="CO73" s="3">
        <f t="shared" si="233"/>
        <v>0</v>
      </c>
      <c r="CP73" s="3"/>
      <c r="CQ73" s="3"/>
      <c r="CR73" s="2">
        <f t="shared" si="231"/>
        <v>0</v>
      </c>
      <c r="CS73" s="80">
        <f t="shared" ref="CS73:CS107" si="248">INDEX(HW_Data,MATCH(A73,HW_Year,0),$CS$1)</f>
        <v>39</v>
      </c>
      <c r="CT73" s="31">
        <f t="shared" si="75"/>
        <v>17.717948717948719</v>
      </c>
      <c r="CU73" s="21">
        <f t="shared" si="225"/>
        <v>0</v>
      </c>
      <c r="CV73" s="3">
        <v>3858</v>
      </c>
      <c r="CW73" s="92">
        <f t="shared" ref="CW73:CW109" si="249">INDEX(HW_Data,MATCH(A73,HW_Year,0),$CW$1)</f>
        <v>24</v>
      </c>
      <c r="CX73" s="31">
        <f t="shared" si="76"/>
        <v>21.666666666666668</v>
      </c>
      <c r="CY73" s="21">
        <f t="shared" si="226"/>
        <v>83590</v>
      </c>
      <c r="CZ73" s="3">
        <v>0</v>
      </c>
      <c r="DA73" s="80">
        <f t="shared" ref="DA73:DA109" si="250">INDEX(HW_Data,MATCH(A73,HW_Year,0),$DA$1)</f>
        <v>37</v>
      </c>
      <c r="DB73" s="31">
        <f t="shared" si="77"/>
        <v>17.567567567567568</v>
      </c>
      <c r="DC73" s="21">
        <f t="shared" si="227"/>
        <v>0</v>
      </c>
      <c r="DD73" s="3">
        <v>0</v>
      </c>
      <c r="DE73" s="3">
        <v>0</v>
      </c>
      <c r="DF73" s="15"/>
      <c r="DG73" s="3">
        <f t="shared" si="228"/>
        <v>0</v>
      </c>
      <c r="DH73" s="3">
        <f t="shared" si="229"/>
        <v>0</v>
      </c>
      <c r="DI73" s="136">
        <f t="shared" ref="DI73:DI107" si="251">INDEX(HW_Data,MATCH(A73,HW_Year,0),$DI$1)</f>
        <v>34</v>
      </c>
      <c r="DJ73" s="41">
        <f t="shared" si="78"/>
        <v>25.529411764705884</v>
      </c>
      <c r="DK73" s="21">
        <f t="shared" si="230"/>
        <v>0</v>
      </c>
    </row>
    <row r="74" spans="1:115">
      <c r="A74" s="7">
        <v>1945</v>
      </c>
      <c r="B74" s="3">
        <v>0</v>
      </c>
      <c r="C74" s="15"/>
      <c r="D74" s="3">
        <f t="shared" si="203"/>
        <v>0</v>
      </c>
      <c r="E74" s="25">
        <f t="shared" si="204"/>
        <v>0</v>
      </c>
      <c r="F74" s="3">
        <v>0</v>
      </c>
      <c r="G74" s="15"/>
      <c r="H74" s="15">
        <f t="shared" si="205"/>
        <v>0</v>
      </c>
      <c r="I74" s="80">
        <f t="shared" si="234"/>
        <v>21</v>
      </c>
      <c r="J74" s="132">
        <f t="shared" si="59"/>
        <v>24.761904761904763</v>
      </c>
      <c r="K74" s="21">
        <f t="shared" si="206"/>
        <v>0</v>
      </c>
      <c r="L74" s="3">
        <v>0</v>
      </c>
      <c r="M74" s="15"/>
      <c r="N74" s="15"/>
      <c r="O74" s="3">
        <f t="shared" si="201"/>
        <v>0</v>
      </c>
      <c r="P74" s="80">
        <f t="shared" si="235"/>
        <v>22</v>
      </c>
      <c r="Q74" s="31">
        <f t="shared" si="60"/>
        <v>27.045454545454547</v>
      </c>
      <c r="R74" s="21">
        <f t="shared" si="207"/>
        <v>0</v>
      </c>
      <c r="S74" s="3">
        <v>0</v>
      </c>
      <c r="T74" s="15"/>
      <c r="U74" s="15"/>
      <c r="V74" s="3">
        <f t="shared" si="202"/>
        <v>0</v>
      </c>
      <c r="W74" s="80">
        <f t="shared" si="236"/>
        <v>26</v>
      </c>
      <c r="X74" s="31">
        <f t="shared" si="61"/>
        <v>23.46153846153846</v>
      </c>
      <c r="Y74" s="21">
        <f t="shared" si="208"/>
        <v>0</v>
      </c>
      <c r="Z74" s="3">
        <v>0</v>
      </c>
      <c r="AA74" s="80">
        <f t="shared" si="237"/>
        <v>24</v>
      </c>
      <c r="AB74" s="31">
        <f t="shared" si="62"/>
        <v>22.833333333333332</v>
      </c>
      <c r="AC74" s="21">
        <v>0</v>
      </c>
      <c r="AD74" s="3">
        <v>0</v>
      </c>
      <c r="AE74" s="80">
        <f t="shared" si="238"/>
        <v>25</v>
      </c>
      <c r="AF74" s="31">
        <f t="shared" si="63"/>
        <v>33.159999999999997</v>
      </c>
      <c r="AG74" s="21">
        <v>0</v>
      </c>
      <c r="AH74" s="3">
        <v>0</v>
      </c>
      <c r="AI74" s="15"/>
      <c r="AJ74" s="3">
        <f t="shared" si="209"/>
        <v>0</v>
      </c>
      <c r="AL74" s="31"/>
      <c r="AM74" s="21">
        <v>0</v>
      </c>
      <c r="AN74" s="3">
        <v>128467</v>
      </c>
      <c r="AO74" s="80">
        <f t="shared" si="239"/>
        <v>22</v>
      </c>
      <c r="AP74" s="31">
        <f t="shared" si="65"/>
        <v>25.818181818181817</v>
      </c>
      <c r="AQ74" s="21">
        <f t="shared" si="210"/>
        <v>3316784.3636363633</v>
      </c>
      <c r="AR74" s="3">
        <v>83393</v>
      </c>
      <c r="AS74" s="80">
        <f t="shared" si="240"/>
        <v>20</v>
      </c>
      <c r="AT74" s="31">
        <f t="shared" si="66"/>
        <v>34.200000000000003</v>
      </c>
      <c r="AU74" s="21">
        <f t="shared" si="211"/>
        <v>2852040.6</v>
      </c>
      <c r="AV74" s="3">
        <v>3395</v>
      </c>
      <c r="AW74" s="80">
        <f t="shared" si="241"/>
        <v>24</v>
      </c>
      <c r="AX74" s="31">
        <f t="shared" si="16"/>
        <v>21.916666666666668</v>
      </c>
      <c r="AY74" s="21">
        <f t="shared" si="212"/>
        <v>74407.083333333343</v>
      </c>
      <c r="AZ74" s="3">
        <v>0</v>
      </c>
      <c r="BA74" s="80">
        <f t="shared" si="242"/>
        <v>26</v>
      </c>
      <c r="BB74" s="31">
        <f t="shared" si="19"/>
        <v>23.615384615384617</v>
      </c>
      <c r="BC74" s="21">
        <f t="shared" si="213"/>
        <v>0</v>
      </c>
      <c r="BD74" s="15">
        <v>0</v>
      </c>
      <c r="BE74" s="3">
        <f t="shared" si="214"/>
        <v>0</v>
      </c>
      <c r="BF74" s="80">
        <f t="shared" si="243"/>
        <v>58</v>
      </c>
      <c r="BG74" s="31">
        <f t="shared" si="68"/>
        <v>10.551724137931034</v>
      </c>
      <c r="BH74" s="21">
        <f t="shared" si="215"/>
        <v>0</v>
      </c>
      <c r="BI74" s="3">
        <f t="shared" si="216"/>
        <v>0</v>
      </c>
      <c r="BJ74" s="80">
        <f t="shared" si="192"/>
        <v>102</v>
      </c>
      <c r="BK74" s="31">
        <f t="shared" si="69"/>
        <v>6.3921568627450984</v>
      </c>
      <c r="BL74" s="21">
        <f t="shared" si="217"/>
        <v>0</v>
      </c>
      <c r="BM74" s="3">
        <v>37015</v>
      </c>
      <c r="BN74" s="80">
        <f t="shared" si="244"/>
        <v>20</v>
      </c>
      <c r="BO74" s="31">
        <f t="shared" si="70"/>
        <v>25.45</v>
      </c>
      <c r="BP74" s="21">
        <f t="shared" si="218"/>
        <v>942031.75</v>
      </c>
      <c r="BQ74" s="3">
        <v>0</v>
      </c>
      <c r="BR74" s="15"/>
      <c r="BS74" s="3">
        <f t="shared" si="219"/>
        <v>0</v>
      </c>
      <c r="BT74" s="80">
        <f t="shared" si="245"/>
        <v>49</v>
      </c>
      <c r="BU74" s="31">
        <f t="shared" si="71"/>
        <v>7.2448979591836737</v>
      </c>
      <c r="BV74" s="21">
        <f t="shared" si="220"/>
        <v>0</v>
      </c>
      <c r="BW74" s="2">
        <v>0</v>
      </c>
      <c r="BX74" s="80">
        <f t="shared" si="246"/>
        <v>25</v>
      </c>
      <c r="BY74" s="31">
        <f t="shared" si="72"/>
        <v>29.2</v>
      </c>
      <c r="BZ74" s="22">
        <v>0</v>
      </c>
      <c r="CA74" s="2">
        <v>0</v>
      </c>
      <c r="CB74" s="2"/>
      <c r="CD74" s="22">
        <v>0</v>
      </c>
      <c r="CE74" s="3">
        <v>0</v>
      </c>
      <c r="CF74" s="15"/>
      <c r="CG74" s="3">
        <f t="shared" si="221"/>
        <v>0</v>
      </c>
      <c r="CH74" s="25">
        <f t="shared" si="222"/>
        <v>0</v>
      </c>
      <c r="CI74" s="3">
        <v>189</v>
      </c>
      <c r="CJ74" s="15"/>
      <c r="CK74" s="3">
        <f t="shared" si="223"/>
        <v>189</v>
      </c>
      <c r="CL74" s="134">
        <f t="shared" si="247"/>
        <v>21</v>
      </c>
      <c r="CM74" s="31">
        <f t="shared" si="74"/>
        <v>24.761904761904763</v>
      </c>
      <c r="CN74" s="21">
        <f t="shared" si="224"/>
        <v>4680</v>
      </c>
      <c r="CO74" s="3">
        <f t="shared" si="233"/>
        <v>0</v>
      </c>
      <c r="CP74" s="3"/>
      <c r="CQ74" s="3"/>
      <c r="CR74" s="2">
        <f t="shared" si="231"/>
        <v>0</v>
      </c>
      <c r="CS74" s="80">
        <f t="shared" si="248"/>
        <v>35</v>
      </c>
      <c r="CT74" s="31">
        <f t="shared" si="75"/>
        <v>19.742857142857144</v>
      </c>
      <c r="CU74" s="21">
        <f t="shared" si="225"/>
        <v>0</v>
      </c>
      <c r="CV74" s="3">
        <v>5696</v>
      </c>
      <c r="CW74" s="92">
        <f t="shared" si="249"/>
        <v>21</v>
      </c>
      <c r="CX74" s="31">
        <f t="shared" si="76"/>
        <v>24.761904761904763</v>
      </c>
      <c r="CY74" s="21">
        <f t="shared" si="226"/>
        <v>141043.80952380953</v>
      </c>
      <c r="CZ74" s="3">
        <v>0</v>
      </c>
      <c r="DA74" s="80">
        <f t="shared" si="250"/>
        <v>33</v>
      </c>
      <c r="DB74" s="31">
        <f t="shared" si="77"/>
        <v>19.696969696969695</v>
      </c>
      <c r="DC74" s="21">
        <f t="shared" si="227"/>
        <v>0</v>
      </c>
      <c r="DD74" s="3">
        <v>0</v>
      </c>
      <c r="DE74" s="3">
        <v>0</v>
      </c>
      <c r="DF74" s="15"/>
      <c r="DG74" s="3">
        <f t="shared" si="228"/>
        <v>0</v>
      </c>
      <c r="DH74" s="3">
        <f t="shared" si="229"/>
        <v>0</v>
      </c>
      <c r="DI74" s="136">
        <f t="shared" si="251"/>
        <v>30</v>
      </c>
      <c r="DJ74" s="41">
        <f t="shared" si="78"/>
        <v>28.933333333333334</v>
      </c>
      <c r="DK74" s="21">
        <f t="shared" si="230"/>
        <v>0</v>
      </c>
    </row>
    <row r="75" spans="1:115">
      <c r="A75" s="7">
        <v>1944</v>
      </c>
      <c r="B75" s="3">
        <v>0</v>
      </c>
      <c r="C75" s="15"/>
      <c r="D75" s="3">
        <f t="shared" si="203"/>
        <v>0</v>
      </c>
      <c r="E75" s="25">
        <f t="shared" si="204"/>
        <v>0</v>
      </c>
      <c r="F75" s="3">
        <v>0</v>
      </c>
      <c r="G75" s="15"/>
      <c r="H75" s="15">
        <f t="shared" si="205"/>
        <v>0</v>
      </c>
      <c r="I75" s="80">
        <f t="shared" si="234"/>
        <v>21</v>
      </c>
      <c r="J75" s="132">
        <f t="shared" ref="J75:J109" si="252">$I$4/I75</f>
        <v>24.761904761904763</v>
      </c>
      <c r="K75" s="21">
        <f t="shared" si="206"/>
        <v>0</v>
      </c>
      <c r="L75" s="3">
        <v>672</v>
      </c>
      <c r="M75" s="15"/>
      <c r="N75" s="15"/>
      <c r="O75" s="3">
        <f t="shared" si="201"/>
        <v>672</v>
      </c>
      <c r="P75" s="80">
        <f t="shared" si="235"/>
        <v>21</v>
      </c>
      <c r="Q75" s="31">
        <f t="shared" ref="Q75:Q107" si="253">$P$4/P75</f>
        <v>28.333333333333332</v>
      </c>
      <c r="R75" s="21">
        <f t="shared" si="207"/>
        <v>19040</v>
      </c>
      <c r="S75" s="3">
        <v>0</v>
      </c>
      <c r="T75" s="15"/>
      <c r="U75" s="15"/>
      <c r="V75" s="3">
        <f t="shared" si="202"/>
        <v>0</v>
      </c>
      <c r="W75" s="80">
        <f t="shared" si="236"/>
        <v>26</v>
      </c>
      <c r="X75" s="31">
        <f t="shared" ref="X75:X107" si="254">$W$4/W75</f>
        <v>23.46153846153846</v>
      </c>
      <c r="Y75" s="21">
        <f t="shared" si="208"/>
        <v>0</v>
      </c>
      <c r="Z75" s="3">
        <v>0</v>
      </c>
      <c r="AA75" s="80">
        <f t="shared" si="237"/>
        <v>23</v>
      </c>
      <c r="AB75" s="31">
        <f t="shared" ref="AB75:AB107" si="255">$AA$4/AA75</f>
        <v>23.826086956521738</v>
      </c>
      <c r="AC75" s="21">
        <v>0</v>
      </c>
      <c r="AD75" s="3">
        <v>0</v>
      </c>
      <c r="AE75" s="80">
        <f t="shared" si="238"/>
        <v>25</v>
      </c>
      <c r="AF75" s="31">
        <f t="shared" ref="AF75:AF107" si="256">$AE$4/AE75</f>
        <v>33.159999999999997</v>
      </c>
      <c r="AG75" s="21">
        <v>0</v>
      </c>
      <c r="AH75" s="3">
        <v>0</v>
      </c>
      <c r="AI75" s="15"/>
      <c r="AJ75" s="3">
        <f t="shared" si="209"/>
        <v>0</v>
      </c>
      <c r="AL75" s="31"/>
      <c r="AM75" s="21">
        <v>0</v>
      </c>
      <c r="AN75" s="3">
        <v>133504</v>
      </c>
      <c r="AO75" s="80">
        <f t="shared" si="239"/>
        <v>21</v>
      </c>
      <c r="AP75" s="31">
        <f t="shared" ref="AP75:AP107" si="257">$AO$4/AO75</f>
        <v>27.047619047619047</v>
      </c>
      <c r="AQ75" s="21">
        <f t="shared" si="210"/>
        <v>3610965.3333333335</v>
      </c>
      <c r="AR75" s="3">
        <v>96426</v>
      </c>
      <c r="AS75" s="80">
        <f t="shared" si="240"/>
        <v>20</v>
      </c>
      <c r="AT75" s="31">
        <f t="shared" ref="AT75:AT107" si="258">$AS$4/AS75</f>
        <v>34.200000000000003</v>
      </c>
      <c r="AU75" s="21">
        <f t="shared" si="211"/>
        <v>3297769.2</v>
      </c>
      <c r="AV75" s="3">
        <v>12</v>
      </c>
      <c r="AW75" s="80">
        <f t="shared" si="241"/>
        <v>24</v>
      </c>
      <c r="AX75" s="31">
        <f t="shared" ref="AX75:AX113" si="259">$AW$4/AW75</f>
        <v>21.916666666666668</v>
      </c>
      <c r="AY75" s="21">
        <f t="shared" si="212"/>
        <v>263</v>
      </c>
      <c r="AZ75" s="3">
        <v>0</v>
      </c>
      <c r="BA75" s="80">
        <f t="shared" si="242"/>
        <v>26</v>
      </c>
      <c r="BB75" s="31">
        <f t="shared" ref="BB75:BB107" si="260">$BA$4/BA75</f>
        <v>23.615384615384617</v>
      </c>
      <c r="BC75" s="21">
        <f t="shared" si="213"/>
        <v>0</v>
      </c>
      <c r="BD75" s="15">
        <v>18994</v>
      </c>
      <c r="BE75" s="3">
        <f t="shared" si="214"/>
        <v>15651.055999999999</v>
      </c>
      <c r="BF75" s="80">
        <f t="shared" si="243"/>
        <v>58</v>
      </c>
      <c r="BG75" s="31">
        <f t="shared" ref="BG75:BG107" si="261">$BF$4/BF75</f>
        <v>10.551724137931034</v>
      </c>
      <c r="BH75" s="21">
        <f t="shared" si="215"/>
        <v>165145.62537931031</v>
      </c>
      <c r="BI75" s="3">
        <f t="shared" si="216"/>
        <v>3342.944</v>
      </c>
      <c r="BJ75" s="80">
        <f t="shared" si="192"/>
        <v>102</v>
      </c>
      <c r="BK75" s="31">
        <f t="shared" ref="BK75:BK76" si="262">$BJ$4/BJ75</f>
        <v>6.3921568627450984</v>
      </c>
      <c r="BL75" s="21">
        <f t="shared" si="217"/>
        <v>21368.622431372551</v>
      </c>
      <c r="BM75" s="3">
        <v>37365</v>
      </c>
      <c r="BN75" s="80">
        <f t="shared" si="244"/>
        <v>20</v>
      </c>
      <c r="BO75" s="31">
        <f t="shared" ref="BO75:BO107" si="263">$BN$4/BN75</f>
        <v>25.45</v>
      </c>
      <c r="BP75" s="21">
        <f t="shared" si="218"/>
        <v>950939.25</v>
      </c>
      <c r="BQ75" s="3">
        <v>0</v>
      </c>
      <c r="BR75" s="15"/>
      <c r="BS75" s="3">
        <f t="shared" si="219"/>
        <v>0</v>
      </c>
      <c r="BT75" s="80">
        <f t="shared" si="245"/>
        <v>49</v>
      </c>
      <c r="BU75" s="31">
        <f t="shared" ref="BU75:BU107" si="264">$BT$4/BT75</f>
        <v>7.2448979591836737</v>
      </c>
      <c r="BV75" s="21">
        <f t="shared" si="220"/>
        <v>0</v>
      </c>
      <c r="BW75" s="2">
        <v>0</v>
      </c>
      <c r="BX75" s="80">
        <f t="shared" si="246"/>
        <v>25</v>
      </c>
      <c r="BY75" s="31">
        <f t="shared" ref="BY75:BY95" si="265">$BX$4/BX75</f>
        <v>29.2</v>
      </c>
      <c r="BZ75" s="22">
        <v>0</v>
      </c>
      <c r="CA75" s="2">
        <v>0</v>
      </c>
      <c r="CB75" s="2"/>
      <c r="CD75" s="22">
        <v>0</v>
      </c>
      <c r="CE75" s="3">
        <v>0</v>
      </c>
      <c r="CF75" s="15"/>
      <c r="CG75" s="3">
        <f t="shared" si="221"/>
        <v>0</v>
      </c>
      <c r="CH75" s="25">
        <f t="shared" si="222"/>
        <v>0</v>
      </c>
      <c r="CI75" s="3">
        <v>0</v>
      </c>
      <c r="CJ75" s="15"/>
      <c r="CK75" s="3">
        <f t="shared" si="223"/>
        <v>0</v>
      </c>
      <c r="CL75" s="134">
        <f t="shared" si="247"/>
        <v>21</v>
      </c>
      <c r="CM75" s="31">
        <f t="shared" ref="CM75:CM109" si="266">$CL$4/CL75</f>
        <v>24.761904761904763</v>
      </c>
      <c r="CN75" s="21">
        <f t="shared" si="224"/>
        <v>0</v>
      </c>
      <c r="CO75" s="3">
        <f t="shared" si="233"/>
        <v>0</v>
      </c>
      <c r="CP75" s="3"/>
      <c r="CQ75" s="3"/>
      <c r="CR75" s="2">
        <f t="shared" si="231"/>
        <v>0</v>
      </c>
      <c r="CS75" s="80">
        <f t="shared" si="248"/>
        <v>35</v>
      </c>
      <c r="CT75" s="31">
        <f t="shared" ref="CT75:CT107" si="267">$CS$4/CS75</f>
        <v>19.742857142857144</v>
      </c>
      <c r="CU75" s="21">
        <f t="shared" si="225"/>
        <v>0</v>
      </c>
      <c r="CV75" s="3">
        <v>2160</v>
      </c>
      <c r="CW75" s="92">
        <f t="shared" si="249"/>
        <v>21</v>
      </c>
      <c r="CX75" s="31">
        <f t="shared" ref="CX75:CX109" si="268">$CW$4/CW75</f>
        <v>24.761904761904763</v>
      </c>
      <c r="CY75" s="21">
        <f t="shared" si="226"/>
        <v>53485.71428571429</v>
      </c>
      <c r="CZ75" s="3">
        <v>0</v>
      </c>
      <c r="DA75" s="80">
        <f t="shared" si="250"/>
        <v>34</v>
      </c>
      <c r="DB75" s="31">
        <f t="shared" ref="DB75:DB109" si="269">$DA$4/DA75</f>
        <v>19.117647058823529</v>
      </c>
      <c r="DC75" s="21">
        <f t="shared" si="227"/>
        <v>0</v>
      </c>
      <c r="DD75" s="3">
        <v>0</v>
      </c>
      <c r="DE75" s="3">
        <v>0</v>
      </c>
      <c r="DF75" s="15"/>
      <c r="DG75" s="3">
        <f t="shared" si="228"/>
        <v>0</v>
      </c>
      <c r="DH75" s="3">
        <f t="shared" si="229"/>
        <v>0</v>
      </c>
      <c r="DI75" s="136">
        <f t="shared" si="251"/>
        <v>31</v>
      </c>
      <c r="DJ75" s="41">
        <f t="shared" ref="DJ75:DJ107" si="270">$DI$4/DI75</f>
        <v>28</v>
      </c>
      <c r="DK75" s="21">
        <f t="shared" si="230"/>
        <v>0</v>
      </c>
    </row>
    <row r="76" spans="1:115">
      <c r="A76" s="7">
        <v>1943</v>
      </c>
      <c r="B76" s="3">
        <v>3113</v>
      </c>
      <c r="C76" s="15"/>
      <c r="D76" s="3">
        <f t="shared" si="203"/>
        <v>3113</v>
      </c>
      <c r="E76" s="25">
        <f t="shared" si="204"/>
        <v>2179.1</v>
      </c>
      <c r="F76" s="3">
        <v>0</v>
      </c>
      <c r="G76" s="15"/>
      <c r="H76" s="15">
        <f t="shared" si="205"/>
        <v>0</v>
      </c>
      <c r="I76" s="80">
        <f t="shared" si="234"/>
        <v>20</v>
      </c>
      <c r="J76" s="132">
        <f t="shared" si="252"/>
        <v>26</v>
      </c>
      <c r="K76" s="21">
        <f t="shared" si="206"/>
        <v>0</v>
      </c>
      <c r="L76" s="3">
        <v>14876</v>
      </c>
      <c r="M76" s="15"/>
      <c r="N76" s="15"/>
      <c r="O76" s="3">
        <f t="shared" si="201"/>
        <v>14876</v>
      </c>
      <c r="P76" s="80">
        <f t="shared" si="235"/>
        <v>19</v>
      </c>
      <c r="Q76" s="31">
        <f t="shared" si="253"/>
        <v>31.315789473684209</v>
      </c>
      <c r="R76" s="21">
        <f t="shared" si="207"/>
        <v>465853.68421052629</v>
      </c>
      <c r="S76" s="3">
        <v>0</v>
      </c>
      <c r="T76" s="15"/>
      <c r="U76" s="15"/>
      <c r="V76" s="3">
        <f t="shared" si="202"/>
        <v>0</v>
      </c>
      <c r="W76" s="80">
        <f t="shared" si="236"/>
        <v>26</v>
      </c>
      <c r="X76" s="31">
        <f t="shared" si="254"/>
        <v>23.46153846153846</v>
      </c>
      <c r="Y76" s="21">
        <f t="shared" si="208"/>
        <v>0</v>
      </c>
      <c r="Z76" s="3">
        <v>0</v>
      </c>
      <c r="AA76" s="80">
        <f t="shared" si="237"/>
        <v>23</v>
      </c>
      <c r="AB76" s="31">
        <f t="shared" si="255"/>
        <v>23.826086956521738</v>
      </c>
      <c r="AC76" s="21">
        <v>0</v>
      </c>
      <c r="AD76" s="3">
        <v>0</v>
      </c>
      <c r="AE76" s="80">
        <f t="shared" si="238"/>
        <v>26</v>
      </c>
      <c r="AF76" s="31">
        <f t="shared" si="256"/>
        <v>31.884615384615383</v>
      </c>
      <c r="AG76" s="21">
        <v>0</v>
      </c>
      <c r="AH76" s="3">
        <v>0</v>
      </c>
      <c r="AI76" s="15"/>
      <c r="AJ76" s="3">
        <f t="shared" si="209"/>
        <v>0</v>
      </c>
      <c r="AL76" s="31"/>
      <c r="AM76" s="21">
        <v>0</v>
      </c>
      <c r="AN76" s="3">
        <v>85738</v>
      </c>
      <c r="AO76" s="80">
        <f t="shared" si="239"/>
        <v>19</v>
      </c>
      <c r="AP76" s="31">
        <f t="shared" si="257"/>
        <v>29.894736842105264</v>
      </c>
      <c r="AQ76" s="21">
        <f t="shared" si="210"/>
        <v>2563114.9473684211</v>
      </c>
      <c r="AR76" s="3">
        <v>59858</v>
      </c>
      <c r="AS76" s="80">
        <f t="shared" si="240"/>
        <v>20</v>
      </c>
      <c r="AT76" s="31">
        <f t="shared" si="258"/>
        <v>34.200000000000003</v>
      </c>
      <c r="AU76" s="21">
        <f t="shared" si="211"/>
        <v>2047143.6</v>
      </c>
      <c r="AV76" s="3">
        <v>0</v>
      </c>
      <c r="AW76" s="80">
        <f t="shared" si="241"/>
        <v>23</v>
      </c>
      <c r="AX76" s="31">
        <f t="shared" si="259"/>
        <v>22.869565217391305</v>
      </c>
      <c r="AY76" s="21">
        <f t="shared" si="212"/>
        <v>0</v>
      </c>
      <c r="AZ76" s="3">
        <v>0</v>
      </c>
      <c r="BA76" s="80">
        <f t="shared" si="242"/>
        <v>28</v>
      </c>
      <c r="BB76" s="31">
        <f t="shared" si="260"/>
        <v>21.928571428571427</v>
      </c>
      <c r="BC76" s="21">
        <f t="shared" si="213"/>
        <v>0</v>
      </c>
      <c r="BD76" s="15">
        <v>0</v>
      </c>
      <c r="BE76" s="3">
        <f t="shared" si="214"/>
        <v>0</v>
      </c>
      <c r="BF76" s="80">
        <f t="shared" si="243"/>
        <v>58</v>
      </c>
      <c r="BG76" s="31">
        <f t="shared" si="261"/>
        <v>10.551724137931034</v>
      </c>
      <c r="BH76" s="21">
        <f t="shared" si="215"/>
        <v>0</v>
      </c>
      <c r="BI76" s="3">
        <f t="shared" si="216"/>
        <v>0</v>
      </c>
      <c r="BJ76" s="80">
        <f t="shared" si="192"/>
        <v>102</v>
      </c>
      <c r="BK76" s="31">
        <f t="shared" si="262"/>
        <v>6.3921568627450984</v>
      </c>
      <c r="BL76" s="21">
        <f t="shared" si="217"/>
        <v>0</v>
      </c>
      <c r="BM76" s="3">
        <v>21956</v>
      </c>
      <c r="BN76" s="80">
        <f t="shared" si="244"/>
        <v>20</v>
      </c>
      <c r="BO76" s="31">
        <f t="shared" si="263"/>
        <v>25.45</v>
      </c>
      <c r="BP76" s="21">
        <f t="shared" si="218"/>
        <v>558780.19999999995</v>
      </c>
      <c r="BQ76" s="3">
        <v>0</v>
      </c>
      <c r="BR76" s="15"/>
      <c r="BS76" s="3">
        <f t="shared" si="219"/>
        <v>0</v>
      </c>
      <c r="BT76" s="80">
        <f t="shared" si="245"/>
        <v>49</v>
      </c>
      <c r="BU76" s="31">
        <f t="shared" si="264"/>
        <v>7.2448979591836737</v>
      </c>
      <c r="BV76" s="21">
        <f t="shared" si="220"/>
        <v>0</v>
      </c>
      <c r="BW76" s="2">
        <v>0</v>
      </c>
      <c r="BX76" s="80">
        <f t="shared" si="246"/>
        <v>25</v>
      </c>
      <c r="BY76" s="31">
        <f t="shared" si="265"/>
        <v>29.2</v>
      </c>
      <c r="BZ76" s="22">
        <v>0</v>
      </c>
      <c r="CA76" s="2">
        <v>0</v>
      </c>
      <c r="CB76" s="2"/>
      <c r="CD76" s="22">
        <v>0</v>
      </c>
      <c r="CE76" s="3">
        <v>3113</v>
      </c>
      <c r="CF76" s="15"/>
      <c r="CG76" s="3">
        <f t="shared" si="221"/>
        <v>3113</v>
      </c>
      <c r="CH76" s="25">
        <f t="shared" si="222"/>
        <v>933.9</v>
      </c>
      <c r="CI76" s="3">
        <v>0</v>
      </c>
      <c r="CJ76" s="15"/>
      <c r="CK76" s="3">
        <f t="shared" si="223"/>
        <v>0</v>
      </c>
      <c r="CL76" s="134">
        <f t="shared" si="247"/>
        <v>20</v>
      </c>
      <c r="CM76" s="31">
        <f t="shared" si="266"/>
        <v>26</v>
      </c>
      <c r="CN76" s="21">
        <f t="shared" si="224"/>
        <v>0</v>
      </c>
      <c r="CO76" s="3">
        <f t="shared" si="233"/>
        <v>0</v>
      </c>
      <c r="CP76" s="3"/>
      <c r="CQ76" s="3"/>
      <c r="CR76" s="2">
        <f t="shared" si="231"/>
        <v>0</v>
      </c>
      <c r="CS76" s="80">
        <f t="shared" si="248"/>
        <v>36</v>
      </c>
      <c r="CT76" s="31">
        <f t="shared" si="267"/>
        <v>19.194444444444443</v>
      </c>
      <c r="CU76" s="21">
        <f t="shared" si="225"/>
        <v>0</v>
      </c>
      <c r="CV76" s="3">
        <v>5995</v>
      </c>
      <c r="CW76" s="92">
        <f t="shared" si="249"/>
        <v>20</v>
      </c>
      <c r="CX76" s="31">
        <f t="shared" si="268"/>
        <v>26</v>
      </c>
      <c r="CY76" s="21">
        <f t="shared" si="226"/>
        <v>155870</v>
      </c>
      <c r="CZ76" s="3">
        <v>0</v>
      </c>
      <c r="DA76" s="80">
        <f t="shared" si="250"/>
        <v>35</v>
      </c>
      <c r="DB76" s="31">
        <f t="shared" si="269"/>
        <v>18.571428571428573</v>
      </c>
      <c r="DC76" s="21">
        <f t="shared" si="227"/>
        <v>0</v>
      </c>
      <c r="DD76" s="3">
        <v>0</v>
      </c>
      <c r="DE76" s="3">
        <v>0</v>
      </c>
      <c r="DF76" s="15"/>
      <c r="DG76" s="3">
        <f t="shared" si="228"/>
        <v>0</v>
      </c>
      <c r="DH76" s="3">
        <f t="shared" si="229"/>
        <v>0</v>
      </c>
      <c r="DI76" s="136">
        <f t="shared" si="251"/>
        <v>32</v>
      </c>
      <c r="DJ76" s="41">
        <f t="shared" si="270"/>
        <v>27.125</v>
      </c>
      <c r="DK76" s="21">
        <f t="shared" si="230"/>
        <v>0</v>
      </c>
    </row>
    <row r="77" spans="1:115">
      <c r="A77" s="7">
        <v>1942</v>
      </c>
      <c r="B77" s="3">
        <v>0</v>
      </c>
      <c r="C77" s="15"/>
      <c r="D77" s="3">
        <f t="shared" si="203"/>
        <v>0</v>
      </c>
      <c r="E77" s="25">
        <f t="shared" si="204"/>
        <v>0</v>
      </c>
      <c r="F77" s="3">
        <v>0</v>
      </c>
      <c r="G77" s="15"/>
      <c r="H77" s="15">
        <f t="shared" si="205"/>
        <v>0</v>
      </c>
      <c r="I77" s="80">
        <f t="shared" si="234"/>
        <v>20</v>
      </c>
      <c r="J77" s="132">
        <f t="shared" si="252"/>
        <v>26</v>
      </c>
      <c r="K77" s="21">
        <f t="shared" si="206"/>
        <v>0</v>
      </c>
      <c r="L77" s="3">
        <v>73728</v>
      </c>
      <c r="M77" s="15"/>
      <c r="N77" s="15"/>
      <c r="O77" s="3">
        <f t="shared" si="201"/>
        <v>73728</v>
      </c>
      <c r="P77" s="80">
        <f t="shared" si="235"/>
        <v>18</v>
      </c>
      <c r="Q77" s="31">
        <f t="shared" si="253"/>
        <v>33.055555555555557</v>
      </c>
      <c r="R77" s="21">
        <f t="shared" si="207"/>
        <v>2437120</v>
      </c>
      <c r="S77" s="3">
        <v>114213</v>
      </c>
      <c r="T77" s="15"/>
      <c r="U77" s="15"/>
      <c r="V77" s="3">
        <f t="shared" si="202"/>
        <v>114213</v>
      </c>
      <c r="W77" s="80">
        <f t="shared" si="236"/>
        <v>25</v>
      </c>
      <c r="X77" s="31">
        <f t="shared" si="254"/>
        <v>24.4</v>
      </c>
      <c r="Y77" s="21">
        <f t="shared" si="208"/>
        <v>2786797.1999999997</v>
      </c>
      <c r="Z77" s="3">
        <v>0</v>
      </c>
      <c r="AA77" s="80">
        <f t="shared" si="237"/>
        <v>22</v>
      </c>
      <c r="AB77" s="31">
        <f t="shared" si="255"/>
        <v>24.90909090909091</v>
      </c>
      <c r="AC77" s="21">
        <v>0</v>
      </c>
      <c r="AD77" s="3">
        <v>0</v>
      </c>
      <c r="AE77" s="80">
        <f t="shared" si="238"/>
        <v>26</v>
      </c>
      <c r="AF77" s="31">
        <f t="shared" si="256"/>
        <v>31.884615384615383</v>
      </c>
      <c r="AG77" s="21">
        <v>0</v>
      </c>
      <c r="AH77" s="3">
        <v>0</v>
      </c>
      <c r="AI77" s="15"/>
      <c r="AJ77" s="3">
        <f t="shared" si="209"/>
        <v>0</v>
      </c>
      <c r="AL77" s="31"/>
      <c r="AM77" s="21">
        <v>0</v>
      </c>
      <c r="AN77" s="3">
        <v>184819</v>
      </c>
      <c r="AO77" s="80">
        <f t="shared" si="239"/>
        <v>18</v>
      </c>
      <c r="AP77" s="31">
        <f t="shared" si="257"/>
        <v>31.555555555555557</v>
      </c>
      <c r="AQ77" s="21">
        <f t="shared" si="210"/>
        <v>5832066.2222222229</v>
      </c>
      <c r="AR77" s="3">
        <v>113365</v>
      </c>
      <c r="AS77" s="80">
        <f t="shared" si="240"/>
        <v>20</v>
      </c>
      <c r="AT77" s="31">
        <f t="shared" si="258"/>
        <v>34.200000000000003</v>
      </c>
      <c r="AU77" s="21">
        <f t="shared" si="211"/>
        <v>3877083.0000000005</v>
      </c>
      <c r="AV77" s="3">
        <v>0</v>
      </c>
      <c r="AW77" s="80">
        <f t="shared" si="241"/>
        <v>23</v>
      </c>
      <c r="AX77" s="31">
        <f t="shared" si="259"/>
        <v>22.869565217391305</v>
      </c>
      <c r="AY77" s="21">
        <f t="shared" si="212"/>
        <v>0</v>
      </c>
      <c r="AZ77" s="3">
        <v>0</v>
      </c>
      <c r="BA77" s="80">
        <f t="shared" si="242"/>
        <v>28</v>
      </c>
      <c r="BB77" s="31">
        <f t="shared" si="260"/>
        <v>21.928571428571427</v>
      </c>
      <c r="BC77" s="21">
        <f t="shared" si="213"/>
        <v>0</v>
      </c>
      <c r="BD77" s="15">
        <v>0</v>
      </c>
      <c r="BE77" s="3">
        <f t="shared" si="214"/>
        <v>0</v>
      </c>
      <c r="BF77" s="80">
        <f t="shared" si="243"/>
        <v>63</v>
      </c>
      <c r="BG77" s="31">
        <f t="shared" si="261"/>
        <v>9.7142857142857135</v>
      </c>
      <c r="BH77" s="21">
        <v>0</v>
      </c>
      <c r="BI77" s="3">
        <f t="shared" si="216"/>
        <v>0</v>
      </c>
      <c r="BJ77" s="3"/>
      <c r="BK77" s="30"/>
      <c r="BL77" s="21">
        <v>0</v>
      </c>
      <c r="BM77" s="3">
        <v>24723</v>
      </c>
      <c r="BN77" s="80">
        <f t="shared" si="244"/>
        <v>19</v>
      </c>
      <c r="BO77" s="31">
        <f t="shared" si="263"/>
        <v>26.789473684210527</v>
      </c>
      <c r="BP77" s="21">
        <f t="shared" si="218"/>
        <v>662316.15789473685</v>
      </c>
      <c r="BQ77" s="3">
        <v>0</v>
      </c>
      <c r="BR77" s="15"/>
      <c r="BS77" s="3">
        <f t="shared" si="219"/>
        <v>0</v>
      </c>
      <c r="BT77" s="80">
        <f t="shared" si="245"/>
        <v>49</v>
      </c>
      <c r="BU77" s="31">
        <f t="shared" si="264"/>
        <v>7.2448979591836737</v>
      </c>
      <c r="BV77" s="21">
        <f t="shared" si="220"/>
        <v>0</v>
      </c>
      <c r="BW77" s="2">
        <v>0</v>
      </c>
      <c r="BX77" s="80">
        <f t="shared" si="246"/>
        <v>25</v>
      </c>
      <c r="BY77" s="31">
        <f t="shared" si="265"/>
        <v>29.2</v>
      </c>
      <c r="BZ77" s="22">
        <v>0</v>
      </c>
      <c r="CA77" s="2">
        <v>0</v>
      </c>
      <c r="CB77" s="2"/>
      <c r="CD77" s="22">
        <v>0</v>
      </c>
      <c r="CE77" s="3">
        <v>0</v>
      </c>
      <c r="CF77" s="15"/>
      <c r="CG77" s="3">
        <f t="shared" si="221"/>
        <v>0</v>
      </c>
      <c r="CH77" s="25">
        <f t="shared" si="222"/>
        <v>0</v>
      </c>
      <c r="CI77" s="3">
        <v>953</v>
      </c>
      <c r="CJ77" s="15"/>
      <c r="CK77" s="3">
        <f t="shared" si="223"/>
        <v>953</v>
      </c>
      <c r="CL77" s="134">
        <f t="shared" si="247"/>
        <v>20</v>
      </c>
      <c r="CM77" s="31">
        <f t="shared" si="266"/>
        <v>26</v>
      </c>
      <c r="CN77" s="21">
        <f t="shared" si="224"/>
        <v>24778</v>
      </c>
      <c r="CO77" s="3">
        <f t="shared" si="233"/>
        <v>0</v>
      </c>
      <c r="CP77" s="3"/>
      <c r="CQ77" s="3"/>
      <c r="CR77" s="2">
        <f t="shared" si="231"/>
        <v>0</v>
      </c>
      <c r="CS77" s="80">
        <f t="shared" si="248"/>
        <v>37</v>
      </c>
      <c r="CT77" s="31">
        <f t="shared" si="267"/>
        <v>18.675675675675677</v>
      </c>
      <c r="CU77" s="21">
        <f t="shared" si="225"/>
        <v>0</v>
      </c>
      <c r="CV77" s="3">
        <v>10077</v>
      </c>
      <c r="CW77" s="92">
        <f t="shared" si="249"/>
        <v>20</v>
      </c>
      <c r="CX77" s="31">
        <f t="shared" si="268"/>
        <v>26</v>
      </c>
      <c r="CY77" s="21">
        <f t="shared" si="226"/>
        <v>262002</v>
      </c>
      <c r="CZ77" s="3">
        <v>0</v>
      </c>
      <c r="DA77" s="80">
        <f t="shared" si="250"/>
        <v>35</v>
      </c>
      <c r="DB77" s="31">
        <f t="shared" si="269"/>
        <v>18.571428571428573</v>
      </c>
      <c r="DC77" s="21">
        <f t="shared" si="227"/>
        <v>0</v>
      </c>
      <c r="DD77" s="3">
        <v>0</v>
      </c>
      <c r="DE77" s="3">
        <v>0</v>
      </c>
      <c r="DF77" s="15"/>
      <c r="DG77" s="3">
        <f t="shared" si="228"/>
        <v>0</v>
      </c>
      <c r="DH77" s="3">
        <f t="shared" si="229"/>
        <v>0</v>
      </c>
      <c r="DI77" s="136">
        <f t="shared" si="251"/>
        <v>32</v>
      </c>
      <c r="DJ77" s="41">
        <f t="shared" si="270"/>
        <v>27.125</v>
      </c>
      <c r="DK77" s="21">
        <f t="shared" si="230"/>
        <v>0</v>
      </c>
    </row>
    <row r="78" spans="1:115">
      <c r="A78" s="7">
        <v>1941</v>
      </c>
      <c r="B78" s="3">
        <v>3074</v>
      </c>
      <c r="C78" s="15"/>
      <c r="D78" s="3">
        <f t="shared" si="203"/>
        <v>3074</v>
      </c>
      <c r="E78" s="25">
        <f t="shared" si="204"/>
        <v>2151.7999999999997</v>
      </c>
      <c r="F78" s="3">
        <v>179</v>
      </c>
      <c r="G78" s="15"/>
      <c r="H78" s="15">
        <f t="shared" si="205"/>
        <v>179</v>
      </c>
      <c r="I78" s="80">
        <f t="shared" si="234"/>
        <v>19</v>
      </c>
      <c r="J78" s="132">
        <f t="shared" si="252"/>
        <v>27.368421052631579</v>
      </c>
      <c r="K78" s="21">
        <f t="shared" si="206"/>
        <v>4898.9473684210525</v>
      </c>
      <c r="L78" s="3">
        <v>2007</v>
      </c>
      <c r="M78" s="15"/>
      <c r="N78" s="15"/>
      <c r="O78" s="3">
        <f t="shared" si="201"/>
        <v>2007</v>
      </c>
      <c r="P78" s="80">
        <f t="shared" si="235"/>
        <v>17</v>
      </c>
      <c r="Q78" s="31">
        <f t="shared" si="253"/>
        <v>35</v>
      </c>
      <c r="R78" s="21">
        <f t="shared" si="207"/>
        <v>70245</v>
      </c>
      <c r="S78" s="3">
        <v>46</v>
      </c>
      <c r="T78" s="15"/>
      <c r="U78" s="15"/>
      <c r="V78" s="3">
        <f t="shared" si="202"/>
        <v>46</v>
      </c>
      <c r="W78" s="80">
        <f t="shared" si="236"/>
        <v>23</v>
      </c>
      <c r="X78" s="31">
        <f t="shared" si="254"/>
        <v>26.521739130434781</v>
      </c>
      <c r="Y78" s="21">
        <f t="shared" si="208"/>
        <v>1220</v>
      </c>
      <c r="Z78" s="3">
        <v>0</v>
      </c>
      <c r="AA78" s="80">
        <f t="shared" si="237"/>
        <v>21</v>
      </c>
      <c r="AB78" s="31">
        <f t="shared" si="255"/>
        <v>26.095238095238095</v>
      </c>
      <c r="AC78" s="21">
        <v>0</v>
      </c>
      <c r="AD78" s="3">
        <v>0</v>
      </c>
      <c r="AE78" s="80">
        <f t="shared" si="238"/>
        <v>25</v>
      </c>
      <c r="AF78" s="31">
        <f t="shared" si="256"/>
        <v>33.159999999999997</v>
      </c>
      <c r="AG78" s="21">
        <v>0</v>
      </c>
      <c r="AH78" s="3">
        <v>0</v>
      </c>
      <c r="AI78" s="15"/>
      <c r="AJ78" s="3">
        <f t="shared" si="209"/>
        <v>0</v>
      </c>
      <c r="AL78" s="31"/>
      <c r="AM78" s="21">
        <v>0</v>
      </c>
      <c r="AN78" s="3">
        <v>119413</v>
      </c>
      <c r="AO78" s="80">
        <f t="shared" si="239"/>
        <v>17</v>
      </c>
      <c r="AP78" s="31">
        <f t="shared" si="257"/>
        <v>33.411764705882355</v>
      </c>
      <c r="AQ78" s="21">
        <f t="shared" si="210"/>
        <v>3989799.0588235296</v>
      </c>
      <c r="AR78" s="3">
        <v>133384</v>
      </c>
      <c r="AS78" s="80">
        <f t="shared" si="240"/>
        <v>18</v>
      </c>
      <c r="AT78" s="31">
        <f t="shared" si="258"/>
        <v>38</v>
      </c>
      <c r="AU78" s="21">
        <f t="shared" si="211"/>
        <v>5068592</v>
      </c>
      <c r="AV78" s="3">
        <v>3217</v>
      </c>
      <c r="AW78" s="80">
        <f t="shared" si="241"/>
        <v>21</v>
      </c>
      <c r="AX78" s="31">
        <f t="shared" si="259"/>
        <v>25.047619047619047</v>
      </c>
      <c r="AY78" s="21">
        <f t="shared" si="212"/>
        <v>80578.190476190473</v>
      </c>
      <c r="AZ78" s="3">
        <v>0</v>
      </c>
      <c r="BA78" s="80">
        <f t="shared" si="242"/>
        <v>26</v>
      </c>
      <c r="BB78" s="31">
        <f t="shared" si="260"/>
        <v>23.615384615384617</v>
      </c>
      <c r="BC78" s="21">
        <f t="shared" si="213"/>
        <v>0</v>
      </c>
      <c r="BD78" s="15">
        <v>0</v>
      </c>
      <c r="BE78" s="3">
        <f t="shared" si="214"/>
        <v>0</v>
      </c>
      <c r="BF78" s="80">
        <f t="shared" si="243"/>
        <v>63</v>
      </c>
      <c r="BG78" s="31">
        <f t="shared" si="261"/>
        <v>9.7142857142857135</v>
      </c>
      <c r="BH78" s="21">
        <v>0</v>
      </c>
      <c r="BI78" s="3">
        <f t="shared" si="216"/>
        <v>0</v>
      </c>
      <c r="BJ78" s="3"/>
      <c r="BK78" s="30"/>
      <c r="BL78" s="21">
        <v>0</v>
      </c>
      <c r="BM78" s="3">
        <v>62691</v>
      </c>
      <c r="BN78" s="80">
        <f t="shared" si="244"/>
        <v>17</v>
      </c>
      <c r="BO78" s="31">
        <f t="shared" si="263"/>
        <v>29.941176470588236</v>
      </c>
      <c r="BP78" s="21">
        <f t="shared" si="218"/>
        <v>1877042.294117647</v>
      </c>
      <c r="BQ78" s="3">
        <v>0</v>
      </c>
      <c r="BR78" s="15"/>
      <c r="BS78" s="3">
        <f t="shared" si="219"/>
        <v>0</v>
      </c>
      <c r="BT78" s="80">
        <f t="shared" si="245"/>
        <v>48</v>
      </c>
      <c r="BU78" s="31">
        <f t="shared" si="264"/>
        <v>7.395833333333333</v>
      </c>
      <c r="BV78" s="21">
        <f t="shared" si="220"/>
        <v>0</v>
      </c>
      <c r="BW78" s="2">
        <v>0</v>
      </c>
      <c r="BX78" s="80">
        <f t="shared" si="246"/>
        <v>24</v>
      </c>
      <c r="BY78" s="31">
        <f t="shared" si="265"/>
        <v>30.416666666666668</v>
      </c>
      <c r="BZ78" s="22">
        <v>0</v>
      </c>
      <c r="CA78" s="2">
        <v>0</v>
      </c>
      <c r="CB78" s="2"/>
      <c r="CD78" s="22">
        <v>0</v>
      </c>
      <c r="CE78" s="3">
        <v>3074</v>
      </c>
      <c r="CF78" s="15"/>
      <c r="CG78" s="3">
        <f t="shared" si="221"/>
        <v>3074</v>
      </c>
      <c r="CH78" s="25">
        <f t="shared" si="222"/>
        <v>922.19999999999993</v>
      </c>
      <c r="CI78" s="3">
        <v>14900</v>
      </c>
      <c r="CJ78" s="15"/>
      <c r="CK78" s="3">
        <f t="shared" si="223"/>
        <v>14900</v>
      </c>
      <c r="CL78" s="134">
        <f t="shared" si="247"/>
        <v>19</v>
      </c>
      <c r="CM78" s="31">
        <f t="shared" si="266"/>
        <v>27.368421052631579</v>
      </c>
      <c r="CN78" s="21">
        <f t="shared" si="224"/>
        <v>407789.4736842105</v>
      </c>
      <c r="CO78" s="3">
        <f t="shared" si="233"/>
        <v>0</v>
      </c>
      <c r="CP78" s="3"/>
      <c r="CQ78" s="3"/>
      <c r="CR78" s="2">
        <f t="shared" si="231"/>
        <v>0</v>
      </c>
      <c r="CS78" s="80">
        <f t="shared" si="248"/>
        <v>36</v>
      </c>
      <c r="CT78" s="31">
        <f t="shared" si="267"/>
        <v>19.194444444444443</v>
      </c>
      <c r="CU78" s="21">
        <f t="shared" si="225"/>
        <v>0</v>
      </c>
      <c r="CV78" s="3">
        <v>1234</v>
      </c>
      <c r="CW78" s="92">
        <f t="shared" si="249"/>
        <v>19</v>
      </c>
      <c r="CX78" s="31">
        <f t="shared" si="268"/>
        <v>27.368421052631579</v>
      </c>
      <c r="CY78" s="21">
        <f t="shared" si="226"/>
        <v>33772.631578947367</v>
      </c>
      <c r="CZ78" s="3">
        <v>0</v>
      </c>
      <c r="DA78" s="80">
        <f t="shared" si="250"/>
        <v>33</v>
      </c>
      <c r="DB78" s="31">
        <f t="shared" si="269"/>
        <v>19.696969696969695</v>
      </c>
      <c r="DC78" s="21">
        <f t="shared" si="227"/>
        <v>0</v>
      </c>
      <c r="DD78" s="3">
        <v>0</v>
      </c>
      <c r="DE78" s="3">
        <v>0</v>
      </c>
      <c r="DF78" s="15"/>
      <c r="DG78" s="3">
        <f t="shared" si="228"/>
        <v>0</v>
      </c>
      <c r="DH78" s="3">
        <f t="shared" si="229"/>
        <v>0</v>
      </c>
      <c r="DI78" s="136">
        <f t="shared" si="251"/>
        <v>31</v>
      </c>
      <c r="DJ78" s="41">
        <f t="shared" si="270"/>
        <v>28</v>
      </c>
      <c r="DK78" s="21">
        <f t="shared" si="230"/>
        <v>0</v>
      </c>
    </row>
    <row r="79" spans="1:115">
      <c r="A79" s="7">
        <v>1940</v>
      </c>
      <c r="B79" s="3">
        <v>12858</v>
      </c>
      <c r="C79" s="15"/>
      <c r="D79" s="3">
        <f t="shared" si="203"/>
        <v>12858</v>
      </c>
      <c r="E79" s="25">
        <f t="shared" si="204"/>
        <v>9000.5999999999985</v>
      </c>
      <c r="F79" s="3">
        <v>0</v>
      </c>
      <c r="G79" s="15"/>
      <c r="H79" s="15">
        <f t="shared" si="205"/>
        <v>0</v>
      </c>
      <c r="I79" s="80">
        <f t="shared" si="234"/>
        <v>17</v>
      </c>
      <c r="J79" s="132">
        <f t="shared" si="252"/>
        <v>30.588235294117649</v>
      </c>
      <c r="K79" s="21">
        <f t="shared" si="206"/>
        <v>0</v>
      </c>
      <c r="L79" s="3">
        <v>6498</v>
      </c>
      <c r="M79" s="15"/>
      <c r="N79" s="15"/>
      <c r="O79" s="3">
        <f t="shared" si="201"/>
        <v>6498</v>
      </c>
      <c r="P79" s="80">
        <f t="shared" si="235"/>
        <v>15</v>
      </c>
      <c r="Q79" s="31">
        <f t="shared" si="253"/>
        <v>39.666666666666664</v>
      </c>
      <c r="R79" s="21">
        <f t="shared" si="207"/>
        <v>257753.99999999997</v>
      </c>
      <c r="S79" s="3">
        <v>29055</v>
      </c>
      <c r="T79" s="15"/>
      <c r="U79" s="15"/>
      <c r="V79" s="3">
        <f t="shared" si="202"/>
        <v>29055</v>
      </c>
      <c r="W79" s="80">
        <f t="shared" si="236"/>
        <v>22</v>
      </c>
      <c r="X79" s="31">
        <f t="shared" si="254"/>
        <v>27.727272727272727</v>
      </c>
      <c r="Y79" s="21">
        <f t="shared" si="208"/>
        <v>805615.90909090906</v>
      </c>
      <c r="Z79" s="3">
        <v>0</v>
      </c>
      <c r="AA79" s="80">
        <f t="shared" si="237"/>
        <v>19</v>
      </c>
      <c r="AB79" s="31">
        <f t="shared" si="255"/>
        <v>28.842105263157894</v>
      </c>
      <c r="AC79" s="21">
        <v>0</v>
      </c>
      <c r="AD79" s="3">
        <v>0</v>
      </c>
      <c r="AE79" s="80">
        <f t="shared" si="238"/>
        <v>22</v>
      </c>
      <c r="AF79" s="31">
        <f t="shared" si="256"/>
        <v>37.68181818181818</v>
      </c>
      <c r="AG79" s="21">
        <v>0</v>
      </c>
      <c r="AH79" s="3">
        <v>0</v>
      </c>
      <c r="AI79" s="15"/>
      <c r="AJ79" s="3">
        <f t="shared" si="209"/>
        <v>0</v>
      </c>
      <c r="AL79" s="31"/>
      <c r="AM79" s="21">
        <v>0</v>
      </c>
      <c r="AN79" s="3">
        <v>35700</v>
      </c>
      <c r="AO79" s="80">
        <f t="shared" si="239"/>
        <v>15</v>
      </c>
      <c r="AP79" s="31">
        <f t="shared" si="257"/>
        <v>37.866666666666667</v>
      </c>
      <c r="AQ79" s="21">
        <f t="shared" si="210"/>
        <v>1351840</v>
      </c>
      <c r="AR79" s="3">
        <v>381839</v>
      </c>
      <c r="AS79" s="80">
        <f t="shared" si="240"/>
        <v>17</v>
      </c>
      <c r="AT79" s="31">
        <f t="shared" si="258"/>
        <v>40.235294117647058</v>
      </c>
      <c r="AU79" s="21">
        <f t="shared" si="211"/>
        <v>15363404.470588235</v>
      </c>
      <c r="AV79" s="3">
        <v>4383</v>
      </c>
      <c r="AW79" s="80">
        <f t="shared" si="241"/>
        <v>20</v>
      </c>
      <c r="AX79" s="31">
        <f t="shared" si="259"/>
        <v>26.3</v>
      </c>
      <c r="AY79" s="21">
        <f t="shared" si="212"/>
        <v>115272.90000000001</v>
      </c>
      <c r="AZ79" s="3">
        <v>0</v>
      </c>
      <c r="BA79" s="80">
        <f t="shared" si="242"/>
        <v>23</v>
      </c>
      <c r="BB79" s="31">
        <f t="shared" si="260"/>
        <v>26.695652173913043</v>
      </c>
      <c r="BC79" s="21">
        <f t="shared" si="213"/>
        <v>0</v>
      </c>
      <c r="BD79" s="15">
        <v>0</v>
      </c>
      <c r="BE79" s="3">
        <f t="shared" si="214"/>
        <v>0</v>
      </c>
      <c r="BF79" s="80">
        <f t="shared" si="243"/>
        <v>61</v>
      </c>
      <c r="BG79" s="31">
        <f t="shared" si="261"/>
        <v>10.032786885245901</v>
      </c>
      <c r="BH79" s="21">
        <v>0</v>
      </c>
      <c r="BI79" s="3">
        <f t="shared" si="216"/>
        <v>0</v>
      </c>
      <c r="BJ79" s="3"/>
      <c r="BK79" s="30"/>
      <c r="BL79" s="21">
        <v>0</v>
      </c>
      <c r="BM79" s="3">
        <v>49795</v>
      </c>
      <c r="BN79" s="80">
        <f t="shared" si="244"/>
        <v>17</v>
      </c>
      <c r="BO79" s="31">
        <f t="shared" si="263"/>
        <v>29.941176470588236</v>
      </c>
      <c r="BP79" s="21">
        <f t="shared" si="218"/>
        <v>1490920.8823529412</v>
      </c>
      <c r="BQ79" s="3">
        <v>0</v>
      </c>
      <c r="BR79" s="15"/>
      <c r="BS79" s="3">
        <f t="shared" si="219"/>
        <v>0</v>
      </c>
      <c r="BT79" s="80">
        <f t="shared" si="245"/>
        <v>48</v>
      </c>
      <c r="BU79" s="31">
        <f t="shared" si="264"/>
        <v>7.395833333333333</v>
      </c>
      <c r="BV79" s="21">
        <f t="shared" si="220"/>
        <v>0</v>
      </c>
      <c r="BW79" s="2">
        <v>0</v>
      </c>
      <c r="BX79" s="80">
        <f t="shared" si="246"/>
        <v>23</v>
      </c>
      <c r="BY79" s="31">
        <f t="shared" si="265"/>
        <v>31.739130434782609</v>
      </c>
      <c r="BZ79" s="22">
        <v>0</v>
      </c>
      <c r="CA79" s="2">
        <v>0</v>
      </c>
      <c r="CB79" s="2"/>
      <c r="CD79" s="22">
        <v>0</v>
      </c>
      <c r="CE79" s="3">
        <v>12858</v>
      </c>
      <c r="CF79" s="15"/>
      <c r="CG79" s="3">
        <f t="shared" si="221"/>
        <v>12858</v>
      </c>
      <c r="CH79" s="25">
        <f t="shared" si="222"/>
        <v>3857.3999999999996</v>
      </c>
      <c r="CI79" s="3">
        <v>12749</v>
      </c>
      <c r="CJ79" s="15"/>
      <c r="CK79" s="3">
        <f t="shared" si="223"/>
        <v>12749</v>
      </c>
      <c r="CL79" s="134">
        <f t="shared" si="247"/>
        <v>17</v>
      </c>
      <c r="CM79" s="31">
        <f t="shared" si="266"/>
        <v>30.588235294117649</v>
      </c>
      <c r="CN79" s="21">
        <f t="shared" si="224"/>
        <v>389969.4117647059</v>
      </c>
      <c r="CO79" s="3">
        <f t="shared" si="233"/>
        <v>0</v>
      </c>
      <c r="CP79" s="3"/>
      <c r="CQ79" s="3"/>
      <c r="CR79" s="2">
        <f t="shared" si="231"/>
        <v>0</v>
      </c>
      <c r="CS79" s="80">
        <f t="shared" si="248"/>
        <v>35</v>
      </c>
      <c r="CT79" s="31">
        <f t="shared" si="267"/>
        <v>19.742857142857144</v>
      </c>
      <c r="CU79" s="21">
        <f t="shared" si="225"/>
        <v>0</v>
      </c>
      <c r="CV79" s="3">
        <v>0</v>
      </c>
      <c r="CW79" s="92">
        <f t="shared" si="249"/>
        <v>17</v>
      </c>
      <c r="CX79" s="31">
        <f t="shared" si="268"/>
        <v>30.588235294117649</v>
      </c>
      <c r="CY79" s="21">
        <f t="shared" si="226"/>
        <v>0</v>
      </c>
      <c r="CZ79" s="3">
        <v>0</v>
      </c>
      <c r="DA79" s="80">
        <f t="shared" si="250"/>
        <v>32</v>
      </c>
      <c r="DB79" s="31">
        <f t="shared" si="269"/>
        <v>20.3125</v>
      </c>
      <c r="DC79" s="21">
        <f t="shared" si="227"/>
        <v>0</v>
      </c>
      <c r="DD79" s="3">
        <v>0</v>
      </c>
      <c r="DE79" s="3">
        <v>0</v>
      </c>
      <c r="DF79" s="15"/>
      <c r="DG79" s="3">
        <f t="shared" si="228"/>
        <v>0</v>
      </c>
      <c r="DH79" s="3">
        <f t="shared" si="229"/>
        <v>0</v>
      </c>
      <c r="DI79" s="136">
        <f t="shared" si="251"/>
        <v>30</v>
      </c>
      <c r="DJ79" s="41">
        <f t="shared" si="270"/>
        <v>28.933333333333334</v>
      </c>
      <c r="DK79" s="21">
        <f t="shared" si="230"/>
        <v>0</v>
      </c>
    </row>
    <row r="80" spans="1:115">
      <c r="A80" s="7">
        <v>1939</v>
      </c>
      <c r="B80" s="3">
        <v>305</v>
      </c>
      <c r="C80" s="15"/>
      <c r="D80" s="3">
        <f t="shared" si="203"/>
        <v>305</v>
      </c>
      <c r="E80" s="25">
        <f t="shared" si="204"/>
        <v>213.5</v>
      </c>
      <c r="F80" s="3">
        <v>0</v>
      </c>
      <c r="G80" s="15"/>
      <c r="H80" s="15">
        <f t="shared" si="205"/>
        <v>0</v>
      </c>
      <c r="I80" s="80">
        <f t="shared" si="234"/>
        <v>17</v>
      </c>
      <c r="J80" s="132">
        <f t="shared" si="252"/>
        <v>30.588235294117649</v>
      </c>
      <c r="K80" s="21">
        <f t="shared" si="206"/>
        <v>0</v>
      </c>
      <c r="L80" s="3">
        <v>5042</v>
      </c>
      <c r="M80" s="15"/>
      <c r="N80" s="15"/>
      <c r="O80" s="3">
        <f t="shared" si="201"/>
        <v>5042</v>
      </c>
      <c r="P80" s="80">
        <f t="shared" si="235"/>
        <v>15</v>
      </c>
      <c r="Q80" s="31">
        <f t="shared" si="253"/>
        <v>39.666666666666664</v>
      </c>
      <c r="R80" s="21">
        <f t="shared" si="207"/>
        <v>199999.33333333331</v>
      </c>
      <c r="S80" s="3">
        <v>0</v>
      </c>
      <c r="T80" s="15"/>
      <c r="U80" s="15"/>
      <c r="V80" s="3">
        <f t="shared" si="202"/>
        <v>0</v>
      </c>
      <c r="W80" s="80">
        <f t="shared" si="236"/>
        <v>22</v>
      </c>
      <c r="X80" s="31">
        <f t="shared" si="254"/>
        <v>27.727272727272727</v>
      </c>
      <c r="Y80" s="21">
        <f t="shared" si="208"/>
        <v>0</v>
      </c>
      <c r="Z80" s="3">
        <v>0</v>
      </c>
      <c r="AA80" s="80">
        <f t="shared" si="237"/>
        <v>19</v>
      </c>
      <c r="AB80" s="31">
        <f t="shared" si="255"/>
        <v>28.842105263157894</v>
      </c>
      <c r="AC80" s="21">
        <v>0</v>
      </c>
      <c r="AD80" s="3">
        <v>0</v>
      </c>
      <c r="AE80" s="80">
        <f t="shared" si="238"/>
        <v>22</v>
      </c>
      <c r="AF80" s="31">
        <f t="shared" si="256"/>
        <v>37.68181818181818</v>
      </c>
      <c r="AG80" s="21">
        <v>0</v>
      </c>
      <c r="AH80" s="3">
        <v>0</v>
      </c>
      <c r="AI80" s="15"/>
      <c r="AJ80" s="3">
        <f t="shared" si="209"/>
        <v>0</v>
      </c>
      <c r="AL80" s="31"/>
      <c r="AM80" s="21">
        <v>0</v>
      </c>
      <c r="AN80" s="3">
        <v>0</v>
      </c>
      <c r="AO80" s="80">
        <f t="shared" si="239"/>
        <v>15</v>
      </c>
      <c r="AP80" s="31">
        <f t="shared" si="257"/>
        <v>37.866666666666667</v>
      </c>
      <c r="AQ80" s="21">
        <f t="shared" si="210"/>
        <v>0</v>
      </c>
      <c r="AR80" s="3">
        <v>122200</v>
      </c>
      <c r="AS80" s="80">
        <f t="shared" si="240"/>
        <v>17</v>
      </c>
      <c r="AT80" s="31">
        <f t="shared" si="258"/>
        <v>40.235294117647058</v>
      </c>
      <c r="AU80" s="21">
        <f t="shared" si="211"/>
        <v>4916752.9411764704</v>
      </c>
      <c r="AV80" s="3">
        <v>14</v>
      </c>
      <c r="AW80" s="80">
        <f t="shared" si="241"/>
        <v>20</v>
      </c>
      <c r="AX80" s="31">
        <f t="shared" si="259"/>
        <v>26.3</v>
      </c>
      <c r="AY80" s="21">
        <f t="shared" si="212"/>
        <v>368.2</v>
      </c>
      <c r="AZ80" s="3">
        <v>0</v>
      </c>
      <c r="BA80" s="80">
        <f t="shared" si="242"/>
        <v>23</v>
      </c>
      <c r="BB80" s="31">
        <f t="shared" si="260"/>
        <v>26.695652173913043</v>
      </c>
      <c r="BC80" s="21">
        <f t="shared" si="213"/>
        <v>0</v>
      </c>
      <c r="BD80" s="15">
        <v>0</v>
      </c>
      <c r="BE80" s="3">
        <f t="shared" si="214"/>
        <v>0</v>
      </c>
      <c r="BF80" s="80">
        <f t="shared" si="243"/>
        <v>61</v>
      </c>
      <c r="BG80" s="31">
        <f t="shared" si="261"/>
        <v>10.032786885245901</v>
      </c>
      <c r="BH80" s="21">
        <v>0</v>
      </c>
      <c r="BI80" s="3">
        <f t="shared" si="216"/>
        <v>0</v>
      </c>
      <c r="BJ80" s="3"/>
      <c r="BK80" s="30"/>
      <c r="BL80" s="21">
        <v>0</v>
      </c>
      <c r="BM80" s="3">
        <v>0</v>
      </c>
      <c r="BN80" s="80">
        <f t="shared" si="244"/>
        <v>16</v>
      </c>
      <c r="BO80" s="31">
        <f t="shared" si="263"/>
        <v>31.8125</v>
      </c>
      <c r="BP80" s="21">
        <v>0</v>
      </c>
      <c r="BQ80" s="3">
        <v>0</v>
      </c>
      <c r="BR80" s="15"/>
      <c r="BS80" s="3">
        <f t="shared" si="219"/>
        <v>0</v>
      </c>
      <c r="BT80" s="80">
        <f t="shared" si="245"/>
        <v>48</v>
      </c>
      <c r="BU80" s="31">
        <f t="shared" si="264"/>
        <v>7.395833333333333</v>
      </c>
      <c r="BV80" s="21">
        <f t="shared" si="220"/>
        <v>0</v>
      </c>
      <c r="BW80" s="2">
        <v>0</v>
      </c>
      <c r="BX80" s="80">
        <f t="shared" si="246"/>
        <v>23</v>
      </c>
      <c r="BY80" s="31">
        <f t="shared" si="265"/>
        <v>31.739130434782609</v>
      </c>
      <c r="BZ80" s="22">
        <v>0</v>
      </c>
      <c r="CA80" s="2">
        <v>0</v>
      </c>
      <c r="CB80" s="2"/>
      <c r="CD80" s="22">
        <v>0</v>
      </c>
      <c r="CE80" s="3">
        <v>305</v>
      </c>
      <c r="CF80" s="15"/>
      <c r="CG80" s="3">
        <f t="shared" si="221"/>
        <v>305</v>
      </c>
      <c r="CH80" s="25">
        <f t="shared" si="222"/>
        <v>91.5</v>
      </c>
      <c r="CI80" s="3">
        <v>5958</v>
      </c>
      <c r="CJ80" s="15"/>
      <c r="CK80" s="3">
        <f t="shared" si="223"/>
        <v>5958</v>
      </c>
      <c r="CL80" s="134">
        <f t="shared" si="247"/>
        <v>17</v>
      </c>
      <c r="CM80" s="31">
        <f t="shared" si="266"/>
        <v>30.588235294117649</v>
      </c>
      <c r="CN80" s="21">
        <f t="shared" si="224"/>
        <v>182244.70588235295</v>
      </c>
      <c r="CO80" s="3">
        <f t="shared" si="233"/>
        <v>0</v>
      </c>
      <c r="CP80" s="3"/>
      <c r="CQ80" s="3"/>
      <c r="CR80" s="2">
        <f t="shared" si="231"/>
        <v>0</v>
      </c>
      <c r="CS80" s="80">
        <f t="shared" si="248"/>
        <v>35</v>
      </c>
      <c r="CT80" s="31">
        <f t="shared" si="267"/>
        <v>19.742857142857144</v>
      </c>
      <c r="CU80" s="21">
        <f t="shared" si="225"/>
        <v>0</v>
      </c>
      <c r="CV80" s="3">
        <v>3459</v>
      </c>
      <c r="CW80" s="92">
        <f t="shared" si="249"/>
        <v>17</v>
      </c>
      <c r="CX80" s="31">
        <f t="shared" si="268"/>
        <v>30.588235294117649</v>
      </c>
      <c r="CY80" s="21">
        <f t="shared" si="226"/>
        <v>105804.70588235295</v>
      </c>
      <c r="CZ80" s="3">
        <v>0</v>
      </c>
      <c r="DA80" s="80">
        <f t="shared" si="250"/>
        <v>32</v>
      </c>
      <c r="DB80" s="31">
        <f t="shared" si="269"/>
        <v>20.3125</v>
      </c>
      <c r="DC80" s="21">
        <f t="shared" si="227"/>
        <v>0</v>
      </c>
      <c r="DD80" s="3">
        <v>0</v>
      </c>
      <c r="DE80" s="3">
        <v>0</v>
      </c>
      <c r="DF80" s="15"/>
      <c r="DG80" s="3">
        <f t="shared" si="228"/>
        <v>0</v>
      </c>
      <c r="DH80" s="3">
        <f t="shared" si="229"/>
        <v>0</v>
      </c>
      <c r="DI80" s="136">
        <f t="shared" si="251"/>
        <v>30</v>
      </c>
      <c r="DJ80" s="41">
        <f t="shared" si="270"/>
        <v>28.933333333333334</v>
      </c>
      <c r="DK80" s="21">
        <f t="shared" si="230"/>
        <v>0</v>
      </c>
    </row>
    <row r="81" spans="1:115">
      <c r="A81" s="7">
        <v>1938</v>
      </c>
      <c r="B81" s="3">
        <v>2565</v>
      </c>
      <c r="C81" s="15"/>
      <c r="D81" s="3">
        <f t="shared" si="203"/>
        <v>2565</v>
      </c>
      <c r="E81" s="25">
        <f t="shared" si="204"/>
        <v>1795.4999999999998</v>
      </c>
      <c r="F81" s="3">
        <v>0</v>
      </c>
      <c r="G81" s="15"/>
      <c r="H81" s="15">
        <f t="shared" si="205"/>
        <v>0</v>
      </c>
      <c r="I81" s="80">
        <f t="shared" si="234"/>
        <v>17</v>
      </c>
      <c r="J81" s="132">
        <f t="shared" si="252"/>
        <v>30.588235294117649</v>
      </c>
      <c r="K81" s="21">
        <f t="shared" si="206"/>
        <v>0</v>
      </c>
      <c r="L81" s="3">
        <v>0</v>
      </c>
      <c r="M81" s="15"/>
      <c r="N81" s="15"/>
      <c r="O81" s="3">
        <f t="shared" si="201"/>
        <v>0</v>
      </c>
      <c r="P81" s="80">
        <f t="shared" si="235"/>
        <v>15</v>
      </c>
      <c r="Q81" s="31">
        <f t="shared" si="253"/>
        <v>39.666666666666664</v>
      </c>
      <c r="R81" s="21">
        <f t="shared" si="207"/>
        <v>0</v>
      </c>
      <c r="S81" s="3">
        <v>0</v>
      </c>
      <c r="T81" s="15"/>
      <c r="U81" s="15"/>
      <c r="V81" s="3">
        <f t="shared" si="202"/>
        <v>0</v>
      </c>
      <c r="W81" s="80">
        <f t="shared" si="236"/>
        <v>22</v>
      </c>
      <c r="X81" s="31">
        <f t="shared" si="254"/>
        <v>27.727272727272727</v>
      </c>
      <c r="Y81" s="21">
        <f t="shared" si="208"/>
        <v>0</v>
      </c>
      <c r="Z81" s="3">
        <v>0</v>
      </c>
      <c r="AA81" s="80">
        <f t="shared" si="237"/>
        <v>19</v>
      </c>
      <c r="AB81" s="31">
        <f t="shared" si="255"/>
        <v>28.842105263157894</v>
      </c>
      <c r="AC81" s="21">
        <v>0</v>
      </c>
      <c r="AD81" s="3">
        <v>0</v>
      </c>
      <c r="AE81" s="80">
        <f t="shared" si="238"/>
        <v>21</v>
      </c>
      <c r="AF81" s="31">
        <f t="shared" si="256"/>
        <v>39.476190476190474</v>
      </c>
      <c r="AG81" s="21">
        <v>0</v>
      </c>
      <c r="AH81" s="3">
        <v>0</v>
      </c>
      <c r="AI81" s="15"/>
      <c r="AJ81" s="3">
        <f t="shared" si="209"/>
        <v>0</v>
      </c>
      <c r="AL81" s="31"/>
      <c r="AM81" s="21">
        <v>0</v>
      </c>
      <c r="AN81" s="3">
        <v>0</v>
      </c>
      <c r="AO81" s="80">
        <f t="shared" si="239"/>
        <v>15</v>
      </c>
      <c r="AP81" s="31">
        <f t="shared" si="257"/>
        <v>37.866666666666667</v>
      </c>
      <c r="AQ81" s="21">
        <v>0</v>
      </c>
      <c r="AR81" s="3">
        <v>64281</v>
      </c>
      <c r="AS81" s="80">
        <f t="shared" si="240"/>
        <v>17</v>
      </c>
      <c r="AT81" s="31">
        <f t="shared" si="258"/>
        <v>40.235294117647058</v>
      </c>
      <c r="AU81" s="21">
        <f t="shared" si="211"/>
        <v>2586364.9411764704</v>
      </c>
      <c r="AV81" s="3">
        <v>3737</v>
      </c>
      <c r="AW81" s="80">
        <f t="shared" si="241"/>
        <v>20</v>
      </c>
      <c r="AX81" s="31">
        <f t="shared" si="259"/>
        <v>26.3</v>
      </c>
      <c r="AY81" s="21">
        <f t="shared" si="212"/>
        <v>98283.1</v>
      </c>
      <c r="AZ81" s="3">
        <v>0</v>
      </c>
      <c r="BA81" s="80">
        <f t="shared" si="242"/>
        <v>22</v>
      </c>
      <c r="BB81" s="31">
        <f t="shared" si="260"/>
        <v>27.90909090909091</v>
      </c>
      <c r="BC81" s="21">
        <f t="shared" si="213"/>
        <v>0</v>
      </c>
      <c r="BD81" s="15">
        <v>0</v>
      </c>
      <c r="BE81" s="3">
        <f t="shared" si="214"/>
        <v>0</v>
      </c>
      <c r="BF81" s="80">
        <f t="shared" si="243"/>
        <v>61</v>
      </c>
      <c r="BG81" s="31">
        <f t="shared" si="261"/>
        <v>10.032786885245901</v>
      </c>
      <c r="BH81" s="21">
        <v>0</v>
      </c>
      <c r="BI81" s="3">
        <f t="shared" si="216"/>
        <v>0</v>
      </c>
      <c r="BJ81" s="3"/>
      <c r="BK81" s="30"/>
      <c r="BL81" s="21">
        <v>0</v>
      </c>
      <c r="BM81" s="3">
        <v>0</v>
      </c>
      <c r="BN81" s="80">
        <f t="shared" si="244"/>
        <v>16</v>
      </c>
      <c r="BO81" s="31">
        <f t="shared" si="263"/>
        <v>31.8125</v>
      </c>
      <c r="BP81" s="21">
        <v>0</v>
      </c>
      <c r="BQ81" s="3">
        <v>0</v>
      </c>
      <c r="BR81" s="15"/>
      <c r="BS81" s="3">
        <f t="shared" si="219"/>
        <v>0</v>
      </c>
      <c r="BT81" s="80">
        <f t="shared" si="245"/>
        <v>48</v>
      </c>
      <c r="BU81" s="31">
        <f t="shared" si="264"/>
        <v>7.395833333333333</v>
      </c>
      <c r="BV81" s="21">
        <f t="shared" si="220"/>
        <v>0</v>
      </c>
      <c r="BW81" s="2">
        <v>0</v>
      </c>
      <c r="BX81" s="80">
        <f t="shared" si="246"/>
        <v>23</v>
      </c>
      <c r="BY81" s="31">
        <f t="shared" si="265"/>
        <v>31.739130434782609</v>
      </c>
      <c r="BZ81" s="22">
        <v>0</v>
      </c>
      <c r="CA81" s="2">
        <v>0</v>
      </c>
      <c r="CB81" s="2"/>
      <c r="CD81" s="22">
        <v>0</v>
      </c>
      <c r="CE81" s="3">
        <v>2565</v>
      </c>
      <c r="CF81" s="15"/>
      <c r="CG81" s="3">
        <f t="shared" si="221"/>
        <v>2565</v>
      </c>
      <c r="CH81" s="25">
        <f t="shared" si="222"/>
        <v>769.5</v>
      </c>
      <c r="CI81" s="3">
        <v>0</v>
      </c>
      <c r="CJ81" s="15"/>
      <c r="CK81" s="3">
        <f t="shared" si="223"/>
        <v>0</v>
      </c>
      <c r="CL81" s="134">
        <f t="shared" si="247"/>
        <v>17</v>
      </c>
      <c r="CM81" s="31">
        <f t="shared" si="266"/>
        <v>30.588235294117649</v>
      </c>
      <c r="CN81" s="21">
        <f t="shared" si="224"/>
        <v>0</v>
      </c>
      <c r="CO81" s="3">
        <f t="shared" si="233"/>
        <v>0</v>
      </c>
      <c r="CP81" s="3"/>
      <c r="CQ81" s="3"/>
      <c r="CR81" s="2">
        <f t="shared" si="231"/>
        <v>0</v>
      </c>
      <c r="CS81" s="80">
        <f t="shared" si="248"/>
        <v>35</v>
      </c>
      <c r="CT81" s="31">
        <f t="shared" si="267"/>
        <v>19.742857142857144</v>
      </c>
      <c r="CU81" s="21">
        <f t="shared" si="225"/>
        <v>0</v>
      </c>
      <c r="CV81" s="3">
        <v>105</v>
      </c>
      <c r="CW81" s="92">
        <f t="shared" si="249"/>
        <v>17</v>
      </c>
      <c r="CX81" s="31">
        <f t="shared" si="268"/>
        <v>30.588235294117649</v>
      </c>
      <c r="CY81" s="21">
        <f t="shared" si="226"/>
        <v>3211.7647058823532</v>
      </c>
      <c r="CZ81" s="3">
        <v>0</v>
      </c>
      <c r="DA81" s="80">
        <f t="shared" si="250"/>
        <v>32</v>
      </c>
      <c r="DB81" s="31">
        <f t="shared" si="269"/>
        <v>20.3125</v>
      </c>
      <c r="DC81" s="21">
        <f t="shared" si="227"/>
        <v>0</v>
      </c>
      <c r="DD81" s="3">
        <v>0</v>
      </c>
      <c r="DE81" s="3">
        <v>0</v>
      </c>
      <c r="DF81" s="15"/>
      <c r="DG81" s="3">
        <f t="shared" si="228"/>
        <v>0</v>
      </c>
      <c r="DH81" s="3">
        <f t="shared" si="229"/>
        <v>0</v>
      </c>
      <c r="DI81" s="136">
        <f t="shared" si="251"/>
        <v>30</v>
      </c>
      <c r="DJ81" s="41">
        <f t="shared" si="270"/>
        <v>28.933333333333334</v>
      </c>
      <c r="DK81" s="21">
        <f t="shared" si="230"/>
        <v>0</v>
      </c>
    </row>
    <row r="82" spans="1:115">
      <c r="A82" s="7">
        <v>1937</v>
      </c>
      <c r="B82" s="3">
        <v>33865</v>
      </c>
      <c r="C82" s="15"/>
      <c r="D82" s="3">
        <f t="shared" si="203"/>
        <v>33865</v>
      </c>
      <c r="E82" s="25">
        <f t="shared" si="204"/>
        <v>23705.5</v>
      </c>
      <c r="F82" s="3">
        <v>0</v>
      </c>
      <c r="G82" s="15"/>
      <c r="H82" s="15">
        <f t="shared" si="205"/>
        <v>0</v>
      </c>
      <c r="I82" s="80">
        <f t="shared" si="234"/>
        <v>17</v>
      </c>
      <c r="J82" s="132">
        <f t="shared" si="252"/>
        <v>30.588235294117649</v>
      </c>
      <c r="K82" s="21">
        <f t="shared" si="206"/>
        <v>0</v>
      </c>
      <c r="L82" s="3">
        <v>0</v>
      </c>
      <c r="M82" s="15"/>
      <c r="N82" s="15"/>
      <c r="O82" s="3">
        <f t="shared" si="201"/>
        <v>0</v>
      </c>
      <c r="P82" s="80">
        <f t="shared" si="235"/>
        <v>14</v>
      </c>
      <c r="Q82" s="31">
        <f t="shared" si="253"/>
        <v>42.5</v>
      </c>
      <c r="R82" s="21">
        <f t="shared" si="207"/>
        <v>0</v>
      </c>
      <c r="S82" s="3">
        <v>86168</v>
      </c>
      <c r="T82" s="15"/>
      <c r="U82" s="15"/>
      <c r="V82" s="3">
        <f t="shared" si="202"/>
        <v>86168</v>
      </c>
      <c r="W82" s="80">
        <f t="shared" si="236"/>
        <v>23</v>
      </c>
      <c r="X82" s="31">
        <f t="shared" si="254"/>
        <v>26.521739130434781</v>
      </c>
      <c r="Y82" s="21">
        <f t="shared" si="208"/>
        <v>2285325.2173913042</v>
      </c>
      <c r="Z82" s="3">
        <v>0</v>
      </c>
      <c r="AA82" s="80">
        <f t="shared" si="237"/>
        <v>18</v>
      </c>
      <c r="AB82" s="31">
        <f t="shared" si="255"/>
        <v>30.444444444444443</v>
      </c>
      <c r="AC82" s="21">
        <v>0</v>
      </c>
      <c r="AD82" s="3">
        <v>0</v>
      </c>
      <c r="AE82" s="80">
        <f t="shared" si="238"/>
        <v>23</v>
      </c>
      <c r="AF82" s="31">
        <f t="shared" si="256"/>
        <v>36.043478260869563</v>
      </c>
      <c r="AG82" s="21">
        <v>0</v>
      </c>
      <c r="AH82" s="3">
        <v>0</v>
      </c>
      <c r="AI82" s="15"/>
      <c r="AJ82" s="3">
        <f t="shared" si="209"/>
        <v>0</v>
      </c>
      <c r="AL82" s="31"/>
      <c r="AM82" s="21">
        <v>0</v>
      </c>
      <c r="AN82" s="3">
        <v>0</v>
      </c>
      <c r="AO82" s="80">
        <f t="shared" si="239"/>
        <v>15</v>
      </c>
      <c r="AP82" s="31">
        <f t="shared" si="257"/>
        <v>37.866666666666667</v>
      </c>
      <c r="AQ82" s="21">
        <v>0</v>
      </c>
      <c r="AR82" s="3">
        <v>52439</v>
      </c>
      <c r="AS82" s="80">
        <f t="shared" si="240"/>
        <v>18</v>
      </c>
      <c r="AT82" s="31">
        <f t="shared" si="258"/>
        <v>38</v>
      </c>
      <c r="AU82" s="21">
        <f t="shared" si="211"/>
        <v>1992682</v>
      </c>
      <c r="AV82" s="3">
        <v>7116</v>
      </c>
      <c r="AW82" s="80">
        <f t="shared" si="241"/>
        <v>19</v>
      </c>
      <c r="AX82" s="31">
        <f t="shared" si="259"/>
        <v>27.684210526315791</v>
      </c>
      <c r="AY82" s="21">
        <f t="shared" si="212"/>
        <v>197000.84210526317</v>
      </c>
      <c r="AZ82" s="3">
        <v>0</v>
      </c>
      <c r="BA82" s="80">
        <f t="shared" si="242"/>
        <v>24</v>
      </c>
      <c r="BB82" s="31">
        <f t="shared" si="260"/>
        <v>25.583333333333332</v>
      </c>
      <c r="BC82" s="21">
        <f t="shared" si="213"/>
        <v>0</v>
      </c>
      <c r="BD82" s="15">
        <v>0</v>
      </c>
      <c r="BE82" s="3">
        <f t="shared" si="214"/>
        <v>0</v>
      </c>
      <c r="BF82" s="80">
        <f t="shared" si="243"/>
        <v>60</v>
      </c>
      <c r="BG82" s="31">
        <f t="shared" si="261"/>
        <v>10.199999999999999</v>
      </c>
      <c r="BH82" s="21">
        <v>0</v>
      </c>
      <c r="BI82" s="3">
        <f t="shared" si="216"/>
        <v>0</v>
      </c>
      <c r="BJ82" s="3"/>
      <c r="BK82" s="30"/>
      <c r="BL82" s="21">
        <v>0</v>
      </c>
      <c r="BM82" s="3">
        <v>0</v>
      </c>
      <c r="BN82" s="80">
        <f t="shared" si="244"/>
        <v>17</v>
      </c>
      <c r="BO82" s="31">
        <f t="shared" si="263"/>
        <v>29.941176470588236</v>
      </c>
      <c r="BP82" s="21">
        <v>0</v>
      </c>
      <c r="BQ82" s="3">
        <v>0</v>
      </c>
      <c r="BR82" s="15"/>
      <c r="BS82" s="3">
        <f t="shared" si="219"/>
        <v>0</v>
      </c>
      <c r="BT82" s="80">
        <f t="shared" si="245"/>
        <v>48</v>
      </c>
      <c r="BU82" s="31">
        <f t="shared" si="264"/>
        <v>7.395833333333333</v>
      </c>
      <c r="BV82" s="21">
        <f t="shared" si="220"/>
        <v>0</v>
      </c>
      <c r="BW82" s="2">
        <v>0</v>
      </c>
      <c r="BX82" s="80">
        <f t="shared" si="246"/>
        <v>23</v>
      </c>
      <c r="BY82" s="31">
        <f t="shared" si="265"/>
        <v>31.739130434782609</v>
      </c>
      <c r="BZ82" s="22">
        <v>0</v>
      </c>
      <c r="CA82" s="2">
        <v>0</v>
      </c>
      <c r="CB82" s="2"/>
      <c r="CD82" s="22">
        <v>0</v>
      </c>
      <c r="CE82" s="3">
        <v>33865</v>
      </c>
      <c r="CF82" s="15"/>
      <c r="CG82" s="3">
        <f t="shared" si="221"/>
        <v>33865</v>
      </c>
      <c r="CH82" s="25">
        <f t="shared" si="222"/>
        <v>10159.5</v>
      </c>
      <c r="CI82" s="3">
        <v>1442</v>
      </c>
      <c r="CJ82" s="15"/>
      <c r="CK82" s="3">
        <f t="shared" si="223"/>
        <v>1442</v>
      </c>
      <c r="CL82" s="134">
        <f t="shared" si="247"/>
        <v>17</v>
      </c>
      <c r="CM82" s="31">
        <f t="shared" si="266"/>
        <v>30.588235294117649</v>
      </c>
      <c r="CN82" s="21">
        <f t="shared" si="224"/>
        <v>44108.23529411765</v>
      </c>
      <c r="CO82" s="3">
        <f t="shared" si="233"/>
        <v>0</v>
      </c>
      <c r="CP82" s="3"/>
      <c r="CQ82" s="3"/>
      <c r="CR82" s="2">
        <f t="shared" si="231"/>
        <v>0</v>
      </c>
      <c r="CS82" s="80">
        <f t="shared" si="248"/>
        <v>35</v>
      </c>
      <c r="CT82" s="31">
        <f t="shared" si="267"/>
        <v>19.742857142857144</v>
      </c>
      <c r="CU82" s="21">
        <f t="shared" si="225"/>
        <v>0</v>
      </c>
      <c r="CV82" s="3">
        <v>8033</v>
      </c>
      <c r="CW82" s="92">
        <f t="shared" si="249"/>
        <v>17</v>
      </c>
      <c r="CX82" s="31">
        <f t="shared" si="268"/>
        <v>30.588235294117649</v>
      </c>
      <c r="CY82" s="21">
        <f t="shared" si="226"/>
        <v>245715.29411764708</v>
      </c>
      <c r="CZ82" s="3">
        <v>0</v>
      </c>
      <c r="DA82" s="80">
        <f t="shared" si="250"/>
        <v>32</v>
      </c>
      <c r="DB82" s="31">
        <f t="shared" si="269"/>
        <v>20.3125</v>
      </c>
      <c r="DC82" s="21">
        <f t="shared" si="227"/>
        <v>0</v>
      </c>
      <c r="DD82" s="3">
        <v>0</v>
      </c>
      <c r="DE82" s="3">
        <v>0</v>
      </c>
      <c r="DF82" s="15"/>
      <c r="DG82" s="3">
        <f t="shared" si="228"/>
        <v>0</v>
      </c>
      <c r="DH82" s="3">
        <f t="shared" si="229"/>
        <v>0</v>
      </c>
      <c r="DI82" s="136">
        <f t="shared" si="251"/>
        <v>30</v>
      </c>
      <c r="DJ82" s="41">
        <f t="shared" si="270"/>
        <v>28.933333333333334</v>
      </c>
      <c r="DK82" s="21">
        <f t="shared" si="230"/>
        <v>0</v>
      </c>
    </row>
    <row r="83" spans="1:115">
      <c r="A83" s="7">
        <v>1936</v>
      </c>
      <c r="B83" s="3">
        <v>43399</v>
      </c>
      <c r="C83" s="15"/>
      <c r="D83" s="3">
        <f t="shared" si="203"/>
        <v>43399</v>
      </c>
      <c r="E83" s="25">
        <f t="shared" si="204"/>
        <v>30379.3</v>
      </c>
      <c r="F83" s="3">
        <v>0</v>
      </c>
      <c r="G83" s="15"/>
      <c r="H83" s="15">
        <f t="shared" si="205"/>
        <v>0</v>
      </c>
      <c r="I83" s="80">
        <f t="shared" si="234"/>
        <v>15</v>
      </c>
      <c r="J83" s="132">
        <f t="shared" si="252"/>
        <v>34.666666666666664</v>
      </c>
      <c r="K83" s="21">
        <f t="shared" si="206"/>
        <v>0</v>
      </c>
      <c r="L83" s="3">
        <v>0</v>
      </c>
      <c r="M83" s="15"/>
      <c r="N83" s="15"/>
      <c r="O83" s="3">
        <f t="shared" ref="O83:O113" si="271">L83-M83+N83</f>
        <v>0</v>
      </c>
      <c r="P83" s="80">
        <f t="shared" si="235"/>
        <v>13</v>
      </c>
      <c r="Q83" s="31">
        <f t="shared" si="253"/>
        <v>45.769230769230766</v>
      </c>
      <c r="R83" s="21">
        <f t="shared" si="207"/>
        <v>0</v>
      </c>
      <c r="S83" s="3">
        <v>102488</v>
      </c>
      <c r="T83" s="15"/>
      <c r="U83" s="15"/>
      <c r="V83" s="3">
        <f t="shared" si="202"/>
        <v>102488</v>
      </c>
      <c r="W83" s="80">
        <f t="shared" si="236"/>
        <v>21</v>
      </c>
      <c r="X83" s="31">
        <f t="shared" si="254"/>
        <v>29.047619047619047</v>
      </c>
      <c r="Y83" s="21">
        <f t="shared" si="208"/>
        <v>2977032.3809523811</v>
      </c>
      <c r="Z83" s="3">
        <v>0</v>
      </c>
      <c r="AA83" s="80">
        <f t="shared" si="237"/>
        <v>17</v>
      </c>
      <c r="AB83" s="31">
        <f t="shared" si="255"/>
        <v>32.235294117647058</v>
      </c>
      <c r="AC83" s="21">
        <v>0</v>
      </c>
      <c r="AD83" s="3">
        <v>0</v>
      </c>
      <c r="AE83" s="80">
        <f t="shared" si="238"/>
        <v>21</v>
      </c>
      <c r="AF83" s="31">
        <f t="shared" si="256"/>
        <v>39.476190476190474</v>
      </c>
      <c r="AG83" s="21">
        <v>0</v>
      </c>
      <c r="AH83" s="3">
        <v>0</v>
      </c>
      <c r="AI83" s="15"/>
      <c r="AJ83" s="3">
        <f t="shared" si="209"/>
        <v>0</v>
      </c>
      <c r="AL83" s="31"/>
      <c r="AM83" s="21">
        <v>0</v>
      </c>
      <c r="AN83" s="3">
        <v>0</v>
      </c>
      <c r="AO83" s="80">
        <f t="shared" si="239"/>
        <v>13</v>
      </c>
      <c r="AP83" s="31">
        <f t="shared" si="257"/>
        <v>43.692307692307693</v>
      </c>
      <c r="AQ83" s="21">
        <v>0</v>
      </c>
      <c r="AR83" s="3">
        <v>0</v>
      </c>
      <c r="AS83" s="80">
        <f t="shared" si="240"/>
        <v>17</v>
      </c>
      <c r="AT83" s="31">
        <f t="shared" si="258"/>
        <v>40.235294117647058</v>
      </c>
      <c r="AU83" s="21">
        <v>0</v>
      </c>
      <c r="AV83" s="3">
        <v>15278</v>
      </c>
      <c r="AW83" s="80">
        <f t="shared" si="241"/>
        <v>18</v>
      </c>
      <c r="AX83" s="31">
        <f t="shared" si="259"/>
        <v>29.222222222222221</v>
      </c>
      <c r="AY83" s="21">
        <f t="shared" si="212"/>
        <v>446457.11111111112</v>
      </c>
      <c r="AZ83" s="3">
        <v>0</v>
      </c>
      <c r="BA83" s="80">
        <f t="shared" si="242"/>
        <v>22</v>
      </c>
      <c r="BB83" s="31">
        <f t="shared" si="260"/>
        <v>27.90909090909091</v>
      </c>
      <c r="BC83" s="21">
        <f t="shared" si="213"/>
        <v>0</v>
      </c>
      <c r="BD83" s="15">
        <v>0</v>
      </c>
      <c r="BE83" s="3">
        <f t="shared" si="214"/>
        <v>0</v>
      </c>
      <c r="BF83" s="80">
        <f t="shared" si="243"/>
        <v>55</v>
      </c>
      <c r="BG83" s="31">
        <f t="shared" si="261"/>
        <v>11.127272727272727</v>
      </c>
      <c r="BH83" s="21">
        <v>0</v>
      </c>
      <c r="BI83" s="3">
        <f t="shared" si="216"/>
        <v>0</v>
      </c>
      <c r="BJ83" s="3"/>
      <c r="BK83" s="30"/>
      <c r="BL83" s="21">
        <v>0</v>
      </c>
      <c r="BM83" s="3">
        <v>0</v>
      </c>
      <c r="BN83" s="80">
        <f t="shared" si="244"/>
        <v>16</v>
      </c>
      <c r="BO83" s="31">
        <f t="shared" si="263"/>
        <v>31.8125</v>
      </c>
      <c r="BP83" s="21">
        <v>0</v>
      </c>
      <c r="BQ83" s="3">
        <v>0</v>
      </c>
      <c r="BR83" s="15"/>
      <c r="BS83" s="3">
        <f t="shared" si="219"/>
        <v>0</v>
      </c>
      <c r="BT83" s="80">
        <f t="shared" si="245"/>
        <v>48</v>
      </c>
      <c r="BU83" s="31">
        <f t="shared" si="264"/>
        <v>7.395833333333333</v>
      </c>
      <c r="BV83" s="21">
        <f t="shared" si="220"/>
        <v>0</v>
      </c>
      <c r="BW83" s="2">
        <v>0</v>
      </c>
      <c r="BX83" s="80">
        <f t="shared" si="246"/>
        <v>22</v>
      </c>
      <c r="BY83" s="31">
        <f t="shared" si="265"/>
        <v>33.18181818181818</v>
      </c>
      <c r="BZ83" s="22">
        <v>0</v>
      </c>
      <c r="CA83" s="2">
        <v>0</v>
      </c>
      <c r="CB83" s="2"/>
      <c r="CD83" s="22">
        <v>0</v>
      </c>
      <c r="CE83" s="3">
        <v>43399</v>
      </c>
      <c r="CF83" s="15"/>
      <c r="CG83" s="3">
        <f t="shared" si="221"/>
        <v>43399</v>
      </c>
      <c r="CH83" s="25">
        <f t="shared" si="222"/>
        <v>13019.699999999999</v>
      </c>
      <c r="CI83" s="3">
        <v>19631</v>
      </c>
      <c r="CJ83" s="15"/>
      <c r="CK83" s="3">
        <f t="shared" si="223"/>
        <v>19631</v>
      </c>
      <c r="CL83" s="134">
        <f t="shared" si="247"/>
        <v>15</v>
      </c>
      <c r="CM83" s="31">
        <f t="shared" si="266"/>
        <v>34.666666666666664</v>
      </c>
      <c r="CN83" s="21">
        <f t="shared" si="224"/>
        <v>680541.33333333326</v>
      </c>
      <c r="CO83" s="3">
        <f t="shared" si="233"/>
        <v>0</v>
      </c>
      <c r="CP83" s="3"/>
      <c r="CQ83" s="3"/>
      <c r="CR83" s="2">
        <f t="shared" si="231"/>
        <v>0</v>
      </c>
      <c r="CS83" s="80">
        <f t="shared" si="248"/>
        <v>32</v>
      </c>
      <c r="CT83" s="31">
        <f t="shared" si="267"/>
        <v>21.59375</v>
      </c>
      <c r="CU83" s="21">
        <f t="shared" si="225"/>
        <v>0</v>
      </c>
      <c r="CV83" s="3">
        <v>3316</v>
      </c>
      <c r="CW83" s="92">
        <f t="shared" si="249"/>
        <v>15</v>
      </c>
      <c r="CX83" s="31">
        <f t="shared" si="268"/>
        <v>34.666666666666664</v>
      </c>
      <c r="CY83" s="21">
        <f t="shared" si="226"/>
        <v>114954.66666666666</v>
      </c>
      <c r="CZ83" s="3">
        <v>0</v>
      </c>
      <c r="DA83" s="80">
        <f t="shared" si="250"/>
        <v>30</v>
      </c>
      <c r="DB83" s="31">
        <f t="shared" si="269"/>
        <v>21.666666666666668</v>
      </c>
      <c r="DC83" s="21">
        <f t="shared" si="227"/>
        <v>0</v>
      </c>
      <c r="DD83" s="3">
        <v>0</v>
      </c>
      <c r="DE83" s="3">
        <v>0</v>
      </c>
      <c r="DF83" s="15"/>
      <c r="DG83" s="3">
        <f t="shared" si="228"/>
        <v>0</v>
      </c>
      <c r="DH83" s="3">
        <f t="shared" si="229"/>
        <v>0</v>
      </c>
      <c r="DI83" s="136">
        <f t="shared" si="251"/>
        <v>28</v>
      </c>
      <c r="DJ83" s="41">
        <f t="shared" si="270"/>
        <v>31</v>
      </c>
      <c r="DK83" s="21">
        <f t="shared" si="230"/>
        <v>0</v>
      </c>
    </row>
    <row r="84" spans="1:115">
      <c r="A84" s="7">
        <v>1935</v>
      </c>
      <c r="B84" s="3">
        <v>4589</v>
      </c>
      <c r="C84" s="15"/>
      <c r="D84" s="3">
        <f t="shared" si="203"/>
        <v>4589</v>
      </c>
      <c r="E84" s="25">
        <f t="shared" si="204"/>
        <v>3212.2999999999997</v>
      </c>
      <c r="F84" s="3">
        <v>0</v>
      </c>
      <c r="G84" s="15"/>
      <c r="H84" s="15">
        <f t="shared" si="205"/>
        <v>0</v>
      </c>
      <c r="I84" s="80">
        <f t="shared" si="234"/>
        <v>15</v>
      </c>
      <c r="J84" s="132">
        <f t="shared" si="252"/>
        <v>34.666666666666664</v>
      </c>
      <c r="K84" s="21">
        <f t="shared" si="206"/>
        <v>0</v>
      </c>
      <c r="L84" s="3">
        <v>3147</v>
      </c>
      <c r="M84" s="15"/>
      <c r="N84" s="15"/>
      <c r="O84" s="3">
        <f t="shared" si="271"/>
        <v>3147</v>
      </c>
      <c r="P84" s="80">
        <f t="shared" si="235"/>
        <v>12</v>
      </c>
      <c r="Q84" s="31">
        <f t="shared" si="253"/>
        <v>49.583333333333336</v>
      </c>
      <c r="R84" s="21">
        <f t="shared" si="207"/>
        <v>156038.75</v>
      </c>
      <c r="S84" s="3">
        <v>12142</v>
      </c>
      <c r="T84" s="15"/>
      <c r="U84" s="15"/>
      <c r="V84" s="3">
        <f t="shared" ref="V84:V113" si="272">S84-T84+U84</f>
        <v>12142</v>
      </c>
      <c r="W84" s="80">
        <f t="shared" si="236"/>
        <v>21</v>
      </c>
      <c r="X84" s="31">
        <f t="shared" si="254"/>
        <v>29.047619047619047</v>
      </c>
      <c r="Y84" s="21">
        <f t="shared" si="208"/>
        <v>352696.19047619047</v>
      </c>
      <c r="Z84" s="3">
        <v>0</v>
      </c>
      <c r="AA84" s="80">
        <f t="shared" si="237"/>
        <v>17</v>
      </c>
      <c r="AB84" s="31">
        <f t="shared" si="255"/>
        <v>32.235294117647058</v>
      </c>
      <c r="AC84" s="21">
        <v>0</v>
      </c>
      <c r="AD84" s="3">
        <v>0</v>
      </c>
      <c r="AE84" s="80">
        <f t="shared" si="238"/>
        <v>20</v>
      </c>
      <c r="AF84" s="31">
        <f t="shared" si="256"/>
        <v>41.45</v>
      </c>
      <c r="AG84" s="21">
        <v>0</v>
      </c>
      <c r="AH84" s="3">
        <v>0</v>
      </c>
      <c r="AI84" s="15"/>
      <c r="AJ84" s="3">
        <f t="shared" si="209"/>
        <v>0</v>
      </c>
      <c r="AL84" s="31"/>
      <c r="AM84" s="21">
        <v>0</v>
      </c>
      <c r="AN84" s="3">
        <v>0</v>
      </c>
      <c r="AO84" s="80">
        <f t="shared" si="239"/>
        <v>12</v>
      </c>
      <c r="AP84" s="31">
        <f t="shared" si="257"/>
        <v>47.333333333333336</v>
      </c>
      <c r="AQ84" s="21">
        <v>0</v>
      </c>
      <c r="AR84" s="3">
        <v>0</v>
      </c>
      <c r="AS84" s="80">
        <f t="shared" si="240"/>
        <v>16</v>
      </c>
      <c r="AT84" s="31">
        <f t="shared" si="258"/>
        <v>42.75</v>
      </c>
      <c r="AU84" s="21">
        <v>0</v>
      </c>
      <c r="AV84" s="3">
        <v>0</v>
      </c>
      <c r="AW84" s="80">
        <f t="shared" si="241"/>
        <v>18</v>
      </c>
      <c r="AX84" s="31">
        <f t="shared" si="259"/>
        <v>29.222222222222221</v>
      </c>
      <c r="AY84" s="21">
        <f t="shared" si="212"/>
        <v>0</v>
      </c>
      <c r="AZ84" s="3">
        <v>0</v>
      </c>
      <c r="BA84" s="80">
        <f t="shared" si="242"/>
        <v>21</v>
      </c>
      <c r="BB84" s="31">
        <f t="shared" si="260"/>
        <v>29.238095238095237</v>
      </c>
      <c r="BC84" s="21">
        <f t="shared" si="213"/>
        <v>0</v>
      </c>
      <c r="BD84" s="15">
        <v>0</v>
      </c>
      <c r="BE84" s="3">
        <f t="shared" si="214"/>
        <v>0</v>
      </c>
      <c r="BF84" s="80">
        <f t="shared" si="243"/>
        <v>55</v>
      </c>
      <c r="BG84" s="31">
        <f t="shared" si="261"/>
        <v>11.127272727272727</v>
      </c>
      <c r="BH84" s="21">
        <v>0</v>
      </c>
      <c r="BI84" s="3">
        <f t="shared" si="216"/>
        <v>0</v>
      </c>
      <c r="BJ84" s="3"/>
      <c r="BK84" s="30"/>
      <c r="BL84" s="21">
        <v>0</v>
      </c>
      <c r="BM84" s="3">
        <v>0</v>
      </c>
      <c r="BN84" s="80">
        <f t="shared" si="244"/>
        <v>15</v>
      </c>
      <c r="BO84" s="31">
        <f t="shared" si="263"/>
        <v>33.93333333333333</v>
      </c>
      <c r="BP84" s="21">
        <v>0</v>
      </c>
      <c r="BQ84" s="3">
        <v>0</v>
      </c>
      <c r="BR84" s="15"/>
      <c r="BS84" s="3">
        <f t="shared" si="219"/>
        <v>0</v>
      </c>
      <c r="BT84" s="80">
        <f t="shared" si="245"/>
        <v>48</v>
      </c>
      <c r="BU84" s="31">
        <f t="shared" si="264"/>
        <v>7.395833333333333</v>
      </c>
      <c r="BV84" s="21">
        <f t="shared" si="220"/>
        <v>0</v>
      </c>
      <c r="BW84" s="2">
        <v>0</v>
      </c>
      <c r="BX84" s="80">
        <f t="shared" si="246"/>
        <v>22</v>
      </c>
      <c r="BY84" s="31">
        <f t="shared" si="265"/>
        <v>33.18181818181818</v>
      </c>
      <c r="BZ84" s="22">
        <v>0</v>
      </c>
      <c r="CA84" s="2">
        <v>0</v>
      </c>
      <c r="CB84" s="2"/>
      <c r="CD84" s="22">
        <v>0</v>
      </c>
      <c r="CE84" s="3">
        <v>4589</v>
      </c>
      <c r="CF84" s="15"/>
      <c r="CG84" s="3">
        <f t="shared" si="221"/>
        <v>4589</v>
      </c>
      <c r="CH84" s="25">
        <f t="shared" si="222"/>
        <v>1376.7</v>
      </c>
      <c r="CI84" s="3">
        <v>0</v>
      </c>
      <c r="CJ84" s="15"/>
      <c r="CK84" s="3">
        <f t="shared" si="223"/>
        <v>0</v>
      </c>
      <c r="CL84" s="134">
        <f t="shared" si="247"/>
        <v>15</v>
      </c>
      <c r="CM84" s="31">
        <f t="shared" si="266"/>
        <v>34.666666666666664</v>
      </c>
      <c r="CN84" s="21">
        <f t="shared" si="224"/>
        <v>0</v>
      </c>
      <c r="CO84" s="3">
        <f t="shared" si="233"/>
        <v>0</v>
      </c>
      <c r="CP84" s="3"/>
      <c r="CQ84" s="3"/>
      <c r="CR84" s="2">
        <f t="shared" si="231"/>
        <v>0</v>
      </c>
      <c r="CS84" s="80">
        <f t="shared" si="248"/>
        <v>32</v>
      </c>
      <c r="CT84" s="31">
        <f t="shared" si="267"/>
        <v>21.59375</v>
      </c>
      <c r="CU84" s="21">
        <f t="shared" si="225"/>
        <v>0</v>
      </c>
      <c r="CV84" s="3">
        <v>3683</v>
      </c>
      <c r="CW84" s="92">
        <f t="shared" si="249"/>
        <v>15</v>
      </c>
      <c r="CX84" s="31">
        <f t="shared" si="268"/>
        <v>34.666666666666664</v>
      </c>
      <c r="CY84" s="21">
        <f t="shared" si="226"/>
        <v>127677.33333333333</v>
      </c>
      <c r="CZ84" s="3">
        <v>0</v>
      </c>
      <c r="DA84" s="80">
        <f t="shared" si="250"/>
        <v>30</v>
      </c>
      <c r="DB84" s="31">
        <f t="shared" si="269"/>
        <v>21.666666666666668</v>
      </c>
      <c r="DC84" s="21">
        <f t="shared" si="227"/>
        <v>0</v>
      </c>
      <c r="DD84" s="3">
        <v>0</v>
      </c>
      <c r="DE84" s="3">
        <v>0</v>
      </c>
      <c r="DF84" s="15"/>
      <c r="DG84" s="3">
        <f t="shared" si="228"/>
        <v>0</v>
      </c>
      <c r="DH84" s="3">
        <f t="shared" si="229"/>
        <v>0</v>
      </c>
      <c r="DI84" s="136">
        <f t="shared" si="251"/>
        <v>27</v>
      </c>
      <c r="DJ84" s="41">
        <f t="shared" si="270"/>
        <v>32.148148148148145</v>
      </c>
      <c r="DK84" s="21">
        <f t="shared" si="230"/>
        <v>0</v>
      </c>
    </row>
    <row r="85" spans="1:115">
      <c r="A85" s="7">
        <v>1934</v>
      </c>
      <c r="B85" s="3">
        <v>515</v>
      </c>
      <c r="C85" s="15"/>
      <c r="D85" s="3">
        <f t="shared" si="203"/>
        <v>515</v>
      </c>
      <c r="E85" s="25">
        <f t="shared" si="204"/>
        <v>360.5</v>
      </c>
      <c r="F85" s="3">
        <v>0</v>
      </c>
      <c r="G85" s="15"/>
      <c r="H85" s="15">
        <f t="shared" si="205"/>
        <v>0</v>
      </c>
      <c r="I85" s="80">
        <f t="shared" si="234"/>
        <v>14</v>
      </c>
      <c r="J85" s="132">
        <f t="shared" si="252"/>
        <v>37.142857142857146</v>
      </c>
      <c r="K85" s="21">
        <f t="shared" si="206"/>
        <v>0</v>
      </c>
      <c r="L85" s="3">
        <v>0</v>
      </c>
      <c r="M85" s="15"/>
      <c r="N85" s="15"/>
      <c r="O85" s="3">
        <f t="shared" si="271"/>
        <v>0</v>
      </c>
      <c r="P85" s="80">
        <f t="shared" si="235"/>
        <v>12</v>
      </c>
      <c r="Q85" s="31">
        <f t="shared" si="253"/>
        <v>49.583333333333336</v>
      </c>
      <c r="R85" s="21">
        <f t="shared" si="207"/>
        <v>0</v>
      </c>
      <c r="S85" s="3">
        <v>0</v>
      </c>
      <c r="T85" s="15"/>
      <c r="U85" s="15"/>
      <c r="V85" s="3">
        <f t="shared" si="272"/>
        <v>0</v>
      </c>
      <c r="W85" s="80">
        <f t="shared" si="236"/>
        <v>20</v>
      </c>
      <c r="X85" s="31">
        <f t="shared" si="254"/>
        <v>30.5</v>
      </c>
      <c r="Y85" s="21">
        <f t="shared" si="208"/>
        <v>0</v>
      </c>
      <c r="Z85" s="3">
        <v>0</v>
      </c>
      <c r="AA85" s="80">
        <f t="shared" si="237"/>
        <v>17</v>
      </c>
      <c r="AB85" s="31">
        <f t="shared" si="255"/>
        <v>32.235294117647058</v>
      </c>
      <c r="AC85" s="21">
        <v>0</v>
      </c>
      <c r="AD85" s="3">
        <v>0</v>
      </c>
      <c r="AE85" s="80">
        <f t="shared" si="238"/>
        <v>19</v>
      </c>
      <c r="AF85" s="31">
        <f t="shared" si="256"/>
        <v>43.631578947368418</v>
      </c>
      <c r="AG85" s="21">
        <v>0</v>
      </c>
      <c r="AH85" s="3">
        <v>0</v>
      </c>
      <c r="AI85" s="15"/>
      <c r="AJ85" s="3">
        <f t="shared" si="209"/>
        <v>0</v>
      </c>
      <c r="AL85" s="31"/>
      <c r="AM85" s="21">
        <v>0</v>
      </c>
      <c r="AN85" s="3">
        <v>0</v>
      </c>
      <c r="AO85" s="80">
        <f t="shared" si="239"/>
        <v>12</v>
      </c>
      <c r="AP85" s="31">
        <f t="shared" si="257"/>
        <v>47.333333333333336</v>
      </c>
      <c r="AQ85" s="21">
        <v>0</v>
      </c>
      <c r="AR85" s="3">
        <v>0</v>
      </c>
      <c r="AS85" s="80">
        <f t="shared" si="240"/>
        <v>15</v>
      </c>
      <c r="AT85" s="31">
        <f t="shared" si="258"/>
        <v>45.6</v>
      </c>
      <c r="AU85" s="21">
        <v>0</v>
      </c>
      <c r="AV85" s="3">
        <v>3778</v>
      </c>
      <c r="AW85" s="80">
        <f t="shared" si="241"/>
        <v>18</v>
      </c>
      <c r="AX85" s="31">
        <f t="shared" si="259"/>
        <v>29.222222222222221</v>
      </c>
      <c r="AY85" s="21">
        <f t="shared" si="212"/>
        <v>110401.55555555555</v>
      </c>
      <c r="AZ85" s="3">
        <v>0</v>
      </c>
      <c r="BA85" s="80">
        <f t="shared" si="242"/>
        <v>20</v>
      </c>
      <c r="BB85" s="31">
        <f t="shared" si="260"/>
        <v>30.7</v>
      </c>
      <c r="BC85" s="21">
        <f t="shared" si="213"/>
        <v>0</v>
      </c>
      <c r="BD85" s="15">
        <v>0</v>
      </c>
      <c r="BE85" s="3">
        <f t="shared" si="214"/>
        <v>0</v>
      </c>
      <c r="BF85" s="80">
        <f t="shared" si="243"/>
        <v>55</v>
      </c>
      <c r="BG85" s="31">
        <f t="shared" si="261"/>
        <v>11.127272727272727</v>
      </c>
      <c r="BH85" s="21">
        <v>0</v>
      </c>
      <c r="BI85" s="3">
        <f t="shared" si="216"/>
        <v>0</v>
      </c>
      <c r="BJ85" s="3"/>
      <c r="BK85" s="30"/>
      <c r="BL85" s="21">
        <v>0</v>
      </c>
      <c r="BM85" s="3">
        <v>0</v>
      </c>
      <c r="BN85" s="80">
        <f t="shared" si="244"/>
        <v>14</v>
      </c>
      <c r="BO85" s="31">
        <f t="shared" si="263"/>
        <v>36.357142857142854</v>
      </c>
      <c r="BP85" s="21">
        <v>0</v>
      </c>
      <c r="BQ85" s="3">
        <v>0</v>
      </c>
      <c r="BR85" s="15"/>
      <c r="BS85" s="3">
        <f t="shared" si="219"/>
        <v>0</v>
      </c>
      <c r="BT85" s="80">
        <f t="shared" si="245"/>
        <v>46</v>
      </c>
      <c r="BU85" s="31">
        <f t="shared" si="264"/>
        <v>7.7173913043478262</v>
      </c>
      <c r="BV85" s="21">
        <f t="shared" si="220"/>
        <v>0</v>
      </c>
      <c r="BW85" s="2">
        <v>0</v>
      </c>
      <c r="BX85" s="80">
        <f t="shared" si="246"/>
        <v>21</v>
      </c>
      <c r="BY85" s="31">
        <f t="shared" si="265"/>
        <v>34.761904761904759</v>
      </c>
      <c r="BZ85" s="22">
        <v>0</v>
      </c>
      <c r="CA85" s="2">
        <v>0</v>
      </c>
      <c r="CB85" s="2"/>
      <c r="CD85" s="22">
        <v>0</v>
      </c>
      <c r="CE85" s="3">
        <v>515</v>
      </c>
      <c r="CF85" s="15"/>
      <c r="CG85" s="3">
        <f t="shared" si="221"/>
        <v>515</v>
      </c>
      <c r="CH85" s="25">
        <f t="shared" si="222"/>
        <v>154.5</v>
      </c>
      <c r="CI85" s="3">
        <v>0</v>
      </c>
      <c r="CJ85" s="15"/>
      <c r="CK85" s="3">
        <f t="shared" si="223"/>
        <v>0</v>
      </c>
      <c r="CL85" s="134">
        <f t="shared" si="247"/>
        <v>14</v>
      </c>
      <c r="CM85" s="31">
        <f t="shared" si="266"/>
        <v>37.142857142857146</v>
      </c>
      <c r="CN85" s="21">
        <f t="shared" si="224"/>
        <v>0</v>
      </c>
      <c r="CO85" s="3">
        <f t="shared" si="233"/>
        <v>0</v>
      </c>
      <c r="CP85" s="3"/>
      <c r="CQ85" s="3"/>
      <c r="CR85" s="2">
        <f t="shared" si="231"/>
        <v>0</v>
      </c>
      <c r="CS85" s="80">
        <f t="shared" si="248"/>
        <v>31</v>
      </c>
      <c r="CT85" s="31">
        <f t="shared" si="267"/>
        <v>22.29032258064516</v>
      </c>
      <c r="CU85" s="21">
        <f t="shared" si="225"/>
        <v>0</v>
      </c>
      <c r="CV85" s="3">
        <v>1835</v>
      </c>
      <c r="CW85" s="92">
        <f t="shared" si="249"/>
        <v>14</v>
      </c>
      <c r="CX85" s="31">
        <f t="shared" si="268"/>
        <v>37.142857142857146</v>
      </c>
      <c r="CY85" s="21">
        <f t="shared" si="226"/>
        <v>68157.14285714287</v>
      </c>
      <c r="CZ85" s="3">
        <v>0</v>
      </c>
      <c r="DA85" s="80">
        <f t="shared" si="250"/>
        <v>28</v>
      </c>
      <c r="DB85" s="31">
        <f t="shared" si="269"/>
        <v>23.214285714285715</v>
      </c>
      <c r="DC85" s="21">
        <f t="shared" si="227"/>
        <v>0</v>
      </c>
      <c r="DD85" s="3">
        <v>0</v>
      </c>
      <c r="DE85" s="3">
        <v>0</v>
      </c>
      <c r="DF85" s="15"/>
      <c r="DG85" s="3">
        <f t="shared" si="228"/>
        <v>0</v>
      </c>
      <c r="DH85" s="3">
        <f t="shared" si="229"/>
        <v>0</v>
      </c>
      <c r="DI85" s="136">
        <f t="shared" si="251"/>
        <v>26</v>
      </c>
      <c r="DJ85" s="41">
        <f t="shared" si="270"/>
        <v>33.384615384615387</v>
      </c>
      <c r="DK85" s="21">
        <f t="shared" si="230"/>
        <v>0</v>
      </c>
    </row>
    <row r="86" spans="1:115">
      <c r="A86" s="7">
        <v>1933</v>
      </c>
      <c r="B86" s="3">
        <v>341</v>
      </c>
      <c r="C86" s="15"/>
      <c r="D86" s="3">
        <f t="shared" si="203"/>
        <v>341</v>
      </c>
      <c r="E86" s="25">
        <f t="shared" si="204"/>
        <v>238.7</v>
      </c>
      <c r="F86" s="3">
        <v>0</v>
      </c>
      <c r="G86" s="15"/>
      <c r="H86" s="15">
        <f t="shared" si="205"/>
        <v>0</v>
      </c>
      <c r="I86" s="80">
        <f t="shared" si="234"/>
        <v>13</v>
      </c>
      <c r="J86" s="132">
        <f t="shared" si="252"/>
        <v>40</v>
      </c>
      <c r="K86" s="21">
        <f t="shared" si="206"/>
        <v>0</v>
      </c>
      <c r="L86" s="3">
        <v>0</v>
      </c>
      <c r="M86" s="15"/>
      <c r="N86" s="15"/>
      <c r="O86" s="3">
        <f t="shared" si="271"/>
        <v>0</v>
      </c>
      <c r="P86" s="80">
        <f t="shared" si="235"/>
        <v>12</v>
      </c>
      <c r="Q86" s="31">
        <f t="shared" si="253"/>
        <v>49.583333333333336</v>
      </c>
      <c r="R86" s="21">
        <f t="shared" si="207"/>
        <v>0</v>
      </c>
      <c r="S86" s="3">
        <v>0</v>
      </c>
      <c r="T86" s="15"/>
      <c r="U86" s="15"/>
      <c r="V86" s="3">
        <f t="shared" si="272"/>
        <v>0</v>
      </c>
      <c r="W86" s="80">
        <f t="shared" si="236"/>
        <v>17</v>
      </c>
      <c r="X86" s="31">
        <f t="shared" si="254"/>
        <v>35.882352941176471</v>
      </c>
      <c r="Y86" s="21">
        <f t="shared" si="208"/>
        <v>0</v>
      </c>
      <c r="Z86" s="3">
        <v>0</v>
      </c>
      <c r="AA86" s="80">
        <f t="shared" si="237"/>
        <v>16</v>
      </c>
      <c r="AB86" s="31">
        <f t="shared" si="255"/>
        <v>34.25</v>
      </c>
      <c r="AC86" s="21">
        <v>0</v>
      </c>
      <c r="AD86" s="3">
        <v>0</v>
      </c>
      <c r="AE86" s="80">
        <f t="shared" si="238"/>
        <v>18</v>
      </c>
      <c r="AF86" s="31">
        <f t="shared" si="256"/>
        <v>46.055555555555557</v>
      </c>
      <c r="AG86" s="21">
        <v>0</v>
      </c>
      <c r="AH86" s="3">
        <v>0</v>
      </c>
      <c r="AI86" s="15"/>
      <c r="AJ86" s="3">
        <f t="shared" si="209"/>
        <v>0</v>
      </c>
      <c r="AL86" s="31"/>
      <c r="AM86" s="21">
        <v>0</v>
      </c>
      <c r="AN86" s="3">
        <v>0</v>
      </c>
      <c r="AO86" s="80">
        <f t="shared" si="239"/>
        <v>12</v>
      </c>
      <c r="AP86" s="31">
        <f t="shared" si="257"/>
        <v>47.333333333333336</v>
      </c>
      <c r="AQ86" s="21">
        <v>0</v>
      </c>
      <c r="AR86" s="3">
        <v>0</v>
      </c>
      <c r="AS86" s="80">
        <f t="shared" si="240"/>
        <v>13</v>
      </c>
      <c r="AT86" s="31">
        <f t="shared" si="258"/>
        <v>52.615384615384613</v>
      </c>
      <c r="AU86" s="21">
        <v>0</v>
      </c>
      <c r="AV86" s="3">
        <v>0</v>
      </c>
      <c r="AW86" s="80">
        <f t="shared" si="241"/>
        <v>17</v>
      </c>
      <c r="AX86" s="31">
        <f t="shared" si="259"/>
        <v>30.941176470588236</v>
      </c>
      <c r="AY86" s="21">
        <f t="shared" si="212"/>
        <v>0</v>
      </c>
      <c r="AZ86" s="3">
        <v>0</v>
      </c>
      <c r="BA86" s="80">
        <f t="shared" si="242"/>
        <v>18</v>
      </c>
      <c r="BB86" s="31">
        <f t="shared" si="260"/>
        <v>34.111111111111114</v>
      </c>
      <c r="BC86" s="21">
        <f t="shared" si="213"/>
        <v>0</v>
      </c>
      <c r="BD86" s="15">
        <v>0</v>
      </c>
      <c r="BE86" s="3">
        <f t="shared" si="214"/>
        <v>0</v>
      </c>
      <c r="BF86" s="80">
        <f t="shared" si="243"/>
        <v>52</v>
      </c>
      <c r="BG86" s="31">
        <f t="shared" si="261"/>
        <v>11.76923076923077</v>
      </c>
      <c r="BH86" s="21">
        <v>0</v>
      </c>
      <c r="BI86" s="3">
        <f t="shared" si="216"/>
        <v>0</v>
      </c>
      <c r="BJ86" s="3"/>
      <c r="BK86" s="30"/>
      <c r="BL86" s="21">
        <v>0</v>
      </c>
      <c r="BM86" s="3">
        <v>0</v>
      </c>
      <c r="BN86" s="80">
        <f t="shared" si="244"/>
        <v>13</v>
      </c>
      <c r="BO86" s="31">
        <f t="shared" si="263"/>
        <v>39.153846153846153</v>
      </c>
      <c r="BP86" s="21">
        <v>0</v>
      </c>
      <c r="BQ86" s="3">
        <v>0</v>
      </c>
      <c r="BR86" s="15"/>
      <c r="BS86" s="3">
        <f t="shared" si="219"/>
        <v>0</v>
      </c>
      <c r="BT86" s="80">
        <f t="shared" si="245"/>
        <v>43</v>
      </c>
      <c r="BU86" s="31">
        <f t="shared" si="264"/>
        <v>8.2558139534883725</v>
      </c>
      <c r="BV86" s="21">
        <f t="shared" si="220"/>
        <v>0</v>
      </c>
      <c r="BW86" s="2">
        <v>0</v>
      </c>
      <c r="BX86" s="80">
        <f t="shared" si="246"/>
        <v>19</v>
      </c>
      <c r="BY86" s="31">
        <f t="shared" si="265"/>
        <v>38.421052631578945</v>
      </c>
      <c r="BZ86" s="22">
        <v>0</v>
      </c>
      <c r="CA86" s="2">
        <v>0</v>
      </c>
      <c r="CB86" s="2"/>
      <c r="CD86" s="22">
        <v>0</v>
      </c>
      <c r="CE86" s="3">
        <v>341</v>
      </c>
      <c r="CF86" s="15"/>
      <c r="CG86" s="3">
        <f t="shared" si="221"/>
        <v>341</v>
      </c>
      <c r="CH86" s="25">
        <f t="shared" si="222"/>
        <v>102.3</v>
      </c>
      <c r="CI86" s="3">
        <v>0</v>
      </c>
      <c r="CJ86" s="15"/>
      <c r="CK86" s="3">
        <f t="shared" si="223"/>
        <v>0</v>
      </c>
      <c r="CL86" s="134">
        <f t="shared" si="247"/>
        <v>13</v>
      </c>
      <c r="CM86" s="31">
        <f t="shared" si="266"/>
        <v>40</v>
      </c>
      <c r="CN86" s="21">
        <f t="shared" si="224"/>
        <v>0</v>
      </c>
      <c r="CO86" s="3">
        <f t="shared" si="233"/>
        <v>0</v>
      </c>
      <c r="CP86" s="3"/>
      <c r="CQ86" s="3"/>
      <c r="CR86" s="2">
        <f t="shared" si="231"/>
        <v>0</v>
      </c>
      <c r="CS86" s="80">
        <f t="shared" si="248"/>
        <v>29</v>
      </c>
      <c r="CT86" s="31">
        <f t="shared" si="267"/>
        <v>23.827586206896552</v>
      </c>
      <c r="CU86" s="21">
        <f t="shared" si="225"/>
        <v>0</v>
      </c>
      <c r="CV86" s="3">
        <v>188</v>
      </c>
      <c r="CW86" s="92">
        <f t="shared" si="249"/>
        <v>13</v>
      </c>
      <c r="CX86" s="31">
        <f t="shared" si="268"/>
        <v>40</v>
      </c>
      <c r="CY86" s="21">
        <f t="shared" si="226"/>
        <v>7520</v>
      </c>
      <c r="CZ86" s="3">
        <v>0</v>
      </c>
      <c r="DA86" s="80">
        <f t="shared" si="250"/>
        <v>26</v>
      </c>
      <c r="DB86" s="31">
        <f t="shared" si="269"/>
        <v>25</v>
      </c>
      <c r="DC86" s="21">
        <f t="shared" si="227"/>
        <v>0</v>
      </c>
      <c r="DD86" s="3">
        <v>0</v>
      </c>
      <c r="DE86" s="3">
        <v>0</v>
      </c>
      <c r="DF86" s="15"/>
      <c r="DG86" s="3">
        <f t="shared" si="228"/>
        <v>0</v>
      </c>
      <c r="DH86" s="3">
        <f t="shared" si="229"/>
        <v>0</v>
      </c>
      <c r="DI86" s="136">
        <f t="shared" si="251"/>
        <v>24</v>
      </c>
      <c r="DJ86" s="41">
        <f t="shared" si="270"/>
        <v>36.166666666666664</v>
      </c>
      <c r="DK86" s="21">
        <f t="shared" si="230"/>
        <v>0</v>
      </c>
    </row>
    <row r="87" spans="1:115">
      <c r="A87" s="7">
        <v>1932</v>
      </c>
      <c r="B87" s="3">
        <v>427</v>
      </c>
      <c r="C87" s="15"/>
      <c r="D87" s="3">
        <f t="shared" si="203"/>
        <v>427</v>
      </c>
      <c r="E87" s="25">
        <f t="shared" si="204"/>
        <v>298.89999999999998</v>
      </c>
      <c r="F87" s="3">
        <v>0</v>
      </c>
      <c r="G87" s="15"/>
      <c r="H87" s="15">
        <f t="shared" si="205"/>
        <v>0</v>
      </c>
      <c r="I87" s="80">
        <f t="shared" si="234"/>
        <v>13</v>
      </c>
      <c r="J87" s="132">
        <f t="shared" si="252"/>
        <v>40</v>
      </c>
      <c r="K87" s="21">
        <f t="shared" si="206"/>
        <v>0</v>
      </c>
      <c r="L87" s="3">
        <v>0</v>
      </c>
      <c r="M87" s="15"/>
      <c r="N87" s="15"/>
      <c r="O87" s="3">
        <f t="shared" si="271"/>
        <v>0</v>
      </c>
      <c r="P87" s="80">
        <f t="shared" si="235"/>
        <v>12</v>
      </c>
      <c r="Q87" s="31">
        <f t="shared" si="253"/>
        <v>49.583333333333336</v>
      </c>
      <c r="R87" s="21">
        <f t="shared" si="207"/>
        <v>0</v>
      </c>
      <c r="S87" s="3">
        <v>0</v>
      </c>
      <c r="T87" s="15"/>
      <c r="U87" s="15"/>
      <c r="V87" s="3">
        <f t="shared" si="272"/>
        <v>0</v>
      </c>
      <c r="W87" s="80">
        <f t="shared" si="236"/>
        <v>16</v>
      </c>
      <c r="X87" s="31">
        <f t="shared" si="254"/>
        <v>38.125</v>
      </c>
      <c r="Y87" s="21">
        <f t="shared" si="208"/>
        <v>0</v>
      </c>
      <c r="Z87" s="3">
        <v>0</v>
      </c>
      <c r="AA87" s="80">
        <f t="shared" si="237"/>
        <v>17</v>
      </c>
      <c r="AB87" s="31">
        <f t="shared" si="255"/>
        <v>32.235294117647058</v>
      </c>
      <c r="AC87" s="21">
        <v>0</v>
      </c>
      <c r="AD87" s="3">
        <v>0</v>
      </c>
      <c r="AE87" s="80">
        <f t="shared" si="238"/>
        <v>17</v>
      </c>
      <c r="AF87" s="31">
        <f t="shared" si="256"/>
        <v>48.764705882352942</v>
      </c>
      <c r="AG87" s="21">
        <v>0</v>
      </c>
      <c r="AH87" s="3">
        <v>0</v>
      </c>
      <c r="AI87" s="15"/>
      <c r="AJ87" s="3">
        <f t="shared" si="209"/>
        <v>0</v>
      </c>
      <c r="AL87" s="31"/>
      <c r="AM87" s="21">
        <v>0</v>
      </c>
      <c r="AN87" s="3">
        <v>0</v>
      </c>
      <c r="AO87" s="80">
        <f t="shared" si="239"/>
        <v>11</v>
      </c>
      <c r="AP87" s="31">
        <f t="shared" si="257"/>
        <v>51.636363636363633</v>
      </c>
      <c r="AQ87" s="21">
        <v>0</v>
      </c>
      <c r="AR87" s="3">
        <v>0</v>
      </c>
      <c r="AS87" s="80">
        <f t="shared" si="240"/>
        <v>13</v>
      </c>
      <c r="AT87" s="31">
        <f t="shared" si="258"/>
        <v>52.615384615384613</v>
      </c>
      <c r="AU87" s="21">
        <v>0</v>
      </c>
      <c r="AV87" s="3">
        <v>0</v>
      </c>
      <c r="AW87" s="80">
        <f t="shared" si="241"/>
        <v>18</v>
      </c>
      <c r="AX87" s="31">
        <f t="shared" si="259"/>
        <v>29.222222222222221</v>
      </c>
      <c r="AY87" s="21">
        <f t="shared" si="212"/>
        <v>0</v>
      </c>
      <c r="AZ87" s="3">
        <v>0</v>
      </c>
      <c r="BA87" s="80">
        <f t="shared" si="242"/>
        <v>17</v>
      </c>
      <c r="BB87" s="31">
        <f t="shared" si="260"/>
        <v>36.117647058823529</v>
      </c>
      <c r="BC87" s="21">
        <f t="shared" si="213"/>
        <v>0</v>
      </c>
      <c r="BD87" s="15">
        <v>0</v>
      </c>
      <c r="BE87" s="3">
        <f t="shared" si="214"/>
        <v>0</v>
      </c>
      <c r="BF87" s="80">
        <f t="shared" si="243"/>
        <v>51</v>
      </c>
      <c r="BG87" s="31">
        <f t="shared" si="261"/>
        <v>12</v>
      </c>
      <c r="BH87" s="21">
        <v>0</v>
      </c>
      <c r="BI87" s="3">
        <f t="shared" si="216"/>
        <v>0</v>
      </c>
      <c r="BJ87" s="3"/>
      <c r="BK87" s="30"/>
      <c r="BL87" s="21">
        <v>0</v>
      </c>
      <c r="BM87" s="3">
        <v>0</v>
      </c>
      <c r="BN87" s="80">
        <f t="shared" si="244"/>
        <v>12</v>
      </c>
      <c r="BO87" s="31">
        <f t="shared" si="263"/>
        <v>42.416666666666664</v>
      </c>
      <c r="BP87" s="21">
        <v>0</v>
      </c>
      <c r="BQ87" s="3">
        <v>0</v>
      </c>
      <c r="BR87" s="15"/>
      <c r="BS87" s="3">
        <f t="shared" si="219"/>
        <v>0</v>
      </c>
      <c r="BT87" s="80">
        <f t="shared" si="245"/>
        <v>41</v>
      </c>
      <c r="BU87" s="31">
        <f t="shared" si="264"/>
        <v>8.6585365853658534</v>
      </c>
      <c r="BV87" s="21">
        <f t="shared" si="220"/>
        <v>0</v>
      </c>
      <c r="BW87" s="2">
        <v>0</v>
      </c>
      <c r="BX87" s="80">
        <f t="shared" si="246"/>
        <v>19</v>
      </c>
      <c r="BY87" s="31">
        <f t="shared" si="265"/>
        <v>38.421052631578945</v>
      </c>
      <c r="BZ87" s="22">
        <v>0</v>
      </c>
      <c r="CA87" s="2">
        <v>0</v>
      </c>
      <c r="CB87" s="2"/>
      <c r="CD87" s="22">
        <v>0</v>
      </c>
      <c r="CE87" s="3">
        <v>427</v>
      </c>
      <c r="CF87" s="15"/>
      <c r="CG87" s="3">
        <f t="shared" si="221"/>
        <v>427</v>
      </c>
      <c r="CH87" s="25">
        <f t="shared" si="222"/>
        <v>128.1</v>
      </c>
      <c r="CI87" s="3">
        <v>0</v>
      </c>
      <c r="CJ87" s="15"/>
      <c r="CK87" s="3">
        <f t="shared" si="223"/>
        <v>0</v>
      </c>
      <c r="CL87" s="134">
        <f t="shared" si="247"/>
        <v>13</v>
      </c>
      <c r="CM87" s="31">
        <f t="shared" si="266"/>
        <v>40</v>
      </c>
      <c r="CN87" s="21">
        <f t="shared" si="224"/>
        <v>0</v>
      </c>
      <c r="CO87" s="3">
        <f t="shared" si="233"/>
        <v>0</v>
      </c>
      <c r="CP87" s="3"/>
      <c r="CQ87" s="3"/>
      <c r="CR87" s="2">
        <f t="shared" si="231"/>
        <v>0</v>
      </c>
      <c r="CS87" s="80">
        <f t="shared" si="248"/>
        <v>27</v>
      </c>
      <c r="CT87" s="31">
        <f t="shared" si="267"/>
        <v>25.592592592592592</v>
      </c>
      <c r="CU87" s="21">
        <f t="shared" si="225"/>
        <v>0</v>
      </c>
      <c r="CV87" s="3">
        <v>0</v>
      </c>
      <c r="CW87" s="92">
        <f t="shared" si="249"/>
        <v>13</v>
      </c>
      <c r="CX87" s="31">
        <f t="shared" si="268"/>
        <v>40</v>
      </c>
      <c r="CY87" s="21">
        <f t="shared" si="226"/>
        <v>0</v>
      </c>
      <c r="CZ87" s="3">
        <v>0</v>
      </c>
      <c r="DA87" s="80">
        <f t="shared" si="250"/>
        <v>25</v>
      </c>
      <c r="DB87" s="31">
        <f t="shared" si="269"/>
        <v>26</v>
      </c>
      <c r="DC87" s="21">
        <f t="shared" si="227"/>
        <v>0</v>
      </c>
      <c r="DD87" s="3">
        <v>0</v>
      </c>
      <c r="DE87" s="3">
        <v>0</v>
      </c>
      <c r="DF87" s="15"/>
      <c r="DG87" s="3">
        <f t="shared" si="228"/>
        <v>0</v>
      </c>
      <c r="DH87" s="3">
        <f t="shared" si="229"/>
        <v>0</v>
      </c>
      <c r="DI87" s="136">
        <f t="shared" si="251"/>
        <v>23</v>
      </c>
      <c r="DJ87" s="41">
        <f t="shared" si="270"/>
        <v>37.739130434782609</v>
      </c>
      <c r="DK87" s="21">
        <f t="shared" si="230"/>
        <v>0</v>
      </c>
    </row>
    <row r="88" spans="1:115">
      <c r="A88" s="7">
        <v>1931</v>
      </c>
      <c r="B88" s="3">
        <v>2274</v>
      </c>
      <c r="C88" s="15"/>
      <c r="D88" s="3">
        <f t="shared" si="203"/>
        <v>2274</v>
      </c>
      <c r="E88" s="25">
        <f t="shared" si="204"/>
        <v>1591.8</v>
      </c>
      <c r="F88" s="3">
        <v>0</v>
      </c>
      <c r="G88" s="15"/>
      <c r="H88" s="15">
        <f t="shared" si="205"/>
        <v>0</v>
      </c>
      <c r="I88" s="80">
        <f t="shared" si="234"/>
        <v>14</v>
      </c>
      <c r="J88" s="132">
        <f t="shared" si="252"/>
        <v>37.142857142857146</v>
      </c>
      <c r="K88" s="21">
        <f t="shared" si="206"/>
        <v>0</v>
      </c>
      <c r="L88" s="3">
        <v>16696</v>
      </c>
      <c r="M88" s="15"/>
      <c r="N88" s="15"/>
      <c r="O88" s="3">
        <f t="shared" si="271"/>
        <v>16696</v>
      </c>
      <c r="P88" s="80">
        <f t="shared" si="235"/>
        <v>13</v>
      </c>
      <c r="Q88" s="31">
        <f t="shared" si="253"/>
        <v>45.769230769230766</v>
      </c>
      <c r="R88" s="21">
        <f t="shared" si="207"/>
        <v>764163.07692307688</v>
      </c>
      <c r="S88" s="3">
        <v>29806</v>
      </c>
      <c r="T88" s="15"/>
      <c r="U88" s="15"/>
      <c r="V88" s="3">
        <f t="shared" si="272"/>
        <v>29806</v>
      </c>
      <c r="W88" s="80">
        <f t="shared" si="236"/>
        <v>18</v>
      </c>
      <c r="X88" s="31">
        <f t="shared" si="254"/>
        <v>33.888888888888886</v>
      </c>
      <c r="Y88" s="21">
        <f t="shared" si="208"/>
        <v>1010092.2222222221</v>
      </c>
      <c r="Z88" s="3">
        <v>0</v>
      </c>
      <c r="AA88" s="80">
        <f t="shared" si="237"/>
        <v>17</v>
      </c>
      <c r="AB88" s="31">
        <f t="shared" si="255"/>
        <v>32.235294117647058</v>
      </c>
      <c r="AC88" s="21">
        <v>0</v>
      </c>
      <c r="AD88" s="3">
        <v>0</v>
      </c>
      <c r="AE88" s="80">
        <f t="shared" si="238"/>
        <v>18</v>
      </c>
      <c r="AF88" s="31">
        <f t="shared" si="256"/>
        <v>46.055555555555557</v>
      </c>
      <c r="AG88" s="21">
        <v>0</v>
      </c>
      <c r="AH88" s="3">
        <v>0</v>
      </c>
      <c r="AI88" s="15"/>
      <c r="AJ88" s="3">
        <f t="shared" si="209"/>
        <v>0</v>
      </c>
      <c r="AL88" s="31"/>
      <c r="AM88" s="21">
        <v>0</v>
      </c>
      <c r="AN88" s="3">
        <v>0</v>
      </c>
      <c r="AO88" s="80">
        <f t="shared" si="239"/>
        <v>12</v>
      </c>
      <c r="AP88" s="31">
        <f t="shared" si="257"/>
        <v>47.333333333333336</v>
      </c>
      <c r="AQ88" s="21">
        <v>0</v>
      </c>
      <c r="AR88" s="3">
        <v>0</v>
      </c>
      <c r="AS88" s="80">
        <f t="shared" si="240"/>
        <v>14</v>
      </c>
      <c r="AT88" s="31">
        <f t="shared" si="258"/>
        <v>48.857142857142854</v>
      </c>
      <c r="AU88" s="21">
        <v>0</v>
      </c>
      <c r="AV88" s="3">
        <v>3644</v>
      </c>
      <c r="AW88" s="80">
        <f t="shared" si="241"/>
        <v>18</v>
      </c>
      <c r="AX88" s="31">
        <f t="shared" si="259"/>
        <v>29.222222222222221</v>
      </c>
      <c r="AY88" s="21">
        <f t="shared" si="212"/>
        <v>106485.77777777778</v>
      </c>
      <c r="AZ88" s="3">
        <v>0</v>
      </c>
      <c r="BA88" s="80">
        <f t="shared" si="242"/>
        <v>18</v>
      </c>
      <c r="BB88" s="31">
        <f t="shared" si="260"/>
        <v>34.111111111111114</v>
      </c>
      <c r="BC88" s="21">
        <f t="shared" si="213"/>
        <v>0</v>
      </c>
      <c r="BD88" s="15">
        <v>0</v>
      </c>
      <c r="BE88" s="3">
        <f t="shared" si="214"/>
        <v>0</v>
      </c>
      <c r="BF88" s="80">
        <f t="shared" si="243"/>
        <v>53</v>
      </c>
      <c r="BG88" s="31">
        <f t="shared" si="261"/>
        <v>11.547169811320755</v>
      </c>
      <c r="BH88" s="21">
        <v>0</v>
      </c>
      <c r="BI88" s="3">
        <f t="shared" si="216"/>
        <v>0</v>
      </c>
      <c r="BJ88" s="3"/>
      <c r="BK88" s="30"/>
      <c r="BL88" s="21">
        <v>0</v>
      </c>
      <c r="BM88" s="3">
        <v>0</v>
      </c>
      <c r="BN88" s="80">
        <f t="shared" si="244"/>
        <v>13</v>
      </c>
      <c r="BO88" s="31">
        <f t="shared" si="263"/>
        <v>39.153846153846153</v>
      </c>
      <c r="BP88" s="21">
        <v>0</v>
      </c>
      <c r="BQ88" s="3">
        <v>0</v>
      </c>
      <c r="BR88" s="15"/>
      <c r="BS88" s="3">
        <f t="shared" si="219"/>
        <v>0</v>
      </c>
      <c r="BT88" s="80">
        <f t="shared" si="245"/>
        <v>41</v>
      </c>
      <c r="BU88" s="31">
        <f t="shared" si="264"/>
        <v>8.6585365853658534</v>
      </c>
      <c r="BV88" s="21">
        <f t="shared" si="220"/>
        <v>0</v>
      </c>
      <c r="BW88" s="2">
        <v>0</v>
      </c>
      <c r="BX88" s="80">
        <f t="shared" si="246"/>
        <v>20</v>
      </c>
      <c r="BY88" s="31">
        <f t="shared" si="265"/>
        <v>36.5</v>
      </c>
      <c r="BZ88" s="22">
        <v>0</v>
      </c>
      <c r="CA88" s="2">
        <v>0</v>
      </c>
      <c r="CB88" s="2"/>
      <c r="CD88" s="22">
        <v>0</v>
      </c>
      <c r="CE88" s="3">
        <v>2274</v>
      </c>
      <c r="CF88" s="15"/>
      <c r="CG88" s="3">
        <f t="shared" si="221"/>
        <v>2274</v>
      </c>
      <c r="CH88" s="25">
        <f t="shared" si="222"/>
        <v>682.19999999999993</v>
      </c>
      <c r="CI88" s="3">
        <v>0</v>
      </c>
      <c r="CJ88" s="15"/>
      <c r="CK88" s="3">
        <f t="shared" si="223"/>
        <v>0</v>
      </c>
      <c r="CL88" s="134">
        <f t="shared" si="247"/>
        <v>14</v>
      </c>
      <c r="CM88" s="31">
        <f t="shared" si="266"/>
        <v>37.142857142857146</v>
      </c>
      <c r="CN88" s="21">
        <f t="shared" si="224"/>
        <v>0</v>
      </c>
      <c r="CO88" s="3">
        <f t="shared" si="233"/>
        <v>0</v>
      </c>
      <c r="CP88" s="3"/>
      <c r="CQ88" s="3"/>
      <c r="CR88" s="2">
        <f t="shared" si="231"/>
        <v>0</v>
      </c>
      <c r="CS88" s="80">
        <f t="shared" si="248"/>
        <v>29</v>
      </c>
      <c r="CT88" s="31">
        <f t="shared" si="267"/>
        <v>23.827586206896552</v>
      </c>
      <c r="CU88" s="21">
        <f t="shared" si="225"/>
        <v>0</v>
      </c>
      <c r="CV88" s="3">
        <v>8637</v>
      </c>
      <c r="CW88" s="92">
        <f t="shared" si="249"/>
        <v>14</v>
      </c>
      <c r="CX88" s="31">
        <f t="shared" si="268"/>
        <v>37.142857142857146</v>
      </c>
      <c r="CY88" s="21">
        <f t="shared" si="226"/>
        <v>320802.85714285716</v>
      </c>
      <c r="CZ88" s="3">
        <v>0</v>
      </c>
      <c r="DA88" s="80">
        <f t="shared" si="250"/>
        <v>27</v>
      </c>
      <c r="DB88" s="31">
        <f t="shared" si="269"/>
        <v>24.074074074074073</v>
      </c>
      <c r="DC88" s="21">
        <f t="shared" si="227"/>
        <v>0</v>
      </c>
      <c r="DD88" s="3">
        <v>0</v>
      </c>
      <c r="DE88" s="3">
        <v>0</v>
      </c>
      <c r="DF88" s="15"/>
      <c r="DG88" s="3">
        <f t="shared" si="228"/>
        <v>0</v>
      </c>
      <c r="DH88" s="3">
        <f t="shared" si="229"/>
        <v>0</v>
      </c>
      <c r="DI88" s="136">
        <f t="shared" si="251"/>
        <v>25</v>
      </c>
      <c r="DJ88" s="41">
        <f t="shared" si="270"/>
        <v>34.72</v>
      </c>
      <c r="DK88" s="21">
        <f t="shared" si="230"/>
        <v>0</v>
      </c>
    </row>
    <row r="89" spans="1:115">
      <c r="A89" s="7">
        <v>1930</v>
      </c>
      <c r="B89" s="3">
        <v>39164</v>
      </c>
      <c r="C89" s="15"/>
      <c r="D89" s="3">
        <f t="shared" si="203"/>
        <v>39164</v>
      </c>
      <c r="E89" s="25">
        <f t="shared" si="204"/>
        <v>27414.799999999999</v>
      </c>
      <c r="F89" s="3">
        <v>0</v>
      </c>
      <c r="G89" s="15"/>
      <c r="H89" s="15">
        <f t="shared" si="205"/>
        <v>0</v>
      </c>
      <c r="I89" s="80">
        <f t="shared" si="234"/>
        <v>15</v>
      </c>
      <c r="J89" s="132">
        <f t="shared" si="252"/>
        <v>34.666666666666664</v>
      </c>
      <c r="K89" s="21">
        <f t="shared" si="206"/>
        <v>0</v>
      </c>
      <c r="L89" s="3">
        <v>31954</v>
      </c>
      <c r="M89" s="15"/>
      <c r="N89" s="15"/>
      <c r="O89" s="3">
        <f t="shared" si="271"/>
        <v>31954</v>
      </c>
      <c r="P89" s="80">
        <f t="shared" si="235"/>
        <v>13</v>
      </c>
      <c r="Q89" s="31">
        <f t="shared" si="253"/>
        <v>45.769230769230766</v>
      </c>
      <c r="R89" s="21">
        <f t="shared" si="207"/>
        <v>1462510</v>
      </c>
      <c r="S89" s="3">
        <v>252885</v>
      </c>
      <c r="T89" s="15"/>
      <c r="U89" s="15"/>
      <c r="V89" s="3">
        <f t="shared" si="272"/>
        <v>252885</v>
      </c>
      <c r="W89" s="80">
        <f t="shared" si="236"/>
        <v>20</v>
      </c>
      <c r="X89" s="31">
        <f t="shared" si="254"/>
        <v>30.5</v>
      </c>
      <c r="Y89" s="21">
        <f t="shared" si="208"/>
        <v>7712992.5</v>
      </c>
      <c r="Z89" s="3">
        <v>0</v>
      </c>
      <c r="AA89" s="80">
        <f t="shared" si="237"/>
        <v>18</v>
      </c>
      <c r="AB89" s="31">
        <f t="shared" si="255"/>
        <v>30.444444444444443</v>
      </c>
      <c r="AC89" s="21">
        <v>0</v>
      </c>
      <c r="AD89" s="3">
        <v>0</v>
      </c>
      <c r="AE89" s="80">
        <f t="shared" si="238"/>
        <v>18</v>
      </c>
      <c r="AF89" s="31">
        <f t="shared" si="256"/>
        <v>46.055555555555557</v>
      </c>
      <c r="AG89" s="21">
        <v>0</v>
      </c>
      <c r="AH89" s="3">
        <v>11923</v>
      </c>
      <c r="AI89" s="15"/>
      <c r="AJ89" s="3">
        <f t="shared" si="209"/>
        <v>11923</v>
      </c>
      <c r="AK89" s="12">
        <v>30</v>
      </c>
      <c r="AL89" s="31">
        <f t="shared" ref="AL89" si="273">$AK$4/AK89</f>
        <v>17.5</v>
      </c>
      <c r="AM89" s="21">
        <f>AL89*AJ89</f>
        <v>208652.5</v>
      </c>
      <c r="AN89" s="3">
        <v>0</v>
      </c>
      <c r="AO89" s="80">
        <f t="shared" si="239"/>
        <v>13</v>
      </c>
      <c r="AP89" s="31">
        <f t="shared" si="257"/>
        <v>43.692307692307693</v>
      </c>
      <c r="AQ89" s="21">
        <v>0</v>
      </c>
      <c r="AR89" s="3">
        <v>0</v>
      </c>
      <c r="AS89" s="80">
        <f t="shared" si="240"/>
        <v>15</v>
      </c>
      <c r="AT89" s="31">
        <f t="shared" si="258"/>
        <v>45.6</v>
      </c>
      <c r="AU89" s="21">
        <v>0</v>
      </c>
      <c r="AV89" s="3">
        <v>45497</v>
      </c>
      <c r="AW89" s="80">
        <f t="shared" si="241"/>
        <v>19</v>
      </c>
      <c r="AX89" s="31">
        <f t="shared" si="259"/>
        <v>27.684210526315791</v>
      </c>
      <c r="AY89" s="21">
        <f t="shared" si="212"/>
        <v>1259548.5263157894</v>
      </c>
      <c r="AZ89" s="3">
        <v>0</v>
      </c>
      <c r="BA89" s="80">
        <f t="shared" si="242"/>
        <v>19</v>
      </c>
      <c r="BB89" s="31">
        <f t="shared" si="260"/>
        <v>32.315789473684212</v>
      </c>
      <c r="BC89" s="21">
        <f t="shared" si="213"/>
        <v>0</v>
      </c>
      <c r="BD89" s="15">
        <v>0</v>
      </c>
      <c r="BE89" s="3">
        <f t="shared" si="214"/>
        <v>0</v>
      </c>
      <c r="BF89" s="80">
        <f t="shared" si="243"/>
        <v>55</v>
      </c>
      <c r="BG89" s="31">
        <f t="shared" si="261"/>
        <v>11.127272727272727</v>
      </c>
      <c r="BH89" s="21">
        <v>0</v>
      </c>
      <c r="BI89" s="3">
        <f t="shared" si="216"/>
        <v>0</v>
      </c>
      <c r="BJ89" s="3"/>
      <c r="BK89" s="30"/>
      <c r="BL89" s="21">
        <v>0</v>
      </c>
      <c r="BM89" s="3">
        <v>0</v>
      </c>
      <c r="BN89" s="80">
        <f t="shared" si="244"/>
        <v>14</v>
      </c>
      <c r="BO89" s="31">
        <f t="shared" si="263"/>
        <v>36.357142857142854</v>
      </c>
      <c r="BP89" s="21">
        <v>0</v>
      </c>
      <c r="BQ89" s="3">
        <v>0</v>
      </c>
      <c r="BR89" s="15"/>
      <c r="BS89" s="3">
        <f t="shared" si="219"/>
        <v>0</v>
      </c>
      <c r="BT89" s="80">
        <f t="shared" si="245"/>
        <v>41</v>
      </c>
      <c r="BU89" s="31">
        <f t="shared" si="264"/>
        <v>8.6585365853658534</v>
      </c>
      <c r="BV89" s="21">
        <f t="shared" si="220"/>
        <v>0</v>
      </c>
      <c r="BW89" s="2">
        <v>0</v>
      </c>
      <c r="BX89" s="80">
        <f t="shared" si="246"/>
        <v>20</v>
      </c>
      <c r="BY89" s="31">
        <f t="shared" si="265"/>
        <v>36.5</v>
      </c>
      <c r="BZ89" s="22">
        <v>0</v>
      </c>
      <c r="CA89" s="2">
        <v>0</v>
      </c>
      <c r="CB89" s="2"/>
      <c r="CD89" s="22">
        <v>0</v>
      </c>
      <c r="CE89" s="3">
        <v>39164</v>
      </c>
      <c r="CF89" s="15"/>
      <c r="CG89" s="3">
        <f t="shared" si="221"/>
        <v>39164</v>
      </c>
      <c r="CH89" s="25">
        <f t="shared" si="222"/>
        <v>11749.199999999999</v>
      </c>
      <c r="CI89" s="3">
        <v>0</v>
      </c>
      <c r="CJ89" s="15"/>
      <c r="CK89" s="3">
        <f t="shared" si="223"/>
        <v>0</v>
      </c>
      <c r="CL89" s="134">
        <f t="shared" si="247"/>
        <v>15</v>
      </c>
      <c r="CM89" s="31">
        <f t="shared" si="266"/>
        <v>34.666666666666664</v>
      </c>
      <c r="CN89" s="21">
        <f t="shared" si="224"/>
        <v>0</v>
      </c>
      <c r="CO89" s="3">
        <f t="shared" si="233"/>
        <v>0</v>
      </c>
      <c r="CP89" s="3"/>
      <c r="CQ89" s="3"/>
      <c r="CR89" s="2">
        <f t="shared" si="231"/>
        <v>0</v>
      </c>
      <c r="CS89" s="80">
        <f t="shared" si="248"/>
        <v>29</v>
      </c>
      <c r="CT89" s="31">
        <f t="shared" si="267"/>
        <v>23.827586206896552</v>
      </c>
      <c r="CU89" s="21">
        <f t="shared" si="225"/>
        <v>0</v>
      </c>
      <c r="CV89" s="3">
        <v>1875</v>
      </c>
      <c r="CW89" s="92">
        <f t="shared" si="249"/>
        <v>15</v>
      </c>
      <c r="CX89" s="31">
        <f t="shared" si="268"/>
        <v>34.666666666666664</v>
      </c>
      <c r="CY89" s="21">
        <f t="shared" si="226"/>
        <v>64999.999999999993</v>
      </c>
      <c r="CZ89" s="3">
        <v>0</v>
      </c>
      <c r="DA89" s="80">
        <f t="shared" si="250"/>
        <v>27</v>
      </c>
      <c r="DB89" s="31">
        <f t="shared" si="269"/>
        <v>24.074074074074073</v>
      </c>
      <c r="DC89" s="21">
        <f t="shared" si="227"/>
        <v>0</v>
      </c>
      <c r="DD89" s="3">
        <v>0</v>
      </c>
      <c r="DE89" s="3">
        <v>0</v>
      </c>
      <c r="DF89" s="15"/>
      <c r="DG89" s="3">
        <f t="shared" si="228"/>
        <v>0</v>
      </c>
      <c r="DH89" s="3">
        <f t="shared" si="229"/>
        <v>0</v>
      </c>
      <c r="DI89" s="136">
        <f t="shared" si="251"/>
        <v>25</v>
      </c>
      <c r="DJ89" s="41">
        <f t="shared" si="270"/>
        <v>34.72</v>
      </c>
      <c r="DK89" s="21">
        <f t="shared" si="230"/>
        <v>0</v>
      </c>
    </row>
    <row r="90" spans="1:115">
      <c r="A90" s="7">
        <v>1929</v>
      </c>
      <c r="B90" s="3">
        <v>33342</v>
      </c>
      <c r="C90" s="15"/>
      <c r="D90" s="3">
        <f t="shared" ref="D90:D113" si="274">B90-C90</f>
        <v>33342</v>
      </c>
      <c r="E90" s="25">
        <f t="shared" ref="E90:E113" si="275">D90*0.7</f>
        <v>23339.399999999998</v>
      </c>
      <c r="F90" s="3">
        <v>2885</v>
      </c>
      <c r="G90" s="15"/>
      <c r="H90" s="15">
        <f t="shared" ref="H90:H113" si="276">F90-G90</f>
        <v>2885</v>
      </c>
      <c r="I90" s="80">
        <f t="shared" si="234"/>
        <v>15</v>
      </c>
      <c r="J90" s="132">
        <f t="shared" si="252"/>
        <v>34.666666666666664</v>
      </c>
      <c r="K90" s="21">
        <f t="shared" ref="K90:K113" si="277">J90*H90</f>
        <v>100013.33333333333</v>
      </c>
      <c r="L90" s="3">
        <v>3060</v>
      </c>
      <c r="M90" s="15"/>
      <c r="N90" s="15"/>
      <c r="O90" s="3">
        <f t="shared" si="271"/>
        <v>3060</v>
      </c>
      <c r="P90" s="80">
        <f t="shared" si="235"/>
        <v>13</v>
      </c>
      <c r="Q90" s="31">
        <f t="shared" si="253"/>
        <v>45.769230769230766</v>
      </c>
      <c r="R90" s="21">
        <f t="shared" ref="R90:R112" si="278">O90*Q90</f>
        <v>140053.84615384616</v>
      </c>
      <c r="S90" s="3">
        <v>225782</v>
      </c>
      <c r="T90" s="15"/>
      <c r="U90" s="15"/>
      <c r="V90" s="3">
        <f t="shared" si="272"/>
        <v>225782</v>
      </c>
      <c r="W90" s="80">
        <f t="shared" si="236"/>
        <v>23</v>
      </c>
      <c r="X90" s="31">
        <f t="shared" si="254"/>
        <v>26.521739130434781</v>
      </c>
      <c r="Y90" s="21">
        <f t="shared" ref="Y90:Y111" si="279">V90*X90</f>
        <v>5988131.3043478262</v>
      </c>
      <c r="Z90" s="3">
        <v>0</v>
      </c>
      <c r="AA90" s="80">
        <f t="shared" si="237"/>
        <v>18</v>
      </c>
      <c r="AB90" s="31">
        <f t="shared" si="255"/>
        <v>30.444444444444443</v>
      </c>
      <c r="AC90" s="21">
        <v>0</v>
      </c>
      <c r="AD90" s="3">
        <v>0</v>
      </c>
      <c r="AE90" s="80">
        <f t="shared" si="238"/>
        <v>22</v>
      </c>
      <c r="AF90" s="31">
        <f t="shared" si="256"/>
        <v>37.68181818181818</v>
      </c>
      <c r="AG90" s="21">
        <v>0</v>
      </c>
      <c r="AH90" s="3">
        <v>0</v>
      </c>
      <c r="AI90" s="15"/>
      <c r="AJ90" s="3">
        <f t="shared" ref="AJ90:AJ113" si="280">AH90-AI90</f>
        <v>0</v>
      </c>
      <c r="AL90" s="31"/>
      <c r="AM90" s="21">
        <v>0</v>
      </c>
      <c r="AN90" s="3">
        <v>0</v>
      </c>
      <c r="AO90" s="80">
        <f t="shared" si="239"/>
        <v>13</v>
      </c>
      <c r="AP90" s="31">
        <f t="shared" si="257"/>
        <v>43.692307692307693</v>
      </c>
      <c r="AQ90" s="21">
        <v>0</v>
      </c>
      <c r="AR90" s="3">
        <v>0</v>
      </c>
      <c r="AS90" s="80">
        <f t="shared" si="240"/>
        <v>18</v>
      </c>
      <c r="AT90" s="31">
        <f t="shared" si="258"/>
        <v>38</v>
      </c>
      <c r="AU90" s="21">
        <v>0</v>
      </c>
      <c r="AV90" s="3">
        <v>94044</v>
      </c>
      <c r="AW90" s="80">
        <f t="shared" si="241"/>
        <v>19</v>
      </c>
      <c r="AX90" s="31">
        <f t="shared" si="259"/>
        <v>27.684210526315791</v>
      </c>
      <c r="AY90" s="21">
        <f t="shared" ref="AY90:AY113" si="281">AX90*AV90</f>
        <v>2603533.8947368423</v>
      </c>
      <c r="AZ90" s="3">
        <v>0</v>
      </c>
      <c r="BA90" s="80">
        <f t="shared" si="242"/>
        <v>23</v>
      </c>
      <c r="BB90" s="31">
        <f t="shared" si="260"/>
        <v>26.695652173913043</v>
      </c>
      <c r="BC90" s="21">
        <f>BB90*AZ90</f>
        <v>0</v>
      </c>
      <c r="BD90" s="15">
        <v>0</v>
      </c>
      <c r="BE90" s="3">
        <f t="shared" ref="BE90:BE113" si="282">BD90*0.824</f>
        <v>0</v>
      </c>
      <c r="BF90" s="80">
        <f t="shared" si="243"/>
        <v>56</v>
      </c>
      <c r="BG90" s="31">
        <f t="shared" si="261"/>
        <v>10.928571428571429</v>
      </c>
      <c r="BH90" s="21">
        <v>0</v>
      </c>
      <c r="BI90" s="3">
        <f t="shared" ref="BI90:BI113" si="283">BD90*0.176</f>
        <v>0</v>
      </c>
      <c r="BJ90" s="3"/>
      <c r="BK90" s="30"/>
      <c r="BL90" s="21">
        <v>0</v>
      </c>
      <c r="BM90" s="3">
        <v>0</v>
      </c>
      <c r="BN90" s="80">
        <f t="shared" si="244"/>
        <v>17</v>
      </c>
      <c r="BO90" s="31">
        <f t="shared" si="263"/>
        <v>29.941176470588236</v>
      </c>
      <c r="BP90" s="21">
        <v>0</v>
      </c>
      <c r="BQ90" s="3">
        <v>0</v>
      </c>
      <c r="BR90" s="15"/>
      <c r="BS90" s="3">
        <f t="shared" ref="BS90:BS113" si="284">BQ90-BR90</f>
        <v>0</v>
      </c>
      <c r="BT90" s="80">
        <f t="shared" si="245"/>
        <v>41</v>
      </c>
      <c r="BU90" s="31">
        <f t="shared" si="264"/>
        <v>8.6585365853658534</v>
      </c>
      <c r="BV90" s="21">
        <f t="shared" ref="BV90:BV112" si="285">BU90*BS90</f>
        <v>0</v>
      </c>
      <c r="BW90" s="2">
        <v>0</v>
      </c>
      <c r="BX90" s="80">
        <f t="shared" si="246"/>
        <v>20</v>
      </c>
      <c r="BY90" s="31">
        <f t="shared" si="265"/>
        <v>36.5</v>
      </c>
      <c r="BZ90" s="22">
        <v>0</v>
      </c>
      <c r="CA90" s="2">
        <v>0</v>
      </c>
      <c r="CB90" s="2"/>
      <c r="CD90" s="22">
        <v>0</v>
      </c>
      <c r="CE90" s="3">
        <v>33342</v>
      </c>
      <c r="CF90" s="15"/>
      <c r="CG90" s="3">
        <f t="shared" ref="CG90:CG113" si="286">CE90-CF90</f>
        <v>33342</v>
      </c>
      <c r="CH90" s="25">
        <f t="shared" ref="CH90:CH113" si="287">CG90*0.3</f>
        <v>10002.6</v>
      </c>
      <c r="CI90" s="3">
        <v>0</v>
      </c>
      <c r="CJ90" s="15"/>
      <c r="CK90" s="3">
        <f t="shared" ref="CK90:CK112" si="288">CI90-CJ90</f>
        <v>0</v>
      </c>
      <c r="CL90" s="134">
        <f t="shared" si="247"/>
        <v>15</v>
      </c>
      <c r="CM90" s="31">
        <f t="shared" si="266"/>
        <v>34.666666666666664</v>
      </c>
      <c r="CN90" s="21">
        <f t="shared" ref="CN90:CN112" si="289">CK90*CM90</f>
        <v>0</v>
      </c>
      <c r="CO90" s="3">
        <f t="shared" si="233"/>
        <v>0</v>
      </c>
      <c r="CP90" s="3"/>
      <c r="CQ90" s="3"/>
      <c r="CR90" s="2">
        <f t="shared" si="231"/>
        <v>0</v>
      </c>
      <c r="CS90" s="80">
        <f t="shared" si="248"/>
        <v>30</v>
      </c>
      <c r="CT90" s="31">
        <f t="shared" si="267"/>
        <v>23.033333333333335</v>
      </c>
      <c r="CU90" s="21">
        <f t="shared" ref="CU90:CU112" si="290">CR90*CT90</f>
        <v>0</v>
      </c>
      <c r="CV90" s="3">
        <v>15159</v>
      </c>
      <c r="CW90" s="92">
        <f t="shared" si="249"/>
        <v>15</v>
      </c>
      <c r="CX90" s="31">
        <f t="shared" si="268"/>
        <v>34.666666666666664</v>
      </c>
      <c r="CY90" s="21">
        <f t="shared" ref="CY90:CY107" si="291">CX90*CV90</f>
        <v>525512</v>
      </c>
      <c r="CZ90" s="3">
        <v>0</v>
      </c>
      <c r="DA90" s="80">
        <f t="shared" si="250"/>
        <v>27</v>
      </c>
      <c r="DB90" s="31">
        <f t="shared" si="269"/>
        <v>24.074074074074073</v>
      </c>
      <c r="DC90" s="21">
        <f t="shared" ref="DC90:DC109" si="292">DB90*CZ90</f>
        <v>0</v>
      </c>
      <c r="DD90" s="3">
        <v>0</v>
      </c>
      <c r="DE90" s="3">
        <v>0</v>
      </c>
      <c r="DF90" s="15"/>
      <c r="DG90" s="3">
        <f t="shared" ref="DG90:DG113" si="293">DD90-DF90</f>
        <v>0</v>
      </c>
      <c r="DH90" s="3">
        <f t="shared" ref="DH90:DH112" si="294">DG90/2</f>
        <v>0</v>
      </c>
      <c r="DI90" s="136">
        <f t="shared" si="251"/>
        <v>26</v>
      </c>
      <c r="DJ90" s="41">
        <f t="shared" si="270"/>
        <v>33.384615384615387</v>
      </c>
      <c r="DK90" s="21">
        <f t="shared" ref="DK90:DK112" si="295">DH90*DJ90</f>
        <v>0</v>
      </c>
    </row>
    <row r="91" spans="1:115">
      <c r="A91" s="7">
        <v>1928</v>
      </c>
      <c r="B91" s="3">
        <v>14255</v>
      </c>
      <c r="C91" s="15"/>
      <c r="D91" s="3">
        <f t="shared" si="274"/>
        <v>14255</v>
      </c>
      <c r="E91" s="25">
        <f t="shared" si="275"/>
        <v>9978.5</v>
      </c>
      <c r="F91" s="3">
        <v>0</v>
      </c>
      <c r="G91" s="15"/>
      <c r="H91" s="15">
        <f t="shared" si="276"/>
        <v>0</v>
      </c>
      <c r="I91" s="80">
        <f t="shared" si="234"/>
        <v>15</v>
      </c>
      <c r="J91" s="132">
        <f t="shared" si="252"/>
        <v>34.666666666666664</v>
      </c>
      <c r="K91" s="21">
        <f t="shared" si="277"/>
        <v>0</v>
      </c>
      <c r="L91" s="3">
        <v>0</v>
      </c>
      <c r="M91" s="15"/>
      <c r="N91" s="15"/>
      <c r="O91" s="3">
        <f t="shared" si="271"/>
        <v>0</v>
      </c>
      <c r="P91" s="80">
        <f t="shared" si="235"/>
        <v>13</v>
      </c>
      <c r="Q91" s="31">
        <f t="shared" si="253"/>
        <v>45.769230769230766</v>
      </c>
      <c r="R91" s="21">
        <f t="shared" si="278"/>
        <v>0</v>
      </c>
      <c r="S91" s="3">
        <v>115118</v>
      </c>
      <c r="T91" s="15"/>
      <c r="U91" s="15"/>
      <c r="V91" s="3">
        <f t="shared" si="272"/>
        <v>115118</v>
      </c>
      <c r="W91" s="80">
        <f t="shared" si="236"/>
        <v>21</v>
      </c>
      <c r="X91" s="31">
        <f t="shared" si="254"/>
        <v>29.047619047619047</v>
      </c>
      <c r="Y91" s="21">
        <f t="shared" si="279"/>
        <v>3343903.8095238097</v>
      </c>
      <c r="Z91" s="3">
        <v>0</v>
      </c>
      <c r="AA91" s="80">
        <f t="shared" si="237"/>
        <v>18</v>
      </c>
      <c r="AB91" s="31">
        <f t="shared" si="255"/>
        <v>30.444444444444443</v>
      </c>
      <c r="AC91" s="21">
        <v>0</v>
      </c>
      <c r="AD91" s="3">
        <v>0</v>
      </c>
      <c r="AE91" s="80">
        <f t="shared" si="238"/>
        <v>20</v>
      </c>
      <c r="AF91" s="31">
        <f t="shared" si="256"/>
        <v>41.45</v>
      </c>
      <c r="AG91" s="21">
        <v>0</v>
      </c>
      <c r="AH91" s="3">
        <v>0</v>
      </c>
      <c r="AI91" s="15"/>
      <c r="AJ91" s="3">
        <f t="shared" si="280"/>
        <v>0</v>
      </c>
      <c r="AL91" s="31"/>
      <c r="AM91" s="21">
        <v>0</v>
      </c>
      <c r="AN91" s="3">
        <v>0</v>
      </c>
      <c r="AO91" s="80">
        <f t="shared" si="239"/>
        <v>13</v>
      </c>
      <c r="AP91" s="31">
        <f t="shared" si="257"/>
        <v>43.692307692307693</v>
      </c>
      <c r="AQ91" s="21">
        <v>0</v>
      </c>
      <c r="AR91" s="3">
        <v>0</v>
      </c>
      <c r="AS91" s="80">
        <f t="shared" si="240"/>
        <v>17</v>
      </c>
      <c r="AT91" s="31">
        <f t="shared" si="258"/>
        <v>40.235294117647058</v>
      </c>
      <c r="AU91" s="21">
        <v>0</v>
      </c>
      <c r="AV91" s="3">
        <v>52361</v>
      </c>
      <c r="AW91" s="80">
        <f t="shared" si="241"/>
        <v>19</v>
      </c>
      <c r="AX91" s="31">
        <f t="shared" si="259"/>
        <v>27.684210526315791</v>
      </c>
      <c r="AY91" s="21">
        <f t="shared" si="281"/>
        <v>1449572.9473684211</v>
      </c>
      <c r="AZ91" s="3">
        <v>0</v>
      </c>
      <c r="BA91" s="80">
        <f t="shared" si="242"/>
        <v>21</v>
      </c>
      <c r="BB91" s="31">
        <f t="shared" si="260"/>
        <v>29.238095238095237</v>
      </c>
      <c r="BC91" s="21">
        <f>BB91*AZ91</f>
        <v>0</v>
      </c>
      <c r="BD91" s="15">
        <v>0</v>
      </c>
      <c r="BE91" s="3">
        <f t="shared" si="282"/>
        <v>0</v>
      </c>
      <c r="BF91" s="80">
        <f t="shared" si="243"/>
        <v>52</v>
      </c>
      <c r="BG91" s="31">
        <f t="shared" si="261"/>
        <v>11.76923076923077</v>
      </c>
      <c r="BH91" s="21">
        <v>0</v>
      </c>
      <c r="BI91" s="3">
        <f t="shared" si="283"/>
        <v>0</v>
      </c>
      <c r="BJ91" s="3"/>
      <c r="BK91" s="30"/>
      <c r="BL91" s="21">
        <v>0</v>
      </c>
      <c r="BM91" s="3">
        <v>0</v>
      </c>
      <c r="BN91" s="80">
        <f t="shared" si="244"/>
        <v>15</v>
      </c>
      <c r="BO91" s="31">
        <f t="shared" si="263"/>
        <v>33.93333333333333</v>
      </c>
      <c r="BP91" s="21">
        <v>0</v>
      </c>
      <c r="BQ91" s="3">
        <v>0</v>
      </c>
      <c r="BR91" s="15"/>
      <c r="BS91" s="3">
        <f t="shared" si="284"/>
        <v>0</v>
      </c>
      <c r="BT91" s="80">
        <f t="shared" si="245"/>
        <v>41</v>
      </c>
      <c r="BU91" s="31">
        <f t="shared" si="264"/>
        <v>8.6585365853658534</v>
      </c>
      <c r="BV91" s="21">
        <f t="shared" si="285"/>
        <v>0</v>
      </c>
      <c r="BW91" s="2">
        <v>0</v>
      </c>
      <c r="BX91" s="80">
        <f t="shared" si="246"/>
        <v>20</v>
      </c>
      <c r="BY91" s="31">
        <f t="shared" si="265"/>
        <v>36.5</v>
      </c>
      <c r="BZ91" s="22">
        <v>0</v>
      </c>
      <c r="CA91" s="2">
        <v>0</v>
      </c>
      <c r="CB91" s="2"/>
      <c r="CD91" s="22">
        <v>0</v>
      </c>
      <c r="CE91" s="3">
        <v>14255</v>
      </c>
      <c r="CF91" s="15"/>
      <c r="CG91" s="3">
        <f t="shared" si="286"/>
        <v>14255</v>
      </c>
      <c r="CH91" s="25">
        <f t="shared" si="287"/>
        <v>4276.5</v>
      </c>
      <c r="CI91" s="3">
        <v>3964</v>
      </c>
      <c r="CJ91" s="15"/>
      <c r="CK91" s="3">
        <f t="shared" si="288"/>
        <v>3964</v>
      </c>
      <c r="CL91" s="134">
        <f t="shared" si="247"/>
        <v>15</v>
      </c>
      <c r="CM91" s="31">
        <f t="shared" si="266"/>
        <v>34.666666666666664</v>
      </c>
      <c r="CN91" s="21">
        <f t="shared" si="289"/>
        <v>137418.66666666666</v>
      </c>
      <c r="CO91" s="3">
        <f t="shared" si="233"/>
        <v>0</v>
      </c>
      <c r="CP91" s="3"/>
      <c r="CQ91" s="3"/>
      <c r="CR91" s="2">
        <f t="shared" si="231"/>
        <v>0</v>
      </c>
      <c r="CS91" s="80">
        <f t="shared" si="248"/>
        <v>29</v>
      </c>
      <c r="CT91" s="31">
        <f t="shared" si="267"/>
        <v>23.827586206896552</v>
      </c>
      <c r="CU91" s="21">
        <f t="shared" si="290"/>
        <v>0</v>
      </c>
      <c r="CV91" s="3">
        <v>0</v>
      </c>
      <c r="CW91" s="92">
        <f t="shared" si="249"/>
        <v>15</v>
      </c>
      <c r="CX91" s="31">
        <f t="shared" si="268"/>
        <v>34.666666666666664</v>
      </c>
      <c r="CY91" s="21">
        <f t="shared" si="291"/>
        <v>0</v>
      </c>
      <c r="CZ91" s="3">
        <v>0</v>
      </c>
      <c r="DA91" s="80">
        <f t="shared" si="250"/>
        <v>26</v>
      </c>
      <c r="DB91" s="31">
        <f t="shared" si="269"/>
        <v>25</v>
      </c>
      <c r="DC91" s="21">
        <f t="shared" si="292"/>
        <v>0</v>
      </c>
      <c r="DD91" s="3">
        <v>0</v>
      </c>
      <c r="DE91" s="3">
        <v>0</v>
      </c>
      <c r="DF91" s="15"/>
      <c r="DG91" s="3">
        <f t="shared" si="293"/>
        <v>0</v>
      </c>
      <c r="DH91" s="3">
        <f t="shared" si="294"/>
        <v>0</v>
      </c>
      <c r="DI91" s="136">
        <f t="shared" si="251"/>
        <v>24</v>
      </c>
      <c r="DJ91" s="41">
        <f t="shared" si="270"/>
        <v>36.166666666666664</v>
      </c>
      <c r="DK91" s="21">
        <f t="shared" si="295"/>
        <v>0</v>
      </c>
    </row>
    <row r="92" spans="1:115">
      <c r="A92" s="7">
        <v>1927</v>
      </c>
      <c r="B92" s="3">
        <v>18121</v>
      </c>
      <c r="C92" s="15"/>
      <c r="D92" s="3">
        <f t="shared" si="274"/>
        <v>18121</v>
      </c>
      <c r="E92" s="25">
        <f t="shared" si="275"/>
        <v>12684.699999999999</v>
      </c>
      <c r="F92" s="3">
        <v>0</v>
      </c>
      <c r="G92" s="15"/>
      <c r="H92" s="15">
        <f t="shared" si="276"/>
        <v>0</v>
      </c>
      <c r="I92" s="80">
        <f t="shared" si="234"/>
        <v>15</v>
      </c>
      <c r="J92" s="132">
        <f t="shared" si="252"/>
        <v>34.666666666666664</v>
      </c>
      <c r="K92" s="21">
        <f t="shared" si="277"/>
        <v>0</v>
      </c>
      <c r="L92" s="3">
        <v>0</v>
      </c>
      <c r="M92" s="15"/>
      <c r="N92" s="15"/>
      <c r="O92" s="3">
        <f t="shared" si="271"/>
        <v>0</v>
      </c>
      <c r="P92" s="80">
        <f t="shared" si="235"/>
        <v>13</v>
      </c>
      <c r="Q92" s="31">
        <f t="shared" si="253"/>
        <v>45.769230769230766</v>
      </c>
      <c r="R92" s="21">
        <f t="shared" si="278"/>
        <v>0</v>
      </c>
      <c r="S92" s="3">
        <v>12012</v>
      </c>
      <c r="T92" s="15"/>
      <c r="U92" s="15"/>
      <c r="V92" s="3">
        <f t="shared" si="272"/>
        <v>12012</v>
      </c>
      <c r="W92" s="80">
        <f t="shared" si="236"/>
        <v>20</v>
      </c>
      <c r="X92" s="31">
        <f t="shared" si="254"/>
        <v>30.5</v>
      </c>
      <c r="Y92" s="21">
        <f t="shared" si="279"/>
        <v>366366</v>
      </c>
      <c r="Z92" s="3">
        <v>0</v>
      </c>
      <c r="AA92" s="80">
        <f t="shared" si="237"/>
        <v>18</v>
      </c>
      <c r="AB92" s="31">
        <f t="shared" si="255"/>
        <v>30.444444444444443</v>
      </c>
      <c r="AC92" s="21">
        <v>0</v>
      </c>
      <c r="AD92" s="3">
        <v>0</v>
      </c>
      <c r="AE92" s="80">
        <f t="shared" si="238"/>
        <v>18</v>
      </c>
      <c r="AF92" s="31">
        <f t="shared" si="256"/>
        <v>46.055555555555557</v>
      </c>
      <c r="AG92" s="21">
        <v>0</v>
      </c>
      <c r="AH92" s="3">
        <v>0</v>
      </c>
      <c r="AI92" s="15"/>
      <c r="AJ92" s="3">
        <f t="shared" si="280"/>
        <v>0</v>
      </c>
      <c r="AL92" s="31"/>
      <c r="AM92" s="21">
        <v>0</v>
      </c>
      <c r="AN92" s="3">
        <v>0</v>
      </c>
      <c r="AO92" s="80">
        <f t="shared" si="239"/>
        <v>13</v>
      </c>
      <c r="AP92" s="31">
        <f t="shared" si="257"/>
        <v>43.692307692307693</v>
      </c>
      <c r="AQ92" s="21">
        <v>0</v>
      </c>
      <c r="AR92" s="3">
        <v>0</v>
      </c>
      <c r="AS92" s="80">
        <f t="shared" si="240"/>
        <v>16</v>
      </c>
      <c r="AT92" s="31">
        <f t="shared" si="258"/>
        <v>42.75</v>
      </c>
      <c r="AU92" s="21">
        <v>0</v>
      </c>
      <c r="AV92" s="3">
        <v>21844</v>
      </c>
      <c r="AW92" s="80">
        <f t="shared" si="241"/>
        <v>19</v>
      </c>
      <c r="AX92" s="31">
        <f t="shared" si="259"/>
        <v>27.684210526315791</v>
      </c>
      <c r="AY92" s="21">
        <f t="shared" si="281"/>
        <v>604733.89473684214</v>
      </c>
      <c r="AZ92" s="3">
        <v>0</v>
      </c>
      <c r="BA92" s="80">
        <f t="shared" si="242"/>
        <v>19</v>
      </c>
      <c r="BB92" s="31">
        <f t="shared" si="260"/>
        <v>32.315789473684212</v>
      </c>
      <c r="BC92" s="21">
        <f>BB92*AZ92</f>
        <v>0</v>
      </c>
      <c r="BD92" s="15">
        <v>0</v>
      </c>
      <c r="BE92" s="3">
        <f t="shared" si="282"/>
        <v>0</v>
      </c>
      <c r="BF92" s="80">
        <f t="shared" si="243"/>
        <v>53</v>
      </c>
      <c r="BG92" s="31">
        <f t="shared" si="261"/>
        <v>11.547169811320755</v>
      </c>
      <c r="BH92" s="21">
        <v>0</v>
      </c>
      <c r="BI92" s="3">
        <f t="shared" si="283"/>
        <v>0</v>
      </c>
      <c r="BJ92" s="3"/>
      <c r="BK92" s="30"/>
      <c r="BL92" s="21">
        <v>0</v>
      </c>
      <c r="BM92" s="3">
        <v>0</v>
      </c>
      <c r="BN92" s="80">
        <f t="shared" si="244"/>
        <v>15</v>
      </c>
      <c r="BO92" s="31">
        <f t="shared" si="263"/>
        <v>33.93333333333333</v>
      </c>
      <c r="BP92" s="21">
        <v>0</v>
      </c>
      <c r="BQ92" s="3">
        <v>0</v>
      </c>
      <c r="BR92" s="15"/>
      <c r="BS92" s="3">
        <f t="shared" si="284"/>
        <v>0</v>
      </c>
      <c r="BT92" s="80">
        <f t="shared" si="245"/>
        <v>41</v>
      </c>
      <c r="BU92" s="31">
        <f t="shared" si="264"/>
        <v>8.6585365853658534</v>
      </c>
      <c r="BV92" s="21">
        <f t="shared" si="285"/>
        <v>0</v>
      </c>
      <c r="BW92" s="2">
        <v>0</v>
      </c>
      <c r="BX92" s="80">
        <f t="shared" si="246"/>
        <v>19</v>
      </c>
      <c r="BY92" s="31">
        <f t="shared" si="265"/>
        <v>38.421052631578945</v>
      </c>
      <c r="BZ92" s="22">
        <v>0</v>
      </c>
      <c r="CA92" s="2">
        <v>0</v>
      </c>
      <c r="CB92" s="2"/>
      <c r="CD92" s="22">
        <v>0</v>
      </c>
      <c r="CE92" s="3">
        <v>18121</v>
      </c>
      <c r="CF92" s="15"/>
      <c r="CG92" s="3">
        <f t="shared" si="286"/>
        <v>18121</v>
      </c>
      <c r="CH92" s="25">
        <f t="shared" si="287"/>
        <v>5436.3</v>
      </c>
      <c r="CI92" s="3">
        <v>0</v>
      </c>
      <c r="CJ92" s="15"/>
      <c r="CK92" s="3">
        <f t="shared" si="288"/>
        <v>0</v>
      </c>
      <c r="CL92" s="134">
        <f t="shared" si="247"/>
        <v>15</v>
      </c>
      <c r="CM92" s="31">
        <f t="shared" si="266"/>
        <v>34.666666666666664</v>
      </c>
      <c r="CN92" s="21">
        <f t="shared" si="289"/>
        <v>0</v>
      </c>
      <c r="CO92" s="3">
        <f t="shared" si="233"/>
        <v>0</v>
      </c>
      <c r="CP92" s="3"/>
      <c r="CQ92" s="3"/>
      <c r="CR92" s="2">
        <f t="shared" si="231"/>
        <v>0</v>
      </c>
      <c r="CS92" s="80">
        <f t="shared" si="248"/>
        <v>29</v>
      </c>
      <c r="CT92" s="31">
        <f t="shared" si="267"/>
        <v>23.827586206896552</v>
      </c>
      <c r="CU92" s="21">
        <f t="shared" si="290"/>
        <v>0</v>
      </c>
      <c r="CV92" s="3">
        <v>11353</v>
      </c>
      <c r="CW92" s="92">
        <f t="shared" si="249"/>
        <v>15</v>
      </c>
      <c r="CX92" s="31">
        <f t="shared" si="268"/>
        <v>34.666666666666664</v>
      </c>
      <c r="CY92" s="21">
        <f t="shared" si="291"/>
        <v>393570.66666666663</v>
      </c>
      <c r="CZ92" s="3">
        <v>0</v>
      </c>
      <c r="DA92" s="80">
        <f t="shared" si="250"/>
        <v>26</v>
      </c>
      <c r="DB92" s="31">
        <f t="shared" si="269"/>
        <v>25</v>
      </c>
      <c r="DC92" s="21">
        <f t="shared" si="292"/>
        <v>0</v>
      </c>
      <c r="DD92" s="3">
        <v>0</v>
      </c>
      <c r="DE92" s="3">
        <v>0</v>
      </c>
      <c r="DF92" s="15"/>
      <c r="DG92" s="3">
        <f t="shared" si="293"/>
        <v>0</v>
      </c>
      <c r="DH92" s="3">
        <f t="shared" si="294"/>
        <v>0</v>
      </c>
      <c r="DI92" s="136">
        <f t="shared" si="251"/>
        <v>24</v>
      </c>
      <c r="DJ92" s="41">
        <f t="shared" si="270"/>
        <v>36.166666666666664</v>
      </c>
      <c r="DK92" s="21">
        <f t="shared" si="295"/>
        <v>0</v>
      </c>
    </row>
    <row r="93" spans="1:115">
      <c r="A93" s="7">
        <v>1926</v>
      </c>
      <c r="B93" s="3">
        <v>35722</v>
      </c>
      <c r="C93" s="15"/>
      <c r="D93" s="3">
        <f t="shared" si="274"/>
        <v>35722</v>
      </c>
      <c r="E93" s="25">
        <f t="shared" si="275"/>
        <v>25005.399999999998</v>
      </c>
      <c r="F93" s="3">
        <v>0</v>
      </c>
      <c r="G93" s="15"/>
      <c r="H93" s="15">
        <f t="shared" si="276"/>
        <v>0</v>
      </c>
      <c r="I93" s="80">
        <f t="shared" si="234"/>
        <v>15</v>
      </c>
      <c r="J93" s="132">
        <f t="shared" si="252"/>
        <v>34.666666666666664</v>
      </c>
      <c r="K93" s="21">
        <f t="shared" si="277"/>
        <v>0</v>
      </c>
      <c r="L93" s="3">
        <v>0</v>
      </c>
      <c r="M93" s="15"/>
      <c r="N93" s="15"/>
      <c r="O93" s="3">
        <f t="shared" si="271"/>
        <v>0</v>
      </c>
      <c r="P93" s="80">
        <f t="shared" si="235"/>
        <v>13</v>
      </c>
      <c r="Q93" s="31">
        <f t="shared" si="253"/>
        <v>45.769230769230766</v>
      </c>
      <c r="R93" s="21">
        <f t="shared" si="278"/>
        <v>0</v>
      </c>
      <c r="S93" s="3">
        <v>262792</v>
      </c>
      <c r="T93" s="15"/>
      <c r="U93" s="15"/>
      <c r="V93" s="3">
        <f t="shared" si="272"/>
        <v>262792</v>
      </c>
      <c r="W93" s="80">
        <f t="shared" si="236"/>
        <v>20</v>
      </c>
      <c r="X93" s="31">
        <f t="shared" si="254"/>
        <v>30.5</v>
      </c>
      <c r="Y93" s="21">
        <f t="shared" si="279"/>
        <v>8015156</v>
      </c>
      <c r="Z93" s="3">
        <v>0</v>
      </c>
      <c r="AA93" s="80">
        <f t="shared" si="237"/>
        <v>17</v>
      </c>
      <c r="AB93" s="31">
        <f t="shared" si="255"/>
        <v>32.235294117647058</v>
      </c>
      <c r="AC93" s="21">
        <v>0</v>
      </c>
      <c r="AD93" s="3">
        <v>0</v>
      </c>
      <c r="AE93" s="80">
        <f t="shared" si="238"/>
        <v>19</v>
      </c>
      <c r="AF93" s="31">
        <f t="shared" si="256"/>
        <v>43.631578947368418</v>
      </c>
      <c r="AG93" s="21">
        <v>0</v>
      </c>
      <c r="AH93" s="3">
        <v>14130</v>
      </c>
      <c r="AI93" s="15"/>
      <c r="AJ93" s="3">
        <f t="shared" si="280"/>
        <v>14130</v>
      </c>
      <c r="AK93" s="12">
        <v>30</v>
      </c>
      <c r="AL93" s="31">
        <f t="shared" ref="AL93" si="296">$AK$4/AK93</f>
        <v>17.5</v>
      </c>
      <c r="AM93" s="21">
        <f>AL93*AJ93</f>
        <v>247275</v>
      </c>
      <c r="AN93" s="3">
        <v>0</v>
      </c>
      <c r="AO93" s="80">
        <f t="shared" si="239"/>
        <v>13</v>
      </c>
      <c r="AP93" s="31">
        <f t="shared" si="257"/>
        <v>43.692307692307693</v>
      </c>
      <c r="AQ93" s="21">
        <v>0</v>
      </c>
      <c r="AR93" s="3">
        <v>0</v>
      </c>
      <c r="AS93" s="80">
        <f t="shared" si="240"/>
        <v>16</v>
      </c>
      <c r="AT93" s="31">
        <f t="shared" si="258"/>
        <v>42.75</v>
      </c>
      <c r="AU93" s="21">
        <v>0</v>
      </c>
      <c r="AV93" s="3">
        <v>4327</v>
      </c>
      <c r="AW93" s="80">
        <f t="shared" si="241"/>
        <v>18</v>
      </c>
      <c r="AX93" s="31">
        <f t="shared" si="259"/>
        <v>29.222222222222221</v>
      </c>
      <c r="AY93" s="21">
        <f t="shared" si="281"/>
        <v>126444.55555555555</v>
      </c>
      <c r="AZ93" s="3">
        <v>0</v>
      </c>
      <c r="BA93" s="80">
        <f t="shared" si="242"/>
        <v>20</v>
      </c>
      <c r="BB93" s="31">
        <f t="shared" si="260"/>
        <v>30.7</v>
      </c>
      <c r="BC93" s="21">
        <f>BB93*AZ93</f>
        <v>0</v>
      </c>
      <c r="BD93" s="15">
        <v>0</v>
      </c>
      <c r="BE93" s="3">
        <f t="shared" si="282"/>
        <v>0</v>
      </c>
      <c r="BF93" s="80">
        <f t="shared" si="243"/>
        <v>57</v>
      </c>
      <c r="BG93" s="31">
        <f t="shared" si="261"/>
        <v>10.736842105263158</v>
      </c>
      <c r="BH93" s="21">
        <v>0</v>
      </c>
      <c r="BI93" s="3">
        <f t="shared" si="283"/>
        <v>0</v>
      </c>
      <c r="BJ93" s="3"/>
      <c r="BK93" s="30"/>
      <c r="BL93" s="21">
        <v>0</v>
      </c>
      <c r="BM93" s="3">
        <v>0</v>
      </c>
      <c r="BN93" s="80">
        <f t="shared" si="244"/>
        <v>15</v>
      </c>
      <c r="BO93" s="31">
        <f t="shared" si="263"/>
        <v>33.93333333333333</v>
      </c>
      <c r="BP93" s="21">
        <v>0</v>
      </c>
      <c r="BQ93" s="3">
        <v>0</v>
      </c>
      <c r="BR93" s="15"/>
      <c r="BS93" s="3">
        <f t="shared" si="284"/>
        <v>0</v>
      </c>
      <c r="BT93" s="80">
        <f t="shared" si="245"/>
        <v>41</v>
      </c>
      <c r="BU93" s="31">
        <f t="shared" si="264"/>
        <v>8.6585365853658534</v>
      </c>
      <c r="BV93" s="21">
        <f t="shared" si="285"/>
        <v>0</v>
      </c>
      <c r="BW93" s="2">
        <v>0</v>
      </c>
      <c r="BX93" s="80">
        <f t="shared" si="246"/>
        <v>20</v>
      </c>
      <c r="BY93" s="31">
        <f t="shared" si="265"/>
        <v>36.5</v>
      </c>
      <c r="BZ93" s="22">
        <v>0</v>
      </c>
      <c r="CA93" s="2">
        <v>0</v>
      </c>
      <c r="CB93" s="2"/>
      <c r="CD93" s="22">
        <v>0</v>
      </c>
      <c r="CE93" s="3">
        <v>35722</v>
      </c>
      <c r="CF93" s="15"/>
      <c r="CG93" s="3">
        <f t="shared" si="286"/>
        <v>35722</v>
      </c>
      <c r="CH93" s="25">
        <f t="shared" si="287"/>
        <v>10716.6</v>
      </c>
      <c r="CI93" s="3">
        <v>0</v>
      </c>
      <c r="CJ93" s="15"/>
      <c r="CK93" s="3">
        <f t="shared" si="288"/>
        <v>0</v>
      </c>
      <c r="CL93" s="134">
        <f t="shared" si="247"/>
        <v>15</v>
      </c>
      <c r="CM93" s="31">
        <f t="shared" si="266"/>
        <v>34.666666666666664</v>
      </c>
      <c r="CN93" s="21">
        <f t="shared" si="289"/>
        <v>0</v>
      </c>
      <c r="CO93" s="3">
        <f t="shared" si="233"/>
        <v>0</v>
      </c>
      <c r="CP93" s="3"/>
      <c r="CQ93" s="3"/>
      <c r="CR93" s="2">
        <f t="shared" ref="CR93:CR112" si="297">CO93-CP93+CQ93</f>
        <v>0</v>
      </c>
      <c r="CS93" s="80">
        <f t="shared" si="248"/>
        <v>29</v>
      </c>
      <c r="CT93" s="31">
        <f t="shared" si="267"/>
        <v>23.827586206896552</v>
      </c>
      <c r="CU93" s="21">
        <f t="shared" si="290"/>
        <v>0</v>
      </c>
      <c r="CV93" s="3">
        <v>13523</v>
      </c>
      <c r="CW93" s="92">
        <f t="shared" si="249"/>
        <v>15</v>
      </c>
      <c r="CX93" s="31">
        <f t="shared" si="268"/>
        <v>34.666666666666664</v>
      </c>
      <c r="CY93" s="21">
        <f t="shared" si="291"/>
        <v>468797.33333333331</v>
      </c>
      <c r="CZ93" s="3">
        <v>0</v>
      </c>
      <c r="DA93" s="80">
        <f t="shared" si="250"/>
        <v>26</v>
      </c>
      <c r="DB93" s="31">
        <f t="shared" si="269"/>
        <v>25</v>
      </c>
      <c r="DC93" s="21">
        <f t="shared" si="292"/>
        <v>0</v>
      </c>
      <c r="DD93" s="3">
        <v>0</v>
      </c>
      <c r="DE93" s="3">
        <v>0</v>
      </c>
      <c r="DF93" s="15"/>
      <c r="DG93" s="3">
        <f t="shared" si="293"/>
        <v>0</v>
      </c>
      <c r="DH93" s="3">
        <f t="shared" si="294"/>
        <v>0</v>
      </c>
      <c r="DI93" s="136">
        <f t="shared" si="251"/>
        <v>24</v>
      </c>
      <c r="DJ93" s="41">
        <f t="shared" si="270"/>
        <v>36.166666666666664</v>
      </c>
      <c r="DK93" s="21">
        <f t="shared" si="295"/>
        <v>0</v>
      </c>
    </row>
    <row r="94" spans="1:115">
      <c r="A94" s="7">
        <v>1925</v>
      </c>
      <c r="B94" s="3">
        <v>94438</v>
      </c>
      <c r="C94" s="15"/>
      <c r="D94" s="3">
        <f t="shared" si="274"/>
        <v>94438</v>
      </c>
      <c r="E94" s="25">
        <f t="shared" si="275"/>
        <v>66106.599999999991</v>
      </c>
      <c r="F94" s="3">
        <v>0</v>
      </c>
      <c r="G94" s="15"/>
      <c r="H94" s="15">
        <f t="shared" si="276"/>
        <v>0</v>
      </c>
      <c r="I94" s="80">
        <f t="shared" si="234"/>
        <v>15</v>
      </c>
      <c r="J94" s="132">
        <f t="shared" si="252"/>
        <v>34.666666666666664</v>
      </c>
      <c r="K94" s="21">
        <f t="shared" si="277"/>
        <v>0</v>
      </c>
      <c r="L94" s="3">
        <v>0</v>
      </c>
      <c r="M94" s="15"/>
      <c r="N94" s="15"/>
      <c r="O94" s="3">
        <f t="shared" si="271"/>
        <v>0</v>
      </c>
      <c r="P94" s="80">
        <f t="shared" si="235"/>
        <v>13</v>
      </c>
      <c r="Q94" s="31">
        <f t="shared" si="253"/>
        <v>45.769230769230766</v>
      </c>
      <c r="R94" s="21">
        <f t="shared" si="278"/>
        <v>0</v>
      </c>
      <c r="S94" s="3">
        <v>0</v>
      </c>
      <c r="T94" s="15"/>
      <c r="U94" s="15"/>
      <c r="V94" s="3">
        <f t="shared" si="272"/>
        <v>0</v>
      </c>
      <c r="W94" s="80">
        <f t="shared" si="236"/>
        <v>21</v>
      </c>
      <c r="X94" s="31">
        <f t="shared" si="254"/>
        <v>29.047619047619047</v>
      </c>
      <c r="Y94" s="21">
        <f t="shared" si="279"/>
        <v>0</v>
      </c>
      <c r="Z94" s="3">
        <v>0</v>
      </c>
      <c r="AA94" s="80">
        <f t="shared" si="237"/>
        <v>17</v>
      </c>
      <c r="AB94" s="31">
        <f t="shared" si="255"/>
        <v>32.235294117647058</v>
      </c>
      <c r="AC94" s="21">
        <v>0</v>
      </c>
      <c r="AD94" s="3">
        <v>0</v>
      </c>
      <c r="AE94" s="80">
        <f t="shared" si="238"/>
        <v>19</v>
      </c>
      <c r="AF94" s="31">
        <f t="shared" si="256"/>
        <v>43.631578947368418</v>
      </c>
      <c r="AG94" s="21">
        <v>0</v>
      </c>
      <c r="AH94" s="3">
        <v>0</v>
      </c>
      <c r="AI94" s="15"/>
      <c r="AJ94" s="3">
        <f t="shared" si="280"/>
        <v>0</v>
      </c>
      <c r="AL94" s="31"/>
      <c r="AM94" s="21">
        <v>0</v>
      </c>
      <c r="AN94" s="3">
        <v>0</v>
      </c>
      <c r="AO94" s="80">
        <f t="shared" si="239"/>
        <v>13</v>
      </c>
      <c r="AP94" s="31">
        <f t="shared" si="257"/>
        <v>43.692307692307693</v>
      </c>
      <c r="AQ94" s="21">
        <v>0</v>
      </c>
      <c r="AR94" s="3">
        <v>0</v>
      </c>
      <c r="AS94" s="80">
        <f t="shared" si="240"/>
        <v>16</v>
      </c>
      <c r="AT94" s="31">
        <f t="shared" si="258"/>
        <v>42.75</v>
      </c>
      <c r="AU94" s="21">
        <v>0</v>
      </c>
      <c r="AV94" s="3">
        <v>0</v>
      </c>
      <c r="AW94" s="80">
        <f t="shared" si="241"/>
        <v>18</v>
      </c>
      <c r="AX94" s="31">
        <f t="shared" si="259"/>
        <v>29.222222222222221</v>
      </c>
      <c r="AY94" s="21">
        <f t="shared" si="281"/>
        <v>0</v>
      </c>
      <c r="AZ94" s="3">
        <v>0</v>
      </c>
      <c r="BA94" s="80">
        <f t="shared" si="242"/>
        <v>20</v>
      </c>
      <c r="BB94" s="31">
        <f t="shared" si="260"/>
        <v>30.7</v>
      </c>
      <c r="BC94" s="21">
        <v>0</v>
      </c>
      <c r="BD94" s="15">
        <v>0</v>
      </c>
      <c r="BE94" s="3">
        <f t="shared" si="282"/>
        <v>0</v>
      </c>
      <c r="BF94" s="80">
        <f t="shared" si="243"/>
        <v>61</v>
      </c>
      <c r="BG94" s="31">
        <f t="shared" si="261"/>
        <v>10.032786885245901</v>
      </c>
      <c r="BH94" s="21">
        <v>0</v>
      </c>
      <c r="BI94" s="3">
        <f t="shared" si="283"/>
        <v>0</v>
      </c>
      <c r="BJ94" s="3"/>
      <c r="BK94" s="30"/>
      <c r="BL94" s="21">
        <v>0</v>
      </c>
      <c r="BM94" s="3">
        <v>0</v>
      </c>
      <c r="BN94" s="80">
        <f t="shared" si="244"/>
        <v>15</v>
      </c>
      <c r="BO94" s="31">
        <f t="shared" si="263"/>
        <v>33.93333333333333</v>
      </c>
      <c r="BP94" s="21">
        <v>0</v>
      </c>
      <c r="BQ94" s="3">
        <v>0</v>
      </c>
      <c r="BR94" s="15"/>
      <c r="BS94" s="3">
        <f t="shared" si="284"/>
        <v>0</v>
      </c>
      <c r="BT94" s="80">
        <f t="shared" si="245"/>
        <v>41</v>
      </c>
      <c r="BU94" s="31">
        <f t="shared" si="264"/>
        <v>8.6585365853658534</v>
      </c>
      <c r="BV94" s="21">
        <f t="shared" si="285"/>
        <v>0</v>
      </c>
      <c r="BW94" s="2">
        <v>0</v>
      </c>
      <c r="BX94" s="80">
        <f t="shared" si="246"/>
        <v>20</v>
      </c>
      <c r="BY94" s="31">
        <f t="shared" si="265"/>
        <v>36.5</v>
      </c>
      <c r="BZ94" s="22">
        <v>0</v>
      </c>
      <c r="CA94" s="2">
        <v>0</v>
      </c>
      <c r="CB94" s="2"/>
      <c r="CD94" s="22">
        <v>0</v>
      </c>
      <c r="CE94" s="3">
        <v>94438</v>
      </c>
      <c r="CF94" s="15"/>
      <c r="CG94" s="3">
        <f t="shared" si="286"/>
        <v>94438</v>
      </c>
      <c r="CH94" s="25">
        <f t="shared" si="287"/>
        <v>28331.399999999998</v>
      </c>
      <c r="CI94" s="3">
        <v>0</v>
      </c>
      <c r="CJ94" s="15"/>
      <c r="CK94" s="3">
        <f t="shared" si="288"/>
        <v>0</v>
      </c>
      <c r="CL94" s="134">
        <f t="shared" si="247"/>
        <v>15</v>
      </c>
      <c r="CM94" s="31">
        <f t="shared" si="266"/>
        <v>34.666666666666664</v>
      </c>
      <c r="CN94" s="21">
        <f t="shared" si="289"/>
        <v>0</v>
      </c>
      <c r="CO94" s="3">
        <f t="shared" si="233"/>
        <v>0</v>
      </c>
      <c r="CP94" s="3"/>
      <c r="CQ94" s="3"/>
      <c r="CR94" s="2">
        <f t="shared" si="297"/>
        <v>0</v>
      </c>
      <c r="CS94" s="80">
        <f t="shared" si="248"/>
        <v>29</v>
      </c>
      <c r="CT94" s="31">
        <f t="shared" si="267"/>
        <v>23.827586206896552</v>
      </c>
      <c r="CU94" s="21">
        <f t="shared" si="290"/>
        <v>0</v>
      </c>
      <c r="CV94" s="3">
        <v>9103</v>
      </c>
      <c r="CW94" s="92">
        <f t="shared" si="249"/>
        <v>15</v>
      </c>
      <c r="CX94" s="31">
        <f t="shared" si="268"/>
        <v>34.666666666666664</v>
      </c>
      <c r="CY94" s="21">
        <f t="shared" si="291"/>
        <v>315570.66666666663</v>
      </c>
      <c r="CZ94" s="3">
        <v>0</v>
      </c>
      <c r="DA94" s="80">
        <f t="shared" si="250"/>
        <v>28</v>
      </c>
      <c r="DB94" s="31">
        <f t="shared" si="269"/>
        <v>23.214285714285715</v>
      </c>
      <c r="DC94" s="21">
        <f t="shared" si="292"/>
        <v>0</v>
      </c>
      <c r="DD94" s="3">
        <v>0</v>
      </c>
      <c r="DE94" s="3">
        <v>0</v>
      </c>
      <c r="DF94" s="15"/>
      <c r="DG94" s="3">
        <f t="shared" si="293"/>
        <v>0</v>
      </c>
      <c r="DH94" s="3">
        <f t="shared" si="294"/>
        <v>0</v>
      </c>
      <c r="DI94" s="136">
        <f t="shared" si="251"/>
        <v>24</v>
      </c>
      <c r="DJ94" s="41">
        <f t="shared" si="270"/>
        <v>36.166666666666664</v>
      </c>
      <c r="DK94" s="21">
        <f t="shared" si="295"/>
        <v>0</v>
      </c>
    </row>
    <row r="95" spans="1:115">
      <c r="A95" s="7">
        <v>1924</v>
      </c>
      <c r="B95" s="3">
        <v>6584</v>
      </c>
      <c r="C95" s="15"/>
      <c r="D95" s="3">
        <f t="shared" si="274"/>
        <v>6584</v>
      </c>
      <c r="E95" s="25">
        <f t="shared" si="275"/>
        <v>4608.7999999999993</v>
      </c>
      <c r="F95" s="3">
        <v>0</v>
      </c>
      <c r="G95" s="15"/>
      <c r="H95" s="15">
        <f t="shared" si="276"/>
        <v>0</v>
      </c>
      <c r="I95" s="80">
        <f t="shared" si="234"/>
        <v>16</v>
      </c>
      <c r="J95" s="132">
        <f t="shared" si="252"/>
        <v>32.5</v>
      </c>
      <c r="K95" s="21">
        <f t="shared" si="277"/>
        <v>0</v>
      </c>
      <c r="L95" s="3">
        <v>0</v>
      </c>
      <c r="M95" s="15"/>
      <c r="N95" s="15"/>
      <c r="O95" s="3">
        <f t="shared" si="271"/>
        <v>0</v>
      </c>
      <c r="P95" s="80">
        <f t="shared" si="235"/>
        <v>13</v>
      </c>
      <c r="Q95" s="31">
        <f t="shared" si="253"/>
        <v>45.769230769230766</v>
      </c>
      <c r="R95" s="21">
        <f t="shared" si="278"/>
        <v>0</v>
      </c>
      <c r="S95" s="3">
        <v>278035</v>
      </c>
      <c r="T95" s="15"/>
      <c r="U95" s="15"/>
      <c r="V95" s="3">
        <f t="shared" si="272"/>
        <v>278035</v>
      </c>
      <c r="W95" s="80">
        <f t="shared" si="236"/>
        <v>21</v>
      </c>
      <c r="X95" s="31">
        <f t="shared" si="254"/>
        <v>29.047619047619047</v>
      </c>
      <c r="Y95" s="21">
        <f t="shared" si="279"/>
        <v>8076254.7619047621</v>
      </c>
      <c r="Z95" s="3">
        <v>0</v>
      </c>
      <c r="AA95" s="80">
        <f t="shared" si="237"/>
        <v>18</v>
      </c>
      <c r="AB95" s="31">
        <f t="shared" si="255"/>
        <v>30.444444444444443</v>
      </c>
      <c r="AC95" s="21">
        <v>0</v>
      </c>
      <c r="AD95" s="3">
        <v>0</v>
      </c>
      <c r="AE95" s="80">
        <f t="shared" si="238"/>
        <v>19</v>
      </c>
      <c r="AF95" s="31">
        <f t="shared" si="256"/>
        <v>43.631578947368418</v>
      </c>
      <c r="AG95" s="21">
        <v>0</v>
      </c>
      <c r="AH95" s="3">
        <v>0</v>
      </c>
      <c r="AI95" s="15"/>
      <c r="AJ95" s="3">
        <f t="shared" si="280"/>
        <v>0</v>
      </c>
      <c r="AL95" s="31"/>
      <c r="AM95" s="21">
        <v>0</v>
      </c>
      <c r="AN95" s="3">
        <v>0</v>
      </c>
      <c r="AO95" s="80">
        <f t="shared" si="239"/>
        <v>13</v>
      </c>
      <c r="AP95" s="31">
        <f t="shared" si="257"/>
        <v>43.692307692307693</v>
      </c>
      <c r="AQ95" s="21">
        <v>0</v>
      </c>
      <c r="AR95" s="3">
        <v>0</v>
      </c>
      <c r="AS95" s="80">
        <f t="shared" si="240"/>
        <v>16</v>
      </c>
      <c r="AT95" s="31">
        <f t="shared" si="258"/>
        <v>42.75</v>
      </c>
      <c r="AU95" s="21">
        <v>0</v>
      </c>
      <c r="AV95" s="3">
        <v>634</v>
      </c>
      <c r="AW95" s="80">
        <f t="shared" si="241"/>
        <v>19</v>
      </c>
      <c r="AX95" s="31">
        <f t="shared" si="259"/>
        <v>27.684210526315791</v>
      </c>
      <c r="AY95" s="21">
        <f t="shared" si="281"/>
        <v>17551.78947368421</v>
      </c>
      <c r="AZ95" s="3">
        <v>0</v>
      </c>
      <c r="BA95" s="80">
        <f t="shared" si="242"/>
        <v>20</v>
      </c>
      <c r="BB95" s="31">
        <f t="shared" si="260"/>
        <v>30.7</v>
      </c>
      <c r="BC95" s="21">
        <v>0</v>
      </c>
      <c r="BD95" s="15">
        <v>0</v>
      </c>
      <c r="BE95" s="3">
        <f t="shared" si="282"/>
        <v>0</v>
      </c>
      <c r="BF95" s="80">
        <f t="shared" si="243"/>
        <v>62</v>
      </c>
      <c r="BG95" s="31">
        <f t="shared" si="261"/>
        <v>9.870967741935484</v>
      </c>
      <c r="BH95" s="21">
        <v>0</v>
      </c>
      <c r="BI95" s="3">
        <f t="shared" si="283"/>
        <v>0</v>
      </c>
      <c r="BJ95" s="3"/>
      <c r="BK95" s="30"/>
      <c r="BL95" s="21">
        <v>0</v>
      </c>
      <c r="BM95" s="3">
        <v>0</v>
      </c>
      <c r="BN95" s="80">
        <f t="shared" si="244"/>
        <v>15</v>
      </c>
      <c r="BO95" s="31">
        <f t="shared" si="263"/>
        <v>33.93333333333333</v>
      </c>
      <c r="BP95" s="21">
        <v>0</v>
      </c>
      <c r="BQ95" s="3">
        <v>0</v>
      </c>
      <c r="BR95" s="15"/>
      <c r="BS95" s="3">
        <f t="shared" si="284"/>
        <v>0</v>
      </c>
      <c r="BT95" s="80">
        <f t="shared" si="245"/>
        <v>43</v>
      </c>
      <c r="BU95" s="31">
        <f t="shared" si="264"/>
        <v>8.2558139534883725</v>
      </c>
      <c r="BV95" s="21">
        <f t="shared" si="285"/>
        <v>0</v>
      </c>
      <c r="BW95" s="2">
        <v>0</v>
      </c>
      <c r="BX95" s="80">
        <f t="shared" si="246"/>
        <v>20</v>
      </c>
      <c r="BY95" s="31">
        <f t="shared" si="265"/>
        <v>36.5</v>
      </c>
      <c r="BZ95" s="22">
        <v>0</v>
      </c>
      <c r="CA95" s="2">
        <v>0</v>
      </c>
      <c r="CB95" s="2"/>
      <c r="CD95" s="22">
        <v>0</v>
      </c>
      <c r="CE95" s="3">
        <v>6584</v>
      </c>
      <c r="CF95" s="15"/>
      <c r="CG95" s="3">
        <f t="shared" si="286"/>
        <v>6584</v>
      </c>
      <c r="CH95" s="25">
        <f t="shared" si="287"/>
        <v>1975.1999999999998</v>
      </c>
      <c r="CI95" s="3">
        <v>0</v>
      </c>
      <c r="CJ95" s="15"/>
      <c r="CK95" s="3">
        <f t="shared" si="288"/>
        <v>0</v>
      </c>
      <c r="CL95" s="134">
        <f t="shared" si="247"/>
        <v>16</v>
      </c>
      <c r="CM95" s="31">
        <f t="shared" si="266"/>
        <v>32.5</v>
      </c>
      <c r="CN95" s="21">
        <f t="shared" si="289"/>
        <v>0</v>
      </c>
      <c r="CO95" s="3">
        <f t="shared" si="233"/>
        <v>0</v>
      </c>
      <c r="CP95" s="3"/>
      <c r="CQ95" s="3"/>
      <c r="CR95" s="2">
        <f t="shared" si="297"/>
        <v>0</v>
      </c>
      <c r="CS95" s="80">
        <f t="shared" si="248"/>
        <v>29</v>
      </c>
      <c r="CT95" s="31">
        <f t="shared" si="267"/>
        <v>23.827586206896552</v>
      </c>
      <c r="CU95" s="21">
        <f t="shared" si="290"/>
        <v>0</v>
      </c>
      <c r="CV95" s="3">
        <v>0</v>
      </c>
      <c r="CW95" s="92">
        <f t="shared" si="249"/>
        <v>16</v>
      </c>
      <c r="CX95" s="31">
        <f t="shared" si="268"/>
        <v>32.5</v>
      </c>
      <c r="CY95" s="21">
        <f t="shared" si="291"/>
        <v>0</v>
      </c>
      <c r="CZ95" s="3">
        <v>0</v>
      </c>
      <c r="DA95" s="80">
        <f t="shared" si="250"/>
        <v>28</v>
      </c>
      <c r="DB95" s="31">
        <f t="shared" si="269"/>
        <v>23.214285714285715</v>
      </c>
      <c r="DC95" s="21">
        <f t="shared" si="292"/>
        <v>0</v>
      </c>
      <c r="DD95" s="3">
        <v>0</v>
      </c>
      <c r="DE95" s="3">
        <v>0</v>
      </c>
      <c r="DF95" s="15"/>
      <c r="DG95" s="3">
        <f t="shared" si="293"/>
        <v>0</v>
      </c>
      <c r="DH95" s="3">
        <f t="shared" si="294"/>
        <v>0</v>
      </c>
      <c r="DI95" s="136">
        <f t="shared" si="251"/>
        <v>24</v>
      </c>
      <c r="DJ95" s="41">
        <f t="shared" si="270"/>
        <v>36.166666666666664</v>
      </c>
      <c r="DK95" s="21">
        <f t="shared" si="295"/>
        <v>0</v>
      </c>
    </row>
    <row r="96" spans="1:115">
      <c r="A96" s="7">
        <v>1923</v>
      </c>
      <c r="B96" s="3">
        <v>41066</v>
      </c>
      <c r="C96" s="15"/>
      <c r="D96" s="3">
        <f t="shared" si="274"/>
        <v>41066</v>
      </c>
      <c r="E96" s="25">
        <f t="shared" si="275"/>
        <v>28746.199999999997</v>
      </c>
      <c r="F96" s="3">
        <v>0</v>
      </c>
      <c r="G96" s="15"/>
      <c r="H96" s="15">
        <f t="shared" si="276"/>
        <v>0</v>
      </c>
      <c r="I96" s="80">
        <f t="shared" si="234"/>
        <v>15</v>
      </c>
      <c r="J96" s="132">
        <f t="shared" si="252"/>
        <v>34.666666666666664</v>
      </c>
      <c r="K96" s="21">
        <f t="shared" si="277"/>
        <v>0</v>
      </c>
      <c r="L96" s="3">
        <v>0</v>
      </c>
      <c r="M96" s="15"/>
      <c r="N96" s="15"/>
      <c r="O96" s="3">
        <f t="shared" si="271"/>
        <v>0</v>
      </c>
      <c r="P96" s="80">
        <f t="shared" si="235"/>
        <v>13</v>
      </c>
      <c r="Q96" s="31">
        <f t="shared" si="253"/>
        <v>45.769230769230766</v>
      </c>
      <c r="R96" s="21">
        <f t="shared" si="278"/>
        <v>0</v>
      </c>
      <c r="S96" s="3">
        <v>0</v>
      </c>
      <c r="T96" s="15"/>
      <c r="U96" s="15"/>
      <c r="V96" s="3">
        <f t="shared" si="272"/>
        <v>0</v>
      </c>
      <c r="W96" s="80">
        <f t="shared" si="236"/>
        <v>21</v>
      </c>
      <c r="X96" s="31">
        <f t="shared" si="254"/>
        <v>29.047619047619047</v>
      </c>
      <c r="Y96" s="21">
        <f t="shared" si="279"/>
        <v>0</v>
      </c>
      <c r="Z96" s="3">
        <v>0</v>
      </c>
      <c r="AA96" s="80">
        <f t="shared" si="237"/>
        <v>18</v>
      </c>
      <c r="AB96" s="31">
        <f t="shared" si="255"/>
        <v>30.444444444444443</v>
      </c>
      <c r="AC96" s="21">
        <v>0</v>
      </c>
      <c r="AD96" s="3">
        <v>0</v>
      </c>
      <c r="AE96" s="80">
        <f t="shared" si="238"/>
        <v>20</v>
      </c>
      <c r="AF96" s="31">
        <f t="shared" si="256"/>
        <v>41.45</v>
      </c>
      <c r="AG96" s="21">
        <v>0</v>
      </c>
      <c r="AH96" s="3">
        <v>0</v>
      </c>
      <c r="AI96" s="15"/>
      <c r="AJ96" s="3">
        <f t="shared" si="280"/>
        <v>0</v>
      </c>
      <c r="AL96" s="31"/>
      <c r="AM96" s="21">
        <v>0</v>
      </c>
      <c r="AN96" s="3">
        <v>0</v>
      </c>
      <c r="AO96" s="80">
        <f t="shared" si="239"/>
        <v>13</v>
      </c>
      <c r="AP96" s="31">
        <f t="shared" si="257"/>
        <v>43.692307692307693</v>
      </c>
      <c r="AQ96" s="21">
        <v>0</v>
      </c>
      <c r="AR96" s="3">
        <v>0</v>
      </c>
      <c r="AS96" s="80">
        <f t="shared" si="240"/>
        <v>16</v>
      </c>
      <c r="AT96" s="31">
        <f t="shared" si="258"/>
        <v>42.75</v>
      </c>
      <c r="AU96" s="21">
        <v>0</v>
      </c>
      <c r="AV96" s="3">
        <v>1009</v>
      </c>
      <c r="AW96" s="80">
        <f t="shared" si="241"/>
        <v>19</v>
      </c>
      <c r="AX96" s="31">
        <f t="shared" si="259"/>
        <v>27.684210526315791</v>
      </c>
      <c r="AY96" s="21">
        <f t="shared" si="281"/>
        <v>27933.368421052633</v>
      </c>
      <c r="AZ96" s="3">
        <v>0</v>
      </c>
      <c r="BA96" s="80">
        <f t="shared" si="242"/>
        <v>21</v>
      </c>
      <c r="BB96" s="31">
        <f t="shared" si="260"/>
        <v>29.238095238095237</v>
      </c>
      <c r="BC96" s="21">
        <v>0</v>
      </c>
      <c r="BD96" s="15">
        <v>0</v>
      </c>
      <c r="BE96" s="3">
        <f t="shared" si="282"/>
        <v>0</v>
      </c>
      <c r="BF96" s="80">
        <f t="shared" si="243"/>
        <v>60</v>
      </c>
      <c r="BG96" s="31">
        <f t="shared" si="261"/>
        <v>10.199999999999999</v>
      </c>
      <c r="BH96" s="21">
        <v>0</v>
      </c>
      <c r="BI96" s="3">
        <f t="shared" si="283"/>
        <v>0</v>
      </c>
      <c r="BJ96" s="3"/>
      <c r="BK96" s="30"/>
      <c r="BL96" s="21">
        <v>0</v>
      </c>
      <c r="BM96" s="3">
        <v>0</v>
      </c>
      <c r="BN96" s="80">
        <f t="shared" si="244"/>
        <v>15</v>
      </c>
      <c r="BO96" s="31">
        <f t="shared" si="263"/>
        <v>33.93333333333333</v>
      </c>
      <c r="BP96" s="21">
        <v>0</v>
      </c>
      <c r="BQ96" s="3">
        <v>0</v>
      </c>
      <c r="BR96" s="15"/>
      <c r="BS96" s="3">
        <f t="shared" si="284"/>
        <v>0</v>
      </c>
      <c r="BT96" s="80">
        <f t="shared" si="245"/>
        <v>44</v>
      </c>
      <c r="BU96" s="31">
        <f t="shared" si="264"/>
        <v>8.0681818181818183</v>
      </c>
      <c r="BV96" s="21">
        <f t="shared" si="285"/>
        <v>0</v>
      </c>
      <c r="BW96" s="2">
        <v>0</v>
      </c>
      <c r="BY96" s="30"/>
      <c r="BZ96" s="22">
        <v>0</v>
      </c>
      <c r="CA96" s="2">
        <v>0</v>
      </c>
      <c r="CB96" s="2"/>
      <c r="CD96" s="22">
        <v>0</v>
      </c>
      <c r="CE96" s="3">
        <v>41066</v>
      </c>
      <c r="CF96" s="15"/>
      <c r="CG96" s="3">
        <f t="shared" si="286"/>
        <v>41066</v>
      </c>
      <c r="CH96" s="25">
        <f t="shared" si="287"/>
        <v>12319.8</v>
      </c>
      <c r="CI96" s="3">
        <v>0</v>
      </c>
      <c r="CJ96" s="15"/>
      <c r="CK96" s="3">
        <f t="shared" si="288"/>
        <v>0</v>
      </c>
      <c r="CL96" s="134">
        <f t="shared" si="247"/>
        <v>15</v>
      </c>
      <c r="CM96" s="31">
        <f t="shared" si="266"/>
        <v>34.666666666666664</v>
      </c>
      <c r="CN96" s="21">
        <f t="shared" si="289"/>
        <v>0</v>
      </c>
      <c r="CO96" s="3">
        <f t="shared" si="233"/>
        <v>0</v>
      </c>
      <c r="CP96" s="3"/>
      <c r="CQ96" s="3"/>
      <c r="CR96" s="2">
        <f t="shared" si="297"/>
        <v>0</v>
      </c>
      <c r="CS96" s="80">
        <f t="shared" si="248"/>
        <v>28</v>
      </c>
      <c r="CT96" s="31">
        <f t="shared" si="267"/>
        <v>24.678571428571427</v>
      </c>
      <c r="CU96" s="21">
        <f t="shared" si="290"/>
        <v>0</v>
      </c>
      <c r="CV96" s="3">
        <v>0</v>
      </c>
      <c r="CW96" s="92">
        <f t="shared" si="249"/>
        <v>15</v>
      </c>
      <c r="CX96" s="31">
        <f t="shared" si="268"/>
        <v>34.666666666666664</v>
      </c>
      <c r="CY96" s="21">
        <f t="shared" si="291"/>
        <v>0</v>
      </c>
      <c r="CZ96" s="3">
        <v>45568</v>
      </c>
      <c r="DA96" s="80">
        <f t="shared" si="250"/>
        <v>27</v>
      </c>
      <c r="DB96" s="31">
        <f t="shared" si="269"/>
        <v>24.074074074074073</v>
      </c>
      <c r="DC96" s="21">
        <f t="shared" si="292"/>
        <v>1097007.4074074074</v>
      </c>
      <c r="DD96" s="3">
        <v>0</v>
      </c>
      <c r="DE96" s="3">
        <v>0</v>
      </c>
      <c r="DF96" s="15"/>
      <c r="DG96" s="3">
        <f t="shared" si="293"/>
        <v>0</v>
      </c>
      <c r="DH96" s="3">
        <f t="shared" si="294"/>
        <v>0</v>
      </c>
      <c r="DI96" s="136">
        <f t="shared" si="251"/>
        <v>24</v>
      </c>
      <c r="DJ96" s="41">
        <f t="shared" si="270"/>
        <v>36.166666666666664</v>
      </c>
      <c r="DK96" s="21">
        <f t="shared" si="295"/>
        <v>0</v>
      </c>
    </row>
    <row r="97" spans="1:115">
      <c r="A97" s="7">
        <v>1922</v>
      </c>
      <c r="B97" s="3">
        <v>0</v>
      </c>
      <c r="C97" s="15"/>
      <c r="D97" s="3">
        <f t="shared" si="274"/>
        <v>0</v>
      </c>
      <c r="E97" s="25">
        <f t="shared" si="275"/>
        <v>0</v>
      </c>
      <c r="F97" s="3">
        <v>0</v>
      </c>
      <c r="G97" s="15"/>
      <c r="H97" s="15">
        <f t="shared" si="276"/>
        <v>0</v>
      </c>
      <c r="I97" s="80">
        <f t="shared" si="234"/>
        <v>15</v>
      </c>
      <c r="J97" s="132">
        <f t="shared" si="252"/>
        <v>34.666666666666664</v>
      </c>
      <c r="K97" s="21">
        <f t="shared" si="277"/>
        <v>0</v>
      </c>
      <c r="L97" s="3">
        <v>0</v>
      </c>
      <c r="M97" s="15"/>
      <c r="N97" s="15"/>
      <c r="O97" s="3">
        <f t="shared" si="271"/>
        <v>0</v>
      </c>
      <c r="P97" s="80">
        <f t="shared" si="235"/>
        <v>14</v>
      </c>
      <c r="Q97" s="31">
        <f t="shared" si="253"/>
        <v>42.5</v>
      </c>
      <c r="R97" s="21">
        <f t="shared" si="278"/>
        <v>0</v>
      </c>
      <c r="S97" s="3">
        <v>12389</v>
      </c>
      <c r="T97" s="15"/>
      <c r="U97" s="15"/>
      <c r="V97" s="3">
        <f t="shared" si="272"/>
        <v>12389</v>
      </c>
      <c r="W97" s="80">
        <f t="shared" si="236"/>
        <v>21</v>
      </c>
      <c r="X97" s="31">
        <f t="shared" si="254"/>
        <v>29.047619047619047</v>
      </c>
      <c r="Y97" s="21">
        <f t="shared" si="279"/>
        <v>359870.95238095237</v>
      </c>
      <c r="Z97" s="3">
        <v>0</v>
      </c>
      <c r="AA97" s="80">
        <f t="shared" si="237"/>
        <v>19</v>
      </c>
      <c r="AB97" s="31">
        <f t="shared" si="255"/>
        <v>28.842105263157894</v>
      </c>
      <c r="AC97" s="21">
        <v>0</v>
      </c>
      <c r="AD97" s="3">
        <v>0</v>
      </c>
      <c r="AE97" s="80">
        <f t="shared" si="238"/>
        <v>18</v>
      </c>
      <c r="AF97" s="31">
        <f t="shared" si="256"/>
        <v>46.055555555555557</v>
      </c>
      <c r="AG97" s="21">
        <v>0</v>
      </c>
      <c r="AH97" s="3">
        <v>0</v>
      </c>
      <c r="AI97" s="15"/>
      <c r="AJ97" s="3">
        <f t="shared" si="280"/>
        <v>0</v>
      </c>
      <c r="AL97" s="31"/>
      <c r="AM97" s="21">
        <v>0</v>
      </c>
      <c r="AN97" s="3">
        <v>0</v>
      </c>
      <c r="AO97" s="80">
        <f t="shared" si="239"/>
        <v>13</v>
      </c>
      <c r="AP97" s="31">
        <f t="shared" si="257"/>
        <v>43.692307692307693</v>
      </c>
      <c r="AQ97" s="21">
        <v>0</v>
      </c>
      <c r="AR97" s="3">
        <v>0</v>
      </c>
      <c r="AS97" s="80">
        <f t="shared" si="240"/>
        <v>16</v>
      </c>
      <c r="AT97" s="31">
        <f t="shared" si="258"/>
        <v>42.75</v>
      </c>
      <c r="AU97" s="21">
        <v>0</v>
      </c>
      <c r="AV97" s="3">
        <v>0</v>
      </c>
      <c r="AW97" s="80">
        <f t="shared" si="241"/>
        <v>20</v>
      </c>
      <c r="AX97" s="31">
        <f t="shared" si="259"/>
        <v>26.3</v>
      </c>
      <c r="AY97" s="21">
        <f t="shared" si="281"/>
        <v>0</v>
      </c>
      <c r="AZ97" s="3">
        <v>0</v>
      </c>
      <c r="BA97" s="80">
        <f t="shared" si="242"/>
        <v>19</v>
      </c>
      <c r="BB97" s="31">
        <f t="shared" si="260"/>
        <v>32.315789473684212</v>
      </c>
      <c r="BC97" s="21">
        <v>0</v>
      </c>
      <c r="BD97" s="15">
        <v>0</v>
      </c>
      <c r="BE97" s="3">
        <f t="shared" si="282"/>
        <v>0</v>
      </c>
      <c r="BF97" s="80">
        <f t="shared" si="243"/>
        <v>63</v>
      </c>
      <c r="BG97" s="31">
        <f t="shared" si="261"/>
        <v>9.7142857142857135</v>
      </c>
      <c r="BH97" s="21">
        <v>0</v>
      </c>
      <c r="BI97" s="3">
        <f t="shared" si="283"/>
        <v>0</v>
      </c>
      <c r="BJ97" s="3"/>
      <c r="BK97" s="30"/>
      <c r="BL97" s="21">
        <v>0</v>
      </c>
      <c r="BM97" s="3">
        <v>0</v>
      </c>
      <c r="BN97" s="80">
        <f t="shared" si="244"/>
        <v>15</v>
      </c>
      <c r="BO97" s="31">
        <f t="shared" si="263"/>
        <v>33.93333333333333</v>
      </c>
      <c r="BP97" s="21">
        <v>0</v>
      </c>
      <c r="BQ97" s="3">
        <v>0</v>
      </c>
      <c r="BR97" s="15"/>
      <c r="BS97" s="3">
        <f t="shared" si="284"/>
        <v>0</v>
      </c>
      <c r="BT97" s="80">
        <f t="shared" si="245"/>
        <v>46</v>
      </c>
      <c r="BU97" s="31">
        <f t="shared" si="264"/>
        <v>7.7173913043478262</v>
      </c>
      <c r="BV97" s="21">
        <f t="shared" si="285"/>
        <v>0</v>
      </c>
      <c r="BW97" s="2">
        <v>0</v>
      </c>
      <c r="BY97" s="30"/>
      <c r="BZ97" s="22">
        <v>0</v>
      </c>
      <c r="CA97" s="2">
        <v>0</v>
      </c>
      <c r="CB97" s="2"/>
      <c r="CD97" s="22">
        <v>0</v>
      </c>
      <c r="CE97" s="3">
        <v>0</v>
      </c>
      <c r="CF97" s="15"/>
      <c r="CG97" s="3">
        <f t="shared" si="286"/>
        <v>0</v>
      </c>
      <c r="CH97" s="25">
        <f t="shared" si="287"/>
        <v>0</v>
      </c>
      <c r="CI97" s="3">
        <v>0</v>
      </c>
      <c r="CJ97" s="15"/>
      <c r="CK97" s="3">
        <f t="shared" si="288"/>
        <v>0</v>
      </c>
      <c r="CL97" s="134">
        <f t="shared" si="247"/>
        <v>15</v>
      </c>
      <c r="CM97" s="31">
        <f t="shared" si="266"/>
        <v>34.666666666666664</v>
      </c>
      <c r="CN97" s="21">
        <f t="shared" si="289"/>
        <v>0</v>
      </c>
      <c r="CO97" s="3">
        <f t="shared" si="233"/>
        <v>0</v>
      </c>
      <c r="CP97" s="3"/>
      <c r="CQ97" s="3"/>
      <c r="CR97" s="2">
        <f t="shared" si="297"/>
        <v>0</v>
      </c>
      <c r="CS97" s="80">
        <f t="shared" si="248"/>
        <v>28</v>
      </c>
      <c r="CT97" s="31">
        <f t="shared" si="267"/>
        <v>24.678571428571427</v>
      </c>
      <c r="CU97" s="21">
        <f t="shared" si="290"/>
        <v>0</v>
      </c>
      <c r="CV97" s="3">
        <v>0</v>
      </c>
      <c r="CW97" s="92">
        <f t="shared" si="249"/>
        <v>15</v>
      </c>
      <c r="CX97" s="31">
        <f t="shared" si="268"/>
        <v>34.666666666666664</v>
      </c>
      <c r="CY97" s="21">
        <f t="shared" si="291"/>
        <v>0</v>
      </c>
      <c r="CZ97" s="3">
        <v>0</v>
      </c>
      <c r="DA97" s="80">
        <f t="shared" si="250"/>
        <v>28</v>
      </c>
      <c r="DB97" s="31">
        <f t="shared" si="269"/>
        <v>23.214285714285715</v>
      </c>
      <c r="DC97" s="21">
        <f t="shared" si="292"/>
        <v>0</v>
      </c>
      <c r="DD97" s="3">
        <v>0</v>
      </c>
      <c r="DE97" s="3">
        <v>0</v>
      </c>
      <c r="DF97" s="15"/>
      <c r="DG97" s="3">
        <f t="shared" si="293"/>
        <v>0</v>
      </c>
      <c r="DH97" s="3">
        <f t="shared" si="294"/>
        <v>0</v>
      </c>
      <c r="DI97" s="136">
        <f t="shared" si="251"/>
        <v>24</v>
      </c>
      <c r="DJ97" s="41">
        <f t="shared" si="270"/>
        <v>36.166666666666664</v>
      </c>
      <c r="DK97" s="21">
        <f t="shared" si="295"/>
        <v>0</v>
      </c>
    </row>
    <row r="98" spans="1:115">
      <c r="A98" s="7">
        <v>1921</v>
      </c>
      <c r="B98" s="3">
        <v>0</v>
      </c>
      <c r="C98" s="15"/>
      <c r="D98" s="3">
        <f t="shared" si="274"/>
        <v>0</v>
      </c>
      <c r="E98" s="25">
        <f t="shared" si="275"/>
        <v>0</v>
      </c>
      <c r="F98" s="3">
        <v>0</v>
      </c>
      <c r="G98" s="15"/>
      <c r="H98" s="15">
        <f t="shared" si="276"/>
        <v>0</v>
      </c>
      <c r="I98" s="80">
        <f t="shared" si="234"/>
        <v>16</v>
      </c>
      <c r="J98" s="132">
        <f t="shared" si="252"/>
        <v>32.5</v>
      </c>
      <c r="K98" s="21">
        <f t="shared" si="277"/>
        <v>0</v>
      </c>
      <c r="L98" s="3">
        <v>0</v>
      </c>
      <c r="M98" s="15"/>
      <c r="N98" s="15"/>
      <c r="O98" s="3">
        <f t="shared" si="271"/>
        <v>0</v>
      </c>
      <c r="P98" s="80">
        <f t="shared" si="235"/>
        <v>15</v>
      </c>
      <c r="Q98" s="31">
        <f t="shared" si="253"/>
        <v>39.666666666666664</v>
      </c>
      <c r="R98" s="21">
        <f t="shared" si="278"/>
        <v>0</v>
      </c>
      <c r="S98" s="3">
        <v>0</v>
      </c>
      <c r="T98" s="15"/>
      <c r="U98" s="15"/>
      <c r="V98" s="3">
        <f t="shared" si="272"/>
        <v>0</v>
      </c>
      <c r="W98" s="80">
        <f t="shared" si="236"/>
        <v>23</v>
      </c>
      <c r="X98" s="31">
        <f t="shared" si="254"/>
        <v>26.521739130434781</v>
      </c>
      <c r="Y98" s="21">
        <f t="shared" si="279"/>
        <v>0</v>
      </c>
      <c r="Z98" s="3">
        <v>0</v>
      </c>
      <c r="AA98" s="80">
        <f t="shared" si="237"/>
        <v>21</v>
      </c>
      <c r="AB98" s="31">
        <f t="shared" si="255"/>
        <v>26.095238095238095</v>
      </c>
      <c r="AC98" s="21">
        <v>0</v>
      </c>
      <c r="AD98" s="3">
        <v>0</v>
      </c>
      <c r="AE98" s="80">
        <f t="shared" si="238"/>
        <v>19</v>
      </c>
      <c r="AF98" s="31">
        <f t="shared" si="256"/>
        <v>43.631578947368418</v>
      </c>
      <c r="AG98" s="21">
        <v>0</v>
      </c>
      <c r="AH98" s="3">
        <v>0</v>
      </c>
      <c r="AI98" s="15"/>
      <c r="AJ98" s="3">
        <f t="shared" si="280"/>
        <v>0</v>
      </c>
      <c r="AL98" s="31"/>
      <c r="AM98" s="21">
        <v>0</v>
      </c>
      <c r="AN98" s="3">
        <v>0</v>
      </c>
      <c r="AO98" s="80">
        <f t="shared" si="239"/>
        <v>14</v>
      </c>
      <c r="AP98" s="31">
        <f t="shared" si="257"/>
        <v>40.571428571428569</v>
      </c>
      <c r="AQ98" s="21">
        <v>0</v>
      </c>
      <c r="AR98" s="3">
        <v>0</v>
      </c>
      <c r="AS98" s="80">
        <f t="shared" si="240"/>
        <v>18</v>
      </c>
      <c r="AT98" s="31">
        <f t="shared" si="258"/>
        <v>38</v>
      </c>
      <c r="AU98" s="21">
        <v>0</v>
      </c>
      <c r="AV98" s="3">
        <v>9849</v>
      </c>
      <c r="AW98" s="80">
        <f t="shared" si="241"/>
        <v>22</v>
      </c>
      <c r="AX98" s="31">
        <f t="shared" si="259"/>
        <v>23.90909090909091</v>
      </c>
      <c r="AY98" s="21">
        <f t="shared" si="281"/>
        <v>235480.63636363638</v>
      </c>
      <c r="AZ98" s="3">
        <v>0</v>
      </c>
      <c r="BA98" s="80">
        <f t="shared" si="242"/>
        <v>20</v>
      </c>
      <c r="BB98" s="31">
        <f t="shared" si="260"/>
        <v>30.7</v>
      </c>
      <c r="BC98" s="21">
        <v>0</v>
      </c>
      <c r="BD98" s="15">
        <v>0</v>
      </c>
      <c r="BE98" s="3">
        <f t="shared" si="282"/>
        <v>0</v>
      </c>
      <c r="BF98" s="80">
        <f t="shared" si="243"/>
        <v>70</v>
      </c>
      <c r="BG98" s="31">
        <f t="shared" si="261"/>
        <v>8.742857142857142</v>
      </c>
      <c r="BH98" s="21">
        <v>0</v>
      </c>
      <c r="BI98" s="3">
        <f t="shared" si="283"/>
        <v>0</v>
      </c>
      <c r="BJ98" s="3"/>
      <c r="BK98" s="30"/>
      <c r="BL98" s="21">
        <v>0</v>
      </c>
      <c r="BM98" s="3">
        <v>0</v>
      </c>
      <c r="BN98" s="80">
        <f t="shared" si="244"/>
        <v>17</v>
      </c>
      <c r="BO98" s="31">
        <f t="shared" si="263"/>
        <v>29.941176470588236</v>
      </c>
      <c r="BP98" s="21">
        <v>0</v>
      </c>
      <c r="BQ98" s="3">
        <v>0</v>
      </c>
      <c r="BR98" s="15"/>
      <c r="BS98" s="3">
        <f t="shared" si="284"/>
        <v>0</v>
      </c>
      <c r="BT98" s="80">
        <f t="shared" si="245"/>
        <v>49</v>
      </c>
      <c r="BU98" s="31">
        <f t="shared" si="264"/>
        <v>7.2448979591836737</v>
      </c>
      <c r="BV98" s="21">
        <f t="shared" si="285"/>
        <v>0</v>
      </c>
      <c r="BW98" s="2">
        <v>0</v>
      </c>
      <c r="BY98" s="30"/>
      <c r="BZ98" s="22">
        <v>0</v>
      </c>
      <c r="CA98" s="2">
        <v>0</v>
      </c>
      <c r="CB98" s="2"/>
      <c r="CD98" s="22">
        <v>0</v>
      </c>
      <c r="CE98" s="3">
        <v>0</v>
      </c>
      <c r="CF98" s="15"/>
      <c r="CG98" s="3">
        <f t="shared" si="286"/>
        <v>0</v>
      </c>
      <c r="CH98" s="25">
        <f t="shared" si="287"/>
        <v>0</v>
      </c>
      <c r="CI98" s="3">
        <v>0</v>
      </c>
      <c r="CJ98" s="15"/>
      <c r="CK98" s="3">
        <f t="shared" si="288"/>
        <v>0</v>
      </c>
      <c r="CL98" s="134">
        <f t="shared" si="247"/>
        <v>16</v>
      </c>
      <c r="CM98" s="31">
        <f t="shared" si="266"/>
        <v>32.5</v>
      </c>
      <c r="CN98" s="21">
        <f t="shared" si="289"/>
        <v>0</v>
      </c>
      <c r="CO98" s="3">
        <f t="shared" si="233"/>
        <v>0</v>
      </c>
      <c r="CP98" s="3"/>
      <c r="CQ98" s="3"/>
      <c r="CR98" s="2">
        <f t="shared" si="297"/>
        <v>0</v>
      </c>
      <c r="CS98" s="80">
        <f t="shared" si="248"/>
        <v>30</v>
      </c>
      <c r="CT98" s="31">
        <f t="shared" si="267"/>
        <v>23.033333333333335</v>
      </c>
      <c r="CU98" s="21">
        <f t="shared" si="290"/>
        <v>0</v>
      </c>
      <c r="CV98" s="3">
        <v>0</v>
      </c>
      <c r="CW98" s="92">
        <f t="shared" si="249"/>
        <v>16</v>
      </c>
      <c r="CX98" s="31">
        <f t="shared" si="268"/>
        <v>32.5</v>
      </c>
      <c r="CY98" s="21">
        <f t="shared" si="291"/>
        <v>0</v>
      </c>
      <c r="CZ98" s="3">
        <v>0</v>
      </c>
      <c r="DA98" s="80">
        <f t="shared" si="250"/>
        <v>30</v>
      </c>
      <c r="DB98" s="31">
        <f t="shared" si="269"/>
        <v>21.666666666666668</v>
      </c>
      <c r="DC98" s="21">
        <f t="shared" si="292"/>
        <v>0</v>
      </c>
      <c r="DD98" s="3">
        <v>0</v>
      </c>
      <c r="DE98" s="3">
        <v>0</v>
      </c>
      <c r="DF98" s="15"/>
      <c r="DG98" s="3">
        <f t="shared" si="293"/>
        <v>0</v>
      </c>
      <c r="DH98" s="3">
        <f t="shared" si="294"/>
        <v>0</v>
      </c>
      <c r="DI98" s="136">
        <f t="shared" si="251"/>
        <v>27</v>
      </c>
      <c r="DJ98" s="41">
        <f t="shared" si="270"/>
        <v>32.148148148148145</v>
      </c>
      <c r="DK98" s="21">
        <f t="shared" si="295"/>
        <v>0</v>
      </c>
    </row>
    <row r="99" spans="1:115">
      <c r="A99" s="7">
        <v>1920</v>
      </c>
      <c r="B99" s="3">
        <v>7044</v>
      </c>
      <c r="C99" s="15"/>
      <c r="D99" s="3">
        <f t="shared" si="274"/>
        <v>7044</v>
      </c>
      <c r="E99" s="25">
        <f t="shared" si="275"/>
        <v>4930.7999999999993</v>
      </c>
      <c r="F99" s="3">
        <v>0</v>
      </c>
      <c r="G99" s="15"/>
      <c r="H99" s="15">
        <f t="shared" si="276"/>
        <v>0</v>
      </c>
      <c r="I99" s="80">
        <f t="shared" si="234"/>
        <v>17</v>
      </c>
      <c r="J99" s="132">
        <f t="shared" si="252"/>
        <v>30.588235294117649</v>
      </c>
      <c r="K99" s="21">
        <f t="shared" si="277"/>
        <v>0</v>
      </c>
      <c r="L99" s="3">
        <v>0</v>
      </c>
      <c r="M99" s="15"/>
      <c r="N99" s="15"/>
      <c r="O99" s="3">
        <f t="shared" si="271"/>
        <v>0</v>
      </c>
      <c r="P99" s="80">
        <f t="shared" si="235"/>
        <v>14</v>
      </c>
      <c r="Q99" s="31">
        <f t="shared" si="253"/>
        <v>42.5</v>
      </c>
      <c r="R99" s="21">
        <f t="shared" si="278"/>
        <v>0</v>
      </c>
      <c r="S99" s="3">
        <v>70972</v>
      </c>
      <c r="T99" s="15"/>
      <c r="U99" s="15"/>
      <c r="V99" s="3">
        <f t="shared" si="272"/>
        <v>70972</v>
      </c>
      <c r="W99" s="80">
        <f t="shared" si="236"/>
        <v>30</v>
      </c>
      <c r="X99" s="31">
        <f t="shared" si="254"/>
        <v>20.333333333333332</v>
      </c>
      <c r="Y99" s="21">
        <f t="shared" si="279"/>
        <v>1443097.3333333333</v>
      </c>
      <c r="Z99" s="3">
        <v>0</v>
      </c>
      <c r="AA99" s="80">
        <f t="shared" si="237"/>
        <v>19</v>
      </c>
      <c r="AB99" s="31">
        <f t="shared" si="255"/>
        <v>28.842105263157894</v>
      </c>
      <c r="AC99" s="21">
        <v>0</v>
      </c>
      <c r="AD99" s="3">
        <v>0</v>
      </c>
      <c r="AE99" s="80">
        <f t="shared" si="238"/>
        <v>22</v>
      </c>
      <c r="AF99" s="31">
        <f t="shared" si="256"/>
        <v>37.68181818181818</v>
      </c>
      <c r="AG99" s="21">
        <v>0</v>
      </c>
      <c r="AH99" s="3">
        <v>0</v>
      </c>
      <c r="AI99" s="15"/>
      <c r="AJ99" s="3">
        <f t="shared" si="280"/>
        <v>0</v>
      </c>
      <c r="AL99" s="31"/>
      <c r="AM99" s="21">
        <v>0</v>
      </c>
      <c r="AN99" s="3">
        <v>0</v>
      </c>
      <c r="AO99" s="80">
        <f t="shared" si="239"/>
        <v>14</v>
      </c>
      <c r="AP99" s="31">
        <f t="shared" si="257"/>
        <v>40.571428571428569</v>
      </c>
      <c r="AQ99" s="21">
        <v>0</v>
      </c>
      <c r="AR99" s="3">
        <v>0</v>
      </c>
      <c r="AS99" s="80">
        <f t="shared" si="240"/>
        <v>24</v>
      </c>
      <c r="AT99" s="31">
        <f t="shared" si="258"/>
        <v>28.5</v>
      </c>
      <c r="AU99" s="21">
        <v>0</v>
      </c>
      <c r="AV99" s="3">
        <v>0</v>
      </c>
      <c r="AW99" s="80">
        <f t="shared" si="241"/>
        <v>20</v>
      </c>
      <c r="AX99" s="31">
        <f t="shared" si="259"/>
        <v>26.3</v>
      </c>
      <c r="AY99" s="21">
        <f t="shared" si="281"/>
        <v>0</v>
      </c>
      <c r="AZ99" s="3">
        <v>0</v>
      </c>
      <c r="BA99" s="80">
        <f t="shared" si="242"/>
        <v>23</v>
      </c>
      <c r="BB99" s="31">
        <f t="shared" si="260"/>
        <v>26.695652173913043</v>
      </c>
      <c r="BC99" s="21">
        <v>0</v>
      </c>
      <c r="BD99" s="15">
        <v>0</v>
      </c>
      <c r="BE99" s="3">
        <f t="shared" si="282"/>
        <v>0</v>
      </c>
      <c r="BF99" s="80">
        <f t="shared" si="243"/>
        <v>69</v>
      </c>
      <c r="BG99" s="31">
        <f t="shared" si="261"/>
        <v>8.8695652173913047</v>
      </c>
      <c r="BH99" s="21">
        <v>0</v>
      </c>
      <c r="BI99" s="3">
        <f t="shared" si="283"/>
        <v>0</v>
      </c>
      <c r="BJ99" s="3"/>
      <c r="BK99" s="30"/>
      <c r="BL99" s="21">
        <v>0</v>
      </c>
      <c r="BM99" s="3">
        <v>0</v>
      </c>
      <c r="BN99" s="80">
        <f t="shared" si="244"/>
        <v>21</v>
      </c>
      <c r="BO99" s="31">
        <f t="shared" si="263"/>
        <v>24.238095238095237</v>
      </c>
      <c r="BP99" s="21">
        <v>0</v>
      </c>
      <c r="BQ99" s="3">
        <v>0</v>
      </c>
      <c r="BR99" s="15"/>
      <c r="BS99" s="3">
        <f t="shared" si="284"/>
        <v>0</v>
      </c>
      <c r="BT99" s="80">
        <f t="shared" si="245"/>
        <v>46</v>
      </c>
      <c r="BU99" s="31">
        <f t="shared" si="264"/>
        <v>7.7173913043478262</v>
      </c>
      <c r="BV99" s="21">
        <f t="shared" si="285"/>
        <v>0</v>
      </c>
      <c r="BW99" s="2">
        <v>0</v>
      </c>
      <c r="BY99" s="30"/>
      <c r="BZ99" s="22">
        <v>0</v>
      </c>
      <c r="CA99" s="2">
        <v>0</v>
      </c>
      <c r="CB99" s="2"/>
      <c r="CD99" s="22">
        <v>0</v>
      </c>
      <c r="CE99" s="3">
        <v>7044</v>
      </c>
      <c r="CF99" s="15"/>
      <c r="CG99" s="3">
        <f t="shared" si="286"/>
        <v>7044</v>
      </c>
      <c r="CH99" s="25">
        <f t="shared" si="287"/>
        <v>2113.1999999999998</v>
      </c>
      <c r="CI99" s="3">
        <v>0</v>
      </c>
      <c r="CJ99" s="15"/>
      <c r="CK99" s="3">
        <f t="shared" si="288"/>
        <v>0</v>
      </c>
      <c r="CL99" s="134">
        <f t="shared" si="247"/>
        <v>17</v>
      </c>
      <c r="CM99" s="31">
        <f t="shared" si="266"/>
        <v>30.588235294117649</v>
      </c>
      <c r="CN99" s="21">
        <f t="shared" si="289"/>
        <v>0</v>
      </c>
      <c r="CO99" s="3">
        <f t="shared" si="233"/>
        <v>0</v>
      </c>
      <c r="CP99" s="3"/>
      <c r="CQ99" s="3"/>
      <c r="CR99" s="2">
        <f t="shared" si="297"/>
        <v>0</v>
      </c>
      <c r="CS99" s="80">
        <f t="shared" si="248"/>
        <v>31</v>
      </c>
      <c r="CT99" s="31">
        <f t="shared" si="267"/>
        <v>22.29032258064516</v>
      </c>
      <c r="CU99" s="21">
        <f t="shared" si="290"/>
        <v>0</v>
      </c>
      <c r="CV99" s="3">
        <v>83</v>
      </c>
      <c r="CW99" s="92">
        <f t="shared" si="249"/>
        <v>17</v>
      </c>
      <c r="CX99" s="31">
        <f t="shared" si="268"/>
        <v>30.588235294117649</v>
      </c>
      <c r="CY99" s="21">
        <f t="shared" si="291"/>
        <v>2538.8235294117649</v>
      </c>
      <c r="CZ99" s="3">
        <v>0</v>
      </c>
      <c r="DA99" s="80">
        <f t="shared" si="250"/>
        <v>29</v>
      </c>
      <c r="DB99" s="31">
        <f t="shared" si="269"/>
        <v>22.413793103448278</v>
      </c>
      <c r="DC99" s="21">
        <f t="shared" si="292"/>
        <v>0</v>
      </c>
      <c r="DD99" s="3">
        <v>0</v>
      </c>
      <c r="DE99" s="3">
        <v>0</v>
      </c>
      <c r="DF99" s="15"/>
      <c r="DG99" s="3">
        <f t="shared" si="293"/>
        <v>0</v>
      </c>
      <c r="DH99" s="3">
        <f t="shared" si="294"/>
        <v>0</v>
      </c>
      <c r="DI99" s="136">
        <f t="shared" si="251"/>
        <v>26</v>
      </c>
      <c r="DJ99" s="41">
        <f t="shared" si="270"/>
        <v>33.384615384615387</v>
      </c>
      <c r="DK99" s="21">
        <f t="shared" si="295"/>
        <v>0</v>
      </c>
    </row>
    <row r="100" spans="1:115">
      <c r="A100" s="7">
        <v>1919</v>
      </c>
      <c r="B100" s="3">
        <v>37982</v>
      </c>
      <c r="C100" s="15"/>
      <c r="D100" s="3">
        <f t="shared" si="274"/>
        <v>37982</v>
      </c>
      <c r="E100" s="25">
        <f t="shared" si="275"/>
        <v>26587.399999999998</v>
      </c>
      <c r="F100" s="3">
        <v>0</v>
      </c>
      <c r="G100" s="15"/>
      <c r="H100" s="15">
        <f t="shared" si="276"/>
        <v>0</v>
      </c>
      <c r="I100" s="80">
        <f t="shared" si="234"/>
        <v>18</v>
      </c>
      <c r="J100" s="132">
        <f t="shared" si="252"/>
        <v>28.888888888888889</v>
      </c>
      <c r="K100" s="21">
        <f t="shared" si="277"/>
        <v>0</v>
      </c>
      <c r="L100" s="3">
        <v>0</v>
      </c>
      <c r="M100" s="15"/>
      <c r="N100" s="15"/>
      <c r="O100" s="3">
        <f t="shared" si="271"/>
        <v>0</v>
      </c>
      <c r="P100" s="80">
        <f t="shared" si="235"/>
        <v>12</v>
      </c>
      <c r="Q100" s="31">
        <f t="shared" si="253"/>
        <v>49.583333333333336</v>
      </c>
      <c r="R100" s="21">
        <f t="shared" si="278"/>
        <v>0</v>
      </c>
      <c r="S100" s="3">
        <v>249944</v>
      </c>
      <c r="T100" s="15"/>
      <c r="U100" s="15"/>
      <c r="V100" s="3">
        <f t="shared" si="272"/>
        <v>249944</v>
      </c>
      <c r="W100" s="80">
        <f t="shared" si="236"/>
        <v>28</v>
      </c>
      <c r="X100" s="31">
        <f t="shared" si="254"/>
        <v>21.785714285714285</v>
      </c>
      <c r="Y100" s="21">
        <f t="shared" si="279"/>
        <v>5445208.5714285709</v>
      </c>
      <c r="Z100" s="3">
        <v>0</v>
      </c>
      <c r="AA100" s="80">
        <f t="shared" si="237"/>
        <v>17</v>
      </c>
      <c r="AB100" s="31">
        <f t="shared" si="255"/>
        <v>32.235294117647058</v>
      </c>
      <c r="AC100" s="21">
        <v>0</v>
      </c>
      <c r="AD100" s="3">
        <v>0</v>
      </c>
      <c r="AE100" s="80">
        <f t="shared" si="238"/>
        <v>22</v>
      </c>
      <c r="AF100" s="31">
        <f t="shared" si="256"/>
        <v>37.68181818181818</v>
      </c>
      <c r="AG100" s="21">
        <v>0</v>
      </c>
      <c r="AH100" s="3">
        <v>0</v>
      </c>
      <c r="AI100" s="15"/>
      <c r="AJ100" s="3">
        <f t="shared" si="280"/>
        <v>0</v>
      </c>
      <c r="AL100" s="31"/>
      <c r="AM100" s="21">
        <v>0</v>
      </c>
      <c r="AN100" s="3">
        <v>0</v>
      </c>
      <c r="AO100" s="80">
        <f t="shared" si="239"/>
        <v>12</v>
      </c>
      <c r="AP100" s="31">
        <f t="shared" si="257"/>
        <v>47.333333333333336</v>
      </c>
      <c r="AQ100" s="21">
        <v>0</v>
      </c>
      <c r="AR100" s="3">
        <v>0</v>
      </c>
      <c r="AS100" s="80">
        <f t="shared" si="240"/>
        <v>22</v>
      </c>
      <c r="AT100" s="31">
        <f t="shared" si="258"/>
        <v>31.09090909090909</v>
      </c>
      <c r="AU100" s="21">
        <v>0</v>
      </c>
      <c r="AV100" s="3">
        <v>0</v>
      </c>
      <c r="AW100" s="80">
        <f t="shared" si="241"/>
        <v>18</v>
      </c>
      <c r="AX100" s="31">
        <f t="shared" si="259"/>
        <v>29.222222222222221</v>
      </c>
      <c r="AY100" s="21">
        <f t="shared" si="281"/>
        <v>0</v>
      </c>
      <c r="AZ100" s="3">
        <v>0</v>
      </c>
      <c r="BA100" s="80">
        <f t="shared" si="242"/>
        <v>23</v>
      </c>
      <c r="BB100" s="31">
        <f t="shared" si="260"/>
        <v>26.695652173913043</v>
      </c>
      <c r="BC100" s="21">
        <v>0</v>
      </c>
      <c r="BD100" s="15">
        <v>0</v>
      </c>
      <c r="BE100" s="3">
        <f t="shared" si="282"/>
        <v>0</v>
      </c>
      <c r="BF100" s="80">
        <f t="shared" si="243"/>
        <v>64</v>
      </c>
      <c r="BG100" s="31">
        <f t="shared" si="261"/>
        <v>9.5625</v>
      </c>
      <c r="BH100" s="21">
        <v>0</v>
      </c>
      <c r="BI100" s="3">
        <f t="shared" si="283"/>
        <v>0</v>
      </c>
      <c r="BJ100" s="3"/>
      <c r="BK100" s="30"/>
      <c r="BL100" s="21">
        <v>0</v>
      </c>
      <c r="BM100" s="3">
        <v>0</v>
      </c>
      <c r="BN100" s="80">
        <f t="shared" si="244"/>
        <v>20</v>
      </c>
      <c r="BO100" s="31">
        <f t="shared" si="263"/>
        <v>25.45</v>
      </c>
      <c r="BP100" s="21">
        <v>0</v>
      </c>
      <c r="BQ100" s="3">
        <v>0</v>
      </c>
      <c r="BR100" s="15"/>
      <c r="BS100" s="3">
        <f t="shared" si="284"/>
        <v>0</v>
      </c>
      <c r="BT100" s="80">
        <f t="shared" si="245"/>
        <v>44</v>
      </c>
      <c r="BU100" s="31">
        <f t="shared" si="264"/>
        <v>8.0681818181818183</v>
      </c>
      <c r="BV100" s="21">
        <f t="shared" si="285"/>
        <v>0</v>
      </c>
      <c r="BW100" s="2">
        <v>0</v>
      </c>
      <c r="BY100" s="30"/>
      <c r="BZ100" s="22">
        <v>0</v>
      </c>
      <c r="CA100" s="2">
        <v>0</v>
      </c>
      <c r="CB100" s="2"/>
      <c r="CD100" s="22">
        <v>0</v>
      </c>
      <c r="CE100" s="3">
        <v>37982</v>
      </c>
      <c r="CF100" s="15"/>
      <c r="CG100" s="3">
        <f t="shared" si="286"/>
        <v>37982</v>
      </c>
      <c r="CH100" s="25">
        <f t="shared" si="287"/>
        <v>11394.6</v>
      </c>
      <c r="CI100" s="3">
        <v>0</v>
      </c>
      <c r="CJ100" s="15"/>
      <c r="CK100" s="3">
        <f t="shared" si="288"/>
        <v>0</v>
      </c>
      <c r="CL100" s="134">
        <f t="shared" si="247"/>
        <v>18</v>
      </c>
      <c r="CM100" s="31">
        <f t="shared" si="266"/>
        <v>28.888888888888889</v>
      </c>
      <c r="CN100" s="21">
        <f t="shared" si="289"/>
        <v>0</v>
      </c>
      <c r="CO100" s="3">
        <f t="shared" si="233"/>
        <v>0</v>
      </c>
      <c r="CP100" s="3"/>
      <c r="CQ100" s="3"/>
      <c r="CR100" s="2">
        <f t="shared" si="297"/>
        <v>0</v>
      </c>
      <c r="CS100" s="80">
        <f t="shared" si="248"/>
        <v>27</v>
      </c>
      <c r="CT100" s="31">
        <f t="shared" si="267"/>
        <v>25.592592592592592</v>
      </c>
      <c r="CU100" s="21">
        <f t="shared" si="290"/>
        <v>0</v>
      </c>
      <c r="CV100" s="3">
        <v>435</v>
      </c>
      <c r="CW100" s="92">
        <f t="shared" si="249"/>
        <v>18</v>
      </c>
      <c r="CX100" s="31">
        <f t="shared" si="268"/>
        <v>28.888888888888889</v>
      </c>
      <c r="CY100" s="21">
        <f t="shared" si="291"/>
        <v>12566.666666666666</v>
      </c>
      <c r="CZ100" s="3">
        <v>0</v>
      </c>
      <c r="DA100" s="80">
        <f t="shared" si="250"/>
        <v>25</v>
      </c>
      <c r="DB100" s="31">
        <f t="shared" si="269"/>
        <v>26</v>
      </c>
      <c r="DC100" s="21">
        <f t="shared" si="292"/>
        <v>0</v>
      </c>
      <c r="DD100" s="3">
        <v>0</v>
      </c>
      <c r="DE100" s="3">
        <v>0</v>
      </c>
      <c r="DF100" s="15"/>
      <c r="DG100" s="3">
        <f t="shared" si="293"/>
        <v>0</v>
      </c>
      <c r="DH100" s="3">
        <f t="shared" si="294"/>
        <v>0</v>
      </c>
      <c r="DI100" s="136">
        <f t="shared" si="251"/>
        <v>23</v>
      </c>
      <c r="DJ100" s="41">
        <f t="shared" si="270"/>
        <v>37.739130434782609</v>
      </c>
      <c r="DK100" s="21">
        <f t="shared" si="295"/>
        <v>0</v>
      </c>
    </row>
    <row r="101" spans="1:115">
      <c r="A101" s="7">
        <v>1918</v>
      </c>
      <c r="B101" s="3">
        <v>621</v>
      </c>
      <c r="C101" s="15"/>
      <c r="D101" s="3">
        <f t="shared" si="274"/>
        <v>621</v>
      </c>
      <c r="E101" s="25">
        <f t="shared" si="275"/>
        <v>434.7</v>
      </c>
      <c r="F101" s="3">
        <v>0</v>
      </c>
      <c r="G101" s="15"/>
      <c r="H101" s="15">
        <f t="shared" si="276"/>
        <v>0</v>
      </c>
      <c r="I101" s="80">
        <f t="shared" si="234"/>
        <v>18</v>
      </c>
      <c r="J101" s="132">
        <f t="shared" si="252"/>
        <v>28.888888888888889</v>
      </c>
      <c r="K101" s="21">
        <f t="shared" si="277"/>
        <v>0</v>
      </c>
      <c r="L101" s="3">
        <v>0</v>
      </c>
      <c r="M101" s="15"/>
      <c r="N101" s="15"/>
      <c r="O101" s="3">
        <f t="shared" si="271"/>
        <v>0</v>
      </c>
      <c r="P101" s="80">
        <f t="shared" si="235"/>
        <v>10</v>
      </c>
      <c r="Q101" s="31">
        <f t="shared" si="253"/>
        <v>59.5</v>
      </c>
      <c r="R101" s="21">
        <f t="shared" si="278"/>
        <v>0</v>
      </c>
      <c r="S101" s="3">
        <v>0</v>
      </c>
      <c r="T101" s="15"/>
      <c r="U101" s="15"/>
      <c r="V101" s="3">
        <f t="shared" si="272"/>
        <v>0</v>
      </c>
      <c r="W101" s="80">
        <f t="shared" si="236"/>
        <v>28</v>
      </c>
      <c r="X101" s="31">
        <f t="shared" si="254"/>
        <v>21.785714285714285</v>
      </c>
      <c r="Y101" s="21">
        <f t="shared" si="279"/>
        <v>0</v>
      </c>
      <c r="Z101" s="3">
        <v>0</v>
      </c>
      <c r="AA101" s="80">
        <f t="shared" si="237"/>
        <v>15</v>
      </c>
      <c r="AB101" s="31">
        <f t="shared" si="255"/>
        <v>36.533333333333331</v>
      </c>
      <c r="AC101" s="21">
        <v>0</v>
      </c>
      <c r="AD101" s="3">
        <v>0</v>
      </c>
      <c r="AE101" s="80">
        <f t="shared" si="238"/>
        <v>20</v>
      </c>
      <c r="AF101" s="31">
        <f t="shared" si="256"/>
        <v>41.45</v>
      </c>
      <c r="AG101" s="21">
        <v>0</v>
      </c>
      <c r="AH101" s="3">
        <v>0</v>
      </c>
      <c r="AI101" s="15"/>
      <c r="AJ101" s="3">
        <f t="shared" si="280"/>
        <v>0</v>
      </c>
      <c r="AL101" s="31"/>
      <c r="AM101" s="21">
        <v>0</v>
      </c>
      <c r="AN101" s="3">
        <v>0</v>
      </c>
      <c r="AO101" s="80">
        <f t="shared" si="239"/>
        <v>11</v>
      </c>
      <c r="AP101" s="31">
        <f t="shared" si="257"/>
        <v>51.636363636363633</v>
      </c>
      <c r="AQ101" s="21">
        <v>0</v>
      </c>
      <c r="AR101" s="3">
        <v>0</v>
      </c>
      <c r="AS101" s="80">
        <f t="shared" si="240"/>
        <v>22</v>
      </c>
      <c r="AT101" s="31">
        <f t="shared" si="258"/>
        <v>31.09090909090909</v>
      </c>
      <c r="AU101" s="21">
        <v>0</v>
      </c>
      <c r="AV101" s="3">
        <v>849</v>
      </c>
      <c r="AW101" s="80">
        <f t="shared" si="241"/>
        <v>16</v>
      </c>
      <c r="AX101" s="31">
        <f t="shared" si="259"/>
        <v>32.875</v>
      </c>
      <c r="AY101" s="21">
        <f t="shared" si="281"/>
        <v>27910.875</v>
      </c>
      <c r="AZ101" s="3">
        <v>0</v>
      </c>
      <c r="BA101" s="80">
        <f t="shared" si="242"/>
        <v>21</v>
      </c>
      <c r="BB101" s="31">
        <f t="shared" si="260"/>
        <v>29.238095238095237</v>
      </c>
      <c r="BC101" s="21">
        <v>0</v>
      </c>
      <c r="BD101" s="15">
        <v>0</v>
      </c>
      <c r="BE101" s="3">
        <f t="shared" si="282"/>
        <v>0</v>
      </c>
      <c r="BF101" s="80">
        <f t="shared" si="243"/>
        <v>62</v>
      </c>
      <c r="BG101" s="31">
        <f t="shared" si="261"/>
        <v>9.870967741935484</v>
      </c>
      <c r="BH101" s="21">
        <v>0</v>
      </c>
      <c r="BI101" s="3">
        <f t="shared" si="283"/>
        <v>0</v>
      </c>
      <c r="BJ101" s="3"/>
      <c r="BK101" s="30"/>
      <c r="BL101" s="21">
        <v>0</v>
      </c>
      <c r="BM101" s="3">
        <v>0</v>
      </c>
      <c r="BN101" s="80">
        <f t="shared" si="244"/>
        <v>19</v>
      </c>
      <c r="BO101" s="31">
        <f t="shared" si="263"/>
        <v>26.789473684210527</v>
      </c>
      <c r="BP101" s="21">
        <v>0</v>
      </c>
      <c r="BQ101" s="3">
        <v>0</v>
      </c>
      <c r="BR101" s="15"/>
      <c r="BS101" s="3">
        <f t="shared" si="284"/>
        <v>0</v>
      </c>
      <c r="BT101" s="80">
        <f t="shared" si="245"/>
        <v>39</v>
      </c>
      <c r="BU101" s="31">
        <f t="shared" si="264"/>
        <v>9.1025641025641022</v>
      </c>
      <c r="BV101" s="21">
        <f t="shared" si="285"/>
        <v>0</v>
      </c>
      <c r="BW101" s="2">
        <v>0</v>
      </c>
      <c r="BY101" s="30"/>
      <c r="BZ101" s="22">
        <v>0</v>
      </c>
      <c r="CA101" s="2">
        <v>0</v>
      </c>
      <c r="CB101" s="2"/>
      <c r="CD101" s="22">
        <v>0</v>
      </c>
      <c r="CE101" s="3">
        <v>621</v>
      </c>
      <c r="CF101" s="15"/>
      <c r="CG101" s="3">
        <f t="shared" si="286"/>
        <v>621</v>
      </c>
      <c r="CH101" s="25">
        <f t="shared" si="287"/>
        <v>186.29999999999998</v>
      </c>
      <c r="CI101" s="3">
        <v>0</v>
      </c>
      <c r="CJ101" s="15"/>
      <c r="CK101" s="3">
        <f t="shared" si="288"/>
        <v>0</v>
      </c>
      <c r="CL101" s="134">
        <f t="shared" si="247"/>
        <v>18</v>
      </c>
      <c r="CM101" s="31">
        <f t="shared" si="266"/>
        <v>28.888888888888889</v>
      </c>
      <c r="CN101" s="21">
        <f t="shared" si="289"/>
        <v>0</v>
      </c>
      <c r="CO101" s="3">
        <f t="shared" si="233"/>
        <v>0</v>
      </c>
      <c r="CP101" s="3"/>
      <c r="CQ101" s="3"/>
      <c r="CR101" s="2">
        <f t="shared" si="297"/>
        <v>0</v>
      </c>
      <c r="CS101" s="80">
        <f t="shared" si="248"/>
        <v>25</v>
      </c>
      <c r="CT101" s="31">
        <f t="shared" si="267"/>
        <v>27.64</v>
      </c>
      <c r="CU101" s="21">
        <f t="shared" si="290"/>
        <v>0</v>
      </c>
      <c r="CV101" s="3">
        <v>0</v>
      </c>
      <c r="CW101" s="92">
        <f t="shared" si="249"/>
        <v>18</v>
      </c>
      <c r="CX101" s="31">
        <f t="shared" si="268"/>
        <v>28.888888888888889</v>
      </c>
      <c r="CY101" s="21">
        <f t="shared" si="291"/>
        <v>0</v>
      </c>
      <c r="CZ101" s="3">
        <v>0</v>
      </c>
      <c r="DA101" s="80">
        <f t="shared" si="250"/>
        <v>23</v>
      </c>
      <c r="DB101" s="31">
        <f t="shared" si="269"/>
        <v>28.260869565217391</v>
      </c>
      <c r="DC101" s="21">
        <f t="shared" si="292"/>
        <v>0</v>
      </c>
      <c r="DD101" s="3">
        <v>0</v>
      </c>
      <c r="DE101" s="3">
        <v>0</v>
      </c>
      <c r="DF101" s="15"/>
      <c r="DG101" s="3">
        <f t="shared" si="293"/>
        <v>0</v>
      </c>
      <c r="DH101" s="3">
        <f t="shared" si="294"/>
        <v>0</v>
      </c>
      <c r="DI101" s="136">
        <f t="shared" si="251"/>
        <v>20</v>
      </c>
      <c r="DJ101" s="41">
        <f t="shared" si="270"/>
        <v>43.4</v>
      </c>
      <c r="DK101" s="21">
        <f t="shared" si="295"/>
        <v>0</v>
      </c>
    </row>
    <row r="102" spans="1:115">
      <c r="A102" s="7">
        <v>1917</v>
      </c>
      <c r="B102" s="3">
        <v>0</v>
      </c>
      <c r="C102" s="15"/>
      <c r="D102" s="3">
        <f t="shared" si="274"/>
        <v>0</v>
      </c>
      <c r="E102" s="25">
        <f t="shared" si="275"/>
        <v>0</v>
      </c>
      <c r="F102" s="3">
        <v>0</v>
      </c>
      <c r="G102" s="15"/>
      <c r="H102" s="15">
        <f t="shared" si="276"/>
        <v>0</v>
      </c>
      <c r="I102" s="80">
        <f t="shared" si="234"/>
        <v>16</v>
      </c>
      <c r="J102" s="132">
        <f t="shared" si="252"/>
        <v>32.5</v>
      </c>
      <c r="K102" s="21">
        <f t="shared" si="277"/>
        <v>0</v>
      </c>
      <c r="L102" s="3">
        <v>0</v>
      </c>
      <c r="M102" s="15"/>
      <c r="N102" s="15"/>
      <c r="O102" s="3">
        <f t="shared" si="271"/>
        <v>0</v>
      </c>
      <c r="P102" s="80">
        <f t="shared" si="235"/>
        <v>9</v>
      </c>
      <c r="Q102" s="31">
        <f t="shared" si="253"/>
        <v>66.111111111111114</v>
      </c>
      <c r="R102" s="21">
        <f t="shared" si="278"/>
        <v>0</v>
      </c>
      <c r="S102" s="3">
        <v>0</v>
      </c>
      <c r="T102" s="15"/>
      <c r="U102" s="15"/>
      <c r="V102" s="3">
        <f t="shared" si="272"/>
        <v>0</v>
      </c>
      <c r="W102" s="80">
        <f t="shared" si="236"/>
        <v>25</v>
      </c>
      <c r="X102" s="31">
        <f t="shared" si="254"/>
        <v>24.4</v>
      </c>
      <c r="Y102" s="21">
        <f t="shared" si="279"/>
        <v>0</v>
      </c>
      <c r="Z102" s="3">
        <v>0</v>
      </c>
      <c r="AA102" s="80">
        <f t="shared" si="237"/>
        <v>12</v>
      </c>
      <c r="AB102" s="31">
        <f t="shared" si="255"/>
        <v>45.666666666666664</v>
      </c>
      <c r="AC102" s="21">
        <v>0</v>
      </c>
      <c r="AD102" s="3">
        <v>0</v>
      </c>
      <c r="AE102" s="80">
        <f t="shared" si="238"/>
        <v>18</v>
      </c>
      <c r="AF102" s="31">
        <f t="shared" si="256"/>
        <v>46.055555555555557</v>
      </c>
      <c r="AG102" s="21">
        <v>0</v>
      </c>
      <c r="AH102" s="3">
        <v>0</v>
      </c>
      <c r="AI102" s="15"/>
      <c r="AJ102" s="3">
        <f t="shared" si="280"/>
        <v>0</v>
      </c>
      <c r="AL102" s="31"/>
      <c r="AM102" s="21">
        <v>0</v>
      </c>
      <c r="AN102" s="3">
        <v>0</v>
      </c>
      <c r="AO102" s="80">
        <f t="shared" si="239"/>
        <v>9</v>
      </c>
      <c r="AP102" s="31">
        <f t="shared" si="257"/>
        <v>63.111111111111114</v>
      </c>
      <c r="AQ102" s="21">
        <v>0</v>
      </c>
      <c r="AR102" s="3">
        <v>0</v>
      </c>
      <c r="AS102" s="80">
        <f t="shared" si="240"/>
        <v>19</v>
      </c>
      <c r="AT102" s="31">
        <f t="shared" si="258"/>
        <v>36</v>
      </c>
      <c r="AU102" s="21">
        <v>0</v>
      </c>
      <c r="AV102" s="3">
        <v>5840</v>
      </c>
      <c r="AW102" s="80">
        <f t="shared" si="241"/>
        <v>13</v>
      </c>
      <c r="AX102" s="31">
        <f t="shared" si="259"/>
        <v>40.46153846153846</v>
      </c>
      <c r="AY102" s="21">
        <f t="shared" si="281"/>
        <v>236295.3846153846</v>
      </c>
      <c r="AZ102" s="3">
        <v>0</v>
      </c>
      <c r="BA102" s="80">
        <f t="shared" si="242"/>
        <v>19</v>
      </c>
      <c r="BB102" s="31">
        <f t="shared" si="260"/>
        <v>32.315789473684212</v>
      </c>
      <c r="BC102" s="21">
        <v>0</v>
      </c>
      <c r="BD102" s="15">
        <v>0</v>
      </c>
      <c r="BE102" s="3">
        <f t="shared" si="282"/>
        <v>0</v>
      </c>
      <c r="BF102" s="80">
        <f t="shared" si="243"/>
        <v>46</v>
      </c>
      <c r="BG102" s="31">
        <f t="shared" si="261"/>
        <v>13.304347826086957</v>
      </c>
      <c r="BH102" s="21">
        <v>0</v>
      </c>
      <c r="BI102" s="3">
        <f t="shared" si="283"/>
        <v>0</v>
      </c>
      <c r="BJ102" s="3"/>
      <c r="BK102" s="30"/>
      <c r="BL102" s="21">
        <v>0</v>
      </c>
      <c r="BM102" s="3">
        <v>0</v>
      </c>
      <c r="BN102" s="80">
        <f t="shared" si="244"/>
        <v>17</v>
      </c>
      <c r="BO102" s="31">
        <f t="shared" si="263"/>
        <v>29.941176470588236</v>
      </c>
      <c r="BP102" s="21">
        <v>0</v>
      </c>
      <c r="BQ102" s="3">
        <v>0</v>
      </c>
      <c r="BR102" s="15"/>
      <c r="BS102" s="3">
        <f t="shared" si="284"/>
        <v>0</v>
      </c>
      <c r="BT102" s="80">
        <f t="shared" si="245"/>
        <v>35</v>
      </c>
      <c r="BU102" s="31">
        <f t="shared" si="264"/>
        <v>10.142857142857142</v>
      </c>
      <c r="BV102" s="21">
        <f t="shared" si="285"/>
        <v>0</v>
      </c>
      <c r="BW102" s="2">
        <v>0</v>
      </c>
      <c r="BY102" s="30"/>
      <c r="BZ102" s="22">
        <v>0</v>
      </c>
      <c r="CA102" s="2">
        <v>0</v>
      </c>
      <c r="CB102" s="2"/>
      <c r="CD102" s="22">
        <v>0</v>
      </c>
      <c r="CE102" s="3">
        <v>0</v>
      </c>
      <c r="CF102" s="15"/>
      <c r="CG102" s="3">
        <f t="shared" si="286"/>
        <v>0</v>
      </c>
      <c r="CH102" s="25">
        <f t="shared" si="287"/>
        <v>0</v>
      </c>
      <c r="CI102" s="3">
        <v>0</v>
      </c>
      <c r="CJ102" s="15"/>
      <c r="CK102" s="3">
        <f t="shared" si="288"/>
        <v>0</v>
      </c>
      <c r="CL102" s="134">
        <f t="shared" si="247"/>
        <v>16</v>
      </c>
      <c r="CM102" s="31">
        <f t="shared" si="266"/>
        <v>32.5</v>
      </c>
      <c r="CN102" s="21">
        <f t="shared" si="289"/>
        <v>0</v>
      </c>
      <c r="CO102" s="3">
        <f t="shared" si="233"/>
        <v>0</v>
      </c>
      <c r="CP102" s="3"/>
      <c r="CQ102" s="3"/>
      <c r="CR102" s="2">
        <f t="shared" si="297"/>
        <v>0</v>
      </c>
      <c r="CS102" s="80">
        <f t="shared" si="248"/>
        <v>20</v>
      </c>
      <c r="CT102" s="31">
        <f t="shared" si="267"/>
        <v>34.549999999999997</v>
      </c>
      <c r="CU102" s="21">
        <f t="shared" si="290"/>
        <v>0</v>
      </c>
      <c r="CV102" s="3">
        <v>7606</v>
      </c>
      <c r="CW102" s="92">
        <f t="shared" si="249"/>
        <v>16</v>
      </c>
      <c r="CX102" s="31">
        <f t="shared" si="268"/>
        <v>32.5</v>
      </c>
      <c r="CY102" s="21">
        <f t="shared" si="291"/>
        <v>247195</v>
      </c>
      <c r="CZ102" s="3">
        <v>0</v>
      </c>
      <c r="DA102" s="80">
        <f t="shared" si="250"/>
        <v>20</v>
      </c>
      <c r="DB102" s="31">
        <f t="shared" si="269"/>
        <v>32.5</v>
      </c>
      <c r="DC102" s="21">
        <f t="shared" si="292"/>
        <v>0</v>
      </c>
      <c r="DD102" s="3">
        <v>0</v>
      </c>
      <c r="DE102" s="3">
        <v>0</v>
      </c>
      <c r="DF102" s="15"/>
      <c r="DG102" s="3">
        <f t="shared" si="293"/>
        <v>0</v>
      </c>
      <c r="DH102" s="3">
        <f t="shared" si="294"/>
        <v>0</v>
      </c>
      <c r="DI102" s="136">
        <f t="shared" si="251"/>
        <v>17</v>
      </c>
      <c r="DJ102" s="41">
        <f t="shared" si="270"/>
        <v>51.058823529411768</v>
      </c>
      <c r="DK102" s="21">
        <f t="shared" si="295"/>
        <v>0</v>
      </c>
    </row>
    <row r="103" spans="1:115">
      <c r="A103" s="7">
        <v>1916</v>
      </c>
      <c r="B103" s="3">
        <v>0</v>
      </c>
      <c r="C103" s="15"/>
      <c r="D103" s="3">
        <f t="shared" si="274"/>
        <v>0</v>
      </c>
      <c r="E103" s="25">
        <f t="shared" si="275"/>
        <v>0</v>
      </c>
      <c r="F103" s="3">
        <v>0</v>
      </c>
      <c r="G103" s="15"/>
      <c r="H103" s="15">
        <f t="shared" si="276"/>
        <v>0</v>
      </c>
      <c r="I103" s="80">
        <f t="shared" si="234"/>
        <v>13</v>
      </c>
      <c r="J103" s="132">
        <f t="shared" si="252"/>
        <v>40</v>
      </c>
      <c r="K103" s="21">
        <f t="shared" si="277"/>
        <v>0</v>
      </c>
      <c r="L103" s="3">
        <v>0</v>
      </c>
      <c r="M103" s="15"/>
      <c r="N103" s="15"/>
      <c r="O103" s="3">
        <f t="shared" si="271"/>
        <v>0</v>
      </c>
      <c r="P103" s="80">
        <f t="shared" si="235"/>
        <v>7</v>
      </c>
      <c r="Q103" s="31">
        <f t="shared" si="253"/>
        <v>85</v>
      </c>
      <c r="R103" s="21">
        <f t="shared" si="278"/>
        <v>0</v>
      </c>
      <c r="S103" s="3">
        <v>0</v>
      </c>
      <c r="T103" s="15"/>
      <c r="U103" s="15"/>
      <c r="V103" s="3">
        <f t="shared" si="272"/>
        <v>0</v>
      </c>
      <c r="W103" s="80">
        <f t="shared" si="236"/>
        <v>22</v>
      </c>
      <c r="X103" s="31">
        <f t="shared" si="254"/>
        <v>27.727272727272727</v>
      </c>
      <c r="Y103" s="21">
        <f t="shared" si="279"/>
        <v>0</v>
      </c>
      <c r="Z103" s="3">
        <v>0</v>
      </c>
      <c r="AA103" s="80">
        <f t="shared" si="237"/>
        <v>8</v>
      </c>
      <c r="AB103" s="31">
        <f t="shared" si="255"/>
        <v>68.5</v>
      </c>
      <c r="AC103" s="21">
        <v>0</v>
      </c>
      <c r="AD103" s="3">
        <v>0</v>
      </c>
      <c r="AE103" s="80">
        <f t="shared" si="238"/>
        <v>16</v>
      </c>
      <c r="AF103" s="31">
        <f t="shared" si="256"/>
        <v>51.8125</v>
      </c>
      <c r="AG103" s="21">
        <v>0</v>
      </c>
      <c r="AH103" s="3">
        <v>0</v>
      </c>
      <c r="AI103" s="15"/>
      <c r="AJ103" s="3">
        <f t="shared" si="280"/>
        <v>0</v>
      </c>
      <c r="AL103" s="31"/>
      <c r="AM103" s="21">
        <v>0</v>
      </c>
      <c r="AN103" s="3">
        <v>0</v>
      </c>
      <c r="AO103" s="80">
        <f t="shared" si="239"/>
        <v>8</v>
      </c>
      <c r="AP103" s="31">
        <f t="shared" si="257"/>
        <v>71</v>
      </c>
      <c r="AQ103" s="21">
        <v>0</v>
      </c>
      <c r="AR103" s="3">
        <v>0</v>
      </c>
      <c r="AS103" s="80">
        <f t="shared" si="240"/>
        <v>17</v>
      </c>
      <c r="AT103" s="31">
        <f t="shared" si="258"/>
        <v>40.235294117647058</v>
      </c>
      <c r="AU103" s="21">
        <v>0</v>
      </c>
      <c r="AV103" s="3">
        <v>7164</v>
      </c>
      <c r="AW103" s="80">
        <f t="shared" si="241"/>
        <v>9</v>
      </c>
      <c r="AX103" s="31">
        <f t="shared" si="259"/>
        <v>58.444444444444443</v>
      </c>
      <c r="AY103" s="21">
        <f t="shared" si="281"/>
        <v>418696</v>
      </c>
      <c r="AZ103" s="3">
        <v>0</v>
      </c>
      <c r="BA103" s="80">
        <f t="shared" si="242"/>
        <v>17</v>
      </c>
      <c r="BB103" s="31">
        <f t="shared" si="260"/>
        <v>36.117647058823529</v>
      </c>
      <c r="BC103" s="21">
        <v>0</v>
      </c>
      <c r="BD103" s="15">
        <v>0</v>
      </c>
      <c r="BE103" s="3">
        <f t="shared" si="282"/>
        <v>0</v>
      </c>
      <c r="BF103" s="80">
        <f t="shared" si="243"/>
        <v>43</v>
      </c>
      <c r="BG103" s="31">
        <f t="shared" si="261"/>
        <v>14.232558139534884</v>
      </c>
      <c r="BH103" s="21">
        <v>0</v>
      </c>
      <c r="BI103" s="3">
        <f t="shared" si="283"/>
        <v>0</v>
      </c>
      <c r="BJ103" s="3"/>
      <c r="BK103" s="30"/>
      <c r="BL103" s="21">
        <v>0</v>
      </c>
      <c r="BM103" s="3">
        <v>0</v>
      </c>
      <c r="BN103" s="80">
        <f t="shared" si="244"/>
        <v>15</v>
      </c>
      <c r="BO103" s="31">
        <f t="shared" si="263"/>
        <v>33.93333333333333</v>
      </c>
      <c r="BP103" s="21">
        <v>0</v>
      </c>
      <c r="BQ103" s="3">
        <v>0</v>
      </c>
      <c r="BR103" s="15"/>
      <c r="BS103" s="3">
        <f t="shared" si="284"/>
        <v>0</v>
      </c>
      <c r="BT103" s="80">
        <f t="shared" si="245"/>
        <v>31</v>
      </c>
      <c r="BU103" s="31">
        <f t="shared" si="264"/>
        <v>11.451612903225806</v>
      </c>
      <c r="BV103" s="21">
        <f t="shared" si="285"/>
        <v>0</v>
      </c>
      <c r="BW103" s="2">
        <v>0</v>
      </c>
      <c r="BY103" s="30"/>
      <c r="BZ103" s="22">
        <v>0</v>
      </c>
      <c r="CA103" s="2">
        <v>0</v>
      </c>
      <c r="CB103" s="2"/>
      <c r="CD103" s="22">
        <v>0</v>
      </c>
      <c r="CE103" s="3">
        <v>0</v>
      </c>
      <c r="CF103" s="15"/>
      <c r="CG103" s="3">
        <f t="shared" si="286"/>
        <v>0</v>
      </c>
      <c r="CH103" s="25">
        <f t="shared" si="287"/>
        <v>0</v>
      </c>
      <c r="CI103" s="3">
        <v>0</v>
      </c>
      <c r="CJ103" s="15"/>
      <c r="CK103" s="3">
        <f t="shared" si="288"/>
        <v>0</v>
      </c>
      <c r="CL103" s="134">
        <f t="shared" si="247"/>
        <v>13</v>
      </c>
      <c r="CM103" s="31">
        <f t="shared" si="266"/>
        <v>40</v>
      </c>
      <c r="CN103" s="21">
        <f t="shared" si="289"/>
        <v>0</v>
      </c>
      <c r="CO103" s="3">
        <f t="shared" si="233"/>
        <v>0</v>
      </c>
      <c r="CP103" s="3"/>
      <c r="CQ103" s="3"/>
      <c r="CR103" s="2">
        <f t="shared" si="297"/>
        <v>0</v>
      </c>
      <c r="CS103" s="80">
        <f t="shared" si="248"/>
        <v>17</v>
      </c>
      <c r="CT103" s="31">
        <f t="shared" si="267"/>
        <v>40.647058823529413</v>
      </c>
      <c r="CU103" s="21">
        <f t="shared" si="290"/>
        <v>0</v>
      </c>
      <c r="CV103" s="3">
        <v>1094</v>
      </c>
      <c r="CW103" s="92">
        <f t="shared" si="249"/>
        <v>13</v>
      </c>
      <c r="CX103" s="31">
        <f t="shared" si="268"/>
        <v>40</v>
      </c>
      <c r="CY103" s="21">
        <f t="shared" si="291"/>
        <v>43760</v>
      </c>
      <c r="CZ103" s="3">
        <v>0</v>
      </c>
      <c r="DA103" s="80">
        <f t="shared" si="250"/>
        <v>17</v>
      </c>
      <c r="DB103" s="31">
        <f t="shared" si="269"/>
        <v>38.235294117647058</v>
      </c>
      <c r="DC103" s="21">
        <f t="shared" si="292"/>
        <v>0</v>
      </c>
      <c r="DD103" s="3">
        <v>0</v>
      </c>
      <c r="DE103" s="3">
        <v>0</v>
      </c>
      <c r="DF103" s="15"/>
      <c r="DG103" s="3">
        <f t="shared" si="293"/>
        <v>0</v>
      </c>
      <c r="DH103" s="3">
        <f t="shared" si="294"/>
        <v>0</v>
      </c>
      <c r="DI103" s="136">
        <f t="shared" si="251"/>
        <v>15</v>
      </c>
      <c r="DJ103" s="41">
        <f t="shared" si="270"/>
        <v>57.866666666666667</v>
      </c>
      <c r="DK103" s="21">
        <f t="shared" si="295"/>
        <v>0</v>
      </c>
    </row>
    <row r="104" spans="1:115">
      <c r="A104" s="7">
        <v>1915</v>
      </c>
      <c r="B104" s="3">
        <v>108</v>
      </c>
      <c r="C104" s="15"/>
      <c r="D104" s="3">
        <f t="shared" si="274"/>
        <v>108</v>
      </c>
      <c r="E104" s="25">
        <f t="shared" si="275"/>
        <v>75.599999999999994</v>
      </c>
      <c r="F104" s="3">
        <v>0</v>
      </c>
      <c r="G104" s="15"/>
      <c r="H104" s="15">
        <f t="shared" si="276"/>
        <v>0</v>
      </c>
      <c r="I104" s="80">
        <f t="shared" si="234"/>
        <v>9</v>
      </c>
      <c r="J104" s="132">
        <f t="shared" si="252"/>
        <v>57.777777777777779</v>
      </c>
      <c r="K104" s="21">
        <f t="shared" si="277"/>
        <v>0</v>
      </c>
      <c r="L104" s="3">
        <v>0</v>
      </c>
      <c r="M104" s="15"/>
      <c r="N104" s="15"/>
      <c r="O104" s="3">
        <f t="shared" si="271"/>
        <v>0</v>
      </c>
      <c r="P104" s="80">
        <f t="shared" si="235"/>
        <v>6</v>
      </c>
      <c r="Q104" s="31">
        <f t="shared" si="253"/>
        <v>99.166666666666671</v>
      </c>
      <c r="R104" s="21">
        <f t="shared" si="278"/>
        <v>0</v>
      </c>
      <c r="S104" s="3">
        <v>0</v>
      </c>
      <c r="T104" s="15"/>
      <c r="U104" s="15"/>
      <c r="V104" s="3">
        <f t="shared" si="272"/>
        <v>0</v>
      </c>
      <c r="W104" s="80">
        <f t="shared" si="236"/>
        <v>14</v>
      </c>
      <c r="X104" s="31">
        <f t="shared" si="254"/>
        <v>43.571428571428569</v>
      </c>
      <c r="Y104" s="21">
        <f t="shared" si="279"/>
        <v>0</v>
      </c>
      <c r="Z104" s="3">
        <v>0</v>
      </c>
      <c r="AA104" s="80">
        <f t="shared" si="237"/>
        <v>8</v>
      </c>
      <c r="AB104" s="31">
        <f t="shared" si="255"/>
        <v>68.5</v>
      </c>
      <c r="AC104" s="21">
        <v>0</v>
      </c>
      <c r="AD104" s="3">
        <v>0</v>
      </c>
      <c r="AE104" s="80">
        <f t="shared" si="238"/>
        <v>11</v>
      </c>
      <c r="AF104" s="31">
        <f t="shared" si="256"/>
        <v>75.36363636363636</v>
      </c>
      <c r="AG104" s="21">
        <v>0</v>
      </c>
      <c r="AH104" s="3">
        <v>0</v>
      </c>
      <c r="AI104" s="15"/>
      <c r="AJ104" s="3">
        <f t="shared" si="280"/>
        <v>0</v>
      </c>
      <c r="AL104" s="31"/>
      <c r="AM104" s="21">
        <v>0</v>
      </c>
      <c r="AN104" s="3">
        <v>0</v>
      </c>
      <c r="AO104" s="80">
        <f t="shared" si="239"/>
        <v>6</v>
      </c>
      <c r="AP104" s="31">
        <f t="shared" si="257"/>
        <v>94.666666666666671</v>
      </c>
      <c r="AQ104" s="21">
        <v>0</v>
      </c>
      <c r="AR104" s="3">
        <v>0</v>
      </c>
      <c r="AS104" s="80">
        <f t="shared" si="240"/>
        <v>11</v>
      </c>
      <c r="AT104" s="31">
        <f t="shared" si="258"/>
        <v>62.18181818181818</v>
      </c>
      <c r="AU104" s="21">
        <v>0</v>
      </c>
      <c r="AV104" s="3">
        <v>82563</v>
      </c>
      <c r="AW104" s="80">
        <f t="shared" si="241"/>
        <v>9</v>
      </c>
      <c r="AX104" s="31">
        <f t="shared" si="259"/>
        <v>58.444444444444443</v>
      </c>
      <c r="AY104" s="21">
        <f t="shared" si="281"/>
        <v>4825348.666666667</v>
      </c>
      <c r="AZ104" s="3">
        <v>0</v>
      </c>
      <c r="BA104" s="80">
        <f t="shared" si="242"/>
        <v>12</v>
      </c>
      <c r="BB104" s="31">
        <f t="shared" si="260"/>
        <v>51.166666666666664</v>
      </c>
      <c r="BC104" s="21">
        <v>0</v>
      </c>
      <c r="BD104" s="15">
        <v>0</v>
      </c>
      <c r="BE104" s="3">
        <f t="shared" si="282"/>
        <v>0</v>
      </c>
      <c r="BF104" s="80">
        <f t="shared" si="243"/>
        <v>43</v>
      </c>
      <c r="BG104" s="31">
        <f t="shared" si="261"/>
        <v>14.232558139534884</v>
      </c>
      <c r="BH104" s="21">
        <v>0</v>
      </c>
      <c r="BI104" s="3">
        <f t="shared" si="283"/>
        <v>0</v>
      </c>
      <c r="BJ104" s="3"/>
      <c r="BK104" s="30"/>
      <c r="BL104" s="21">
        <v>0</v>
      </c>
      <c r="BM104" s="3">
        <v>0</v>
      </c>
      <c r="BN104" s="80">
        <f t="shared" si="244"/>
        <v>10</v>
      </c>
      <c r="BO104" s="31">
        <f t="shared" si="263"/>
        <v>50.9</v>
      </c>
      <c r="BP104" s="21">
        <v>0</v>
      </c>
      <c r="BQ104" s="3">
        <v>0</v>
      </c>
      <c r="BR104" s="15"/>
      <c r="BS104" s="3">
        <f t="shared" si="284"/>
        <v>0</v>
      </c>
      <c r="BT104" s="80">
        <f t="shared" si="245"/>
        <v>31</v>
      </c>
      <c r="BU104" s="31">
        <f t="shared" si="264"/>
        <v>11.451612903225806</v>
      </c>
      <c r="BV104" s="21">
        <f t="shared" si="285"/>
        <v>0</v>
      </c>
      <c r="BW104" s="2">
        <v>0</v>
      </c>
      <c r="BY104" s="30"/>
      <c r="BZ104" s="22">
        <v>0</v>
      </c>
      <c r="CA104" s="2">
        <v>0</v>
      </c>
      <c r="CB104" s="2"/>
      <c r="CD104" s="22">
        <v>0</v>
      </c>
      <c r="CE104" s="3">
        <v>108</v>
      </c>
      <c r="CF104" s="15"/>
      <c r="CG104" s="3">
        <f t="shared" si="286"/>
        <v>108</v>
      </c>
      <c r="CH104" s="25">
        <f t="shared" si="287"/>
        <v>32.4</v>
      </c>
      <c r="CI104" s="3">
        <v>0</v>
      </c>
      <c r="CJ104" s="15"/>
      <c r="CK104" s="3">
        <f t="shared" si="288"/>
        <v>0</v>
      </c>
      <c r="CL104" s="134">
        <f t="shared" si="247"/>
        <v>9</v>
      </c>
      <c r="CM104" s="31">
        <f t="shared" si="266"/>
        <v>57.777777777777779</v>
      </c>
      <c r="CN104" s="21">
        <f t="shared" si="289"/>
        <v>0</v>
      </c>
      <c r="CO104" s="3">
        <f t="shared" si="233"/>
        <v>0</v>
      </c>
      <c r="CP104" s="3"/>
      <c r="CQ104" s="3"/>
      <c r="CR104" s="2">
        <f t="shared" si="297"/>
        <v>0</v>
      </c>
      <c r="CS104" s="80">
        <f t="shared" si="248"/>
        <v>15</v>
      </c>
      <c r="CT104" s="31">
        <f t="shared" si="267"/>
        <v>46.06666666666667</v>
      </c>
      <c r="CU104" s="21">
        <f t="shared" si="290"/>
        <v>0</v>
      </c>
      <c r="CV104" s="3">
        <v>2428</v>
      </c>
      <c r="CW104" s="92">
        <f t="shared" si="249"/>
        <v>9</v>
      </c>
      <c r="CX104" s="31">
        <f t="shared" si="268"/>
        <v>57.777777777777779</v>
      </c>
      <c r="CY104" s="21">
        <f t="shared" si="291"/>
        <v>140284.44444444444</v>
      </c>
      <c r="CZ104" s="3">
        <v>0</v>
      </c>
      <c r="DA104" s="80">
        <f t="shared" si="250"/>
        <v>16</v>
      </c>
      <c r="DB104" s="31">
        <f t="shared" si="269"/>
        <v>40.625</v>
      </c>
      <c r="DC104" s="21">
        <f t="shared" si="292"/>
        <v>0</v>
      </c>
      <c r="DD104" s="3">
        <v>0</v>
      </c>
      <c r="DE104" s="3">
        <v>0</v>
      </c>
      <c r="DF104" s="15"/>
      <c r="DG104" s="3">
        <f t="shared" si="293"/>
        <v>0</v>
      </c>
      <c r="DH104" s="3">
        <f t="shared" si="294"/>
        <v>0</v>
      </c>
      <c r="DI104" s="136">
        <f t="shared" si="251"/>
        <v>14</v>
      </c>
      <c r="DJ104" s="41">
        <f t="shared" si="270"/>
        <v>62</v>
      </c>
      <c r="DK104" s="21">
        <f t="shared" si="295"/>
        <v>0</v>
      </c>
    </row>
    <row r="105" spans="1:115">
      <c r="A105" s="7">
        <v>1914</v>
      </c>
      <c r="B105" s="3">
        <v>877</v>
      </c>
      <c r="C105" s="15"/>
      <c r="D105" s="3">
        <f t="shared" si="274"/>
        <v>877</v>
      </c>
      <c r="E105" s="25">
        <f t="shared" si="275"/>
        <v>613.9</v>
      </c>
      <c r="F105" s="3">
        <v>0</v>
      </c>
      <c r="G105" s="15"/>
      <c r="H105" s="15">
        <f t="shared" si="276"/>
        <v>0</v>
      </c>
      <c r="I105" s="80">
        <f t="shared" si="234"/>
        <v>9</v>
      </c>
      <c r="J105" s="132">
        <f t="shared" si="252"/>
        <v>57.777777777777779</v>
      </c>
      <c r="K105" s="21">
        <f t="shared" si="277"/>
        <v>0</v>
      </c>
      <c r="L105" s="3">
        <v>0</v>
      </c>
      <c r="M105" s="15"/>
      <c r="N105" s="15"/>
      <c r="O105" s="3">
        <f t="shared" si="271"/>
        <v>0</v>
      </c>
      <c r="P105" s="80">
        <f t="shared" si="235"/>
        <v>6</v>
      </c>
      <c r="Q105" s="31">
        <f t="shared" si="253"/>
        <v>99.166666666666671</v>
      </c>
      <c r="R105" s="21">
        <f t="shared" si="278"/>
        <v>0</v>
      </c>
      <c r="S105" s="3">
        <v>0</v>
      </c>
      <c r="T105" s="15"/>
      <c r="U105" s="15"/>
      <c r="V105" s="3">
        <f t="shared" si="272"/>
        <v>0</v>
      </c>
      <c r="W105" s="80">
        <f t="shared" si="236"/>
        <v>14</v>
      </c>
      <c r="X105" s="31">
        <f t="shared" si="254"/>
        <v>43.571428571428569</v>
      </c>
      <c r="Y105" s="21">
        <f t="shared" si="279"/>
        <v>0</v>
      </c>
      <c r="Z105" s="3">
        <v>0</v>
      </c>
      <c r="AA105" s="80">
        <f t="shared" si="237"/>
        <v>8</v>
      </c>
      <c r="AB105" s="31">
        <f t="shared" si="255"/>
        <v>68.5</v>
      </c>
      <c r="AC105" s="21">
        <v>0</v>
      </c>
      <c r="AD105" s="3">
        <v>0</v>
      </c>
      <c r="AE105" s="80">
        <f t="shared" si="238"/>
        <v>11</v>
      </c>
      <c r="AF105" s="31">
        <f t="shared" si="256"/>
        <v>75.36363636363636</v>
      </c>
      <c r="AG105" s="21">
        <v>0</v>
      </c>
      <c r="AH105" s="3">
        <v>0</v>
      </c>
      <c r="AI105" s="15"/>
      <c r="AJ105" s="3">
        <f t="shared" si="280"/>
        <v>0</v>
      </c>
      <c r="AL105" s="31"/>
      <c r="AM105" s="21">
        <v>0</v>
      </c>
      <c r="AN105" s="3">
        <v>0</v>
      </c>
      <c r="AO105" s="80">
        <f t="shared" si="239"/>
        <v>6</v>
      </c>
      <c r="AP105" s="31">
        <f t="shared" si="257"/>
        <v>94.666666666666671</v>
      </c>
      <c r="AQ105" s="21">
        <v>0</v>
      </c>
      <c r="AR105" s="3">
        <v>0</v>
      </c>
      <c r="AS105" s="80">
        <f t="shared" si="240"/>
        <v>11</v>
      </c>
      <c r="AT105" s="31">
        <f t="shared" si="258"/>
        <v>62.18181818181818</v>
      </c>
      <c r="AU105" s="21">
        <v>0</v>
      </c>
      <c r="AV105" s="3">
        <v>1881</v>
      </c>
      <c r="AW105" s="80">
        <f t="shared" ref="AW105:AW113" si="298">INDEX(HW_Data,MATCH(A105,HW_Year,0),$AW$1)</f>
        <v>8</v>
      </c>
      <c r="AX105" s="31">
        <f t="shared" si="259"/>
        <v>65.75</v>
      </c>
      <c r="AY105" s="21">
        <f t="shared" si="281"/>
        <v>123675.75</v>
      </c>
      <c r="AZ105" s="3">
        <v>0</v>
      </c>
      <c r="BA105" s="80">
        <f t="shared" si="242"/>
        <v>11</v>
      </c>
      <c r="BB105" s="31">
        <f t="shared" si="260"/>
        <v>55.81818181818182</v>
      </c>
      <c r="BC105" s="21">
        <v>0</v>
      </c>
      <c r="BD105" s="15">
        <v>0</v>
      </c>
      <c r="BE105" s="3">
        <f t="shared" si="282"/>
        <v>0</v>
      </c>
      <c r="BF105" s="80">
        <f t="shared" si="243"/>
        <v>43</v>
      </c>
      <c r="BG105" s="31">
        <f t="shared" si="261"/>
        <v>14.232558139534884</v>
      </c>
      <c r="BH105" s="21">
        <v>0</v>
      </c>
      <c r="BI105" s="3">
        <f t="shared" si="283"/>
        <v>0</v>
      </c>
      <c r="BJ105" s="3"/>
      <c r="BK105" s="30"/>
      <c r="BL105" s="21">
        <v>0</v>
      </c>
      <c r="BM105" s="3">
        <v>0</v>
      </c>
      <c r="BN105" s="80">
        <f t="shared" si="244"/>
        <v>10</v>
      </c>
      <c r="BO105" s="31">
        <f t="shared" si="263"/>
        <v>50.9</v>
      </c>
      <c r="BP105" s="21">
        <v>0</v>
      </c>
      <c r="BQ105" s="3">
        <v>0</v>
      </c>
      <c r="BR105" s="15"/>
      <c r="BS105" s="3">
        <f t="shared" si="284"/>
        <v>0</v>
      </c>
      <c r="BT105" s="80">
        <f t="shared" si="245"/>
        <v>31</v>
      </c>
      <c r="BU105" s="31">
        <f t="shared" si="264"/>
        <v>11.451612903225806</v>
      </c>
      <c r="BV105" s="21">
        <f t="shared" si="285"/>
        <v>0</v>
      </c>
      <c r="BW105" s="2">
        <v>0</v>
      </c>
      <c r="BY105" s="30"/>
      <c r="BZ105" s="22">
        <v>0</v>
      </c>
      <c r="CA105" s="2">
        <v>0</v>
      </c>
      <c r="CB105" s="2"/>
      <c r="CD105" s="22">
        <v>0</v>
      </c>
      <c r="CE105" s="3">
        <v>877</v>
      </c>
      <c r="CF105" s="15"/>
      <c r="CG105" s="3">
        <f t="shared" si="286"/>
        <v>877</v>
      </c>
      <c r="CH105" s="25">
        <f t="shared" si="287"/>
        <v>263.09999999999997</v>
      </c>
      <c r="CI105" s="3">
        <v>0</v>
      </c>
      <c r="CJ105" s="15"/>
      <c r="CK105" s="3">
        <f t="shared" si="288"/>
        <v>0</v>
      </c>
      <c r="CL105" s="134">
        <f t="shared" si="247"/>
        <v>9</v>
      </c>
      <c r="CM105" s="31">
        <f t="shared" si="266"/>
        <v>57.777777777777779</v>
      </c>
      <c r="CN105" s="21">
        <f t="shared" si="289"/>
        <v>0</v>
      </c>
      <c r="CO105" s="3">
        <f t="shared" si="233"/>
        <v>0</v>
      </c>
      <c r="CP105" s="3"/>
      <c r="CQ105" s="3"/>
      <c r="CR105" s="2">
        <f t="shared" si="297"/>
        <v>0</v>
      </c>
      <c r="CS105" s="80">
        <f t="shared" si="248"/>
        <v>15</v>
      </c>
      <c r="CT105" s="31">
        <f t="shared" si="267"/>
        <v>46.06666666666667</v>
      </c>
      <c r="CU105" s="21">
        <f t="shared" si="290"/>
        <v>0</v>
      </c>
      <c r="CV105" s="3">
        <v>0</v>
      </c>
      <c r="CW105" s="92">
        <f t="shared" si="249"/>
        <v>9</v>
      </c>
      <c r="CX105" s="31">
        <f t="shared" si="268"/>
        <v>57.777777777777779</v>
      </c>
      <c r="CY105" s="21">
        <f t="shared" si="291"/>
        <v>0</v>
      </c>
      <c r="CZ105" s="3">
        <v>0</v>
      </c>
      <c r="DA105" s="80">
        <f t="shared" si="250"/>
        <v>16</v>
      </c>
      <c r="DB105" s="31">
        <f t="shared" si="269"/>
        <v>40.625</v>
      </c>
      <c r="DC105" s="21">
        <f t="shared" si="292"/>
        <v>0</v>
      </c>
      <c r="DD105" s="3">
        <v>0</v>
      </c>
      <c r="DE105" s="3">
        <v>0</v>
      </c>
      <c r="DF105" s="15"/>
      <c r="DG105" s="3">
        <f t="shared" si="293"/>
        <v>0</v>
      </c>
      <c r="DH105" s="3">
        <f t="shared" si="294"/>
        <v>0</v>
      </c>
      <c r="DI105" s="136">
        <f t="shared" si="251"/>
        <v>14</v>
      </c>
      <c r="DJ105" s="41">
        <f t="shared" si="270"/>
        <v>62</v>
      </c>
      <c r="DK105" s="21">
        <f t="shared" si="295"/>
        <v>0</v>
      </c>
    </row>
    <row r="106" spans="1:115">
      <c r="A106" s="7">
        <v>1913</v>
      </c>
      <c r="B106" s="3">
        <v>0</v>
      </c>
      <c r="C106" s="15"/>
      <c r="D106" s="3">
        <f t="shared" si="274"/>
        <v>0</v>
      </c>
      <c r="E106" s="25">
        <f t="shared" si="275"/>
        <v>0</v>
      </c>
      <c r="F106" s="3">
        <v>0</v>
      </c>
      <c r="G106" s="15"/>
      <c r="H106" s="15">
        <f t="shared" si="276"/>
        <v>0</v>
      </c>
      <c r="I106" s="80">
        <f t="shared" si="234"/>
        <v>9</v>
      </c>
      <c r="J106" s="132">
        <f t="shared" si="252"/>
        <v>57.777777777777779</v>
      </c>
      <c r="K106" s="21">
        <f t="shared" si="277"/>
        <v>0</v>
      </c>
      <c r="L106" s="3">
        <v>0</v>
      </c>
      <c r="M106" s="15"/>
      <c r="N106" s="15"/>
      <c r="O106" s="3">
        <f t="shared" si="271"/>
        <v>0</v>
      </c>
      <c r="P106" s="80">
        <f t="shared" si="235"/>
        <v>6</v>
      </c>
      <c r="Q106" s="31">
        <f t="shared" si="253"/>
        <v>99.166666666666671</v>
      </c>
      <c r="R106" s="21">
        <f t="shared" si="278"/>
        <v>0</v>
      </c>
      <c r="S106" s="3">
        <v>0</v>
      </c>
      <c r="T106" s="15"/>
      <c r="U106" s="15"/>
      <c r="V106" s="3">
        <f t="shared" si="272"/>
        <v>0</v>
      </c>
      <c r="W106" s="80">
        <f t="shared" si="236"/>
        <v>15</v>
      </c>
      <c r="X106" s="31">
        <f t="shared" si="254"/>
        <v>40.666666666666664</v>
      </c>
      <c r="Y106" s="21">
        <f t="shared" si="279"/>
        <v>0</v>
      </c>
      <c r="Z106" s="3">
        <v>0</v>
      </c>
      <c r="AA106" s="80">
        <f t="shared" si="237"/>
        <v>8</v>
      </c>
      <c r="AB106" s="31">
        <f t="shared" si="255"/>
        <v>68.5</v>
      </c>
      <c r="AC106" s="21">
        <v>0</v>
      </c>
      <c r="AD106" s="3">
        <v>0</v>
      </c>
      <c r="AE106" s="80">
        <f t="shared" si="238"/>
        <v>12</v>
      </c>
      <c r="AF106" s="31">
        <f t="shared" si="256"/>
        <v>69.083333333333329</v>
      </c>
      <c r="AG106" s="21">
        <v>0</v>
      </c>
      <c r="AH106" s="3">
        <v>0</v>
      </c>
      <c r="AI106" s="15"/>
      <c r="AJ106" s="3">
        <f t="shared" si="280"/>
        <v>0</v>
      </c>
      <c r="AL106" s="31"/>
      <c r="AM106" s="21">
        <v>0</v>
      </c>
      <c r="AN106" s="3">
        <v>0</v>
      </c>
      <c r="AO106" s="80">
        <f t="shared" si="239"/>
        <v>7</v>
      </c>
      <c r="AP106" s="31">
        <f t="shared" si="257"/>
        <v>81.142857142857139</v>
      </c>
      <c r="AQ106" s="21">
        <v>0</v>
      </c>
      <c r="AR106" s="3">
        <v>0</v>
      </c>
      <c r="AS106" s="80">
        <f t="shared" si="240"/>
        <v>12</v>
      </c>
      <c r="AT106" s="31">
        <f t="shared" si="258"/>
        <v>57</v>
      </c>
      <c r="AU106" s="21">
        <v>0</v>
      </c>
      <c r="AV106" s="3">
        <v>5603</v>
      </c>
      <c r="AW106" s="80">
        <f t="shared" si="298"/>
        <v>8</v>
      </c>
      <c r="AX106" s="31">
        <f t="shared" si="259"/>
        <v>65.75</v>
      </c>
      <c r="AY106" s="21">
        <f t="shared" si="281"/>
        <v>368397.25</v>
      </c>
      <c r="AZ106" s="3">
        <v>0</v>
      </c>
      <c r="BA106" s="80">
        <f t="shared" si="242"/>
        <v>12</v>
      </c>
      <c r="BB106" s="31">
        <f t="shared" si="260"/>
        <v>51.166666666666664</v>
      </c>
      <c r="BC106" s="21">
        <v>0</v>
      </c>
      <c r="BD106" s="15">
        <v>0</v>
      </c>
      <c r="BE106" s="3">
        <f t="shared" si="282"/>
        <v>0</v>
      </c>
      <c r="BF106" s="80">
        <f t="shared" si="243"/>
        <v>43</v>
      </c>
      <c r="BG106" s="31">
        <f t="shared" si="261"/>
        <v>14.232558139534884</v>
      </c>
      <c r="BH106" s="21">
        <v>0</v>
      </c>
      <c r="BI106" s="3">
        <f t="shared" si="283"/>
        <v>0</v>
      </c>
      <c r="BJ106" s="3"/>
      <c r="BK106" s="30"/>
      <c r="BL106" s="21">
        <v>0</v>
      </c>
      <c r="BM106" s="3">
        <v>0</v>
      </c>
      <c r="BN106" s="80">
        <f t="shared" si="244"/>
        <v>11</v>
      </c>
      <c r="BO106" s="31">
        <f t="shared" si="263"/>
        <v>46.272727272727273</v>
      </c>
      <c r="BP106" s="21">
        <v>0</v>
      </c>
      <c r="BQ106" s="3">
        <v>0</v>
      </c>
      <c r="BR106" s="15"/>
      <c r="BS106" s="3">
        <f t="shared" si="284"/>
        <v>0</v>
      </c>
      <c r="BT106" s="80">
        <f t="shared" si="245"/>
        <v>31</v>
      </c>
      <c r="BU106" s="31">
        <f t="shared" si="264"/>
        <v>11.451612903225806</v>
      </c>
      <c r="BV106" s="21">
        <f t="shared" si="285"/>
        <v>0</v>
      </c>
      <c r="BW106" s="2">
        <v>0</v>
      </c>
      <c r="BY106" s="30"/>
      <c r="BZ106" s="22">
        <v>0</v>
      </c>
      <c r="CA106" s="2">
        <v>0</v>
      </c>
      <c r="CB106" s="2"/>
      <c r="CD106" s="22">
        <v>0</v>
      </c>
      <c r="CE106" s="3">
        <v>0</v>
      </c>
      <c r="CF106" s="15"/>
      <c r="CG106" s="3">
        <f t="shared" si="286"/>
        <v>0</v>
      </c>
      <c r="CH106" s="25">
        <f t="shared" si="287"/>
        <v>0</v>
      </c>
      <c r="CI106" s="3">
        <v>0</v>
      </c>
      <c r="CJ106" s="15"/>
      <c r="CK106" s="3">
        <f t="shared" si="288"/>
        <v>0</v>
      </c>
      <c r="CL106" s="134">
        <f t="shared" si="247"/>
        <v>9</v>
      </c>
      <c r="CM106" s="31">
        <f t="shared" si="266"/>
        <v>57.777777777777779</v>
      </c>
      <c r="CN106" s="21">
        <f t="shared" si="289"/>
        <v>0</v>
      </c>
      <c r="CO106" s="3">
        <f t="shared" si="233"/>
        <v>0</v>
      </c>
      <c r="CP106" s="3"/>
      <c r="CQ106" s="3"/>
      <c r="CR106" s="2">
        <f t="shared" si="297"/>
        <v>0</v>
      </c>
      <c r="CS106" s="80">
        <f t="shared" si="248"/>
        <v>16</v>
      </c>
      <c r="CT106" s="31">
        <f t="shared" si="267"/>
        <v>43.1875</v>
      </c>
      <c r="CU106" s="21">
        <f t="shared" si="290"/>
        <v>0</v>
      </c>
      <c r="CV106" s="3">
        <v>0</v>
      </c>
      <c r="CW106" s="92">
        <f t="shared" si="249"/>
        <v>9</v>
      </c>
      <c r="CX106" s="31">
        <f t="shared" si="268"/>
        <v>57.777777777777779</v>
      </c>
      <c r="CY106" s="21">
        <f t="shared" si="291"/>
        <v>0</v>
      </c>
      <c r="CZ106" s="3">
        <v>0</v>
      </c>
      <c r="DA106" s="80">
        <f t="shared" si="250"/>
        <v>16</v>
      </c>
      <c r="DB106" s="31">
        <f t="shared" si="269"/>
        <v>40.625</v>
      </c>
      <c r="DC106" s="21">
        <f t="shared" si="292"/>
        <v>0</v>
      </c>
      <c r="DD106" s="3">
        <v>0</v>
      </c>
      <c r="DE106" s="3">
        <v>0</v>
      </c>
      <c r="DF106" s="15"/>
      <c r="DG106" s="3">
        <f t="shared" si="293"/>
        <v>0</v>
      </c>
      <c r="DH106" s="3">
        <f t="shared" si="294"/>
        <v>0</v>
      </c>
      <c r="DI106" s="136">
        <f t="shared" si="251"/>
        <v>14</v>
      </c>
      <c r="DJ106" s="41">
        <f t="shared" si="270"/>
        <v>62</v>
      </c>
      <c r="DK106" s="21">
        <f t="shared" si="295"/>
        <v>0</v>
      </c>
    </row>
    <row r="107" spans="1:115">
      <c r="A107" s="7">
        <v>1912</v>
      </c>
      <c r="B107" s="3">
        <v>0</v>
      </c>
      <c r="C107" s="15"/>
      <c r="D107" s="3">
        <f t="shared" si="274"/>
        <v>0</v>
      </c>
      <c r="E107" s="25">
        <f t="shared" si="275"/>
        <v>0</v>
      </c>
      <c r="F107" s="3">
        <v>0</v>
      </c>
      <c r="G107" s="15"/>
      <c r="H107" s="15">
        <f t="shared" si="276"/>
        <v>0</v>
      </c>
      <c r="I107" s="80">
        <f t="shared" si="234"/>
        <v>9</v>
      </c>
      <c r="J107" s="132">
        <f t="shared" si="252"/>
        <v>57.777777777777779</v>
      </c>
      <c r="K107" s="21">
        <f t="shared" si="277"/>
        <v>0</v>
      </c>
      <c r="L107" s="3">
        <v>0</v>
      </c>
      <c r="M107" s="15"/>
      <c r="N107" s="15"/>
      <c r="O107" s="3">
        <f t="shared" si="271"/>
        <v>0</v>
      </c>
      <c r="P107" s="80">
        <f t="shared" si="235"/>
        <v>6</v>
      </c>
      <c r="Q107" s="31">
        <f t="shared" si="253"/>
        <v>99.166666666666671</v>
      </c>
      <c r="R107" s="21">
        <f t="shared" si="278"/>
        <v>0</v>
      </c>
      <c r="S107" s="3">
        <v>0</v>
      </c>
      <c r="T107" s="15"/>
      <c r="U107" s="15"/>
      <c r="V107" s="3">
        <f t="shared" si="272"/>
        <v>0</v>
      </c>
      <c r="W107" s="80">
        <f t="shared" si="236"/>
        <v>16</v>
      </c>
      <c r="X107" s="31">
        <f t="shared" si="254"/>
        <v>38.125</v>
      </c>
      <c r="Y107" s="21">
        <f t="shared" si="279"/>
        <v>0</v>
      </c>
      <c r="Z107" s="3">
        <v>0</v>
      </c>
      <c r="AA107" s="80">
        <f t="shared" si="237"/>
        <v>8</v>
      </c>
      <c r="AB107" s="31">
        <f t="shared" si="255"/>
        <v>68.5</v>
      </c>
      <c r="AC107" s="21">
        <v>0</v>
      </c>
      <c r="AD107" s="3">
        <v>0</v>
      </c>
      <c r="AE107" s="80">
        <f t="shared" si="238"/>
        <v>12</v>
      </c>
      <c r="AF107" s="31">
        <f t="shared" si="256"/>
        <v>69.083333333333329</v>
      </c>
      <c r="AG107" s="21">
        <v>0</v>
      </c>
      <c r="AH107" s="3">
        <v>0</v>
      </c>
      <c r="AI107" s="15"/>
      <c r="AJ107" s="3">
        <f t="shared" si="280"/>
        <v>0</v>
      </c>
      <c r="AL107" s="31"/>
      <c r="AM107" s="21">
        <v>0</v>
      </c>
      <c r="AN107" s="3">
        <v>0</v>
      </c>
      <c r="AO107" s="80">
        <f t="shared" si="239"/>
        <v>6</v>
      </c>
      <c r="AP107" s="31">
        <f t="shared" si="257"/>
        <v>94.666666666666671</v>
      </c>
      <c r="AQ107" s="21">
        <v>0</v>
      </c>
      <c r="AR107" s="3">
        <v>0</v>
      </c>
      <c r="AS107" s="80">
        <f t="shared" si="240"/>
        <v>12</v>
      </c>
      <c r="AT107" s="31">
        <f t="shared" si="258"/>
        <v>57</v>
      </c>
      <c r="AU107" s="21">
        <v>0</v>
      </c>
      <c r="AV107" s="3">
        <v>9176</v>
      </c>
      <c r="AW107" s="80">
        <f t="shared" si="298"/>
        <v>8</v>
      </c>
      <c r="AX107" s="31">
        <f t="shared" si="259"/>
        <v>65.75</v>
      </c>
      <c r="AY107" s="21">
        <f t="shared" si="281"/>
        <v>603322</v>
      </c>
      <c r="AZ107" s="3">
        <v>0</v>
      </c>
      <c r="BA107" s="80">
        <f t="shared" si="242"/>
        <v>13</v>
      </c>
      <c r="BB107" s="31">
        <f t="shared" si="260"/>
        <v>47.230769230769234</v>
      </c>
      <c r="BC107" s="21">
        <v>0</v>
      </c>
      <c r="BD107" s="15">
        <v>0</v>
      </c>
      <c r="BE107" s="3">
        <f t="shared" si="282"/>
        <v>0</v>
      </c>
      <c r="BF107" s="80">
        <f t="shared" si="243"/>
        <v>43</v>
      </c>
      <c r="BG107" s="31">
        <f t="shared" si="261"/>
        <v>14.232558139534884</v>
      </c>
      <c r="BH107" s="21">
        <v>0</v>
      </c>
      <c r="BI107" s="3">
        <f t="shared" si="283"/>
        <v>0</v>
      </c>
      <c r="BJ107" s="3"/>
      <c r="BK107" s="30"/>
      <c r="BL107" s="21">
        <v>0</v>
      </c>
      <c r="BM107" s="3">
        <v>0</v>
      </c>
      <c r="BN107" s="80">
        <f t="shared" si="244"/>
        <v>11</v>
      </c>
      <c r="BO107" s="31">
        <f t="shared" si="263"/>
        <v>46.272727272727273</v>
      </c>
      <c r="BP107" s="21">
        <v>0</v>
      </c>
      <c r="BQ107" s="3">
        <v>0</v>
      </c>
      <c r="BR107" s="15"/>
      <c r="BS107" s="3">
        <f t="shared" si="284"/>
        <v>0</v>
      </c>
      <c r="BT107" s="80">
        <f t="shared" si="245"/>
        <v>31</v>
      </c>
      <c r="BU107" s="31">
        <f t="shared" si="264"/>
        <v>11.451612903225806</v>
      </c>
      <c r="BV107" s="21">
        <f t="shared" si="285"/>
        <v>0</v>
      </c>
      <c r="BW107" s="2">
        <v>0</v>
      </c>
      <c r="BY107" s="30"/>
      <c r="BZ107" s="22">
        <v>0</v>
      </c>
      <c r="CA107" s="2">
        <v>0</v>
      </c>
      <c r="CB107" s="2"/>
      <c r="CD107" s="22">
        <v>0</v>
      </c>
      <c r="CE107" s="3">
        <v>0</v>
      </c>
      <c r="CF107" s="15"/>
      <c r="CG107" s="3">
        <f t="shared" si="286"/>
        <v>0</v>
      </c>
      <c r="CH107" s="25">
        <f t="shared" si="287"/>
        <v>0</v>
      </c>
      <c r="CI107" s="3">
        <v>0</v>
      </c>
      <c r="CJ107" s="15"/>
      <c r="CK107" s="3">
        <f t="shared" si="288"/>
        <v>0</v>
      </c>
      <c r="CL107" s="134">
        <f t="shared" si="247"/>
        <v>9</v>
      </c>
      <c r="CM107" s="31">
        <f t="shared" si="266"/>
        <v>57.777777777777779</v>
      </c>
      <c r="CN107" s="21">
        <f t="shared" si="289"/>
        <v>0</v>
      </c>
      <c r="CO107" s="3">
        <f t="shared" si="233"/>
        <v>0</v>
      </c>
      <c r="CP107" s="3"/>
      <c r="CQ107" s="3"/>
      <c r="CR107" s="2">
        <f t="shared" si="297"/>
        <v>0</v>
      </c>
      <c r="CS107" s="80">
        <f t="shared" si="248"/>
        <v>16</v>
      </c>
      <c r="CT107" s="31">
        <f t="shared" si="267"/>
        <v>43.1875</v>
      </c>
      <c r="CU107" s="21">
        <f t="shared" si="290"/>
        <v>0</v>
      </c>
      <c r="CV107" s="3">
        <v>204440</v>
      </c>
      <c r="CW107" s="92">
        <f t="shared" si="249"/>
        <v>9</v>
      </c>
      <c r="CX107" s="31">
        <f t="shared" si="268"/>
        <v>57.777777777777779</v>
      </c>
      <c r="CY107" s="21">
        <f t="shared" si="291"/>
        <v>11812088.88888889</v>
      </c>
      <c r="CZ107" s="3">
        <v>0</v>
      </c>
      <c r="DA107" s="80">
        <f t="shared" si="250"/>
        <v>16</v>
      </c>
      <c r="DB107" s="31">
        <f t="shared" si="269"/>
        <v>40.625</v>
      </c>
      <c r="DC107" s="21">
        <f t="shared" si="292"/>
        <v>0</v>
      </c>
      <c r="DD107" s="3">
        <v>0</v>
      </c>
      <c r="DE107" s="3">
        <v>0</v>
      </c>
      <c r="DF107" s="15"/>
      <c r="DG107" s="3">
        <f t="shared" si="293"/>
        <v>0</v>
      </c>
      <c r="DH107" s="3">
        <f t="shared" si="294"/>
        <v>0</v>
      </c>
      <c r="DI107" s="136">
        <f t="shared" si="251"/>
        <v>14</v>
      </c>
      <c r="DJ107" s="41">
        <f t="shared" si="270"/>
        <v>62</v>
      </c>
      <c r="DK107" s="21">
        <f t="shared" si="295"/>
        <v>0</v>
      </c>
    </row>
    <row r="108" spans="1:115">
      <c r="A108" s="7">
        <v>1911</v>
      </c>
      <c r="B108" s="3">
        <v>17228</v>
      </c>
      <c r="C108" s="15"/>
      <c r="D108" s="3">
        <f t="shared" si="274"/>
        <v>17228</v>
      </c>
      <c r="E108" s="25">
        <f t="shared" si="275"/>
        <v>12059.599999999999</v>
      </c>
      <c r="F108" s="3">
        <v>0</v>
      </c>
      <c r="G108" s="15"/>
      <c r="H108" s="15">
        <f t="shared" si="276"/>
        <v>0</v>
      </c>
      <c r="I108" s="80">
        <f t="shared" si="234"/>
        <v>9</v>
      </c>
      <c r="J108" s="132">
        <f t="shared" si="252"/>
        <v>57.777777777777779</v>
      </c>
      <c r="K108" s="21">
        <f t="shared" si="277"/>
        <v>0</v>
      </c>
      <c r="L108" s="3">
        <v>0</v>
      </c>
      <c r="M108" s="15"/>
      <c r="N108" s="15"/>
      <c r="O108" s="3">
        <f t="shared" si="271"/>
        <v>0</v>
      </c>
      <c r="Q108" s="30"/>
      <c r="R108" s="21">
        <f t="shared" si="278"/>
        <v>0</v>
      </c>
      <c r="S108" s="3">
        <v>0</v>
      </c>
      <c r="T108" s="15"/>
      <c r="U108" s="15"/>
      <c r="V108" s="3">
        <f t="shared" si="272"/>
        <v>0</v>
      </c>
      <c r="X108" s="30"/>
      <c r="Y108" s="21">
        <f t="shared" si="279"/>
        <v>0</v>
      </c>
      <c r="Z108" s="3">
        <v>0</v>
      </c>
      <c r="AB108" s="30"/>
      <c r="AC108" s="21">
        <v>0</v>
      </c>
      <c r="AD108" s="3">
        <v>0</v>
      </c>
      <c r="AF108" s="30"/>
      <c r="AG108" s="21">
        <v>0</v>
      </c>
      <c r="AH108" s="3">
        <v>0</v>
      </c>
      <c r="AI108" s="15"/>
      <c r="AJ108" s="3">
        <f t="shared" si="280"/>
        <v>0</v>
      </c>
      <c r="AL108" s="30"/>
      <c r="AM108" s="21">
        <v>0</v>
      </c>
      <c r="AN108" s="3">
        <v>0</v>
      </c>
      <c r="AP108" s="30"/>
      <c r="AQ108" s="21">
        <v>0</v>
      </c>
      <c r="AR108" s="3">
        <v>0</v>
      </c>
      <c r="AT108" s="30"/>
      <c r="AU108" s="21">
        <v>0</v>
      </c>
      <c r="AV108" s="3">
        <v>52305</v>
      </c>
      <c r="AW108" s="80">
        <f t="shared" si="298"/>
        <v>8</v>
      </c>
      <c r="AX108" s="31">
        <f t="shared" si="259"/>
        <v>65.75</v>
      </c>
      <c r="AY108" s="21">
        <f t="shared" si="281"/>
        <v>3439053.75</v>
      </c>
      <c r="AZ108" s="3">
        <v>0</v>
      </c>
      <c r="BB108" s="30"/>
      <c r="BC108" s="21">
        <v>0</v>
      </c>
      <c r="BD108" s="15">
        <v>0</v>
      </c>
      <c r="BE108" s="3">
        <f t="shared" si="282"/>
        <v>0</v>
      </c>
      <c r="BG108" s="30"/>
      <c r="BH108" s="21">
        <v>0</v>
      </c>
      <c r="BI108" s="3">
        <f t="shared" si="283"/>
        <v>0</v>
      </c>
      <c r="BJ108" s="3"/>
      <c r="BK108" s="30"/>
      <c r="BL108" s="21">
        <v>0</v>
      </c>
      <c r="BM108" s="3">
        <v>0</v>
      </c>
      <c r="BO108" s="30"/>
      <c r="BP108" s="21">
        <v>0</v>
      </c>
      <c r="BQ108" s="3">
        <v>0</v>
      </c>
      <c r="BR108" s="15"/>
      <c r="BS108" s="3">
        <f t="shared" si="284"/>
        <v>0</v>
      </c>
      <c r="BU108" s="30"/>
      <c r="BV108" s="21">
        <f t="shared" si="285"/>
        <v>0</v>
      </c>
      <c r="BW108" s="2">
        <v>0</v>
      </c>
      <c r="BY108" s="30"/>
      <c r="BZ108" s="22">
        <v>0</v>
      </c>
      <c r="CA108" s="2">
        <v>0</v>
      </c>
      <c r="CB108" s="2"/>
      <c r="CD108" s="22">
        <v>0</v>
      </c>
      <c r="CE108" s="3">
        <v>17228</v>
      </c>
      <c r="CF108" s="15"/>
      <c r="CG108" s="3">
        <f t="shared" si="286"/>
        <v>17228</v>
      </c>
      <c r="CH108" s="25">
        <f t="shared" si="287"/>
        <v>5168.3999999999996</v>
      </c>
      <c r="CI108" s="3">
        <v>0</v>
      </c>
      <c r="CJ108" s="15"/>
      <c r="CK108" s="3">
        <f t="shared" si="288"/>
        <v>0</v>
      </c>
      <c r="CL108" s="134">
        <f t="shared" si="247"/>
        <v>9</v>
      </c>
      <c r="CM108" s="31">
        <f t="shared" si="266"/>
        <v>57.777777777777779</v>
      </c>
      <c r="CN108" s="21">
        <f t="shared" si="289"/>
        <v>0</v>
      </c>
      <c r="CO108" s="3">
        <f t="shared" si="233"/>
        <v>0</v>
      </c>
      <c r="CP108" s="3"/>
      <c r="CQ108" s="3"/>
      <c r="CR108" s="2">
        <f t="shared" si="297"/>
        <v>0</v>
      </c>
      <c r="CT108" s="30"/>
      <c r="CU108" s="21">
        <f t="shared" si="290"/>
        <v>0</v>
      </c>
      <c r="CV108" s="3">
        <v>0</v>
      </c>
      <c r="CW108" s="92">
        <f t="shared" si="249"/>
        <v>9</v>
      </c>
      <c r="CX108" s="31">
        <f t="shared" si="268"/>
        <v>57.777777777777779</v>
      </c>
      <c r="CY108" s="21">
        <v>0</v>
      </c>
      <c r="CZ108" s="3">
        <v>0</v>
      </c>
      <c r="DA108" s="80">
        <f t="shared" si="250"/>
        <v>15</v>
      </c>
      <c r="DB108" s="31">
        <f t="shared" si="269"/>
        <v>43.333333333333336</v>
      </c>
      <c r="DC108" s="21">
        <f t="shared" si="292"/>
        <v>0</v>
      </c>
      <c r="DD108" s="3">
        <v>0</v>
      </c>
      <c r="DE108" s="3">
        <v>0</v>
      </c>
      <c r="DF108" s="15"/>
      <c r="DG108" s="3">
        <f t="shared" si="293"/>
        <v>0</v>
      </c>
      <c r="DH108" s="3">
        <f t="shared" si="294"/>
        <v>0</v>
      </c>
      <c r="DK108" s="21">
        <f t="shared" si="295"/>
        <v>0</v>
      </c>
    </row>
    <row r="109" spans="1:115">
      <c r="A109" s="7">
        <v>1910</v>
      </c>
      <c r="B109" s="3">
        <v>18681</v>
      </c>
      <c r="C109" s="15"/>
      <c r="D109" s="3">
        <f t="shared" si="274"/>
        <v>18681</v>
      </c>
      <c r="E109" s="25">
        <f t="shared" si="275"/>
        <v>13076.699999999999</v>
      </c>
      <c r="F109" s="3">
        <v>108256</v>
      </c>
      <c r="G109" s="15"/>
      <c r="H109" s="15">
        <f t="shared" si="276"/>
        <v>108256</v>
      </c>
      <c r="I109" s="80">
        <f t="shared" si="234"/>
        <v>9</v>
      </c>
      <c r="J109" s="132">
        <f t="shared" si="252"/>
        <v>57.777777777777779</v>
      </c>
      <c r="K109" s="21">
        <f t="shared" si="277"/>
        <v>6254791.111111111</v>
      </c>
      <c r="L109" s="3">
        <v>0</v>
      </c>
      <c r="M109" s="15"/>
      <c r="N109" s="15"/>
      <c r="O109" s="3">
        <f t="shared" si="271"/>
        <v>0</v>
      </c>
      <c r="Q109" s="30"/>
      <c r="R109" s="21">
        <f t="shared" si="278"/>
        <v>0</v>
      </c>
      <c r="S109" s="3">
        <v>0</v>
      </c>
      <c r="T109" s="15"/>
      <c r="U109" s="15"/>
      <c r="V109" s="3">
        <f t="shared" si="272"/>
        <v>0</v>
      </c>
      <c r="X109" s="30"/>
      <c r="Y109" s="21">
        <f t="shared" si="279"/>
        <v>0</v>
      </c>
      <c r="Z109" s="3">
        <v>0</v>
      </c>
      <c r="AB109" s="30"/>
      <c r="AC109" s="21">
        <v>0</v>
      </c>
      <c r="AD109" s="3">
        <v>0</v>
      </c>
      <c r="AF109" s="30"/>
      <c r="AG109" s="21">
        <v>0</v>
      </c>
      <c r="AH109" s="3">
        <v>0</v>
      </c>
      <c r="AI109" s="15"/>
      <c r="AJ109" s="3">
        <f t="shared" si="280"/>
        <v>0</v>
      </c>
      <c r="AL109" s="30"/>
      <c r="AM109" s="21">
        <v>0</v>
      </c>
      <c r="AN109" s="3">
        <v>0</v>
      </c>
      <c r="AP109" s="30"/>
      <c r="AQ109" s="21">
        <v>0</v>
      </c>
      <c r="AR109" s="3">
        <v>0</v>
      </c>
      <c r="AT109" s="30"/>
      <c r="AU109" s="21">
        <v>0</v>
      </c>
      <c r="AV109" s="3">
        <v>96957</v>
      </c>
      <c r="AW109" s="80">
        <f t="shared" si="298"/>
        <v>8</v>
      </c>
      <c r="AX109" s="31">
        <f t="shared" si="259"/>
        <v>65.75</v>
      </c>
      <c r="AY109" s="21">
        <f t="shared" si="281"/>
        <v>6374922.75</v>
      </c>
      <c r="AZ109" s="3">
        <v>0</v>
      </c>
      <c r="BB109" s="30"/>
      <c r="BC109" s="21">
        <v>0</v>
      </c>
      <c r="BD109" s="15">
        <v>0</v>
      </c>
      <c r="BE109" s="3">
        <f t="shared" si="282"/>
        <v>0</v>
      </c>
      <c r="BG109" s="30"/>
      <c r="BH109" s="21">
        <v>0</v>
      </c>
      <c r="BI109" s="3">
        <f t="shared" si="283"/>
        <v>0</v>
      </c>
      <c r="BJ109" s="3"/>
      <c r="BK109" s="30"/>
      <c r="BL109" s="21">
        <v>0</v>
      </c>
      <c r="BM109" s="3">
        <v>0</v>
      </c>
      <c r="BO109" s="30"/>
      <c r="BP109" s="21">
        <v>0</v>
      </c>
      <c r="BQ109" s="3">
        <v>0</v>
      </c>
      <c r="BR109" s="15"/>
      <c r="BS109" s="3">
        <f t="shared" si="284"/>
        <v>0</v>
      </c>
      <c r="BU109" s="30"/>
      <c r="BV109" s="21">
        <f t="shared" si="285"/>
        <v>0</v>
      </c>
      <c r="BW109" s="2">
        <v>0</v>
      </c>
      <c r="BY109" s="30"/>
      <c r="BZ109" s="22">
        <v>0</v>
      </c>
      <c r="CA109" s="2">
        <v>0</v>
      </c>
      <c r="CB109" s="2"/>
      <c r="CD109" s="22">
        <v>0</v>
      </c>
      <c r="CE109" s="3">
        <v>18681</v>
      </c>
      <c r="CF109" s="15"/>
      <c r="CG109" s="3">
        <f t="shared" si="286"/>
        <v>18681</v>
      </c>
      <c r="CH109" s="25">
        <f t="shared" si="287"/>
        <v>5604.3</v>
      </c>
      <c r="CI109" s="3">
        <v>0</v>
      </c>
      <c r="CJ109" s="15"/>
      <c r="CK109" s="3">
        <f t="shared" si="288"/>
        <v>0</v>
      </c>
      <c r="CL109" s="134">
        <f t="shared" si="247"/>
        <v>9</v>
      </c>
      <c r="CM109" s="31">
        <f t="shared" si="266"/>
        <v>57.777777777777779</v>
      </c>
      <c r="CN109" s="21">
        <f t="shared" si="289"/>
        <v>0</v>
      </c>
      <c r="CO109" s="3">
        <f t="shared" si="233"/>
        <v>0</v>
      </c>
      <c r="CP109" s="3"/>
      <c r="CQ109" s="3"/>
      <c r="CR109" s="2">
        <f t="shared" si="297"/>
        <v>0</v>
      </c>
      <c r="CT109" s="30"/>
      <c r="CU109" s="21">
        <f t="shared" si="290"/>
        <v>0</v>
      </c>
      <c r="CV109" s="3">
        <v>0</v>
      </c>
      <c r="CW109" s="92">
        <f t="shared" si="249"/>
        <v>9</v>
      </c>
      <c r="CX109" s="31">
        <f t="shared" si="268"/>
        <v>57.777777777777779</v>
      </c>
      <c r="CY109" s="21">
        <v>0</v>
      </c>
      <c r="CZ109" s="3">
        <v>0</v>
      </c>
      <c r="DA109" s="80">
        <f t="shared" si="250"/>
        <v>15</v>
      </c>
      <c r="DB109" s="31">
        <f t="shared" si="269"/>
        <v>43.333333333333336</v>
      </c>
      <c r="DC109" s="21">
        <f t="shared" si="292"/>
        <v>0</v>
      </c>
      <c r="DD109" s="3">
        <v>0</v>
      </c>
      <c r="DE109" s="3">
        <v>0</v>
      </c>
      <c r="DF109" s="15"/>
      <c r="DG109" s="3">
        <f t="shared" si="293"/>
        <v>0</v>
      </c>
      <c r="DH109" s="3">
        <f t="shared" si="294"/>
        <v>0</v>
      </c>
      <c r="DK109" s="21">
        <f t="shared" si="295"/>
        <v>0</v>
      </c>
    </row>
    <row r="110" spans="1:115">
      <c r="A110" s="7">
        <v>1909</v>
      </c>
      <c r="B110" s="2">
        <v>0</v>
      </c>
      <c r="C110" s="15"/>
      <c r="D110" s="3">
        <f t="shared" si="274"/>
        <v>0</v>
      </c>
      <c r="E110" s="25">
        <f t="shared" si="275"/>
        <v>0</v>
      </c>
      <c r="F110" s="3">
        <v>0</v>
      </c>
      <c r="G110" s="15"/>
      <c r="H110" s="15">
        <f t="shared" si="276"/>
        <v>0</v>
      </c>
      <c r="K110" s="21">
        <f t="shared" si="277"/>
        <v>0</v>
      </c>
      <c r="L110" s="3">
        <v>0</v>
      </c>
      <c r="M110" s="15"/>
      <c r="N110" s="15"/>
      <c r="O110" s="3">
        <f t="shared" si="271"/>
        <v>0</v>
      </c>
      <c r="Q110" s="30"/>
      <c r="R110" s="21">
        <f t="shared" si="278"/>
        <v>0</v>
      </c>
      <c r="S110" s="3">
        <v>0</v>
      </c>
      <c r="T110" s="15"/>
      <c r="U110" s="15"/>
      <c r="V110" s="3">
        <f t="shared" si="272"/>
        <v>0</v>
      </c>
      <c r="X110" s="30"/>
      <c r="Y110" s="21">
        <f t="shared" si="279"/>
        <v>0</v>
      </c>
      <c r="Z110" s="3">
        <v>0</v>
      </c>
      <c r="AB110" s="30"/>
      <c r="AC110" s="21">
        <v>0</v>
      </c>
      <c r="AD110" s="3">
        <v>0</v>
      </c>
      <c r="AF110" s="30"/>
      <c r="AG110" s="21">
        <v>0</v>
      </c>
      <c r="AH110" s="3">
        <v>0</v>
      </c>
      <c r="AI110" s="15"/>
      <c r="AJ110" s="3">
        <f t="shared" si="280"/>
        <v>0</v>
      </c>
      <c r="AL110" s="30"/>
      <c r="AM110" s="21">
        <v>0</v>
      </c>
      <c r="AN110" s="3">
        <v>0</v>
      </c>
      <c r="AP110" s="30"/>
      <c r="AQ110" s="21">
        <v>0</v>
      </c>
      <c r="AR110" s="3">
        <v>0</v>
      </c>
      <c r="AT110" s="30"/>
      <c r="AU110" s="21">
        <v>0</v>
      </c>
      <c r="AV110" s="2">
        <v>120884</v>
      </c>
      <c r="AW110" s="80">
        <f t="shared" si="298"/>
        <v>8</v>
      </c>
      <c r="AX110" s="31">
        <f t="shared" si="259"/>
        <v>65.75</v>
      </c>
      <c r="AY110" s="21">
        <f t="shared" si="281"/>
        <v>7948123</v>
      </c>
      <c r="AZ110" s="3">
        <v>0</v>
      </c>
      <c r="BB110" s="30"/>
      <c r="BC110" s="21">
        <v>0</v>
      </c>
      <c r="BD110" s="15">
        <v>0</v>
      </c>
      <c r="BE110" s="3">
        <f t="shared" si="282"/>
        <v>0</v>
      </c>
      <c r="BG110" s="30"/>
      <c r="BH110" s="21">
        <v>0</v>
      </c>
      <c r="BI110" s="3">
        <f t="shared" si="283"/>
        <v>0</v>
      </c>
      <c r="BJ110" s="3"/>
      <c r="BK110" s="30"/>
      <c r="BL110" s="21">
        <v>0</v>
      </c>
      <c r="BM110" s="3">
        <v>0</v>
      </c>
      <c r="BO110" s="30"/>
      <c r="BP110" s="21">
        <v>0</v>
      </c>
      <c r="BQ110" s="3">
        <v>0</v>
      </c>
      <c r="BR110" s="15"/>
      <c r="BS110" s="3">
        <f t="shared" si="284"/>
        <v>0</v>
      </c>
      <c r="BU110" s="30"/>
      <c r="BV110" s="21">
        <f t="shared" si="285"/>
        <v>0</v>
      </c>
      <c r="BW110" s="2">
        <v>0</v>
      </c>
      <c r="BY110" s="30"/>
      <c r="BZ110" s="22">
        <v>0</v>
      </c>
      <c r="CA110" s="2">
        <v>0</v>
      </c>
      <c r="CB110" s="2"/>
      <c r="CD110" s="22">
        <v>0</v>
      </c>
      <c r="CE110" s="2">
        <v>0</v>
      </c>
      <c r="CF110" s="15"/>
      <c r="CG110" s="3">
        <f t="shared" si="286"/>
        <v>0</v>
      </c>
      <c r="CH110" s="25">
        <f t="shared" si="287"/>
        <v>0</v>
      </c>
      <c r="CI110" s="3">
        <v>0</v>
      </c>
      <c r="CJ110" s="15"/>
      <c r="CK110" s="3">
        <f t="shared" si="288"/>
        <v>0</v>
      </c>
      <c r="CL110" s="13"/>
      <c r="CM110" s="30"/>
      <c r="CN110" s="21">
        <f t="shared" si="289"/>
        <v>0</v>
      </c>
      <c r="CO110" s="2">
        <f t="shared" si="233"/>
        <v>0</v>
      </c>
      <c r="CP110" s="2"/>
      <c r="CQ110" s="2"/>
      <c r="CR110" s="2">
        <f t="shared" si="297"/>
        <v>0</v>
      </c>
      <c r="CT110" s="30"/>
      <c r="CU110" s="21">
        <f t="shared" si="290"/>
        <v>0</v>
      </c>
      <c r="CV110" s="3">
        <v>0</v>
      </c>
      <c r="CW110" s="13"/>
      <c r="CX110" s="30"/>
      <c r="CY110" s="21">
        <v>0</v>
      </c>
      <c r="CZ110" s="3">
        <v>0</v>
      </c>
      <c r="DB110" s="30"/>
      <c r="DC110" s="22">
        <v>0</v>
      </c>
      <c r="DD110" s="3">
        <v>0</v>
      </c>
      <c r="DE110" s="3">
        <v>0</v>
      </c>
      <c r="DF110" s="15"/>
      <c r="DG110" s="3">
        <f t="shared" si="293"/>
        <v>0</v>
      </c>
      <c r="DH110" s="3">
        <f t="shared" si="294"/>
        <v>0</v>
      </c>
      <c r="DK110" s="21">
        <f t="shared" si="295"/>
        <v>0</v>
      </c>
    </row>
    <row r="111" spans="1:115">
      <c r="A111" s="7">
        <v>1908</v>
      </c>
      <c r="B111" s="2">
        <v>0</v>
      </c>
      <c r="C111" s="15"/>
      <c r="D111" s="3">
        <f t="shared" si="274"/>
        <v>0</v>
      </c>
      <c r="E111" s="25">
        <f t="shared" si="275"/>
        <v>0</v>
      </c>
      <c r="F111" s="3">
        <v>0</v>
      </c>
      <c r="G111" s="15"/>
      <c r="H111" s="15">
        <f t="shared" si="276"/>
        <v>0</v>
      </c>
      <c r="K111" s="21">
        <f t="shared" si="277"/>
        <v>0</v>
      </c>
      <c r="L111" s="3">
        <v>0</v>
      </c>
      <c r="M111" s="15"/>
      <c r="N111" s="15"/>
      <c r="O111" s="3">
        <f t="shared" si="271"/>
        <v>0</v>
      </c>
      <c r="Q111" s="30"/>
      <c r="R111" s="21">
        <f t="shared" si="278"/>
        <v>0</v>
      </c>
      <c r="S111" s="3">
        <v>0</v>
      </c>
      <c r="T111" s="15"/>
      <c r="U111" s="15"/>
      <c r="V111" s="3">
        <f t="shared" si="272"/>
        <v>0</v>
      </c>
      <c r="X111" s="30"/>
      <c r="Y111" s="21">
        <f t="shared" si="279"/>
        <v>0</v>
      </c>
      <c r="Z111" s="3">
        <v>0</v>
      </c>
      <c r="AB111" s="30"/>
      <c r="AC111" s="21">
        <v>0</v>
      </c>
      <c r="AD111" s="3">
        <v>0</v>
      </c>
      <c r="AF111" s="30"/>
      <c r="AG111" s="21">
        <v>0</v>
      </c>
      <c r="AH111" s="3">
        <v>0</v>
      </c>
      <c r="AI111" s="15"/>
      <c r="AJ111" s="3">
        <f t="shared" si="280"/>
        <v>0</v>
      </c>
      <c r="AL111" s="30"/>
      <c r="AM111" s="21">
        <v>0</v>
      </c>
      <c r="AN111" s="3">
        <v>0</v>
      </c>
      <c r="AP111" s="30"/>
      <c r="AQ111" s="21">
        <v>0</v>
      </c>
      <c r="AR111" s="3">
        <v>0</v>
      </c>
      <c r="AT111" s="30"/>
      <c r="AU111" s="21">
        <v>0</v>
      </c>
      <c r="AV111" s="2">
        <v>9768</v>
      </c>
      <c r="AW111" s="80">
        <f t="shared" si="298"/>
        <v>8</v>
      </c>
      <c r="AX111" s="31">
        <f t="shared" si="259"/>
        <v>65.75</v>
      </c>
      <c r="AY111" s="21">
        <f t="shared" si="281"/>
        <v>642246</v>
      </c>
      <c r="AZ111" s="3">
        <v>0</v>
      </c>
      <c r="BB111" s="30"/>
      <c r="BC111" s="21">
        <v>0</v>
      </c>
      <c r="BD111" s="15">
        <v>0</v>
      </c>
      <c r="BE111" s="3">
        <f t="shared" si="282"/>
        <v>0</v>
      </c>
      <c r="BG111" s="30"/>
      <c r="BH111" s="21">
        <v>0</v>
      </c>
      <c r="BI111" s="3">
        <f t="shared" si="283"/>
        <v>0</v>
      </c>
      <c r="BJ111" s="3"/>
      <c r="BK111" s="30"/>
      <c r="BL111" s="21">
        <v>0</v>
      </c>
      <c r="BM111" s="3">
        <v>0</v>
      </c>
      <c r="BO111" s="30"/>
      <c r="BP111" s="21">
        <v>0</v>
      </c>
      <c r="BQ111" s="3">
        <v>0</v>
      </c>
      <c r="BR111" s="15"/>
      <c r="BS111" s="3">
        <f t="shared" si="284"/>
        <v>0</v>
      </c>
      <c r="BU111" s="30"/>
      <c r="BV111" s="21">
        <f t="shared" si="285"/>
        <v>0</v>
      </c>
      <c r="BW111" s="2">
        <v>0</v>
      </c>
      <c r="BY111" s="30"/>
      <c r="BZ111" s="22">
        <v>0</v>
      </c>
      <c r="CA111" s="2">
        <v>0</v>
      </c>
      <c r="CB111" s="2"/>
      <c r="CD111" s="22">
        <v>0</v>
      </c>
      <c r="CE111" s="2">
        <v>0</v>
      </c>
      <c r="CF111" s="15"/>
      <c r="CG111" s="3">
        <f t="shared" si="286"/>
        <v>0</v>
      </c>
      <c r="CH111" s="25">
        <f t="shared" si="287"/>
        <v>0</v>
      </c>
      <c r="CI111" s="3">
        <v>0</v>
      </c>
      <c r="CJ111" s="15"/>
      <c r="CK111" s="3">
        <f t="shared" si="288"/>
        <v>0</v>
      </c>
      <c r="CL111" s="13"/>
      <c r="CM111" s="30"/>
      <c r="CN111" s="21">
        <f t="shared" si="289"/>
        <v>0</v>
      </c>
      <c r="CO111" s="2">
        <f t="shared" si="233"/>
        <v>0</v>
      </c>
      <c r="CP111" s="2"/>
      <c r="CQ111" s="2"/>
      <c r="CR111" s="2">
        <f t="shared" si="297"/>
        <v>0</v>
      </c>
      <c r="CT111" s="30"/>
      <c r="CU111" s="21">
        <f t="shared" si="290"/>
        <v>0</v>
      </c>
      <c r="CV111" s="3">
        <v>0</v>
      </c>
      <c r="CW111" s="13"/>
      <c r="CX111" s="30"/>
      <c r="CY111" s="21">
        <v>0</v>
      </c>
      <c r="CZ111" s="3">
        <v>0</v>
      </c>
      <c r="DB111" s="30"/>
      <c r="DC111" s="22">
        <v>0</v>
      </c>
      <c r="DD111" s="3">
        <v>0</v>
      </c>
      <c r="DE111" s="3">
        <v>0</v>
      </c>
      <c r="DF111" s="15"/>
      <c r="DG111" s="3">
        <f t="shared" si="293"/>
        <v>0</v>
      </c>
      <c r="DH111" s="3">
        <f t="shared" si="294"/>
        <v>0</v>
      </c>
      <c r="DK111" s="21">
        <f t="shared" si="295"/>
        <v>0</v>
      </c>
    </row>
    <row r="112" spans="1:115">
      <c r="A112" s="7">
        <v>1907</v>
      </c>
      <c r="B112" s="2">
        <v>100</v>
      </c>
      <c r="C112" s="15"/>
      <c r="D112" s="3">
        <f t="shared" si="274"/>
        <v>100</v>
      </c>
      <c r="E112" s="25">
        <f t="shared" si="275"/>
        <v>70</v>
      </c>
      <c r="F112" s="3">
        <v>0</v>
      </c>
      <c r="G112" s="15"/>
      <c r="H112" s="15">
        <f t="shared" si="276"/>
        <v>0</v>
      </c>
      <c r="K112" s="21">
        <f t="shared" si="277"/>
        <v>0</v>
      </c>
      <c r="L112" s="3">
        <v>0</v>
      </c>
      <c r="M112" s="15"/>
      <c r="N112" s="15"/>
      <c r="O112" s="3">
        <f t="shared" si="271"/>
        <v>0</v>
      </c>
      <c r="Q112" s="30"/>
      <c r="R112" s="21">
        <f t="shared" si="278"/>
        <v>0</v>
      </c>
      <c r="S112" s="3">
        <v>0</v>
      </c>
      <c r="T112" s="15"/>
      <c r="U112" s="15"/>
      <c r="V112" s="3">
        <f t="shared" si="272"/>
        <v>0</v>
      </c>
      <c r="X112" s="30"/>
      <c r="Y112" s="21">
        <v>0</v>
      </c>
      <c r="Z112" s="3">
        <v>0</v>
      </c>
      <c r="AB112" s="30"/>
      <c r="AC112" s="21">
        <v>0</v>
      </c>
      <c r="AD112" s="3">
        <v>0</v>
      </c>
      <c r="AF112" s="30"/>
      <c r="AG112" s="21">
        <v>0</v>
      </c>
      <c r="AH112" s="3">
        <v>0</v>
      </c>
      <c r="AI112" s="15"/>
      <c r="AJ112" s="3">
        <f t="shared" si="280"/>
        <v>0</v>
      </c>
      <c r="AL112" s="30"/>
      <c r="AM112" s="21">
        <v>0</v>
      </c>
      <c r="AN112" s="3">
        <v>0</v>
      </c>
      <c r="AP112" s="30"/>
      <c r="AQ112" s="21">
        <v>0</v>
      </c>
      <c r="AR112" s="3">
        <v>0</v>
      </c>
      <c r="AT112" s="30"/>
      <c r="AU112" s="21">
        <v>0</v>
      </c>
      <c r="AV112" s="2">
        <v>97331</v>
      </c>
      <c r="AW112" s="80">
        <f t="shared" si="298"/>
        <v>8</v>
      </c>
      <c r="AX112" s="31">
        <f t="shared" si="259"/>
        <v>65.75</v>
      </c>
      <c r="AY112" s="21">
        <f t="shared" si="281"/>
        <v>6399513.25</v>
      </c>
      <c r="AZ112" s="3">
        <v>0</v>
      </c>
      <c r="BB112" s="30"/>
      <c r="BC112" s="21">
        <v>0</v>
      </c>
      <c r="BD112" s="15">
        <v>0</v>
      </c>
      <c r="BE112" s="3">
        <f t="shared" si="282"/>
        <v>0</v>
      </c>
      <c r="BG112" s="30"/>
      <c r="BH112" s="21">
        <v>0</v>
      </c>
      <c r="BI112" s="3">
        <f t="shared" si="283"/>
        <v>0</v>
      </c>
      <c r="BJ112" s="3"/>
      <c r="BK112" s="30"/>
      <c r="BL112" s="21">
        <v>0</v>
      </c>
      <c r="BM112" s="3">
        <v>0</v>
      </c>
      <c r="BO112" s="30"/>
      <c r="BP112" s="21">
        <v>0</v>
      </c>
      <c r="BQ112" s="3">
        <v>0</v>
      </c>
      <c r="BR112" s="15"/>
      <c r="BS112" s="3">
        <f t="shared" si="284"/>
        <v>0</v>
      </c>
      <c r="BU112" s="30"/>
      <c r="BV112" s="21">
        <f t="shared" si="285"/>
        <v>0</v>
      </c>
      <c r="BW112" s="2">
        <v>0</v>
      </c>
      <c r="BY112" s="30"/>
      <c r="BZ112" s="22">
        <v>0</v>
      </c>
      <c r="CA112" s="2">
        <v>0</v>
      </c>
      <c r="CB112" s="2"/>
      <c r="CD112" s="22">
        <v>0</v>
      </c>
      <c r="CE112" s="2">
        <v>100</v>
      </c>
      <c r="CF112" s="15"/>
      <c r="CG112" s="3">
        <f t="shared" si="286"/>
        <v>100</v>
      </c>
      <c r="CH112" s="25">
        <f t="shared" si="287"/>
        <v>30</v>
      </c>
      <c r="CI112" s="3">
        <v>0</v>
      </c>
      <c r="CJ112" s="15"/>
      <c r="CK112" s="3">
        <f t="shared" si="288"/>
        <v>0</v>
      </c>
      <c r="CL112" s="13"/>
      <c r="CM112" s="30"/>
      <c r="CN112" s="21">
        <f t="shared" si="289"/>
        <v>0</v>
      </c>
      <c r="CO112" s="2">
        <f t="shared" si="233"/>
        <v>0</v>
      </c>
      <c r="CP112" s="2"/>
      <c r="CQ112" s="2"/>
      <c r="CR112" s="2">
        <f t="shared" si="297"/>
        <v>0</v>
      </c>
      <c r="CT112" s="30"/>
      <c r="CU112" s="21">
        <f t="shared" si="290"/>
        <v>0</v>
      </c>
      <c r="CV112" s="3">
        <v>0</v>
      </c>
      <c r="CW112" s="13"/>
      <c r="CX112" s="30"/>
      <c r="CY112" s="21">
        <v>0</v>
      </c>
      <c r="CZ112" s="3">
        <v>0</v>
      </c>
      <c r="DB112" s="30"/>
      <c r="DC112" s="22">
        <v>0</v>
      </c>
      <c r="DD112" s="3">
        <v>0</v>
      </c>
      <c r="DE112" s="3">
        <v>0</v>
      </c>
      <c r="DF112" s="15"/>
      <c r="DG112" s="3">
        <f t="shared" si="293"/>
        <v>0</v>
      </c>
      <c r="DH112" s="3">
        <f t="shared" si="294"/>
        <v>0</v>
      </c>
      <c r="DK112" s="21">
        <f t="shared" si="295"/>
        <v>0</v>
      </c>
    </row>
    <row r="113" spans="1:126" ht="13.5" thickBot="1">
      <c r="A113" s="7">
        <v>1906</v>
      </c>
      <c r="B113" s="60">
        <v>14</v>
      </c>
      <c r="C113" s="46"/>
      <c r="D113" s="3">
        <f t="shared" si="274"/>
        <v>14</v>
      </c>
      <c r="E113" s="25">
        <f t="shared" si="275"/>
        <v>9.7999999999999989</v>
      </c>
      <c r="F113" s="61">
        <v>0</v>
      </c>
      <c r="G113" s="46"/>
      <c r="H113" s="15">
        <f t="shared" si="276"/>
        <v>0</v>
      </c>
      <c r="I113" s="62"/>
      <c r="K113" s="21">
        <f t="shared" si="277"/>
        <v>0</v>
      </c>
      <c r="L113" s="61">
        <v>0</v>
      </c>
      <c r="M113" s="46"/>
      <c r="N113" s="46"/>
      <c r="O113" s="3">
        <f t="shared" si="271"/>
        <v>0</v>
      </c>
      <c r="P113" s="62"/>
      <c r="Q113" s="30"/>
      <c r="R113" s="27">
        <v>0</v>
      </c>
      <c r="S113" s="61">
        <v>0</v>
      </c>
      <c r="T113" s="46"/>
      <c r="U113" s="46"/>
      <c r="V113" s="3">
        <f t="shared" si="272"/>
        <v>0</v>
      </c>
      <c r="W113" s="62"/>
      <c r="X113" s="30"/>
      <c r="Y113" s="27">
        <v>0</v>
      </c>
      <c r="Z113" s="61">
        <v>0</v>
      </c>
      <c r="AA113" s="62"/>
      <c r="AB113" s="30"/>
      <c r="AC113" s="27">
        <v>0</v>
      </c>
      <c r="AD113" s="61">
        <v>0</v>
      </c>
      <c r="AE113" s="62"/>
      <c r="AF113" s="30"/>
      <c r="AG113" s="27">
        <v>0</v>
      </c>
      <c r="AH113" s="61">
        <v>0</v>
      </c>
      <c r="AI113" s="46"/>
      <c r="AJ113" s="3">
        <f t="shared" si="280"/>
        <v>0</v>
      </c>
      <c r="AK113" s="62"/>
      <c r="AL113" s="30"/>
      <c r="AM113" s="27">
        <v>0</v>
      </c>
      <c r="AN113" s="61">
        <v>0</v>
      </c>
      <c r="AO113" s="62"/>
      <c r="AP113" s="30"/>
      <c r="AQ113" s="27">
        <v>0</v>
      </c>
      <c r="AR113" s="61">
        <v>0</v>
      </c>
      <c r="AS113" s="62"/>
      <c r="AT113" s="30"/>
      <c r="AU113" s="27">
        <v>0</v>
      </c>
      <c r="AV113" s="60">
        <v>1529</v>
      </c>
      <c r="AW113" s="80">
        <f t="shared" si="298"/>
        <v>8</v>
      </c>
      <c r="AX113" s="31">
        <f t="shared" si="259"/>
        <v>65.75</v>
      </c>
      <c r="AY113" s="21">
        <f t="shared" si="281"/>
        <v>100531.75</v>
      </c>
      <c r="AZ113" s="61">
        <v>0</v>
      </c>
      <c r="BA113" s="62"/>
      <c r="BB113" s="30"/>
      <c r="BC113" s="27">
        <v>0</v>
      </c>
      <c r="BD113" s="46">
        <v>0</v>
      </c>
      <c r="BE113" s="3">
        <f t="shared" si="282"/>
        <v>0</v>
      </c>
      <c r="BF113" s="62"/>
      <c r="BG113" s="30"/>
      <c r="BH113" s="27">
        <v>0</v>
      </c>
      <c r="BI113" s="63">
        <f t="shared" si="283"/>
        <v>0</v>
      </c>
      <c r="BJ113" s="61"/>
      <c r="BK113" s="30"/>
      <c r="BL113" s="27">
        <v>0</v>
      </c>
      <c r="BM113" s="61">
        <v>0</v>
      </c>
      <c r="BN113" s="62"/>
      <c r="BO113" s="30"/>
      <c r="BP113" s="27">
        <v>0</v>
      </c>
      <c r="BQ113" s="61">
        <v>0</v>
      </c>
      <c r="BR113" s="46"/>
      <c r="BS113" s="3">
        <f t="shared" si="284"/>
        <v>0</v>
      </c>
      <c r="BT113" s="62"/>
      <c r="BU113" s="30"/>
      <c r="BV113" s="27">
        <v>0</v>
      </c>
      <c r="BW113" s="60">
        <v>0</v>
      </c>
      <c r="BX113" s="62"/>
      <c r="BY113" s="30"/>
      <c r="BZ113" s="64">
        <v>0</v>
      </c>
      <c r="CA113" s="60">
        <v>0</v>
      </c>
      <c r="CB113" s="60"/>
      <c r="CC113" s="65"/>
      <c r="CD113" s="64">
        <v>0</v>
      </c>
      <c r="CE113" s="60">
        <v>14</v>
      </c>
      <c r="CF113" s="46"/>
      <c r="CG113" s="3">
        <f t="shared" si="286"/>
        <v>14</v>
      </c>
      <c r="CH113" s="25">
        <f t="shared" si="287"/>
        <v>4.2</v>
      </c>
      <c r="CI113" s="61">
        <v>0</v>
      </c>
      <c r="CJ113" s="46"/>
      <c r="CK113" s="61">
        <v>0</v>
      </c>
      <c r="CL113" s="62"/>
      <c r="CM113" s="30"/>
      <c r="CN113" s="27">
        <v>0</v>
      </c>
      <c r="CO113" s="60">
        <f t="shared" si="233"/>
        <v>0</v>
      </c>
      <c r="CP113" s="60"/>
      <c r="CQ113" s="60"/>
      <c r="CR113" s="60">
        <v>0</v>
      </c>
      <c r="CS113" s="62"/>
      <c r="CT113" s="30"/>
      <c r="CU113" s="64">
        <v>0</v>
      </c>
      <c r="CV113" s="61">
        <v>0</v>
      </c>
      <c r="CW113" s="62"/>
      <c r="CX113" s="30"/>
      <c r="CY113" s="27">
        <v>0</v>
      </c>
      <c r="CZ113" s="3">
        <v>0</v>
      </c>
      <c r="DA113" s="62"/>
      <c r="DB113" s="30"/>
      <c r="DC113" s="64">
        <v>0</v>
      </c>
      <c r="DD113" s="61">
        <v>0</v>
      </c>
      <c r="DE113" s="61">
        <v>0</v>
      </c>
      <c r="DF113" s="46"/>
      <c r="DG113" s="3">
        <f t="shared" si="293"/>
        <v>0</v>
      </c>
      <c r="DH113" s="3">
        <f>DD113/2</f>
        <v>0</v>
      </c>
      <c r="DI113" s="37"/>
      <c r="DK113" s="27">
        <v>0</v>
      </c>
    </row>
    <row r="114" spans="1:126" s="68" customFormat="1">
      <c r="A114" s="11" t="s">
        <v>38</v>
      </c>
      <c r="B114" s="19">
        <f t="shared" ref="B114:H114" si="299">SUM(B8:B113)</f>
        <v>15451441.33</v>
      </c>
      <c r="C114" s="19">
        <f t="shared" si="299"/>
        <v>628357</v>
      </c>
      <c r="D114" s="19">
        <f t="shared" si="299"/>
        <v>14823084.33</v>
      </c>
      <c r="E114" s="19">
        <f t="shared" si="299"/>
        <v>10376159.031000003</v>
      </c>
      <c r="F114" s="19">
        <f t="shared" si="299"/>
        <v>17128685.59</v>
      </c>
      <c r="G114" s="19">
        <f t="shared" si="299"/>
        <v>12277314</v>
      </c>
      <c r="H114" s="19">
        <f t="shared" si="299"/>
        <v>4851371.59</v>
      </c>
      <c r="I114" s="66"/>
      <c r="J114" s="42"/>
      <c r="K114" s="19">
        <f>SUM(K8:K113)</f>
        <v>22195620.916511256</v>
      </c>
      <c r="L114" s="19">
        <f>SUM(L8:L113)</f>
        <v>137068485.57000002</v>
      </c>
      <c r="M114" s="19">
        <f>SUM(M8:M113)</f>
        <v>6441</v>
      </c>
      <c r="N114" s="19">
        <f>SUM(N8:N113)</f>
        <v>-1924420.23</v>
      </c>
      <c r="O114" s="19">
        <f>SUM(O8:O113)</f>
        <v>135146995.33999997</v>
      </c>
      <c r="P114" s="66"/>
      <c r="Q114" s="42"/>
      <c r="R114" s="19">
        <f>SUM(R8:R113)</f>
        <v>298043334.94057161</v>
      </c>
      <c r="S114" s="19">
        <f>SUM(S8:S113)</f>
        <v>109845154.47999999</v>
      </c>
      <c r="T114" s="19">
        <f>SUM(T8:T113)</f>
        <v>12496050</v>
      </c>
      <c r="U114" s="19">
        <f>SUM(U8:U113)</f>
        <v>-1673419.91</v>
      </c>
      <c r="V114" s="19">
        <f>SUM(V8:V113)</f>
        <v>95685367.569999993</v>
      </c>
      <c r="W114" s="66"/>
      <c r="X114" s="42"/>
      <c r="Y114" s="19">
        <f>SUM(Y8:Y113)</f>
        <v>296109191.58367544</v>
      </c>
      <c r="Z114" s="19">
        <f>SUM(Z8:Z113)</f>
        <v>2412124.9</v>
      </c>
      <c r="AA114" s="66"/>
      <c r="AB114" s="42"/>
      <c r="AC114" s="19">
        <f>SUM(AC8:AC113)</f>
        <v>3838772.5166997653</v>
      </c>
      <c r="AD114" s="19">
        <f>SUM(AD8:AD113)</f>
        <v>2330073.48</v>
      </c>
      <c r="AE114" s="66"/>
      <c r="AF114" s="42"/>
      <c r="AG114" s="19">
        <f>SUM(AG8:AG113)</f>
        <v>6575089.8300874475</v>
      </c>
      <c r="AH114" s="19">
        <f>SUM(AH8:AH113)</f>
        <v>1872246.63</v>
      </c>
      <c r="AI114" s="19">
        <f>SUM(AI8:AI113)</f>
        <v>78835</v>
      </c>
      <c r="AJ114" s="19">
        <f>SUM(AJ8:AJ113)</f>
        <v>1781978.63</v>
      </c>
      <c r="AK114" s="66"/>
      <c r="AL114" s="42"/>
      <c r="AM114" s="19">
        <f>SUM(AM8:AM113)</f>
        <v>4062823.1352899438</v>
      </c>
      <c r="AN114" s="19">
        <f>SUM(AN8:AN113)</f>
        <v>229378216.43000001</v>
      </c>
      <c r="AO114" s="66"/>
      <c r="AP114" s="42"/>
      <c r="AQ114" s="19">
        <f>SUM(AQ8:AQ113)</f>
        <v>536820065.67615443</v>
      </c>
      <c r="AR114" s="19">
        <f>SUM(AR8:AR113)</f>
        <v>152255966.84999999</v>
      </c>
      <c r="AS114" s="66"/>
      <c r="AT114" s="42"/>
      <c r="AU114" s="19">
        <f>SUM(AU8:AU113)</f>
        <v>471275652.62577415</v>
      </c>
      <c r="AV114" s="19">
        <f>SUM(AV8:AV113)</f>
        <v>77920687.900000006</v>
      </c>
      <c r="AW114" s="66"/>
      <c r="AX114" s="42"/>
      <c r="AY114" s="19">
        <f>SUM(AY8:AY113)</f>
        <v>160785876.69957274</v>
      </c>
      <c r="AZ114" s="19">
        <f>SUM(AZ8:AZ113)</f>
        <v>131044248.78999999</v>
      </c>
      <c r="BA114" s="66"/>
      <c r="BB114" s="42"/>
      <c r="BC114" s="19">
        <f>SUM(BC8:BC113)</f>
        <v>238293000.71979704</v>
      </c>
      <c r="BD114" s="19">
        <f>SUM(BD8:BD113)</f>
        <v>181257585.48000002</v>
      </c>
      <c r="BE114" s="19">
        <f>SUM(BE8:BE113)</f>
        <v>149356250.43552008</v>
      </c>
      <c r="BF114" s="66"/>
      <c r="BG114" s="42"/>
      <c r="BH114" s="19">
        <f>SUM(BH8:BH113)</f>
        <v>401895048.08464873</v>
      </c>
      <c r="BI114" s="19">
        <f>SUM(BI8:BI113)</f>
        <v>39270240.436880007</v>
      </c>
      <c r="BJ114" s="19"/>
      <c r="BK114" s="42"/>
      <c r="BL114" s="19">
        <f>SUM(BL8:BL113)</f>
        <v>88226484.647040412</v>
      </c>
      <c r="BM114" s="19">
        <f>SUM(BM8:BM113)</f>
        <v>120458299.53</v>
      </c>
      <c r="BN114" s="66"/>
      <c r="BO114" s="42"/>
      <c r="BP114" s="19">
        <f>SUM(BP8:BP113)</f>
        <v>263010080.97715175</v>
      </c>
      <c r="BQ114" s="19">
        <f>SUM(BQ8:BQ113)</f>
        <v>47549505.030000001</v>
      </c>
      <c r="BR114" s="19">
        <f>SUM(BR8:BR113)</f>
        <v>-1785</v>
      </c>
      <c r="BS114" s="19">
        <f>SUM(BS8:BS113)</f>
        <v>47551290.030000001</v>
      </c>
      <c r="BT114" s="66"/>
      <c r="BU114" s="42"/>
      <c r="BV114" s="19">
        <f>SUM(BV8:BV113)</f>
        <v>75120007.052408278</v>
      </c>
      <c r="BW114" s="19">
        <f>SUM(BW8:BW113)</f>
        <v>13400623.199999999</v>
      </c>
      <c r="BX114" s="66"/>
      <c r="BY114" s="42"/>
      <c r="BZ114" s="19">
        <f>SUM(BZ8:BZ113)</f>
        <v>40115467.508435205</v>
      </c>
      <c r="CA114" s="19">
        <f>SUM(CA8:CA113)</f>
        <v>14024431.66</v>
      </c>
      <c r="CB114" s="19"/>
      <c r="CC114" s="42"/>
      <c r="CD114" s="19">
        <f t="shared" ref="CD114:CK114" si="300">SUM(CD8:CD113)</f>
        <v>23746509.163238067</v>
      </c>
      <c r="CE114" s="19">
        <f t="shared" si="300"/>
        <v>15451079.33</v>
      </c>
      <c r="CF114" s="19">
        <f t="shared" si="300"/>
        <v>628357</v>
      </c>
      <c r="CG114" s="19">
        <f t="shared" si="300"/>
        <v>14822722.33</v>
      </c>
      <c r="CH114" s="19">
        <f t="shared" si="300"/>
        <v>4446816.6989999982</v>
      </c>
      <c r="CI114" s="19">
        <f t="shared" si="300"/>
        <v>18610678.91</v>
      </c>
      <c r="CJ114" s="19">
        <f t="shared" si="300"/>
        <v>0</v>
      </c>
      <c r="CK114" s="19">
        <f t="shared" si="300"/>
        <v>18610678.91</v>
      </c>
      <c r="CL114" s="19"/>
      <c r="CM114" s="42"/>
      <c r="CN114" s="19">
        <f>SUM(CN8:CN113)</f>
        <v>33788219.589105166</v>
      </c>
      <c r="CO114" s="19">
        <f>SUM(CO8:CO113)</f>
        <v>204189898.96000001</v>
      </c>
      <c r="CP114" s="19">
        <f>SUM(CP8:CP113)</f>
        <v>8809875</v>
      </c>
      <c r="CQ114" s="19">
        <f>SUM(CQ8:CQ113)</f>
        <v>-7562963.4800000004</v>
      </c>
      <c r="CR114" s="19">
        <f>SUM(CR8:CR113)</f>
        <v>187995605.48000002</v>
      </c>
      <c r="CS114" s="66"/>
      <c r="CT114" s="42"/>
      <c r="CU114" s="19">
        <f>SUM(CU8:CU113)</f>
        <v>451116999.51580906</v>
      </c>
      <c r="CV114" s="19">
        <f>SUM(CV8:CV113)</f>
        <v>14552922.01</v>
      </c>
      <c r="CW114" s="19"/>
      <c r="CX114" s="42"/>
      <c r="CY114" s="19">
        <f>SUM(CY8:CY113)</f>
        <v>43276598.802404679</v>
      </c>
      <c r="CZ114" s="19">
        <f>SUM(CZ8:CZ113)</f>
        <v>101951768.72</v>
      </c>
      <c r="DA114" s="66"/>
      <c r="DB114" s="42"/>
      <c r="DC114" s="19">
        <f>SUM(DC8:DC113)</f>
        <v>262148310.6135141</v>
      </c>
      <c r="DD114" s="19">
        <f>SUM(DD8:DD113)</f>
        <v>65979878.939999998</v>
      </c>
      <c r="DE114" s="19"/>
      <c r="DF114" s="19">
        <f>SUM(DF8:DF113)</f>
        <v>3145508</v>
      </c>
      <c r="DG114" s="19">
        <f>SUM(DG8:DG113)</f>
        <v>62834370.939999998</v>
      </c>
      <c r="DH114" s="19">
        <f>SUM(DH8:DH113)</f>
        <v>25964927.969999999</v>
      </c>
      <c r="DI114" s="38"/>
      <c r="DJ114" s="42"/>
      <c r="DK114" s="19">
        <f>SUM(DK8:DK113)</f>
        <v>44489289.913872935</v>
      </c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</row>
    <row r="115" spans="1:126">
      <c r="A115" s="8"/>
      <c r="F115" s="2"/>
      <c r="G115" s="15"/>
      <c r="H115" s="15"/>
      <c r="K115" s="22"/>
      <c r="L115" s="2"/>
      <c r="M115" s="15"/>
      <c r="N115" s="15"/>
      <c r="O115" s="2"/>
      <c r="R115" s="22"/>
      <c r="S115" s="2"/>
      <c r="T115" s="15"/>
      <c r="U115" s="15"/>
      <c r="V115" s="2"/>
      <c r="Y115" s="22"/>
      <c r="Z115" s="2"/>
      <c r="AC115" s="22"/>
      <c r="AD115" s="2"/>
      <c r="AG115" s="22"/>
      <c r="AH115" s="2"/>
      <c r="AI115" s="15"/>
      <c r="AJ115" s="2"/>
      <c r="AM115" s="22"/>
      <c r="AN115" s="2"/>
      <c r="AQ115" s="22"/>
      <c r="AR115" s="2"/>
      <c r="AU115" s="22"/>
      <c r="AV115" s="2"/>
      <c r="AY115" s="22"/>
      <c r="AZ115" s="2"/>
      <c r="BC115" s="22"/>
      <c r="BD115" s="15"/>
      <c r="BE115" s="2"/>
      <c r="BH115" s="22"/>
      <c r="BI115" s="2"/>
      <c r="BJ115" s="2"/>
      <c r="BL115" s="22"/>
      <c r="BM115" s="2"/>
      <c r="BP115" s="22"/>
      <c r="BQ115" s="2"/>
      <c r="BR115" s="15"/>
      <c r="BS115" s="2"/>
      <c r="BV115" s="21"/>
      <c r="BW115" s="2"/>
      <c r="BZ115" s="22"/>
      <c r="CA115" s="2"/>
      <c r="CB115" s="2"/>
      <c r="CD115" s="22"/>
      <c r="CI115" s="2"/>
      <c r="CJ115" s="15"/>
      <c r="CK115" s="2"/>
      <c r="CL115" s="2"/>
      <c r="CN115" s="22"/>
      <c r="CO115" s="2"/>
      <c r="CP115" s="2"/>
      <c r="CQ115" s="2"/>
      <c r="CR115" s="2"/>
      <c r="CU115" s="22"/>
      <c r="CV115" s="2"/>
      <c r="CW115" s="2"/>
      <c r="CY115" s="22"/>
      <c r="CZ115" s="2"/>
      <c r="DC115" s="22"/>
    </row>
    <row r="116" spans="1:126">
      <c r="F116" s="2"/>
      <c r="G116" s="15"/>
      <c r="H116" s="15"/>
      <c r="K116" s="22"/>
      <c r="L116" s="2"/>
      <c r="M116" s="15"/>
      <c r="N116" s="15"/>
      <c r="O116" s="2"/>
      <c r="R116" s="22"/>
      <c r="S116" s="2"/>
      <c r="T116" s="15"/>
      <c r="U116" s="15"/>
      <c r="V116" s="2"/>
      <c r="Y116" s="22"/>
      <c r="Z116" s="2"/>
      <c r="AC116" s="22"/>
      <c r="AD116" s="2"/>
      <c r="AG116" s="22"/>
      <c r="AH116" s="2"/>
      <c r="AI116" s="15"/>
      <c r="AJ116" s="2"/>
      <c r="AM116" s="22"/>
      <c r="AN116" s="2"/>
      <c r="AQ116" s="22"/>
      <c r="AR116" s="2"/>
      <c r="AU116" s="22"/>
      <c r="AV116" s="2"/>
      <c r="AY116" s="22"/>
      <c r="AZ116" s="2"/>
      <c r="BC116" s="22"/>
      <c r="BD116" s="15"/>
      <c r="BE116" s="2"/>
      <c r="BH116" s="22"/>
      <c r="BI116" s="2"/>
      <c r="BJ116" s="2"/>
      <c r="BL116" s="22"/>
      <c r="BM116" s="2"/>
      <c r="BP116" s="22"/>
      <c r="BQ116" s="2"/>
      <c r="BR116" s="15"/>
      <c r="BS116" s="2"/>
      <c r="BV116" s="21"/>
      <c r="BW116" s="2"/>
      <c r="BZ116" s="22"/>
      <c r="CA116" s="2"/>
      <c r="CB116" s="2"/>
      <c r="CD116" s="22"/>
      <c r="CI116" s="2"/>
      <c r="CJ116" s="15"/>
      <c r="CK116" s="2"/>
      <c r="CL116" s="2"/>
      <c r="CN116" s="22"/>
      <c r="CO116" s="2"/>
      <c r="CP116" s="2"/>
      <c r="CQ116" s="2"/>
      <c r="CR116" s="2"/>
      <c r="CU116" s="22"/>
      <c r="CV116" s="2"/>
      <c r="CW116" s="2"/>
      <c r="CY116" s="22"/>
      <c r="CZ116" s="2"/>
      <c r="DC116" s="22"/>
    </row>
    <row r="117" spans="1:126">
      <c r="F117" s="2"/>
      <c r="G117" s="15"/>
      <c r="H117" s="15"/>
      <c r="K117" s="22"/>
      <c r="L117" s="2"/>
      <c r="M117" s="15"/>
      <c r="N117" s="15"/>
      <c r="O117" s="2"/>
      <c r="R117" s="22"/>
      <c r="S117" s="2"/>
      <c r="T117" s="15"/>
      <c r="U117" s="15"/>
      <c r="V117" s="2"/>
      <c r="Y117" s="22"/>
      <c r="Z117" s="2"/>
      <c r="AC117" s="22"/>
      <c r="AD117" s="2"/>
      <c r="AG117" s="22"/>
      <c r="AH117" s="2"/>
      <c r="AI117" s="15"/>
      <c r="AJ117" s="2"/>
      <c r="AL117" s="70" t="s">
        <v>48</v>
      </c>
      <c r="AM117" s="69">
        <f>E114+K114+R114+Y114+AC114+AG114+AM114</f>
        <v>641200991.95383549</v>
      </c>
      <c r="AN117" s="2"/>
      <c r="AQ117" s="22"/>
      <c r="AR117" s="2"/>
      <c r="AU117" s="22"/>
      <c r="AV117" s="2"/>
      <c r="AY117" s="22"/>
      <c r="AZ117" s="2"/>
      <c r="BC117" s="22"/>
      <c r="BD117" s="15"/>
      <c r="BE117" s="2"/>
      <c r="BH117" s="22"/>
      <c r="BI117" s="2"/>
      <c r="BJ117" s="2"/>
      <c r="BL117" s="22"/>
      <c r="BM117" s="2"/>
      <c r="BP117" s="22"/>
      <c r="BQ117" s="2"/>
      <c r="BR117" s="15"/>
      <c r="BS117" s="2"/>
      <c r="BV117" s="21"/>
      <c r="BW117" s="2"/>
      <c r="BZ117" s="22"/>
      <c r="CA117" s="2"/>
      <c r="CB117" s="2"/>
      <c r="CC117" s="70" t="s">
        <v>50</v>
      </c>
      <c r="CD117" s="69">
        <f>AY114+AU114+AQ114+BC114+BH114+BL114+BP114+BV114+BZ114+CD114</f>
        <v>2299288193.1542211</v>
      </c>
      <c r="CI117" s="2"/>
      <c r="CJ117" s="15"/>
      <c r="CK117" s="2"/>
      <c r="CL117" s="2"/>
      <c r="CN117" s="22"/>
      <c r="CO117" s="2"/>
      <c r="CP117" s="2"/>
      <c r="CQ117" s="2"/>
      <c r="CR117" s="2"/>
      <c r="CU117" s="22"/>
      <c r="CV117" s="2"/>
      <c r="CW117" s="2"/>
      <c r="CY117" s="22"/>
      <c r="CZ117" s="2"/>
      <c r="DC117" s="22"/>
      <c r="DJ117" s="70" t="s">
        <v>52</v>
      </c>
      <c r="DK117" s="69">
        <f>BX114+CH114+CN114+CU114+CY114+DC114+DK114</f>
        <v>839266235.13370597</v>
      </c>
    </row>
    <row r="118" spans="1:126">
      <c r="F118" s="2"/>
      <c r="G118" s="15"/>
      <c r="H118" s="15"/>
      <c r="K118" s="22"/>
      <c r="L118" s="2"/>
      <c r="M118" s="15"/>
      <c r="N118" s="15"/>
      <c r="O118" s="2"/>
      <c r="R118" s="22"/>
      <c r="S118" s="2"/>
      <c r="T118" s="15"/>
      <c r="U118" s="15"/>
      <c r="V118" s="2"/>
      <c r="Y118" s="22"/>
      <c r="Z118" s="2"/>
      <c r="AC118" s="22"/>
      <c r="AD118" s="2"/>
      <c r="AG118" s="22"/>
      <c r="AH118" s="2"/>
      <c r="AI118" s="15"/>
      <c r="AJ118" s="2"/>
      <c r="AL118" s="70" t="s">
        <v>49</v>
      </c>
      <c r="AM118" s="69">
        <f>D114*0.7+H114+O114+V114+Z114+AD114+AJ114</f>
        <v>252584070.54099995</v>
      </c>
      <c r="AN118" s="2"/>
      <c r="AQ118" s="22"/>
      <c r="AR118" s="2"/>
      <c r="AU118" s="22"/>
      <c r="AV118" s="2"/>
      <c r="AY118" s="22"/>
      <c r="AZ118" s="2"/>
      <c r="BC118" s="22"/>
      <c r="BD118" s="15"/>
      <c r="BE118" s="2"/>
      <c r="BH118" s="22"/>
      <c r="BI118" s="2"/>
      <c r="BJ118" s="2"/>
      <c r="BL118" s="22"/>
      <c r="BM118" s="2"/>
      <c r="BP118" s="22"/>
      <c r="BQ118" s="2"/>
      <c r="BR118" s="15"/>
      <c r="BS118" s="2"/>
      <c r="BV118" s="21"/>
      <c r="BW118" s="2"/>
      <c r="BZ118" s="22"/>
      <c r="CA118" s="2"/>
      <c r="CB118" s="2"/>
      <c r="CC118" s="70" t="s">
        <v>51</v>
      </c>
      <c r="CD118" s="69">
        <f>AZ114+AV114+AR114+AN114+BE114+BI114+BM114+BS114+BW114+CA114</f>
        <v>974660255.26240003</v>
      </c>
      <c r="CI118" s="2"/>
      <c r="CJ118" s="15"/>
      <c r="CK118" s="2"/>
      <c r="CL118" s="2"/>
      <c r="CN118" s="22"/>
      <c r="CO118" s="2"/>
      <c r="CP118" s="2"/>
      <c r="CQ118" s="2"/>
      <c r="CR118" s="2"/>
      <c r="CU118" s="22"/>
      <c r="CV118" s="2"/>
      <c r="CW118" s="2"/>
      <c r="CY118" s="22"/>
      <c r="CZ118" s="2"/>
      <c r="DC118" s="22"/>
      <c r="DJ118" s="70" t="s">
        <v>53</v>
      </c>
      <c r="DK118" s="69">
        <f>BX115+CG114+CK114+CR114+CV114+CZ114+DH114</f>
        <v>363898625.42000008</v>
      </c>
    </row>
    <row r="119" spans="1:126">
      <c r="F119" s="2"/>
      <c r="G119" s="15"/>
      <c r="H119" s="15"/>
      <c r="K119" s="22"/>
      <c r="L119" s="2"/>
      <c r="M119" s="15"/>
      <c r="N119" s="15"/>
      <c r="O119" s="2"/>
      <c r="R119" s="22"/>
      <c r="S119" s="2"/>
      <c r="T119" s="15"/>
      <c r="U119" s="15"/>
      <c r="V119" s="2"/>
      <c r="Y119" s="22"/>
      <c r="Z119" s="2"/>
      <c r="AC119" s="22"/>
      <c r="AD119" s="2"/>
      <c r="AG119" s="22"/>
      <c r="AH119" s="2"/>
      <c r="AI119" s="15"/>
      <c r="AJ119" s="2"/>
      <c r="AM119" s="22"/>
      <c r="AN119" s="2"/>
      <c r="AQ119" s="22"/>
      <c r="AR119" s="2"/>
      <c r="AU119" s="22"/>
      <c r="AV119" s="2"/>
      <c r="AY119" s="22"/>
      <c r="AZ119" s="2"/>
      <c r="BC119" s="22"/>
      <c r="BD119" s="15"/>
      <c r="BE119" s="2"/>
      <c r="BH119" s="22"/>
      <c r="BI119" s="2"/>
      <c r="BJ119" s="2"/>
      <c r="BL119" s="22"/>
      <c r="BM119" s="2"/>
      <c r="BP119" s="22"/>
      <c r="BQ119" s="2"/>
      <c r="BR119" s="15"/>
      <c r="BS119" s="2"/>
      <c r="BV119" s="21"/>
      <c r="BW119" s="2"/>
      <c r="BZ119" s="22"/>
      <c r="CA119" s="2"/>
      <c r="CB119" s="2"/>
      <c r="CD119" s="22"/>
      <c r="CI119" s="2"/>
      <c r="CJ119" s="15"/>
      <c r="CK119" s="2"/>
      <c r="CL119" s="2"/>
      <c r="CN119" s="22"/>
      <c r="CO119" s="2"/>
      <c r="CP119" s="2"/>
      <c r="CQ119" s="2"/>
      <c r="CR119" s="2"/>
      <c r="CU119" s="22"/>
      <c r="CV119" s="2"/>
      <c r="CW119" s="2"/>
      <c r="CY119" s="22"/>
      <c r="CZ119" s="2"/>
      <c r="DC119" s="22"/>
    </row>
    <row r="120" spans="1:126">
      <c r="F120" s="2"/>
      <c r="G120" s="15"/>
      <c r="H120" s="15"/>
      <c r="K120" s="22"/>
      <c r="L120" s="2"/>
      <c r="M120" s="15"/>
      <c r="N120" s="15"/>
      <c r="O120" s="2"/>
      <c r="R120" s="22"/>
      <c r="S120" s="2"/>
      <c r="T120" s="15"/>
      <c r="U120" s="15"/>
      <c r="V120" s="2"/>
      <c r="Y120" s="22"/>
      <c r="Z120" s="2"/>
      <c r="AC120" s="22"/>
      <c r="AD120" s="2"/>
      <c r="AG120" s="22"/>
      <c r="AH120" s="2"/>
      <c r="AI120" s="15"/>
      <c r="AJ120" s="2"/>
      <c r="AM120" s="22"/>
      <c r="AN120" s="2"/>
      <c r="AQ120" s="22"/>
      <c r="AR120" s="2"/>
      <c r="AU120" s="22"/>
      <c r="AV120" s="2"/>
      <c r="AY120" s="22"/>
      <c r="AZ120" s="2"/>
      <c r="BC120" s="22"/>
      <c r="BD120" s="15"/>
      <c r="BE120" s="2"/>
      <c r="BH120" s="22"/>
      <c r="BI120" s="2"/>
      <c r="BJ120" s="2"/>
      <c r="BL120" s="22"/>
      <c r="BM120" s="2"/>
      <c r="BP120" s="22"/>
      <c r="BQ120" s="2"/>
      <c r="BR120" s="15"/>
      <c r="BS120" s="2"/>
      <c r="BV120" s="21"/>
      <c r="BW120" s="2"/>
      <c r="BZ120" s="22"/>
      <c r="CA120" s="2"/>
      <c r="CB120" s="2"/>
      <c r="CD120" s="22"/>
      <c r="CI120" s="2"/>
      <c r="CJ120" s="15"/>
      <c r="CK120" s="2"/>
      <c r="CL120" s="2"/>
      <c r="CN120" s="22"/>
      <c r="CO120" s="2"/>
      <c r="CP120" s="2"/>
      <c r="CQ120" s="2"/>
      <c r="CR120" s="2"/>
      <c r="CU120" s="22"/>
      <c r="CV120" s="2"/>
      <c r="CW120" s="2"/>
      <c r="CY120" s="22"/>
      <c r="CZ120" s="2"/>
      <c r="DC120" s="22"/>
    </row>
    <row r="121" spans="1:126">
      <c r="F121" s="2"/>
      <c r="G121" s="15"/>
      <c r="H121" s="15"/>
      <c r="K121" s="22"/>
      <c r="L121" s="2"/>
      <c r="M121" s="15"/>
      <c r="N121" s="15"/>
      <c r="O121" s="2"/>
      <c r="R121" s="22"/>
      <c r="S121" s="2"/>
      <c r="T121" s="15"/>
      <c r="U121" s="15"/>
      <c r="V121" s="2"/>
      <c r="Y121" s="22"/>
      <c r="Z121" s="2"/>
      <c r="AC121" s="22"/>
      <c r="AD121" s="2"/>
      <c r="AG121" s="22"/>
      <c r="AH121" s="2"/>
      <c r="AI121" s="15"/>
      <c r="AJ121" s="2"/>
      <c r="AM121" s="22"/>
      <c r="AN121" s="2"/>
      <c r="AQ121" s="22"/>
      <c r="AR121" s="2"/>
      <c r="AU121" s="22"/>
      <c r="AV121" s="2"/>
      <c r="AY121" s="22"/>
      <c r="AZ121" s="2"/>
      <c r="BC121" s="22"/>
      <c r="BD121" s="15"/>
      <c r="BE121" s="2"/>
      <c r="BH121" s="22"/>
      <c r="BI121" s="2"/>
      <c r="BJ121" s="2"/>
      <c r="BL121" s="22"/>
      <c r="BM121" s="2"/>
      <c r="BP121" s="22"/>
      <c r="BQ121" s="2"/>
      <c r="BR121" s="15"/>
      <c r="BS121" s="2"/>
      <c r="BV121" s="21"/>
      <c r="BW121" s="2"/>
      <c r="BZ121" s="22"/>
      <c r="CA121" s="2"/>
      <c r="CB121" s="2"/>
      <c r="CD121" s="22"/>
      <c r="CI121" s="2"/>
      <c r="CJ121" s="15"/>
      <c r="CK121" s="2"/>
      <c r="CL121" s="2"/>
      <c r="CN121" s="22"/>
      <c r="CO121" s="2"/>
      <c r="CP121" s="2"/>
      <c r="CQ121" s="2"/>
      <c r="CR121" s="2"/>
      <c r="CU121" s="22"/>
      <c r="CV121" s="2"/>
      <c r="CW121" s="2"/>
      <c r="CY121" s="22"/>
      <c r="CZ121" s="2"/>
      <c r="DC121" s="22"/>
    </row>
    <row r="122" spans="1:126">
      <c r="F122" s="2"/>
      <c r="G122" s="15"/>
      <c r="H122" s="15"/>
      <c r="K122" s="22"/>
      <c r="L122" s="2"/>
      <c r="M122" s="15"/>
      <c r="N122" s="15"/>
      <c r="O122" s="2"/>
      <c r="R122" s="22"/>
      <c r="S122" s="2"/>
      <c r="T122" s="15"/>
      <c r="U122" s="15"/>
      <c r="V122" s="2"/>
      <c r="Y122" s="22"/>
      <c r="Z122" s="2"/>
      <c r="AC122" s="22"/>
      <c r="AD122" s="2"/>
      <c r="AG122" s="22"/>
      <c r="AH122" s="2"/>
      <c r="AI122" s="15"/>
      <c r="AJ122" s="2"/>
      <c r="AM122" s="22"/>
      <c r="AN122" s="2"/>
      <c r="AQ122" s="22"/>
      <c r="AR122" s="2"/>
      <c r="AU122" s="22"/>
      <c r="AV122" s="2"/>
      <c r="AY122" s="22"/>
      <c r="AZ122" s="2"/>
      <c r="BC122" s="22"/>
      <c r="BD122" s="15"/>
      <c r="BE122" s="2"/>
      <c r="BH122" s="22"/>
      <c r="BI122" s="2"/>
      <c r="BJ122" s="2"/>
      <c r="BL122" s="22"/>
      <c r="BM122" s="2"/>
      <c r="BP122" s="22"/>
      <c r="BQ122" s="2"/>
      <c r="BR122" s="15"/>
      <c r="BS122" s="2"/>
      <c r="BV122" s="21"/>
      <c r="BW122" s="2"/>
      <c r="BZ122" s="22"/>
      <c r="CA122" s="2"/>
      <c r="CB122" s="2"/>
      <c r="CD122" s="22"/>
      <c r="CI122" s="2"/>
      <c r="CJ122" s="15"/>
      <c r="CK122" s="2"/>
      <c r="CL122" s="2"/>
      <c r="CN122" s="22"/>
      <c r="CO122" s="2"/>
      <c r="CP122" s="2"/>
      <c r="CQ122" s="2"/>
      <c r="CR122" s="2"/>
      <c r="CU122" s="22"/>
      <c r="CV122" s="2"/>
      <c r="CW122" s="2"/>
      <c r="CY122" s="22"/>
      <c r="CZ122" s="2"/>
      <c r="DC122" s="22"/>
    </row>
    <row r="123" spans="1:126">
      <c r="F123" s="2"/>
      <c r="G123" s="15"/>
      <c r="H123" s="15"/>
      <c r="K123" s="22"/>
      <c r="L123" s="2"/>
      <c r="M123" s="15"/>
      <c r="N123" s="15"/>
      <c r="O123" s="2"/>
      <c r="R123" s="22"/>
      <c r="S123" s="2"/>
      <c r="T123" s="15"/>
      <c r="U123" s="15"/>
      <c r="V123" s="2"/>
      <c r="Y123" s="22"/>
      <c r="Z123" s="2"/>
      <c r="AC123" s="22"/>
      <c r="AD123" s="2"/>
      <c r="AG123" s="22"/>
      <c r="AH123" s="2"/>
      <c r="AI123" s="15"/>
      <c r="AJ123" s="2"/>
      <c r="AM123" s="22"/>
      <c r="AN123" s="2"/>
      <c r="AQ123" s="22"/>
      <c r="AR123" s="2"/>
      <c r="AU123" s="22"/>
      <c r="AV123" s="2"/>
      <c r="AY123" s="22"/>
      <c r="AZ123" s="2"/>
      <c r="BC123" s="22"/>
      <c r="BD123" s="15"/>
      <c r="BE123" s="2"/>
      <c r="BH123" s="22"/>
      <c r="BI123" s="2"/>
      <c r="BJ123" s="2"/>
      <c r="BL123" s="22"/>
      <c r="BM123" s="2"/>
      <c r="BP123" s="22"/>
      <c r="BQ123" s="2"/>
      <c r="BR123" s="15"/>
      <c r="BS123" s="2"/>
      <c r="BV123" s="21"/>
      <c r="BW123" s="2"/>
      <c r="BZ123" s="22"/>
      <c r="CA123" s="2"/>
      <c r="CB123" s="2"/>
      <c r="CD123" s="22"/>
      <c r="CI123" s="2"/>
      <c r="CJ123" s="15"/>
      <c r="CK123" s="2"/>
      <c r="CL123" s="2"/>
      <c r="CN123" s="22"/>
      <c r="CO123" s="2"/>
      <c r="CP123" s="2"/>
      <c r="CQ123" s="2"/>
      <c r="CR123" s="2"/>
      <c r="CU123" s="22"/>
      <c r="CV123" s="2"/>
      <c r="CW123" s="2"/>
      <c r="CY123" s="22"/>
      <c r="CZ123" s="2"/>
      <c r="DC123" s="22"/>
    </row>
    <row r="124" spans="1:126">
      <c r="F124" s="2"/>
      <c r="G124" s="15"/>
      <c r="H124" s="15"/>
      <c r="K124" s="22"/>
      <c r="L124" s="2"/>
      <c r="M124" s="15"/>
      <c r="N124" s="15"/>
      <c r="O124" s="2"/>
      <c r="R124" s="22"/>
      <c r="S124" s="2"/>
      <c r="T124" s="15"/>
      <c r="U124" s="15"/>
      <c r="V124" s="2"/>
      <c r="Y124" s="22"/>
      <c r="Z124" s="2"/>
      <c r="AC124" s="22"/>
      <c r="AD124" s="2"/>
      <c r="AG124" s="22"/>
      <c r="AH124" s="2"/>
      <c r="AI124" s="15"/>
      <c r="AJ124" s="2"/>
      <c r="AM124" s="22"/>
      <c r="AN124" s="2"/>
      <c r="AQ124" s="22"/>
      <c r="AR124" s="2"/>
      <c r="AU124" s="22"/>
      <c r="AV124" s="2"/>
      <c r="AY124" s="22"/>
      <c r="AZ124" s="2"/>
      <c r="BC124" s="22"/>
      <c r="BD124" s="15"/>
      <c r="BE124" s="2"/>
      <c r="BH124" s="22"/>
      <c r="BI124" s="2"/>
      <c r="BJ124" s="2"/>
      <c r="BL124" s="22"/>
      <c r="BM124" s="2"/>
      <c r="BP124" s="22"/>
      <c r="BQ124" s="2"/>
      <c r="BR124" s="15"/>
      <c r="BS124" s="2"/>
      <c r="BV124" s="21"/>
      <c r="BW124" s="2"/>
      <c r="BZ124" s="22"/>
      <c r="CA124" s="2"/>
      <c r="CB124" s="2"/>
      <c r="CD124" s="22"/>
      <c r="CI124" s="2"/>
      <c r="CJ124" s="15"/>
      <c r="CK124" s="2"/>
      <c r="CL124" s="2"/>
      <c r="CN124" s="22"/>
      <c r="CO124" s="2"/>
      <c r="CP124" s="2"/>
      <c r="CQ124" s="2"/>
      <c r="CR124" s="2"/>
      <c r="CU124" s="22"/>
      <c r="CV124" s="2"/>
      <c r="CW124" s="2"/>
      <c r="CY124" s="22"/>
      <c r="CZ124" s="2"/>
      <c r="DC124" s="22"/>
    </row>
    <row r="125" spans="1:126">
      <c r="F125" s="2"/>
      <c r="G125" s="15"/>
      <c r="H125" s="15"/>
      <c r="K125" s="22"/>
      <c r="L125" s="2"/>
      <c r="M125" s="15"/>
      <c r="N125" s="15"/>
      <c r="O125" s="2"/>
      <c r="R125" s="22"/>
      <c r="S125" s="2"/>
      <c r="T125" s="15"/>
      <c r="U125" s="15"/>
      <c r="V125" s="2"/>
      <c r="Y125" s="22"/>
      <c r="Z125" s="2"/>
      <c r="AC125" s="22"/>
      <c r="AD125" s="2"/>
      <c r="AG125" s="22"/>
      <c r="AH125" s="2"/>
      <c r="AI125" s="15"/>
      <c r="AJ125" s="2"/>
      <c r="AM125" s="22"/>
      <c r="AN125" s="2"/>
      <c r="AQ125" s="22"/>
      <c r="AR125" s="2"/>
      <c r="AU125" s="22"/>
      <c r="AV125" s="2"/>
      <c r="AY125" s="22"/>
      <c r="AZ125" s="2"/>
      <c r="BC125" s="22"/>
      <c r="BD125" s="15"/>
      <c r="BE125" s="2"/>
      <c r="BH125" s="22"/>
      <c r="BI125" s="2"/>
      <c r="BJ125" s="2"/>
      <c r="BL125" s="22"/>
      <c r="BM125" s="2"/>
      <c r="BP125" s="22"/>
      <c r="BQ125" s="2"/>
      <c r="BR125" s="15"/>
      <c r="BS125" s="2"/>
      <c r="BV125" s="21"/>
      <c r="BW125" s="2"/>
      <c r="BZ125" s="22"/>
      <c r="CA125" s="2"/>
      <c r="CB125" s="2"/>
      <c r="CD125" s="22"/>
      <c r="CI125" s="2"/>
      <c r="CJ125" s="15"/>
      <c r="CK125" s="2"/>
      <c r="CL125" s="2"/>
      <c r="CN125" s="22"/>
      <c r="CO125" s="2"/>
      <c r="CP125" s="2"/>
      <c r="CQ125" s="2"/>
      <c r="CR125" s="2"/>
      <c r="CU125" s="22"/>
      <c r="CV125" s="2"/>
      <c r="CW125" s="2"/>
      <c r="CY125" s="22"/>
      <c r="CZ125" s="2"/>
      <c r="DC125" s="22"/>
    </row>
    <row r="126" spans="1:126">
      <c r="F126" s="2"/>
      <c r="G126" s="15"/>
      <c r="H126" s="15"/>
      <c r="K126" s="22"/>
      <c r="L126" s="2"/>
      <c r="M126" s="15"/>
      <c r="N126" s="15"/>
      <c r="O126" s="2"/>
      <c r="R126" s="22"/>
      <c r="S126" s="2"/>
      <c r="T126" s="15"/>
      <c r="U126" s="15"/>
      <c r="V126" s="2"/>
      <c r="Y126" s="22"/>
      <c r="Z126" s="2"/>
      <c r="AC126" s="22"/>
      <c r="AD126" s="2"/>
      <c r="AG126" s="22"/>
      <c r="AH126" s="2"/>
      <c r="AI126" s="15"/>
      <c r="AJ126" s="2"/>
      <c r="AM126" s="22"/>
      <c r="AN126" s="2"/>
      <c r="AQ126" s="22"/>
      <c r="AR126" s="2"/>
      <c r="AU126" s="22"/>
      <c r="AV126" s="2"/>
      <c r="AY126" s="22"/>
      <c r="AZ126" s="2"/>
      <c r="BC126" s="22"/>
      <c r="BD126" s="15"/>
      <c r="BE126" s="2"/>
      <c r="BH126" s="22"/>
      <c r="BI126" s="2"/>
      <c r="BJ126" s="2"/>
      <c r="BL126" s="22"/>
      <c r="BM126" s="2"/>
      <c r="BP126" s="22"/>
      <c r="BQ126" s="2"/>
      <c r="BR126" s="15"/>
      <c r="BS126" s="2"/>
      <c r="BV126" s="21"/>
      <c r="BW126" s="2"/>
      <c r="BZ126" s="22"/>
      <c r="CA126" s="2"/>
      <c r="CB126" s="2"/>
      <c r="CD126" s="22"/>
      <c r="CI126" s="2"/>
      <c r="CJ126" s="15"/>
      <c r="CK126" s="2"/>
      <c r="CL126" s="2"/>
      <c r="CN126" s="22"/>
      <c r="CO126" s="2"/>
      <c r="CP126" s="2"/>
      <c r="CQ126" s="2"/>
      <c r="CR126" s="2"/>
      <c r="CU126" s="22"/>
      <c r="CV126" s="2"/>
      <c r="CW126" s="2"/>
      <c r="CY126" s="22"/>
      <c r="CZ126" s="2"/>
      <c r="DC126" s="22"/>
    </row>
    <row r="127" spans="1:126">
      <c r="F127" s="2"/>
      <c r="G127" s="15"/>
      <c r="H127" s="15"/>
      <c r="K127" s="22"/>
      <c r="L127" s="2"/>
      <c r="M127" s="15"/>
      <c r="N127" s="15"/>
      <c r="O127" s="2"/>
      <c r="R127" s="22"/>
      <c r="S127" s="2"/>
      <c r="T127" s="15"/>
      <c r="U127" s="15"/>
      <c r="V127" s="2"/>
      <c r="Y127" s="22"/>
      <c r="Z127" s="2"/>
      <c r="AC127" s="22"/>
      <c r="AD127" s="2"/>
      <c r="AG127" s="22"/>
      <c r="AH127" s="2"/>
      <c r="AI127" s="15"/>
      <c r="AJ127" s="2"/>
      <c r="AM127" s="22"/>
      <c r="AN127" s="2"/>
      <c r="AQ127" s="22"/>
      <c r="AR127" s="2"/>
      <c r="AU127" s="22"/>
      <c r="AV127" s="2"/>
      <c r="AY127" s="22"/>
      <c r="AZ127" s="2"/>
      <c r="BC127" s="22"/>
      <c r="BD127" s="15"/>
      <c r="BE127" s="2"/>
      <c r="BH127" s="22"/>
      <c r="BI127" s="2"/>
      <c r="BJ127" s="2"/>
      <c r="BL127" s="22"/>
      <c r="BM127" s="2"/>
      <c r="BP127" s="22"/>
      <c r="BQ127" s="2"/>
      <c r="BR127" s="15"/>
      <c r="BS127" s="2"/>
      <c r="BV127" s="21"/>
      <c r="BW127" s="2"/>
      <c r="BZ127" s="22"/>
      <c r="CA127" s="2"/>
      <c r="CB127" s="2"/>
      <c r="CD127" s="22"/>
      <c r="CI127" s="2"/>
      <c r="CJ127" s="15"/>
      <c r="CK127" s="2"/>
      <c r="CL127" s="2"/>
      <c r="CN127" s="22"/>
      <c r="CO127" s="2"/>
      <c r="CP127" s="2"/>
      <c r="CQ127" s="2"/>
      <c r="CR127" s="2"/>
      <c r="CU127" s="22"/>
      <c r="CV127" s="2"/>
      <c r="CW127" s="2"/>
      <c r="CY127" s="22"/>
      <c r="CZ127" s="2"/>
      <c r="DC127" s="22"/>
    </row>
    <row r="128" spans="1:126">
      <c r="A128" s="79" t="s">
        <v>57</v>
      </c>
      <c r="F128" s="2"/>
      <c r="G128" s="15"/>
      <c r="H128" s="15"/>
      <c r="K128" s="22"/>
      <c r="L128" s="2"/>
      <c r="M128" s="15"/>
      <c r="N128" s="15"/>
      <c r="O128" s="2"/>
      <c r="R128" s="22"/>
      <c r="S128" s="2"/>
      <c r="T128" s="15"/>
      <c r="U128" s="15"/>
      <c r="V128" s="2"/>
      <c r="Y128" s="22"/>
      <c r="Z128" s="2"/>
      <c r="AC128" s="22"/>
      <c r="AD128" s="2"/>
      <c r="AG128" s="22"/>
      <c r="AH128" s="2"/>
      <c r="AI128" s="15"/>
      <c r="AJ128" s="2"/>
      <c r="AM128" s="22"/>
      <c r="AN128" s="2"/>
      <c r="AQ128" s="22"/>
      <c r="AR128" s="2"/>
      <c r="AU128" s="22"/>
      <c r="AV128" s="2"/>
      <c r="AY128" s="22"/>
      <c r="AZ128" s="2"/>
      <c r="BC128" s="22"/>
      <c r="BD128" s="15"/>
      <c r="BE128" s="2"/>
      <c r="BH128" s="22"/>
      <c r="BI128" s="2"/>
      <c r="BJ128" s="2"/>
      <c r="BL128" s="22"/>
      <c r="BM128" s="2"/>
      <c r="BP128" s="22"/>
      <c r="BQ128" s="2"/>
      <c r="BR128" s="15"/>
      <c r="BS128" s="2"/>
      <c r="BV128" s="21"/>
      <c r="BW128" s="2"/>
      <c r="BZ128" s="22"/>
      <c r="CA128" s="2"/>
      <c r="CB128" s="2"/>
      <c r="CD128" s="22"/>
      <c r="CI128" s="2"/>
      <c r="CJ128" s="15"/>
      <c r="CK128" s="2"/>
      <c r="CL128" s="2"/>
      <c r="CN128" s="22"/>
      <c r="CO128" s="2"/>
      <c r="CP128" s="2"/>
      <c r="CQ128" s="2"/>
      <c r="CR128" s="2"/>
      <c r="CU128" s="22"/>
      <c r="CV128" s="2"/>
      <c r="CW128" s="2"/>
      <c r="CY128" s="22"/>
      <c r="CZ128" s="2"/>
      <c r="DC128" s="22"/>
    </row>
    <row r="129" spans="6:107">
      <c r="F129" s="2"/>
      <c r="G129" s="15"/>
      <c r="H129" s="15"/>
      <c r="K129" s="22"/>
      <c r="L129" s="2"/>
      <c r="M129" s="15"/>
      <c r="N129" s="15"/>
      <c r="O129" s="2"/>
      <c r="R129" s="22"/>
      <c r="S129" s="2"/>
      <c r="T129" s="15"/>
      <c r="U129" s="15"/>
      <c r="V129" s="2"/>
      <c r="Y129" s="22"/>
      <c r="Z129" s="2"/>
      <c r="AC129" s="22"/>
      <c r="AD129" s="2"/>
      <c r="AG129" s="22"/>
      <c r="AH129" s="2"/>
      <c r="AI129" s="15"/>
      <c r="AJ129" s="2"/>
      <c r="AM129" s="22"/>
      <c r="AN129" s="2"/>
      <c r="AQ129" s="22"/>
      <c r="AR129" s="2"/>
      <c r="AU129" s="22"/>
      <c r="AV129" s="2"/>
      <c r="AY129" s="22"/>
      <c r="AZ129" s="2"/>
      <c r="BC129" s="22"/>
      <c r="BD129" s="15"/>
      <c r="BE129" s="2"/>
      <c r="BH129" s="22"/>
      <c r="BI129" s="2"/>
      <c r="BJ129" s="2"/>
      <c r="BL129" s="22"/>
      <c r="BM129" s="2"/>
      <c r="BP129" s="22"/>
      <c r="BQ129" s="2"/>
      <c r="BR129" s="15"/>
      <c r="BS129" s="2"/>
      <c r="BV129" s="21"/>
      <c r="BW129" s="2"/>
      <c r="BZ129" s="22"/>
      <c r="CA129" s="2"/>
      <c r="CB129" s="2"/>
      <c r="CD129" s="22"/>
      <c r="CI129" s="2"/>
      <c r="CJ129" s="15"/>
      <c r="CK129" s="2"/>
      <c r="CL129" s="2"/>
      <c r="CN129" s="22"/>
      <c r="CO129" s="2"/>
      <c r="CP129" s="2"/>
      <c r="CQ129" s="2"/>
      <c r="CR129" s="2"/>
      <c r="CU129" s="22"/>
      <c r="CV129" s="2"/>
      <c r="CW129" s="2"/>
      <c r="CY129" s="22"/>
      <c r="CZ129" s="2"/>
      <c r="DC129" s="22"/>
    </row>
    <row r="130" spans="6:107">
      <c r="F130" s="2"/>
      <c r="G130" s="15"/>
      <c r="H130" s="15"/>
      <c r="K130" s="22"/>
      <c r="L130" s="2"/>
      <c r="M130" s="15"/>
      <c r="N130" s="15"/>
      <c r="O130" s="2"/>
      <c r="R130" s="22"/>
      <c r="S130" s="2"/>
      <c r="T130" s="15"/>
      <c r="U130" s="15"/>
      <c r="V130" s="2"/>
      <c r="Y130" s="22"/>
      <c r="Z130" s="2"/>
      <c r="AC130" s="22"/>
      <c r="AD130" s="2"/>
      <c r="AG130" s="22"/>
      <c r="AH130" s="2"/>
      <c r="AI130" s="15"/>
      <c r="AJ130" s="2"/>
      <c r="AM130" s="22"/>
      <c r="AN130" s="2"/>
      <c r="AQ130" s="22"/>
      <c r="AR130" s="2"/>
      <c r="AU130" s="22"/>
      <c r="AV130" s="2"/>
      <c r="AY130" s="22"/>
      <c r="AZ130" s="2"/>
      <c r="BC130" s="22"/>
      <c r="BD130" s="15"/>
      <c r="BE130" s="2"/>
      <c r="BH130" s="22"/>
      <c r="BI130" s="2"/>
      <c r="BJ130" s="2"/>
      <c r="BL130" s="22"/>
      <c r="BM130" s="2"/>
      <c r="BP130" s="22"/>
      <c r="BQ130" s="2"/>
      <c r="BR130" s="15"/>
      <c r="BS130" s="2"/>
      <c r="BV130" s="21"/>
      <c r="BW130" s="2"/>
      <c r="BZ130" s="22"/>
      <c r="CA130" s="2"/>
      <c r="CB130" s="2"/>
      <c r="CD130" s="22"/>
      <c r="CI130" s="2"/>
      <c r="CJ130" s="15"/>
      <c r="CK130" s="2"/>
      <c r="CL130" s="2"/>
      <c r="CN130" s="22"/>
      <c r="CO130" s="2"/>
      <c r="CP130" s="2"/>
      <c r="CQ130" s="2"/>
      <c r="CR130" s="2"/>
      <c r="CU130" s="22"/>
      <c r="CV130" s="2"/>
      <c r="CW130" s="2"/>
      <c r="CY130" s="22"/>
      <c r="CZ130" s="2"/>
      <c r="DC130" s="22"/>
    </row>
    <row r="131" spans="6:107">
      <c r="F131" s="2"/>
      <c r="G131" s="15"/>
      <c r="H131" s="15"/>
      <c r="K131" s="22"/>
      <c r="L131" s="2"/>
      <c r="M131" s="15"/>
      <c r="N131" s="15"/>
      <c r="O131" s="2"/>
      <c r="R131" s="22"/>
      <c r="S131" s="2"/>
      <c r="T131" s="15"/>
      <c r="U131" s="15"/>
      <c r="V131" s="2"/>
      <c r="Y131" s="22"/>
      <c r="Z131" s="2"/>
      <c r="AC131" s="22"/>
      <c r="AD131" s="2"/>
      <c r="AG131" s="22"/>
      <c r="AH131" s="2"/>
      <c r="AI131" s="15"/>
      <c r="AJ131" s="2"/>
      <c r="AM131" s="22"/>
      <c r="AN131" s="2"/>
      <c r="AQ131" s="22"/>
      <c r="AR131" s="2"/>
      <c r="AU131" s="22"/>
      <c r="AV131" s="2"/>
      <c r="AY131" s="22"/>
      <c r="AZ131" s="2"/>
      <c r="BC131" s="22"/>
      <c r="BD131" s="15"/>
      <c r="BE131" s="2"/>
      <c r="BH131" s="22"/>
      <c r="BI131" s="2"/>
      <c r="BJ131" s="2"/>
      <c r="BL131" s="22"/>
      <c r="BM131" s="2"/>
      <c r="BP131" s="22"/>
      <c r="BQ131" s="2"/>
      <c r="BR131" s="15"/>
      <c r="BS131" s="2"/>
      <c r="BV131" s="21"/>
      <c r="BW131" s="2"/>
      <c r="BZ131" s="22"/>
      <c r="CA131" s="2"/>
      <c r="CB131" s="2"/>
      <c r="CD131" s="22"/>
      <c r="CI131" s="2"/>
      <c r="CJ131" s="15"/>
      <c r="CK131" s="2"/>
      <c r="CL131" s="2"/>
      <c r="CN131" s="22"/>
      <c r="CO131" s="2"/>
      <c r="CP131" s="2"/>
      <c r="CQ131" s="2"/>
      <c r="CR131" s="2"/>
      <c r="CU131" s="22"/>
      <c r="CV131" s="2"/>
      <c r="CW131" s="2"/>
      <c r="CY131" s="22"/>
      <c r="CZ131" s="2"/>
      <c r="DC131" s="22"/>
    </row>
    <row r="132" spans="6:107">
      <c r="F132" s="2"/>
      <c r="G132" s="15"/>
      <c r="H132" s="15"/>
      <c r="K132" s="22"/>
      <c r="L132" s="2"/>
      <c r="M132" s="15"/>
      <c r="N132" s="15"/>
      <c r="O132" s="2"/>
      <c r="R132" s="22"/>
      <c r="S132" s="2"/>
      <c r="T132" s="15"/>
      <c r="U132" s="15"/>
      <c r="V132" s="2"/>
      <c r="Y132" s="22"/>
      <c r="Z132" s="2"/>
      <c r="AC132" s="22"/>
      <c r="AD132" s="2"/>
      <c r="AG132" s="22"/>
      <c r="AH132" s="2"/>
      <c r="AI132" s="15"/>
      <c r="AJ132" s="2"/>
      <c r="AM132" s="22"/>
      <c r="AN132" s="2"/>
      <c r="AQ132" s="22"/>
      <c r="AR132" s="2"/>
      <c r="AU132" s="22"/>
      <c r="AV132" s="2"/>
      <c r="AY132" s="22"/>
      <c r="AZ132" s="2"/>
      <c r="BC132" s="22"/>
      <c r="BD132" s="15"/>
      <c r="BE132" s="2"/>
      <c r="BH132" s="22"/>
      <c r="BI132" s="2"/>
      <c r="BJ132" s="2"/>
      <c r="BL132" s="22"/>
      <c r="BM132" s="2"/>
      <c r="BP132" s="22"/>
      <c r="BQ132" s="2"/>
      <c r="BR132" s="15"/>
      <c r="BS132" s="2"/>
      <c r="BV132" s="21"/>
      <c r="BW132" s="2"/>
      <c r="BZ132" s="22"/>
      <c r="CA132" s="2"/>
      <c r="CB132" s="2"/>
      <c r="CD132" s="22"/>
      <c r="CI132" s="2"/>
      <c r="CJ132" s="15"/>
      <c r="CK132" s="2"/>
      <c r="CL132" s="2"/>
      <c r="CN132" s="22"/>
      <c r="CO132" s="2"/>
      <c r="CP132" s="2"/>
      <c r="CQ132" s="2"/>
      <c r="CR132" s="2"/>
      <c r="CU132" s="22"/>
      <c r="CV132" s="2"/>
      <c r="CW132" s="2"/>
      <c r="CY132" s="22"/>
      <c r="CZ132" s="2"/>
      <c r="DC132" s="22"/>
    </row>
    <row r="133" spans="6:107">
      <c r="F133" s="2"/>
      <c r="G133" s="15"/>
      <c r="H133" s="15"/>
      <c r="K133" s="22"/>
      <c r="L133" s="2"/>
      <c r="M133" s="15"/>
      <c r="N133" s="15"/>
      <c r="O133" s="2"/>
      <c r="R133" s="22"/>
      <c r="S133" s="2"/>
      <c r="T133" s="15"/>
      <c r="U133" s="15"/>
      <c r="V133" s="2"/>
      <c r="Y133" s="22"/>
      <c r="Z133" s="2"/>
      <c r="AC133" s="22"/>
      <c r="AD133" s="2"/>
      <c r="AG133" s="22"/>
      <c r="AH133" s="2"/>
      <c r="AI133" s="15"/>
      <c r="AJ133" s="2"/>
      <c r="AM133" s="22"/>
      <c r="AN133" s="2"/>
      <c r="AQ133" s="22"/>
      <c r="AR133" s="2"/>
      <c r="AU133" s="22"/>
      <c r="AV133" s="2"/>
      <c r="AY133" s="22"/>
      <c r="AZ133" s="2"/>
      <c r="BC133" s="22"/>
      <c r="BD133" s="15"/>
      <c r="BE133" s="2"/>
      <c r="BH133" s="22"/>
      <c r="BI133" s="2"/>
      <c r="BJ133" s="2"/>
      <c r="BL133" s="22"/>
      <c r="BM133" s="2"/>
      <c r="BP133" s="22"/>
      <c r="BQ133" s="2"/>
      <c r="BR133" s="15"/>
      <c r="BS133" s="2"/>
      <c r="BV133" s="21"/>
      <c r="BW133" s="2"/>
      <c r="BZ133" s="22"/>
      <c r="CA133" s="2"/>
      <c r="CB133" s="2"/>
      <c r="CD133" s="22"/>
      <c r="CI133" s="2"/>
      <c r="CJ133" s="15"/>
      <c r="CK133" s="2"/>
      <c r="CL133" s="2"/>
      <c r="CN133" s="22"/>
      <c r="CO133" s="2"/>
      <c r="CP133" s="2"/>
      <c r="CQ133" s="2"/>
      <c r="CR133" s="2"/>
      <c r="CU133" s="22"/>
      <c r="CV133" s="2"/>
      <c r="CW133" s="2"/>
      <c r="CY133" s="22"/>
      <c r="CZ133" s="2"/>
      <c r="DC133" s="22"/>
    </row>
    <row r="134" spans="6:107">
      <c r="F134" s="2"/>
      <c r="G134" s="15"/>
      <c r="H134" s="15"/>
      <c r="K134" s="22"/>
      <c r="L134" s="2"/>
      <c r="M134" s="15"/>
      <c r="N134" s="15"/>
      <c r="O134" s="2"/>
      <c r="R134" s="22"/>
      <c r="S134" s="2"/>
      <c r="T134" s="15"/>
      <c r="U134" s="15"/>
      <c r="V134" s="2"/>
      <c r="Y134" s="22"/>
      <c r="Z134" s="2"/>
      <c r="AC134" s="22"/>
      <c r="AD134" s="2"/>
      <c r="AG134" s="22"/>
      <c r="AH134" s="2"/>
      <c r="AI134" s="15"/>
      <c r="AJ134" s="2"/>
      <c r="AM134" s="22"/>
      <c r="AN134" s="2"/>
      <c r="AQ134" s="22"/>
      <c r="AR134" s="2"/>
      <c r="AU134" s="22"/>
      <c r="AV134" s="2"/>
      <c r="AY134" s="22"/>
      <c r="AZ134" s="2"/>
      <c r="BC134" s="22"/>
      <c r="BD134" s="15"/>
      <c r="BE134" s="2"/>
      <c r="BH134" s="22"/>
      <c r="BI134" s="2"/>
      <c r="BJ134" s="2"/>
      <c r="BL134" s="22"/>
      <c r="BM134" s="2"/>
      <c r="BP134" s="22"/>
      <c r="BQ134" s="2"/>
      <c r="BR134" s="15"/>
      <c r="BS134" s="2"/>
      <c r="BV134" s="21"/>
      <c r="BW134" s="2"/>
      <c r="BZ134" s="22"/>
      <c r="CA134" s="2"/>
      <c r="CB134" s="2"/>
      <c r="CD134" s="22"/>
      <c r="CI134" s="2"/>
      <c r="CJ134" s="15"/>
      <c r="CK134" s="2"/>
      <c r="CL134" s="2"/>
      <c r="CN134" s="22"/>
      <c r="CO134" s="2"/>
      <c r="CP134" s="2"/>
      <c r="CQ134" s="2"/>
      <c r="CR134" s="2"/>
      <c r="CU134" s="22"/>
      <c r="CV134" s="2"/>
      <c r="CW134" s="2"/>
      <c r="CY134" s="22"/>
      <c r="CZ134" s="2"/>
      <c r="DC134" s="22"/>
    </row>
    <row r="135" spans="6:107">
      <c r="F135" s="2"/>
      <c r="G135" s="15"/>
      <c r="H135" s="15"/>
      <c r="K135" s="22"/>
      <c r="L135" s="2"/>
      <c r="M135" s="15"/>
      <c r="N135" s="15"/>
      <c r="O135" s="2"/>
      <c r="R135" s="22"/>
      <c r="S135" s="2"/>
      <c r="T135" s="15"/>
      <c r="U135" s="15"/>
      <c r="V135" s="2"/>
      <c r="Y135" s="22"/>
      <c r="Z135" s="2"/>
      <c r="AC135" s="22"/>
      <c r="AD135" s="2"/>
      <c r="AG135" s="22"/>
      <c r="AH135" s="2"/>
      <c r="AI135" s="15"/>
      <c r="AJ135" s="2"/>
      <c r="AM135" s="22"/>
      <c r="AN135" s="2"/>
      <c r="AQ135" s="22"/>
      <c r="AR135" s="2"/>
      <c r="AU135" s="22"/>
      <c r="AV135" s="2"/>
      <c r="AY135" s="22"/>
      <c r="AZ135" s="2"/>
      <c r="BC135" s="22"/>
      <c r="BD135" s="15"/>
      <c r="BE135" s="2"/>
      <c r="BH135" s="22"/>
      <c r="BI135" s="2"/>
      <c r="BJ135" s="2"/>
      <c r="BL135" s="22"/>
      <c r="BM135" s="2"/>
      <c r="BP135" s="22"/>
      <c r="BQ135" s="2"/>
      <c r="BR135" s="15"/>
      <c r="BS135" s="2"/>
      <c r="BV135" s="21"/>
      <c r="BW135" s="2"/>
      <c r="BZ135" s="22"/>
      <c r="CA135" s="2"/>
      <c r="CB135" s="2"/>
      <c r="CD135" s="22"/>
      <c r="CI135" s="2"/>
      <c r="CJ135" s="15"/>
      <c r="CK135" s="2"/>
      <c r="CL135" s="2"/>
      <c r="CN135" s="22"/>
      <c r="CO135" s="2"/>
      <c r="CP135" s="2"/>
      <c r="CQ135" s="2"/>
      <c r="CR135" s="2"/>
      <c r="CU135" s="22"/>
      <c r="CV135" s="2"/>
      <c r="CW135" s="2"/>
      <c r="CY135" s="22"/>
      <c r="CZ135" s="2"/>
      <c r="DC135" s="22"/>
    </row>
    <row r="136" spans="6:107">
      <c r="F136" s="2"/>
      <c r="G136" s="15"/>
      <c r="H136" s="15"/>
      <c r="K136" s="22"/>
      <c r="L136" s="2"/>
      <c r="M136" s="15"/>
      <c r="N136" s="15"/>
      <c r="O136" s="2"/>
      <c r="R136" s="22"/>
      <c r="S136" s="2"/>
      <c r="T136" s="15"/>
      <c r="U136" s="15"/>
      <c r="V136" s="2"/>
      <c r="Y136" s="22"/>
      <c r="Z136" s="2"/>
      <c r="AC136" s="22"/>
      <c r="AD136" s="2"/>
      <c r="AG136" s="22"/>
      <c r="AH136" s="2"/>
      <c r="AI136" s="15"/>
      <c r="AJ136" s="2"/>
      <c r="AM136" s="22"/>
      <c r="AN136" s="2"/>
      <c r="AQ136" s="22"/>
      <c r="AR136" s="2"/>
      <c r="AU136" s="22"/>
      <c r="AV136" s="2"/>
      <c r="AY136" s="22"/>
      <c r="AZ136" s="2"/>
      <c r="BC136" s="22"/>
      <c r="BD136" s="15"/>
      <c r="BE136" s="2"/>
      <c r="BH136" s="22"/>
      <c r="BI136" s="2"/>
      <c r="BJ136" s="2"/>
      <c r="BL136" s="22"/>
      <c r="BM136" s="2"/>
      <c r="BP136" s="22"/>
      <c r="BQ136" s="2"/>
      <c r="BR136" s="15"/>
      <c r="BS136" s="2"/>
      <c r="BV136" s="21"/>
      <c r="BW136" s="2"/>
      <c r="BZ136" s="22"/>
      <c r="CA136" s="2"/>
      <c r="CB136" s="2"/>
      <c r="CD136" s="22"/>
      <c r="CI136" s="2"/>
      <c r="CJ136" s="15"/>
      <c r="CK136" s="2"/>
      <c r="CL136" s="2"/>
      <c r="CN136" s="22"/>
      <c r="CO136" s="2"/>
      <c r="CP136" s="2"/>
      <c r="CQ136" s="2"/>
      <c r="CR136" s="2"/>
      <c r="CU136" s="22"/>
      <c r="CV136" s="2"/>
      <c r="CW136" s="2"/>
      <c r="CY136" s="22"/>
      <c r="CZ136" s="2"/>
      <c r="DC136" s="22"/>
    </row>
    <row r="137" spans="6:107">
      <c r="F137" s="2"/>
      <c r="G137" s="15"/>
      <c r="H137" s="15"/>
      <c r="K137" s="22"/>
      <c r="L137" s="2"/>
      <c r="M137" s="15"/>
      <c r="N137" s="15"/>
      <c r="O137" s="2"/>
      <c r="R137" s="22"/>
      <c r="S137" s="2"/>
      <c r="T137" s="15"/>
      <c r="U137" s="15"/>
      <c r="V137" s="2"/>
      <c r="Y137" s="22"/>
      <c r="Z137" s="2"/>
      <c r="AC137" s="22"/>
      <c r="AD137" s="2"/>
      <c r="AG137" s="22"/>
      <c r="AH137" s="2"/>
      <c r="AI137" s="15"/>
      <c r="AJ137" s="2"/>
      <c r="AM137" s="22"/>
      <c r="AN137" s="2"/>
      <c r="AQ137" s="22"/>
      <c r="AR137" s="2"/>
      <c r="AU137" s="22"/>
      <c r="AV137" s="2"/>
      <c r="AY137" s="22"/>
      <c r="AZ137" s="2"/>
      <c r="BC137" s="22"/>
      <c r="BD137" s="15"/>
      <c r="BE137" s="2"/>
      <c r="BH137" s="22"/>
      <c r="BI137" s="2"/>
      <c r="BJ137" s="2"/>
      <c r="BL137" s="22"/>
      <c r="BM137" s="2"/>
      <c r="BP137" s="22"/>
      <c r="BQ137" s="2"/>
      <c r="BR137" s="15"/>
      <c r="BS137" s="2"/>
      <c r="BV137" s="21"/>
      <c r="BW137" s="2"/>
      <c r="BZ137" s="22"/>
      <c r="CA137" s="2"/>
      <c r="CB137" s="2"/>
      <c r="CD137" s="22"/>
      <c r="CI137" s="2"/>
      <c r="CJ137" s="15"/>
      <c r="CK137" s="2"/>
      <c r="CL137" s="2"/>
      <c r="CN137" s="22"/>
      <c r="CO137" s="2"/>
      <c r="CP137" s="2"/>
      <c r="CQ137" s="2"/>
      <c r="CR137" s="2"/>
      <c r="CU137" s="22"/>
      <c r="CV137" s="2"/>
      <c r="CW137" s="2"/>
      <c r="CY137" s="22"/>
      <c r="CZ137" s="2"/>
      <c r="DC137" s="22"/>
    </row>
    <row r="138" spans="6:107">
      <c r="F138" s="2"/>
      <c r="G138" s="15"/>
      <c r="H138" s="15"/>
      <c r="K138" s="22"/>
      <c r="L138" s="2"/>
      <c r="M138" s="15"/>
      <c r="N138" s="15"/>
      <c r="O138" s="2"/>
      <c r="R138" s="22"/>
      <c r="S138" s="2"/>
      <c r="T138" s="15"/>
      <c r="U138" s="15"/>
      <c r="V138" s="2"/>
      <c r="Y138" s="22"/>
      <c r="Z138" s="2"/>
      <c r="AC138" s="22"/>
      <c r="AD138" s="2"/>
      <c r="AG138" s="22"/>
      <c r="AH138" s="2"/>
      <c r="AI138" s="15"/>
      <c r="AJ138" s="2"/>
      <c r="AM138" s="22"/>
      <c r="AN138" s="2"/>
      <c r="AQ138" s="22"/>
      <c r="AR138" s="2"/>
      <c r="AU138" s="22"/>
      <c r="AV138" s="2"/>
      <c r="AY138" s="22"/>
      <c r="AZ138" s="2"/>
      <c r="BC138" s="22"/>
      <c r="BD138" s="15"/>
      <c r="BE138" s="2"/>
      <c r="BH138" s="22"/>
      <c r="BI138" s="2"/>
      <c r="BJ138" s="2"/>
      <c r="BL138" s="22"/>
      <c r="BM138" s="2"/>
      <c r="BP138" s="22"/>
      <c r="BQ138" s="2"/>
      <c r="BR138" s="15"/>
      <c r="BS138" s="2"/>
      <c r="BV138" s="21"/>
      <c r="BW138" s="2"/>
      <c r="BZ138" s="22"/>
      <c r="CA138" s="2"/>
      <c r="CB138" s="2"/>
      <c r="CD138" s="22"/>
      <c r="CI138" s="2"/>
      <c r="CJ138" s="15"/>
      <c r="CK138" s="2"/>
      <c r="CL138" s="2"/>
      <c r="CN138" s="22"/>
      <c r="CO138" s="2"/>
      <c r="CP138" s="2"/>
      <c r="CQ138" s="2"/>
      <c r="CR138" s="2"/>
      <c r="CU138" s="22"/>
      <c r="CV138" s="2"/>
      <c r="CW138" s="2"/>
      <c r="CY138" s="22"/>
      <c r="CZ138" s="2"/>
      <c r="DC138" s="22"/>
    </row>
    <row r="139" spans="6:107">
      <c r="F139" s="2"/>
      <c r="G139" s="15"/>
      <c r="H139" s="15"/>
      <c r="K139" s="22"/>
      <c r="L139" s="2"/>
      <c r="M139" s="15"/>
      <c r="N139" s="15"/>
      <c r="O139" s="2"/>
      <c r="R139" s="22"/>
      <c r="S139" s="2"/>
      <c r="T139" s="15"/>
      <c r="U139" s="15"/>
      <c r="V139" s="2"/>
      <c r="Y139" s="22"/>
      <c r="Z139" s="2"/>
      <c r="AC139" s="22"/>
      <c r="AD139" s="2"/>
      <c r="AG139" s="22"/>
      <c r="AH139" s="2"/>
      <c r="AI139" s="15"/>
      <c r="AJ139" s="2"/>
      <c r="AM139" s="22"/>
      <c r="AN139" s="2"/>
      <c r="AQ139" s="22"/>
      <c r="AR139" s="2"/>
      <c r="AU139" s="22"/>
      <c r="AV139" s="2"/>
      <c r="AY139" s="22"/>
      <c r="AZ139" s="2"/>
      <c r="BC139" s="22"/>
      <c r="BD139" s="15"/>
      <c r="BE139" s="2"/>
      <c r="BH139" s="22"/>
      <c r="BI139" s="2"/>
      <c r="BJ139" s="2"/>
      <c r="BL139" s="22"/>
      <c r="BM139" s="2"/>
      <c r="BP139" s="22"/>
      <c r="BQ139" s="2"/>
      <c r="BR139" s="15"/>
      <c r="BS139" s="2"/>
      <c r="BV139" s="21"/>
      <c r="BW139" s="2"/>
      <c r="BZ139" s="22"/>
      <c r="CA139" s="2"/>
      <c r="CB139" s="2"/>
      <c r="CD139" s="22"/>
      <c r="CI139" s="2"/>
      <c r="CJ139" s="15"/>
      <c r="CK139" s="2"/>
      <c r="CL139" s="2"/>
      <c r="CN139" s="22"/>
      <c r="CO139" s="2"/>
      <c r="CP139" s="2"/>
      <c r="CQ139" s="2"/>
      <c r="CR139" s="2"/>
      <c r="CU139" s="22"/>
      <c r="CV139" s="2"/>
      <c r="CW139" s="2"/>
      <c r="CY139" s="22"/>
      <c r="CZ139" s="2"/>
      <c r="DC139" s="22"/>
    </row>
    <row r="140" spans="6:107">
      <c r="F140" s="2"/>
      <c r="G140" s="15"/>
      <c r="H140" s="15"/>
      <c r="K140" s="22"/>
      <c r="L140" s="2"/>
      <c r="M140" s="15"/>
      <c r="N140" s="15"/>
      <c r="O140" s="2"/>
      <c r="R140" s="22"/>
      <c r="S140" s="2"/>
      <c r="T140" s="15"/>
      <c r="U140" s="15"/>
      <c r="V140" s="2"/>
      <c r="Y140" s="22"/>
      <c r="Z140" s="2"/>
      <c r="AC140" s="22"/>
      <c r="AD140" s="2"/>
      <c r="AG140" s="22"/>
      <c r="AH140" s="2"/>
      <c r="AI140" s="15"/>
      <c r="AJ140" s="2"/>
      <c r="AM140" s="22"/>
      <c r="AN140" s="2"/>
      <c r="AQ140" s="22"/>
      <c r="AR140" s="2"/>
      <c r="AU140" s="22"/>
      <c r="AV140" s="2"/>
      <c r="AY140" s="22"/>
      <c r="AZ140" s="2"/>
      <c r="BC140" s="22"/>
      <c r="BD140" s="15"/>
      <c r="BE140" s="2"/>
      <c r="BH140" s="22"/>
      <c r="BI140" s="2"/>
      <c r="BJ140" s="2"/>
      <c r="BL140" s="22"/>
      <c r="BM140" s="2"/>
      <c r="BP140" s="22"/>
      <c r="BQ140" s="2"/>
      <c r="BR140" s="15"/>
      <c r="BS140" s="2"/>
      <c r="BV140" s="21"/>
      <c r="BW140" s="2"/>
      <c r="BZ140" s="22"/>
      <c r="CA140" s="2"/>
      <c r="CB140" s="2"/>
      <c r="CD140" s="22"/>
      <c r="CI140" s="2"/>
      <c r="CJ140" s="15"/>
      <c r="CK140" s="2"/>
      <c r="CL140" s="2"/>
      <c r="CN140" s="22"/>
      <c r="CO140" s="2"/>
      <c r="CP140" s="2"/>
      <c r="CQ140" s="2"/>
      <c r="CR140" s="2"/>
      <c r="CU140" s="22"/>
      <c r="CV140" s="2"/>
      <c r="CW140" s="2"/>
      <c r="CY140" s="22"/>
      <c r="CZ140" s="2"/>
      <c r="DC140" s="22"/>
    </row>
    <row r="141" spans="6:107">
      <c r="F141" s="2"/>
      <c r="G141" s="15"/>
      <c r="H141" s="15"/>
      <c r="K141" s="22"/>
      <c r="L141" s="2"/>
      <c r="M141" s="15"/>
      <c r="N141" s="15"/>
      <c r="O141" s="2"/>
      <c r="R141" s="22"/>
      <c r="S141" s="2"/>
      <c r="T141" s="15"/>
      <c r="U141" s="15"/>
      <c r="V141" s="2"/>
      <c r="Y141" s="22"/>
      <c r="Z141" s="2"/>
      <c r="AC141" s="22"/>
      <c r="AD141" s="2"/>
      <c r="AG141" s="22"/>
      <c r="AH141" s="2"/>
      <c r="AI141" s="15"/>
      <c r="AJ141" s="2"/>
      <c r="AM141" s="22"/>
      <c r="AN141" s="2"/>
      <c r="AQ141" s="22"/>
      <c r="AR141" s="2"/>
      <c r="AU141" s="22"/>
      <c r="AV141" s="2"/>
      <c r="AY141" s="22"/>
      <c r="AZ141" s="2"/>
      <c r="BC141" s="22"/>
      <c r="BD141" s="15"/>
      <c r="BE141" s="2"/>
      <c r="BH141" s="22"/>
      <c r="BI141" s="2"/>
      <c r="BJ141" s="2"/>
      <c r="BL141" s="22"/>
      <c r="BM141" s="2"/>
      <c r="BP141" s="22"/>
      <c r="BQ141" s="2"/>
      <c r="BR141" s="15"/>
      <c r="BS141" s="2"/>
      <c r="BV141" s="21"/>
      <c r="BW141" s="2"/>
      <c r="BZ141" s="22"/>
      <c r="CA141" s="2"/>
      <c r="CB141" s="2"/>
      <c r="CD141" s="22"/>
      <c r="CI141" s="2"/>
      <c r="CJ141" s="15"/>
      <c r="CK141" s="2"/>
      <c r="CL141" s="2"/>
      <c r="CN141" s="22"/>
      <c r="CO141" s="2"/>
      <c r="CP141" s="2"/>
      <c r="CQ141" s="2"/>
      <c r="CR141" s="2"/>
      <c r="CU141" s="22"/>
      <c r="CV141" s="2"/>
      <c r="CW141" s="2"/>
      <c r="CY141" s="22"/>
      <c r="CZ141" s="2"/>
      <c r="DC141" s="22"/>
    </row>
    <row r="142" spans="6:107">
      <c r="F142" s="2"/>
      <c r="G142" s="15"/>
      <c r="H142" s="15"/>
      <c r="K142" s="22"/>
      <c r="L142" s="2"/>
      <c r="M142" s="15"/>
      <c r="N142" s="15"/>
      <c r="O142" s="2"/>
      <c r="R142" s="22"/>
      <c r="S142" s="2"/>
      <c r="T142" s="15"/>
      <c r="U142" s="15"/>
      <c r="V142" s="2"/>
      <c r="Y142" s="22"/>
      <c r="Z142" s="2"/>
      <c r="AC142" s="22"/>
      <c r="AD142" s="2"/>
      <c r="AG142" s="22"/>
      <c r="AH142" s="2"/>
      <c r="AI142" s="15"/>
      <c r="AJ142" s="2"/>
      <c r="AM142" s="22"/>
      <c r="AN142" s="2"/>
      <c r="AQ142" s="22"/>
      <c r="AR142" s="2"/>
      <c r="AU142" s="22"/>
      <c r="AV142" s="2"/>
      <c r="AY142" s="22"/>
      <c r="AZ142" s="2"/>
      <c r="BC142" s="22"/>
      <c r="BD142" s="15"/>
      <c r="BE142" s="2"/>
      <c r="BH142" s="22"/>
      <c r="BI142" s="2"/>
      <c r="BJ142" s="2"/>
      <c r="BL142" s="22"/>
      <c r="BM142" s="2"/>
      <c r="BP142" s="22"/>
      <c r="BQ142" s="2"/>
      <c r="BR142" s="15"/>
      <c r="BS142" s="2"/>
      <c r="BV142" s="21"/>
      <c r="BW142" s="2"/>
      <c r="BZ142" s="22"/>
      <c r="CA142" s="2"/>
      <c r="CB142" s="2"/>
      <c r="CD142" s="22"/>
      <c r="CI142" s="2"/>
      <c r="CJ142" s="15"/>
      <c r="CK142" s="2"/>
      <c r="CL142" s="2"/>
      <c r="CN142" s="22"/>
      <c r="CO142" s="2"/>
      <c r="CP142" s="2"/>
      <c r="CQ142" s="2"/>
      <c r="CR142" s="2"/>
      <c r="CU142" s="22"/>
      <c r="CV142" s="2"/>
      <c r="CW142" s="2"/>
      <c r="CY142" s="22"/>
      <c r="CZ142" s="2"/>
      <c r="DC142" s="22"/>
    </row>
    <row r="143" spans="6:107">
      <c r="F143" s="2"/>
      <c r="G143" s="15"/>
      <c r="H143" s="15"/>
      <c r="K143" s="22"/>
      <c r="L143" s="2"/>
      <c r="M143" s="15"/>
      <c r="N143" s="15"/>
      <c r="O143" s="2"/>
      <c r="R143" s="22"/>
      <c r="S143" s="2"/>
      <c r="T143" s="15"/>
      <c r="U143" s="15"/>
      <c r="V143" s="2"/>
      <c r="Y143" s="22"/>
      <c r="Z143" s="2"/>
      <c r="AC143" s="22"/>
      <c r="AD143" s="2"/>
      <c r="AG143" s="22"/>
      <c r="AH143" s="2"/>
      <c r="AI143" s="15"/>
      <c r="AJ143" s="2"/>
      <c r="AM143" s="22"/>
      <c r="AN143" s="2"/>
      <c r="AQ143" s="22"/>
      <c r="AR143" s="2"/>
      <c r="AU143" s="22"/>
      <c r="AV143" s="2"/>
      <c r="AY143" s="22"/>
      <c r="AZ143" s="2"/>
      <c r="BC143" s="22"/>
      <c r="BD143" s="15"/>
      <c r="BE143" s="2"/>
      <c r="BH143" s="22"/>
      <c r="BI143" s="2"/>
      <c r="BJ143" s="2"/>
      <c r="BL143" s="22"/>
      <c r="BM143" s="2"/>
      <c r="BP143" s="22"/>
      <c r="BQ143" s="2"/>
      <c r="BR143" s="15"/>
      <c r="BS143" s="2"/>
      <c r="BV143" s="21"/>
      <c r="BW143" s="2"/>
      <c r="BZ143" s="22"/>
      <c r="CA143" s="2"/>
      <c r="CB143" s="2"/>
      <c r="CD143" s="22"/>
      <c r="CI143" s="2"/>
      <c r="CJ143" s="15"/>
      <c r="CK143" s="2"/>
      <c r="CL143" s="2"/>
      <c r="CN143" s="22"/>
      <c r="CO143" s="2"/>
      <c r="CP143" s="2"/>
      <c r="CQ143" s="2"/>
      <c r="CR143" s="2"/>
      <c r="CU143" s="22"/>
      <c r="CV143" s="2"/>
      <c r="CW143" s="2"/>
      <c r="CY143" s="22"/>
      <c r="CZ143" s="2"/>
      <c r="DC143" s="22"/>
    </row>
    <row r="144" spans="6:107">
      <c r="F144" s="1"/>
      <c r="G144" s="16"/>
      <c r="H144" s="16"/>
      <c r="K144" s="23"/>
      <c r="L144" s="1"/>
      <c r="M144" s="16"/>
      <c r="N144" s="16"/>
      <c r="O144" s="1"/>
      <c r="R144" s="23"/>
      <c r="S144" s="1"/>
      <c r="T144" s="16"/>
      <c r="U144" s="16"/>
      <c r="V144" s="1"/>
      <c r="Y144" s="23"/>
      <c r="Z144" s="1"/>
      <c r="AC144" s="23"/>
      <c r="AD144" s="1"/>
      <c r="AG144" s="23"/>
      <c r="AH144" s="1"/>
      <c r="AI144" s="16"/>
      <c r="AJ144" s="1"/>
      <c r="AM144" s="23"/>
      <c r="AN144" s="1"/>
      <c r="AQ144" s="23"/>
      <c r="AR144" s="1"/>
      <c r="AU144" s="23"/>
      <c r="AV144" s="1"/>
      <c r="AY144" s="23"/>
      <c r="AZ144" s="1"/>
      <c r="BC144" s="23"/>
      <c r="BD144" s="16"/>
      <c r="BE144" s="1"/>
      <c r="BH144" s="23"/>
      <c r="BI144" s="1"/>
      <c r="BJ144" s="1"/>
      <c r="BL144" s="23"/>
      <c r="BM144" s="1"/>
      <c r="BP144" s="23"/>
      <c r="BQ144" s="1"/>
      <c r="BR144" s="16"/>
      <c r="BS144" s="1"/>
      <c r="BV144" s="33"/>
      <c r="BW144" s="1"/>
      <c r="BZ144" s="23"/>
      <c r="CA144" s="1"/>
      <c r="CB144" s="1"/>
      <c r="CD144" s="23"/>
      <c r="CI144" s="1"/>
      <c r="CJ144" s="16"/>
      <c r="CK144" s="1"/>
      <c r="CL144" s="1"/>
      <c r="CN144" s="23"/>
      <c r="CO144" s="1"/>
      <c r="CP144" s="1"/>
      <c r="CQ144" s="1"/>
      <c r="CR144" s="1"/>
      <c r="CU144" s="23"/>
      <c r="CV144" s="1"/>
      <c r="CW144" s="1"/>
      <c r="CY144" s="23"/>
      <c r="CZ144" s="1"/>
      <c r="DC144" s="23"/>
    </row>
    <row r="145" spans="6:107">
      <c r="F145" s="1"/>
      <c r="G145" s="16"/>
      <c r="H145" s="16"/>
      <c r="K145" s="23"/>
      <c r="L145" s="1"/>
      <c r="M145" s="16"/>
      <c r="N145" s="16"/>
      <c r="O145" s="1"/>
      <c r="R145" s="23"/>
      <c r="S145" s="1"/>
      <c r="T145" s="16"/>
      <c r="U145" s="16"/>
      <c r="V145" s="1"/>
      <c r="Y145" s="23"/>
      <c r="Z145" s="1"/>
      <c r="AC145" s="23"/>
      <c r="AD145" s="1"/>
      <c r="AG145" s="23"/>
      <c r="AH145" s="1"/>
      <c r="AI145" s="16"/>
      <c r="AJ145" s="1"/>
      <c r="AM145" s="23"/>
      <c r="AN145" s="1"/>
      <c r="AQ145" s="23"/>
      <c r="AR145" s="1"/>
      <c r="AU145" s="23"/>
      <c r="AV145" s="1"/>
      <c r="AY145" s="23"/>
      <c r="AZ145" s="1"/>
      <c r="BC145" s="23"/>
      <c r="BD145" s="16"/>
      <c r="BE145" s="1"/>
      <c r="BH145" s="23"/>
      <c r="BI145" s="1"/>
      <c r="BJ145" s="1"/>
      <c r="BL145" s="23"/>
      <c r="BM145" s="1"/>
      <c r="BP145" s="23"/>
      <c r="BQ145" s="1"/>
      <c r="BR145" s="16"/>
      <c r="BS145" s="1"/>
      <c r="BV145" s="33"/>
      <c r="BW145" s="1"/>
      <c r="BZ145" s="23"/>
      <c r="CA145" s="1"/>
      <c r="CB145" s="1"/>
      <c r="CD145" s="23"/>
      <c r="CI145" s="1"/>
      <c r="CJ145" s="16"/>
      <c r="CK145" s="1"/>
      <c r="CL145" s="1"/>
      <c r="CN145" s="23"/>
      <c r="CO145" s="1"/>
      <c r="CP145" s="1"/>
      <c r="CQ145" s="1"/>
      <c r="CR145" s="1"/>
      <c r="CU145" s="23"/>
      <c r="CV145" s="1"/>
      <c r="CW145" s="1"/>
      <c r="CY145" s="23"/>
      <c r="CZ145" s="1"/>
      <c r="DC145" s="23"/>
    </row>
    <row r="146" spans="6:107">
      <c r="F146" s="1"/>
      <c r="G146" s="16"/>
      <c r="H146" s="16"/>
      <c r="K146" s="23"/>
      <c r="L146" s="1"/>
      <c r="M146" s="16"/>
      <c r="N146" s="16"/>
      <c r="O146" s="1"/>
      <c r="R146" s="23"/>
      <c r="S146" s="1"/>
      <c r="T146" s="16"/>
      <c r="U146" s="16"/>
      <c r="V146" s="1"/>
      <c r="Y146" s="23"/>
      <c r="Z146" s="1"/>
      <c r="AC146" s="23"/>
      <c r="AD146" s="1"/>
      <c r="AG146" s="23"/>
      <c r="AH146" s="1"/>
      <c r="AI146" s="16"/>
      <c r="AJ146" s="1"/>
      <c r="AM146" s="23"/>
      <c r="AN146" s="1"/>
      <c r="AQ146" s="23"/>
      <c r="AR146" s="1"/>
      <c r="AU146" s="23"/>
      <c r="AV146" s="1"/>
      <c r="AY146" s="23"/>
      <c r="AZ146" s="1"/>
      <c r="BC146" s="23"/>
      <c r="BD146" s="16"/>
      <c r="BE146" s="1"/>
      <c r="BH146" s="23"/>
      <c r="BI146" s="1"/>
      <c r="BJ146" s="1"/>
      <c r="BL146" s="23"/>
      <c r="BM146" s="1"/>
      <c r="BP146" s="23"/>
      <c r="BQ146" s="1"/>
      <c r="BR146" s="16"/>
      <c r="BS146" s="1"/>
      <c r="BV146" s="33"/>
      <c r="BW146" s="1"/>
      <c r="BZ146" s="23"/>
      <c r="CA146" s="1"/>
      <c r="CB146" s="1"/>
      <c r="CD146" s="23"/>
      <c r="CI146" s="1"/>
      <c r="CJ146" s="16"/>
      <c r="CK146" s="1"/>
      <c r="CL146" s="1"/>
      <c r="CN146" s="23"/>
      <c r="CO146" s="1"/>
      <c r="CP146" s="1"/>
      <c r="CQ146" s="1"/>
      <c r="CR146" s="1"/>
      <c r="CU146" s="23"/>
      <c r="CV146" s="1"/>
      <c r="CW146" s="1"/>
      <c r="CY146" s="23"/>
      <c r="CZ146" s="1"/>
      <c r="DC146" s="23"/>
    </row>
    <row r="147" spans="6:107">
      <c r="F147" s="1"/>
      <c r="G147" s="16"/>
      <c r="H147" s="16"/>
      <c r="K147" s="23"/>
      <c r="L147" s="1"/>
      <c r="M147" s="16"/>
      <c r="N147" s="16"/>
      <c r="O147" s="1"/>
      <c r="R147" s="23"/>
      <c r="S147" s="1"/>
      <c r="T147" s="16"/>
      <c r="U147" s="16"/>
      <c r="V147" s="1"/>
      <c r="Y147" s="23"/>
      <c r="Z147" s="1"/>
      <c r="AC147" s="23"/>
      <c r="AD147" s="1"/>
      <c r="AG147" s="23"/>
      <c r="AH147" s="1"/>
      <c r="AI147" s="16"/>
      <c r="AJ147" s="1"/>
      <c r="AM147" s="23"/>
      <c r="AN147" s="1"/>
      <c r="AQ147" s="23"/>
      <c r="AR147" s="1"/>
      <c r="AU147" s="23"/>
      <c r="AV147" s="1"/>
      <c r="AY147" s="23"/>
      <c r="AZ147" s="1"/>
      <c r="BC147" s="23"/>
      <c r="BD147" s="16"/>
      <c r="BE147" s="1"/>
      <c r="BH147" s="23"/>
      <c r="BI147" s="1"/>
      <c r="BJ147" s="1"/>
      <c r="BL147" s="23"/>
      <c r="BM147" s="1"/>
      <c r="BP147" s="23"/>
      <c r="BQ147" s="1"/>
      <c r="BR147" s="16"/>
      <c r="BS147" s="1"/>
      <c r="BV147" s="33"/>
      <c r="BW147" s="1"/>
      <c r="BZ147" s="23"/>
      <c r="CA147" s="1"/>
      <c r="CB147" s="1"/>
      <c r="CD147" s="23"/>
      <c r="CI147" s="1"/>
      <c r="CJ147" s="16"/>
      <c r="CK147" s="1"/>
      <c r="CL147" s="1"/>
      <c r="CN147" s="23"/>
      <c r="CO147" s="1"/>
      <c r="CP147" s="1"/>
      <c r="CQ147" s="1"/>
      <c r="CR147" s="1"/>
      <c r="CU147" s="23"/>
      <c r="CV147" s="1"/>
      <c r="CW147" s="1"/>
      <c r="CY147" s="23"/>
      <c r="CZ147" s="1"/>
      <c r="DC147" s="23"/>
    </row>
    <row r="148" spans="6:107">
      <c r="F148" s="1"/>
      <c r="G148" s="16"/>
      <c r="H148" s="16"/>
      <c r="K148" s="23"/>
      <c r="L148" s="1"/>
      <c r="M148" s="16"/>
      <c r="N148" s="16"/>
      <c r="O148" s="1"/>
      <c r="R148" s="23"/>
      <c r="S148" s="1"/>
      <c r="T148" s="16"/>
      <c r="U148" s="16"/>
      <c r="V148" s="1"/>
      <c r="Y148" s="23"/>
      <c r="Z148" s="1"/>
      <c r="AC148" s="23"/>
      <c r="AD148" s="1"/>
      <c r="AG148" s="23"/>
      <c r="AH148" s="1"/>
      <c r="AI148" s="16"/>
      <c r="AJ148" s="1"/>
      <c r="AM148" s="23"/>
      <c r="AN148" s="1"/>
      <c r="AQ148" s="23"/>
      <c r="AR148" s="1"/>
      <c r="AU148" s="23"/>
      <c r="AV148" s="1"/>
      <c r="AY148" s="23"/>
      <c r="AZ148" s="1"/>
      <c r="BC148" s="23"/>
      <c r="BD148" s="16"/>
      <c r="BE148" s="1"/>
      <c r="BH148" s="23"/>
      <c r="BI148" s="1"/>
      <c r="BJ148" s="1"/>
      <c r="BL148" s="23"/>
      <c r="BM148" s="1"/>
      <c r="BP148" s="23"/>
      <c r="BQ148" s="1"/>
      <c r="BR148" s="16"/>
      <c r="BS148" s="1"/>
      <c r="BV148" s="33"/>
      <c r="BW148" s="1"/>
      <c r="BZ148" s="23"/>
      <c r="CA148" s="1"/>
      <c r="CB148" s="1"/>
      <c r="CD148" s="23"/>
      <c r="CI148" s="1"/>
      <c r="CJ148" s="16"/>
      <c r="CK148" s="1"/>
      <c r="CL148" s="1"/>
      <c r="CN148" s="23"/>
      <c r="CO148" s="1"/>
      <c r="CP148" s="1"/>
      <c r="CQ148" s="1"/>
      <c r="CR148" s="1"/>
      <c r="CU148" s="23"/>
      <c r="CV148" s="1"/>
      <c r="CW148" s="1"/>
      <c r="CY148" s="23"/>
      <c r="CZ148" s="1"/>
      <c r="DC148" s="23"/>
    </row>
    <row r="149" spans="6:107">
      <c r="F149" s="1"/>
      <c r="G149" s="16"/>
      <c r="H149" s="16"/>
      <c r="K149" s="23"/>
      <c r="L149" s="1"/>
      <c r="M149" s="16"/>
      <c r="N149" s="16"/>
      <c r="O149" s="1"/>
      <c r="R149" s="23"/>
      <c r="S149" s="1"/>
      <c r="T149" s="16"/>
      <c r="U149" s="16"/>
      <c r="V149" s="1"/>
      <c r="Y149" s="23"/>
      <c r="Z149" s="1"/>
      <c r="AC149" s="23"/>
      <c r="AD149" s="1"/>
      <c r="AG149" s="23"/>
      <c r="AH149" s="1"/>
      <c r="AI149" s="16"/>
      <c r="AJ149" s="1"/>
      <c r="AM149" s="23"/>
      <c r="AN149" s="1"/>
      <c r="AQ149" s="23"/>
      <c r="AR149" s="1"/>
      <c r="AU149" s="23"/>
      <c r="AV149" s="1"/>
      <c r="AY149" s="23"/>
      <c r="AZ149" s="1"/>
      <c r="BC149" s="23"/>
      <c r="BD149" s="16"/>
      <c r="BE149" s="1"/>
      <c r="BH149" s="23"/>
      <c r="BI149" s="1"/>
      <c r="BJ149" s="1"/>
      <c r="BL149" s="23"/>
      <c r="BM149" s="1"/>
      <c r="BP149" s="23"/>
      <c r="BQ149" s="1"/>
      <c r="BR149" s="16"/>
      <c r="BS149" s="1"/>
      <c r="BV149" s="33"/>
      <c r="BW149" s="1"/>
      <c r="BZ149" s="23"/>
      <c r="CA149" s="1"/>
      <c r="CB149" s="1"/>
      <c r="CD149" s="23"/>
      <c r="CI149" s="1"/>
      <c r="CJ149" s="16"/>
      <c r="CK149" s="1"/>
      <c r="CL149" s="1"/>
      <c r="CN149" s="23"/>
      <c r="CO149" s="1"/>
      <c r="CP149" s="1"/>
      <c r="CQ149" s="1"/>
      <c r="CR149" s="1"/>
      <c r="CU149" s="23"/>
      <c r="CV149" s="1"/>
      <c r="CW149" s="1"/>
      <c r="CY149" s="23"/>
      <c r="CZ149" s="1"/>
      <c r="DC149" s="23"/>
    </row>
    <row r="150" spans="6:107">
      <c r="F150" s="1"/>
      <c r="G150" s="16"/>
      <c r="H150" s="16"/>
      <c r="K150" s="23"/>
      <c r="L150" s="1"/>
      <c r="M150" s="16"/>
      <c r="N150" s="16"/>
      <c r="O150" s="1"/>
      <c r="R150" s="23"/>
      <c r="S150" s="1"/>
      <c r="T150" s="16"/>
      <c r="U150" s="16"/>
      <c r="V150" s="1"/>
      <c r="Y150" s="23"/>
      <c r="Z150" s="1"/>
      <c r="AC150" s="23"/>
      <c r="AD150" s="1"/>
      <c r="AG150" s="23"/>
      <c r="AH150" s="1"/>
      <c r="AI150" s="16"/>
      <c r="AJ150" s="1"/>
      <c r="AM150" s="23"/>
      <c r="AN150" s="1"/>
      <c r="AQ150" s="23"/>
      <c r="AR150" s="1"/>
      <c r="AU150" s="23"/>
      <c r="AV150" s="1"/>
      <c r="AY150" s="23"/>
      <c r="AZ150" s="1"/>
      <c r="BC150" s="23"/>
      <c r="BD150" s="16"/>
      <c r="BE150" s="1"/>
      <c r="BH150" s="23"/>
      <c r="BI150" s="1"/>
      <c r="BJ150" s="1"/>
      <c r="BL150" s="23"/>
      <c r="BM150" s="1"/>
      <c r="BP150" s="23"/>
      <c r="BQ150" s="1"/>
      <c r="BR150" s="16"/>
      <c r="BS150" s="1"/>
      <c r="BV150" s="33"/>
      <c r="BW150" s="1"/>
      <c r="BZ150" s="23"/>
      <c r="CA150" s="1"/>
      <c r="CB150" s="1"/>
      <c r="CD150" s="23"/>
      <c r="CI150" s="1"/>
      <c r="CJ150" s="16"/>
      <c r="CK150" s="1"/>
      <c r="CL150" s="1"/>
      <c r="CN150" s="23"/>
      <c r="CO150" s="1"/>
      <c r="CP150" s="1"/>
      <c r="CQ150" s="1"/>
      <c r="CR150" s="1"/>
      <c r="CU150" s="23"/>
      <c r="CV150" s="1"/>
      <c r="CW150" s="1"/>
      <c r="CY150" s="23"/>
      <c r="CZ150" s="1"/>
      <c r="DC150" s="23"/>
    </row>
    <row r="151" spans="6:107">
      <c r="F151" s="1"/>
      <c r="G151" s="16"/>
      <c r="H151" s="16"/>
      <c r="K151" s="23"/>
      <c r="L151" s="1"/>
      <c r="M151" s="16"/>
      <c r="N151" s="16"/>
      <c r="O151" s="1"/>
      <c r="R151" s="23"/>
      <c r="S151" s="1"/>
      <c r="T151" s="16"/>
      <c r="U151" s="16"/>
      <c r="V151" s="1"/>
      <c r="Y151" s="23"/>
      <c r="Z151" s="1"/>
      <c r="AC151" s="23"/>
      <c r="AD151" s="1"/>
      <c r="AG151" s="23"/>
      <c r="AH151" s="1"/>
      <c r="AI151" s="16"/>
      <c r="AJ151" s="1"/>
      <c r="AM151" s="23"/>
      <c r="AN151" s="1"/>
      <c r="AQ151" s="23"/>
      <c r="AR151" s="1"/>
      <c r="AU151" s="23"/>
      <c r="AV151" s="1"/>
      <c r="AY151" s="23"/>
      <c r="AZ151" s="1"/>
      <c r="BC151" s="23"/>
      <c r="BD151" s="16"/>
      <c r="BE151" s="1"/>
      <c r="BH151" s="23"/>
      <c r="BI151" s="1"/>
      <c r="BJ151" s="1"/>
      <c r="BL151" s="23"/>
      <c r="BM151" s="1"/>
      <c r="BP151" s="23"/>
      <c r="BQ151" s="1"/>
      <c r="BR151" s="16"/>
      <c r="BS151" s="1"/>
      <c r="BV151" s="33"/>
      <c r="BW151" s="1"/>
      <c r="BZ151" s="23"/>
      <c r="CA151" s="1"/>
      <c r="CB151" s="1"/>
      <c r="CD151" s="23"/>
      <c r="CI151" s="1"/>
      <c r="CJ151" s="16"/>
      <c r="CK151" s="1"/>
      <c r="CL151" s="1"/>
      <c r="CN151" s="23"/>
      <c r="CO151" s="1"/>
      <c r="CP151" s="1"/>
      <c r="CQ151" s="1"/>
      <c r="CR151" s="1"/>
      <c r="CU151" s="23"/>
      <c r="CV151" s="1"/>
      <c r="CW151" s="1"/>
      <c r="CY151" s="23"/>
      <c r="CZ151" s="1"/>
      <c r="DC151" s="23"/>
    </row>
    <row r="152" spans="6:107">
      <c r="F152" s="1"/>
      <c r="G152" s="16"/>
      <c r="H152" s="16"/>
      <c r="K152" s="23"/>
      <c r="L152" s="1"/>
      <c r="M152" s="16"/>
      <c r="N152" s="16"/>
      <c r="O152" s="1"/>
      <c r="R152" s="23"/>
      <c r="S152" s="1"/>
      <c r="T152" s="16"/>
      <c r="U152" s="16"/>
      <c r="V152" s="1"/>
      <c r="Y152" s="23"/>
      <c r="Z152" s="1"/>
      <c r="AC152" s="23"/>
      <c r="AD152" s="1"/>
      <c r="AG152" s="23"/>
      <c r="AH152" s="1"/>
      <c r="AI152" s="16"/>
      <c r="AJ152" s="1"/>
      <c r="AM152" s="23"/>
      <c r="AN152" s="1"/>
      <c r="AQ152" s="23"/>
      <c r="AR152" s="1"/>
      <c r="AU152" s="23"/>
      <c r="AV152" s="1"/>
      <c r="AY152" s="23"/>
      <c r="AZ152" s="1"/>
      <c r="BC152" s="23"/>
      <c r="BD152" s="16"/>
      <c r="BE152" s="1"/>
      <c r="BH152" s="23"/>
      <c r="BI152" s="1"/>
      <c r="BJ152" s="1"/>
      <c r="BL152" s="23"/>
      <c r="BM152" s="1"/>
      <c r="BP152" s="23"/>
      <c r="BQ152" s="1"/>
      <c r="BR152" s="16"/>
      <c r="BS152" s="1"/>
      <c r="BV152" s="33"/>
      <c r="BW152" s="1"/>
      <c r="BZ152" s="23"/>
      <c r="CA152" s="1"/>
      <c r="CB152" s="1"/>
      <c r="CD152" s="23"/>
      <c r="CI152" s="1"/>
      <c r="CJ152" s="16"/>
      <c r="CK152" s="1"/>
      <c r="CL152" s="1"/>
      <c r="CN152" s="23"/>
      <c r="CO152" s="1"/>
      <c r="CP152" s="1"/>
      <c r="CQ152" s="1"/>
      <c r="CR152" s="1"/>
      <c r="CU152" s="23"/>
      <c r="CV152" s="1"/>
      <c r="CW152" s="1"/>
      <c r="CY152" s="23"/>
      <c r="CZ152" s="1"/>
      <c r="DC152" s="23"/>
    </row>
    <row r="153" spans="6:107">
      <c r="F153" s="1"/>
      <c r="G153" s="16"/>
      <c r="H153" s="16"/>
      <c r="K153" s="23"/>
      <c r="L153" s="1"/>
      <c r="M153" s="16"/>
      <c r="N153" s="16"/>
      <c r="O153" s="1"/>
      <c r="R153" s="23"/>
      <c r="S153" s="1"/>
      <c r="T153" s="16"/>
      <c r="U153" s="16"/>
      <c r="V153" s="1"/>
      <c r="Y153" s="23"/>
      <c r="Z153" s="1"/>
      <c r="AC153" s="23"/>
      <c r="AD153" s="1"/>
      <c r="AG153" s="23"/>
      <c r="AH153" s="1"/>
      <c r="AI153" s="16"/>
      <c r="AJ153" s="1"/>
      <c r="AM153" s="23"/>
      <c r="AN153" s="1"/>
      <c r="AQ153" s="23"/>
      <c r="AR153" s="1"/>
      <c r="AU153" s="23"/>
      <c r="AV153" s="1"/>
      <c r="AY153" s="23"/>
      <c r="AZ153" s="1"/>
      <c r="BC153" s="23"/>
      <c r="BD153" s="16"/>
      <c r="BE153" s="1"/>
      <c r="BH153" s="23"/>
      <c r="BI153" s="1"/>
      <c r="BJ153" s="1"/>
      <c r="BL153" s="23"/>
      <c r="BM153" s="1"/>
      <c r="BP153" s="23"/>
      <c r="BQ153" s="1"/>
      <c r="BR153" s="16"/>
      <c r="BS153" s="1"/>
      <c r="BV153" s="33"/>
      <c r="BW153" s="1"/>
      <c r="BZ153" s="23"/>
      <c r="CA153" s="1"/>
      <c r="CB153" s="1"/>
      <c r="CD153" s="23"/>
      <c r="CI153" s="1"/>
      <c r="CJ153" s="16"/>
      <c r="CK153" s="1"/>
      <c r="CL153" s="1"/>
      <c r="CN153" s="23"/>
      <c r="CO153" s="1"/>
      <c r="CP153" s="1"/>
      <c r="CQ153" s="1"/>
      <c r="CR153" s="1"/>
      <c r="CU153" s="23"/>
      <c r="CV153" s="1"/>
      <c r="CW153" s="1"/>
      <c r="CY153" s="23"/>
      <c r="CZ153" s="1"/>
      <c r="DC153" s="23"/>
    </row>
    <row r="154" spans="6:107">
      <c r="F154" s="1"/>
      <c r="G154" s="16"/>
      <c r="H154" s="16"/>
      <c r="K154" s="23"/>
      <c r="L154" s="1"/>
      <c r="M154" s="16"/>
      <c r="N154" s="16"/>
      <c r="O154" s="1"/>
      <c r="R154" s="23"/>
      <c r="S154" s="1"/>
      <c r="T154" s="16"/>
      <c r="U154" s="16"/>
      <c r="V154" s="1"/>
      <c r="Y154" s="23"/>
      <c r="Z154" s="1"/>
      <c r="AC154" s="23"/>
      <c r="AD154" s="1"/>
      <c r="AG154" s="23"/>
      <c r="AH154" s="1"/>
      <c r="AI154" s="16"/>
      <c r="AJ154" s="1"/>
      <c r="AM154" s="23"/>
      <c r="AN154" s="1"/>
      <c r="AQ154" s="23"/>
      <c r="AR154" s="1"/>
      <c r="AU154" s="23"/>
      <c r="AV154" s="1"/>
      <c r="AY154" s="23"/>
      <c r="AZ154" s="1"/>
      <c r="BC154" s="23"/>
      <c r="BD154" s="16"/>
      <c r="BE154" s="1"/>
      <c r="BH154" s="23"/>
      <c r="BI154" s="1"/>
      <c r="BJ154" s="1"/>
      <c r="BL154" s="23"/>
      <c r="BM154" s="1"/>
      <c r="BP154" s="23"/>
      <c r="BQ154" s="1"/>
      <c r="BR154" s="16"/>
      <c r="BS154" s="1"/>
      <c r="BV154" s="33"/>
      <c r="BW154" s="1"/>
      <c r="BZ154" s="23"/>
      <c r="CA154" s="1"/>
      <c r="CB154" s="1"/>
      <c r="CD154" s="23"/>
      <c r="CI154" s="1"/>
      <c r="CJ154" s="16"/>
      <c r="CK154" s="1"/>
      <c r="CL154" s="1"/>
      <c r="CN154" s="23"/>
      <c r="CO154" s="1"/>
      <c r="CP154" s="1"/>
      <c r="CQ154" s="1"/>
      <c r="CR154" s="1"/>
      <c r="CU154" s="23"/>
      <c r="CV154" s="1"/>
      <c r="CW154" s="1"/>
      <c r="CY154" s="23"/>
      <c r="CZ154" s="1"/>
      <c r="DC154" s="23"/>
    </row>
    <row r="155" spans="6:107">
      <c r="F155" s="1"/>
      <c r="G155" s="16"/>
      <c r="H155" s="16"/>
      <c r="K155" s="23"/>
      <c r="L155" s="1"/>
      <c r="M155" s="16"/>
      <c r="N155" s="16"/>
      <c r="O155" s="1"/>
      <c r="R155" s="23"/>
      <c r="S155" s="1"/>
      <c r="T155" s="16"/>
      <c r="U155" s="16"/>
      <c r="V155" s="1"/>
      <c r="Y155" s="23"/>
      <c r="Z155" s="1"/>
      <c r="AC155" s="23"/>
      <c r="AD155" s="1"/>
      <c r="AG155" s="23"/>
      <c r="AH155" s="1"/>
      <c r="AI155" s="16"/>
      <c r="AJ155" s="1"/>
      <c r="AM155" s="23"/>
      <c r="AN155" s="1"/>
      <c r="AQ155" s="23"/>
      <c r="AR155" s="1"/>
      <c r="AU155" s="23"/>
      <c r="AV155" s="1"/>
      <c r="AY155" s="23"/>
      <c r="AZ155" s="1"/>
      <c r="BC155" s="23"/>
      <c r="BD155" s="16"/>
      <c r="BE155" s="1"/>
      <c r="BH155" s="23"/>
      <c r="BI155" s="1"/>
      <c r="BJ155" s="1"/>
      <c r="BL155" s="23"/>
      <c r="BM155" s="1"/>
      <c r="BP155" s="23"/>
      <c r="BQ155" s="1"/>
      <c r="BR155" s="16"/>
      <c r="BS155" s="1"/>
      <c r="BV155" s="33"/>
      <c r="BW155" s="1"/>
      <c r="BZ155" s="23"/>
      <c r="CA155" s="1"/>
      <c r="CB155" s="1"/>
      <c r="CD155" s="23"/>
      <c r="CI155" s="1"/>
      <c r="CJ155" s="16"/>
      <c r="CK155" s="1"/>
      <c r="CL155" s="1"/>
      <c r="CN155" s="23"/>
      <c r="CO155" s="1"/>
      <c r="CP155" s="1"/>
      <c r="CQ155" s="1"/>
      <c r="CR155" s="1"/>
      <c r="CU155" s="23"/>
      <c r="CV155" s="1"/>
      <c r="CW155" s="1"/>
      <c r="CY155" s="23"/>
      <c r="CZ155" s="1"/>
      <c r="DC155" s="23"/>
    </row>
    <row r="156" spans="6:107">
      <c r="F156" s="1"/>
      <c r="G156" s="16"/>
      <c r="H156" s="16"/>
      <c r="K156" s="23"/>
      <c r="L156" s="1"/>
      <c r="M156" s="16"/>
      <c r="N156" s="16"/>
      <c r="O156" s="1"/>
      <c r="R156" s="23"/>
      <c r="S156" s="1"/>
      <c r="T156" s="16"/>
      <c r="U156" s="16"/>
      <c r="V156" s="1"/>
      <c r="Y156" s="23"/>
      <c r="Z156" s="1"/>
      <c r="AC156" s="23"/>
      <c r="AD156" s="1"/>
      <c r="AG156" s="23"/>
      <c r="AH156" s="1"/>
      <c r="AI156" s="16"/>
      <c r="AJ156" s="1"/>
      <c r="AM156" s="23"/>
      <c r="AN156" s="1"/>
      <c r="AQ156" s="23"/>
      <c r="AR156" s="1"/>
      <c r="AU156" s="23"/>
      <c r="AV156" s="1"/>
      <c r="AY156" s="23"/>
      <c r="AZ156" s="1"/>
      <c r="BC156" s="23"/>
      <c r="BD156" s="16"/>
      <c r="BE156" s="1"/>
      <c r="BH156" s="23"/>
      <c r="BI156" s="1"/>
      <c r="BJ156" s="1"/>
      <c r="BL156" s="23"/>
      <c r="BM156" s="1"/>
      <c r="BP156" s="23"/>
      <c r="BQ156" s="1"/>
      <c r="BR156" s="16"/>
      <c r="BS156" s="1"/>
      <c r="BV156" s="33"/>
      <c r="BW156" s="1"/>
      <c r="BZ156" s="23"/>
      <c r="CA156" s="1"/>
      <c r="CB156" s="1"/>
      <c r="CD156" s="23"/>
      <c r="CI156" s="1"/>
      <c r="CJ156" s="16"/>
      <c r="CK156" s="1"/>
      <c r="CL156" s="1"/>
      <c r="CN156" s="23"/>
      <c r="CO156" s="1"/>
      <c r="CP156" s="1"/>
      <c r="CQ156" s="1"/>
      <c r="CR156" s="1"/>
      <c r="CU156" s="23"/>
      <c r="CV156" s="1"/>
      <c r="CW156" s="1"/>
      <c r="CY156" s="23"/>
      <c r="CZ156" s="1"/>
      <c r="DC156" s="23"/>
    </row>
    <row r="157" spans="6:107">
      <c r="F157" s="1"/>
      <c r="G157" s="16"/>
      <c r="H157" s="16"/>
      <c r="K157" s="23"/>
      <c r="L157" s="1"/>
      <c r="M157" s="16"/>
      <c r="N157" s="16"/>
      <c r="O157" s="1"/>
      <c r="R157" s="23"/>
      <c r="S157" s="1"/>
      <c r="T157" s="16"/>
      <c r="U157" s="16"/>
      <c r="V157" s="1"/>
      <c r="Y157" s="23"/>
      <c r="Z157" s="1"/>
      <c r="AC157" s="23"/>
      <c r="AD157" s="1"/>
      <c r="AG157" s="23"/>
      <c r="AH157" s="1"/>
      <c r="AI157" s="16"/>
      <c r="AJ157" s="1"/>
      <c r="AM157" s="23"/>
      <c r="AN157" s="1"/>
      <c r="AQ157" s="23"/>
      <c r="AR157" s="1"/>
      <c r="AU157" s="23"/>
      <c r="AV157" s="1"/>
      <c r="AY157" s="23"/>
      <c r="AZ157" s="1"/>
      <c r="BC157" s="23"/>
      <c r="BD157" s="16"/>
      <c r="BE157" s="1"/>
      <c r="BH157" s="23"/>
      <c r="BI157" s="1"/>
      <c r="BJ157" s="1"/>
      <c r="BL157" s="23"/>
      <c r="BM157" s="1"/>
      <c r="BP157" s="23"/>
      <c r="BQ157" s="1"/>
      <c r="BR157" s="16"/>
      <c r="BS157" s="1"/>
      <c r="BV157" s="33"/>
      <c r="BW157" s="1"/>
      <c r="BZ157" s="23"/>
      <c r="CA157" s="1"/>
      <c r="CB157" s="1"/>
      <c r="CD157" s="23"/>
      <c r="CI157" s="1"/>
      <c r="CJ157" s="16"/>
      <c r="CK157" s="1"/>
      <c r="CL157" s="1"/>
      <c r="CN157" s="23"/>
      <c r="CO157" s="1"/>
      <c r="CP157" s="1"/>
      <c r="CQ157" s="1"/>
      <c r="CR157" s="1"/>
      <c r="CU157" s="23"/>
      <c r="CV157" s="1"/>
      <c r="CW157" s="1"/>
      <c r="CY157" s="23"/>
      <c r="CZ157" s="1"/>
      <c r="DC157" s="23"/>
    </row>
    <row r="158" spans="6:107">
      <c r="F158" s="1"/>
      <c r="G158" s="16"/>
      <c r="H158" s="16"/>
      <c r="K158" s="23"/>
      <c r="L158" s="1"/>
      <c r="M158" s="16"/>
      <c r="N158" s="16"/>
      <c r="O158" s="1"/>
      <c r="R158" s="23"/>
      <c r="S158" s="1"/>
      <c r="T158" s="16"/>
      <c r="U158" s="16"/>
      <c r="V158" s="1"/>
      <c r="Y158" s="23"/>
      <c r="Z158" s="1"/>
      <c r="AC158" s="23"/>
      <c r="AD158" s="1"/>
      <c r="AG158" s="23"/>
      <c r="AH158" s="1"/>
      <c r="AI158" s="16"/>
      <c r="AJ158" s="1"/>
      <c r="AM158" s="23"/>
      <c r="AN158" s="1"/>
      <c r="AQ158" s="23"/>
      <c r="AR158" s="1"/>
      <c r="AU158" s="23"/>
      <c r="AV158" s="1"/>
      <c r="AY158" s="23"/>
      <c r="AZ158" s="1"/>
      <c r="BC158" s="23"/>
      <c r="BD158" s="16"/>
      <c r="BE158" s="1"/>
      <c r="BH158" s="23"/>
      <c r="BI158" s="1"/>
      <c r="BJ158" s="1"/>
      <c r="BL158" s="23"/>
      <c r="BM158" s="1"/>
      <c r="BP158" s="23"/>
      <c r="BQ158" s="1"/>
      <c r="BR158" s="16"/>
      <c r="BS158" s="1"/>
      <c r="BV158" s="33"/>
      <c r="BW158" s="1"/>
      <c r="BZ158" s="23"/>
      <c r="CA158" s="1"/>
      <c r="CB158" s="1"/>
      <c r="CD158" s="23"/>
      <c r="CI158" s="1"/>
      <c r="CJ158" s="16"/>
      <c r="CK158" s="1"/>
      <c r="CL158" s="1"/>
      <c r="CN158" s="23"/>
      <c r="CO158" s="1"/>
      <c r="CP158" s="1"/>
      <c r="CQ158" s="1"/>
      <c r="CR158" s="1"/>
      <c r="CU158" s="23"/>
      <c r="CV158" s="1"/>
      <c r="CW158" s="1"/>
      <c r="CY158" s="23"/>
      <c r="CZ158" s="1"/>
      <c r="DC158" s="23"/>
    </row>
    <row r="159" spans="6:107">
      <c r="F159" s="1"/>
      <c r="G159" s="16"/>
      <c r="H159" s="16"/>
      <c r="K159" s="23"/>
      <c r="L159" s="1"/>
      <c r="M159" s="16"/>
      <c r="N159" s="16"/>
      <c r="O159" s="1"/>
      <c r="R159" s="23"/>
      <c r="S159" s="1"/>
      <c r="T159" s="16"/>
      <c r="U159" s="16"/>
      <c r="V159" s="1"/>
      <c r="Y159" s="23"/>
      <c r="Z159" s="1"/>
      <c r="AC159" s="23"/>
      <c r="AD159" s="1"/>
      <c r="AG159" s="23"/>
      <c r="AH159" s="1"/>
      <c r="AI159" s="16"/>
      <c r="AJ159" s="1"/>
      <c r="AM159" s="23"/>
      <c r="AN159" s="1"/>
      <c r="AQ159" s="23"/>
      <c r="AR159" s="1"/>
      <c r="AU159" s="23"/>
      <c r="AV159" s="1"/>
      <c r="AY159" s="23"/>
      <c r="AZ159" s="1"/>
      <c r="BC159" s="23"/>
      <c r="BD159" s="16"/>
      <c r="BE159" s="1"/>
      <c r="BH159" s="23"/>
      <c r="BI159" s="1"/>
      <c r="BJ159" s="1"/>
      <c r="BL159" s="23"/>
      <c r="BM159" s="1"/>
      <c r="BP159" s="23"/>
      <c r="BQ159" s="1"/>
      <c r="BR159" s="16"/>
      <c r="BS159" s="1"/>
      <c r="BV159" s="33"/>
      <c r="BW159" s="1"/>
      <c r="BZ159" s="23"/>
      <c r="CA159" s="1"/>
      <c r="CB159" s="1"/>
      <c r="CD159" s="23"/>
      <c r="CI159" s="1"/>
      <c r="CJ159" s="16"/>
      <c r="CK159" s="1"/>
      <c r="CL159" s="1"/>
      <c r="CN159" s="23"/>
      <c r="CO159" s="1"/>
      <c r="CP159" s="1"/>
      <c r="CQ159" s="1"/>
      <c r="CR159" s="1"/>
      <c r="CU159" s="23"/>
      <c r="CV159" s="1"/>
      <c r="CW159" s="1"/>
      <c r="CY159" s="23"/>
      <c r="CZ159" s="1"/>
      <c r="DC159" s="23"/>
    </row>
    <row r="160" spans="6:107">
      <c r="F160" s="1"/>
      <c r="G160" s="16"/>
      <c r="H160" s="16"/>
      <c r="K160" s="23"/>
      <c r="L160" s="1"/>
      <c r="M160" s="16"/>
      <c r="N160" s="16"/>
      <c r="O160" s="1"/>
      <c r="R160" s="23"/>
      <c r="S160" s="1"/>
      <c r="T160" s="16"/>
      <c r="U160" s="16"/>
      <c r="V160" s="1"/>
      <c r="Y160" s="23"/>
      <c r="Z160" s="1"/>
      <c r="AC160" s="23"/>
      <c r="AD160" s="1"/>
      <c r="AG160" s="23"/>
      <c r="AH160" s="1"/>
      <c r="AI160" s="16"/>
      <c r="AJ160" s="1"/>
      <c r="AM160" s="23"/>
      <c r="AN160" s="1"/>
      <c r="AQ160" s="23"/>
      <c r="AR160" s="1"/>
      <c r="AU160" s="23"/>
      <c r="AV160" s="1"/>
      <c r="AY160" s="23"/>
      <c r="AZ160" s="1"/>
      <c r="BC160" s="23"/>
      <c r="BD160" s="16"/>
      <c r="BE160" s="1"/>
      <c r="BH160" s="23"/>
      <c r="BI160" s="1"/>
      <c r="BJ160" s="1"/>
      <c r="BL160" s="23"/>
      <c r="BM160" s="1"/>
      <c r="BP160" s="23"/>
      <c r="BQ160" s="1"/>
      <c r="BR160" s="16"/>
      <c r="BS160" s="1"/>
      <c r="BV160" s="33"/>
      <c r="BW160" s="1"/>
      <c r="BZ160" s="23"/>
      <c r="CA160" s="1"/>
      <c r="CB160" s="1"/>
      <c r="CD160" s="23"/>
      <c r="CI160" s="1"/>
      <c r="CJ160" s="16"/>
      <c r="CK160" s="1"/>
      <c r="CL160" s="1"/>
      <c r="CN160" s="23"/>
      <c r="CO160" s="1"/>
      <c r="CP160" s="1"/>
      <c r="CQ160" s="1"/>
      <c r="CR160" s="1"/>
      <c r="CU160" s="23"/>
      <c r="CV160" s="1"/>
      <c r="CW160" s="1"/>
      <c r="CY160" s="23"/>
      <c r="CZ160" s="1"/>
      <c r="DC160" s="23"/>
    </row>
    <row r="161" spans="6:107">
      <c r="F161" s="1"/>
      <c r="G161" s="16"/>
      <c r="H161" s="16"/>
      <c r="K161" s="23"/>
      <c r="L161" s="1"/>
      <c r="M161" s="16"/>
      <c r="N161" s="16"/>
      <c r="O161" s="1"/>
      <c r="R161" s="23"/>
      <c r="S161" s="1"/>
      <c r="T161" s="16"/>
      <c r="U161" s="16"/>
      <c r="V161" s="1"/>
      <c r="Y161" s="23"/>
      <c r="Z161" s="1"/>
      <c r="AC161" s="23"/>
      <c r="AD161" s="1"/>
      <c r="AG161" s="23"/>
      <c r="AH161" s="1"/>
      <c r="AI161" s="16"/>
      <c r="AJ161" s="1"/>
      <c r="AM161" s="23"/>
      <c r="AN161" s="1"/>
      <c r="AQ161" s="23"/>
      <c r="AR161" s="1"/>
      <c r="AU161" s="23"/>
      <c r="AV161" s="1"/>
      <c r="AY161" s="23"/>
      <c r="AZ161" s="1"/>
      <c r="BC161" s="23"/>
      <c r="BD161" s="16"/>
      <c r="BE161" s="1"/>
      <c r="BH161" s="23"/>
      <c r="BI161" s="1"/>
      <c r="BJ161" s="1"/>
      <c r="BL161" s="23"/>
      <c r="BM161" s="1"/>
      <c r="BP161" s="23"/>
      <c r="BQ161" s="1"/>
      <c r="BR161" s="16"/>
      <c r="BS161" s="1"/>
      <c r="BV161" s="33"/>
      <c r="BW161" s="1"/>
      <c r="BZ161" s="23"/>
      <c r="CA161" s="1"/>
      <c r="CB161" s="1"/>
      <c r="CD161" s="23"/>
      <c r="CI161" s="1"/>
      <c r="CJ161" s="16"/>
      <c r="CK161" s="1"/>
      <c r="CL161" s="1"/>
      <c r="CN161" s="23"/>
      <c r="CO161" s="1"/>
      <c r="CP161" s="1"/>
      <c r="CQ161" s="1"/>
      <c r="CR161" s="1"/>
      <c r="CU161" s="23"/>
      <c r="CV161" s="1"/>
      <c r="CW161" s="1"/>
      <c r="CY161" s="23"/>
      <c r="CZ161" s="1"/>
      <c r="DC161" s="23"/>
    </row>
  </sheetData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V162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ColWidth="9.140625" defaultRowHeight="12.75"/>
  <cols>
    <col min="1" max="1" width="7.28515625" style="226" customWidth="1"/>
    <col min="2" max="2" width="12.7109375" style="92" customWidth="1"/>
    <col min="3" max="3" width="11.7109375" style="170" customWidth="1"/>
    <col min="4" max="4" width="12.7109375" style="92" customWidth="1"/>
    <col min="5" max="5" width="13.7109375" style="171" customWidth="1"/>
    <col min="6" max="6" width="13.7109375" style="92" customWidth="1"/>
    <col min="7" max="7" width="11.7109375" style="170" customWidth="1"/>
    <col min="8" max="8" width="13.7109375" style="170" customWidth="1"/>
    <col min="9" max="9" width="7.7109375" style="214" customWidth="1"/>
    <col min="10" max="10" width="7.7109375" style="173" customWidth="1"/>
    <col min="11" max="11" width="14.7109375" style="171" customWidth="1"/>
    <col min="12" max="12" width="13.7109375" style="92" customWidth="1"/>
    <col min="13" max="13" width="11.7109375" style="170" customWidth="1"/>
    <col min="14" max="14" width="8.7109375" style="170" customWidth="1"/>
    <col min="15" max="15" width="13.7109375" style="92" customWidth="1"/>
    <col min="16" max="16" width="7.7109375" style="175" customWidth="1"/>
    <col min="17" max="17" width="7.7109375" style="135" customWidth="1"/>
    <col min="18" max="18" width="14.7109375" style="171" customWidth="1"/>
    <col min="19" max="19" width="13.7109375" style="92" customWidth="1"/>
    <col min="20" max="21" width="11.7109375" style="170" customWidth="1"/>
    <col min="22" max="22" width="13.7109375" style="92" customWidth="1"/>
    <col min="23" max="23" width="7.7109375" style="175" customWidth="1"/>
    <col min="24" max="24" width="7.7109375" style="135" customWidth="1"/>
    <col min="25" max="25" width="14.7109375" style="171" customWidth="1"/>
    <col min="26" max="26" width="12.7109375" style="92" customWidth="1"/>
    <col min="27" max="27" width="7.7109375" style="175" customWidth="1"/>
    <col min="28" max="28" width="7.7109375" style="135" customWidth="1"/>
    <col min="29" max="29" width="14.7109375" style="171" customWidth="1"/>
    <col min="30" max="30" width="12.7109375" style="92" customWidth="1"/>
    <col min="31" max="31" width="7.7109375" style="175" customWidth="1"/>
    <col min="32" max="32" width="7.7109375" style="135" customWidth="1"/>
    <col min="33" max="33" width="14.7109375" style="171" customWidth="1"/>
    <col min="34" max="34" width="12.7109375" style="92" customWidth="1"/>
    <col min="35" max="35" width="11.7109375" style="170" customWidth="1"/>
    <col min="36" max="36" width="13.7109375" style="92" customWidth="1"/>
    <col min="37" max="37" width="7.7109375" style="175" customWidth="1"/>
    <col min="38" max="38" width="8.7109375" style="135" customWidth="1"/>
    <col min="39" max="39" width="14.7109375" style="171" customWidth="1"/>
    <col min="40" max="40" width="13.7109375" style="92" customWidth="1"/>
    <col min="41" max="41" width="7.7109375" style="175" customWidth="1"/>
    <col min="42" max="42" width="7.7109375" style="135" customWidth="1"/>
    <col min="43" max="43" width="14.7109375" style="171" customWidth="1"/>
    <col min="44" max="44" width="13.7109375" style="92" customWidth="1"/>
    <col min="45" max="45" width="7.7109375" style="175" customWidth="1"/>
    <col min="46" max="46" width="7.7109375" style="135" customWidth="1"/>
    <col min="47" max="47" width="14.7109375" style="171" customWidth="1"/>
    <col min="48" max="48" width="13.7109375" style="92" customWidth="1"/>
    <col min="49" max="49" width="7.7109375" style="175" customWidth="1"/>
    <col min="50" max="50" width="7.7109375" style="135" customWidth="1"/>
    <col min="51" max="51" width="14.7109375" style="171" customWidth="1"/>
    <col min="52" max="52" width="13.7109375" style="92" customWidth="1"/>
    <col min="53" max="53" width="7.7109375" style="175" customWidth="1"/>
    <col min="54" max="54" width="7.7109375" style="135" customWidth="1"/>
    <col min="55" max="55" width="14.7109375" style="171" customWidth="1"/>
    <col min="56" max="56" width="13.7109375" style="170" customWidth="1"/>
    <col min="57" max="57" width="13.7109375" style="92" customWidth="1"/>
    <col min="58" max="58" width="7.7109375" style="175" customWidth="1"/>
    <col min="59" max="59" width="7.7109375" style="135" customWidth="1"/>
    <col min="60" max="60" width="14.7109375" style="171" customWidth="1"/>
    <col min="61" max="61" width="13.7109375" style="92" customWidth="1"/>
    <col min="62" max="62" width="7.7109375" style="92" customWidth="1"/>
    <col min="63" max="63" width="7.7109375" style="135" customWidth="1"/>
    <col min="64" max="64" width="14.7109375" style="171" customWidth="1"/>
    <col min="65" max="65" width="13.7109375" style="92" customWidth="1"/>
    <col min="66" max="66" width="7.7109375" style="175" customWidth="1"/>
    <col min="67" max="67" width="7.7109375" style="135" customWidth="1"/>
    <col min="68" max="68" width="14.7109375" style="171" customWidth="1"/>
    <col min="69" max="69" width="13.7109375" style="92" customWidth="1"/>
    <col min="70" max="70" width="11.7109375" style="170" customWidth="1"/>
    <col min="71" max="71" width="13.7109375" style="92" customWidth="1"/>
    <col min="72" max="72" width="7.7109375" style="175" customWidth="1"/>
    <col min="73" max="73" width="7.7109375" style="135" customWidth="1"/>
    <col min="74" max="74" width="14.7109375" style="176" customWidth="1"/>
    <col min="75" max="75" width="12.7109375" style="92" customWidth="1"/>
    <col min="76" max="76" width="7.7109375" style="175" customWidth="1"/>
    <col min="77" max="77" width="7.7109375" style="135" customWidth="1"/>
    <col min="78" max="78" width="14.7109375" style="171" customWidth="1"/>
    <col min="79" max="79" width="12.7109375" style="92" customWidth="1"/>
    <col min="80" max="80" width="7.7109375" style="92" customWidth="1"/>
    <col min="81" max="81" width="7.7109375" style="135" customWidth="1"/>
    <col min="82" max="82" width="14.7109375" style="171" customWidth="1"/>
    <col min="83" max="83" width="12.7109375" style="92" customWidth="1"/>
    <col min="84" max="84" width="11.7109375" style="170" customWidth="1"/>
    <col min="85" max="85" width="13.7109375" style="92" customWidth="1"/>
    <col min="86" max="86" width="13.7109375" style="171" customWidth="1"/>
    <col min="87" max="87" width="12.7109375" style="92" customWidth="1"/>
    <col min="88" max="88" width="11.7109375" style="170" customWidth="1"/>
    <col min="89" max="89" width="13.7109375" style="92" customWidth="1"/>
    <col min="90" max="90" width="7.7109375" style="92" customWidth="1"/>
    <col min="91" max="91" width="7.7109375" style="135" customWidth="1"/>
    <col min="92" max="92" width="14.7109375" style="171" customWidth="1"/>
    <col min="93" max="93" width="13.7109375" style="92" customWidth="1"/>
    <col min="94" max="95" width="11.42578125" style="92" customWidth="1"/>
    <col min="96" max="96" width="13.7109375" style="92" customWidth="1"/>
    <col min="97" max="97" width="7.7109375" style="175" customWidth="1"/>
    <col min="98" max="98" width="7.7109375" style="135" customWidth="1"/>
    <col min="99" max="99" width="14.7109375" style="171" customWidth="1"/>
    <col min="100" max="100" width="12.7109375" style="92" customWidth="1"/>
    <col min="101" max="101" width="7.7109375" style="92" customWidth="1"/>
    <col min="102" max="102" width="7.7109375" style="135" customWidth="1"/>
    <col min="103" max="103" width="14.7109375" style="171" customWidth="1"/>
    <col min="104" max="104" width="13.7109375" style="92" customWidth="1"/>
    <col min="105" max="105" width="7.7109375" style="175" customWidth="1"/>
    <col min="106" max="106" width="7.7109375" style="135" customWidth="1"/>
    <col min="107" max="107" width="14.7109375" style="171" customWidth="1"/>
    <col min="108" max="108" width="13.7109375" style="92" customWidth="1"/>
    <col min="109" max="109" width="15.28515625" style="92" customWidth="1"/>
    <col min="110" max="110" width="11.7109375" style="170" customWidth="1"/>
    <col min="111" max="111" width="13.7109375" style="170" customWidth="1"/>
    <col min="112" max="112" width="13.7109375" style="92" customWidth="1"/>
    <col min="113" max="113" width="7.7109375" style="182" customWidth="1"/>
    <col min="114" max="114" width="7.7109375" style="173" customWidth="1"/>
    <col min="115" max="115" width="14.7109375" style="183" customWidth="1"/>
    <col min="116" max="116" width="12.7109375" style="92" customWidth="1"/>
    <col min="117" max="185" width="11.42578125" style="92" customWidth="1"/>
    <col min="186" max="186" width="11.7109375" style="92" customWidth="1"/>
    <col min="187" max="16384" width="9.140625" style="92"/>
  </cols>
  <sheetData>
    <row r="1" spans="1:120" hidden="1">
      <c r="A1" s="68" t="s">
        <v>123</v>
      </c>
      <c r="I1" s="214">
        <v>3</v>
      </c>
      <c r="P1" s="175">
        <v>4</v>
      </c>
      <c r="W1" s="175">
        <v>5</v>
      </c>
      <c r="AA1" s="175">
        <v>6</v>
      </c>
      <c r="AE1" s="175">
        <v>7</v>
      </c>
      <c r="AK1" s="175">
        <v>8</v>
      </c>
      <c r="AO1" s="175">
        <v>10</v>
      </c>
      <c r="AS1" s="175">
        <v>11</v>
      </c>
      <c r="AW1" s="175">
        <v>12</v>
      </c>
      <c r="BA1" s="175">
        <v>13</v>
      </c>
      <c r="BF1" s="175">
        <v>14</v>
      </c>
      <c r="BJ1" s="92">
        <v>15</v>
      </c>
      <c r="BN1" s="175">
        <v>16</v>
      </c>
      <c r="BT1" s="175">
        <v>17</v>
      </c>
      <c r="BX1" s="175">
        <v>18</v>
      </c>
      <c r="CB1" s="92">
        <v>18</v>
      </c>
      <c r="CL1" s="92">
        <v>3</v>
      </c>
      <c r="CS1" s="175">
        <v>2</v>
      </c>
      <c r="CW1" s="92">
        <v>3</v>
      </c>
      <c r="DA1" s="175">
        <v>9</v>
      </c>
      <c r="DI1" s="182">
        <v>19</v>
      </c>
    </row>
    <row r="2" spans="1:120" ht="17.100000000000001" customHeight="1">
      <c r="A2" s="92"/>
      <c r="B2" s="169" t="s">
        <v>102</v>
      </c>
      <c r="G2" s="172"/>
      <c r="H2" s="172"/>
      <c r="I2" s="92" t="s">
        <v>121</v>
      </c>
      <c r="K2" s="174" t="s">
        <v>122</v>
      </c>
      <c r="R2" s="171" t="s">
        <v>0</v>
      </c>
      <c r="BE2" s="134" t="s">
        <v>0</v>
      </c>
      <c r="CI2" s="177"/>
      <c r="CJ2" s="178"/>
      <c r="CK2" s="177"/>
      <c r="CL2" s="177"/>
      <c r="CM2" s="179"/>
      <c r="CN2" s="180"/>
      <c r="DF2" s="130"/>
      <c r="DG2" s="130" t="s">
        <v>1</v>
      </c>
      <c r="DH2" s="181"/>
    </row>
    <row r="3" spans="1:120" ht="17.100000000000001" customHeight="1" thickBot="1">
      <c r="A3" s="92"/>
      <c r="B3" s="240" t="s">
        <v>2</v>
      </c>
      <c r="C3" s="241"/>
      <c r="D3" s="242"/>
      <c r="E3" s="243"/>
      <c r="F3" s="240" t="s">
        <v>0</v>
      </c>
      <c r="G3" s="244"/>
      <c r="H3" s="244"/>
      <c r="I3" s="242" t="s">
        <v>110</v>
      </c>
      <c r="J3" s="245"/>
      <c r="K3" s="246"/>
      <c r="L3" s="242"/>
      <c r="M3" s="241"/>
      <c r="N3" s="241"/>
      <c r="O3" s="242"/>
      <c r="P3" s="247"/>
      <c r="Q3" s="248"/>
      <c r="R3" s="243"/>
      <c r="S3" s="242"/>
      <c r="T3" s="241"/>
      <c r="U3" s="241"/>
      <c r="V3" s="242"/>
      <c r="W3" s="247"/>
      <c r="X3" s="248"/>
      <c r="Y3" s="243"/>
      <c r="Z3" s="242"/>
      <c r="AA3" s="247"/>
      <c r="AB3" s="248"/>
      <c r="AC3" s="243"/>
      <c r="AD3" s="242"/>
      <c r="AE3" s="247"/>
      <c r="AF3" s="248"/>
      <c r="AG3" s="243"/>
      <c r="AH3" s="242"/>
      <c r="AI3" s="241"/>
      <c r="AJ3" s="242"/>
      <c r="AK3" s="247"/>
      <c r="AL3" s="248"/>
      <c r="AM3" s="243"/>
      <c r="AN3" s="270" t="s">
        <v>3</v>
      </c>
      <c r="AO3" s="271"/>
      <c r="AP3" s="272"/>
      <c r="AQ3" s="273"/>
      <c r="AR3" s="274"/>
      <c r="AS3" s="271"/>
      <c r="AT3" s="272"/>
      <c r="AU3" s="273"/>
      <c r="AV3" s="274"/>
      <c r="AW3" s="271"/>
      <c r="AX3" s="272"/>
      <c r="AY3" s="273"/>
      <c r="AZ3" s="274"/>
      <c r="BA3" s="271"/>
      <c r="BB3" s="272"/>
      <c r="BC3" s="273"/>
      <c r="BD3" s="275"/>
      <c r="BE3" s="276"/>
      <c r="BF3" s="271"/>
      <c r="BG3" s="272"/>
      <c r="BH3" s="273"/>
      <c r="BI3" s="274"/>
      <c r="BJ3" s="274"/>
      <c r="BK3" s="272"/>
      <c r="BL3" s="273"/>
      <c r="BM3" s="274"/>
      <c r="BN3" s="271"/>
      <c r="BO3" s="272"/>
      <c r="BP3" s="273"/>
      <c r="BQ3" s="274"/>
      <c r="BR3" s="275"/>
      <c r="BS3" s="274"/>
      <c r="BT3" s="271"/>
      <c r="BU3" s="272"/>
      <c r="BV3" s="277"/>
      <c r="BW3" s="274"/>
      <c r="BX3" s="271"/>
      <c r="BY3" s="272"/>
      <c r="BZ3" s="273"/>
      <c r="CA3" s="274"/>
      <c r="CB3" s="274"/>
      <c r="CC3" s="272"/>
      <c r="CD3" s="273"/>
      <c r="CE3" s="300" t="s">
        <v>4</v>
      </c>
      <c r="CF3" s="301"/>
      <c r="CG3" s="302"/>
      <c r="CH3" s="303"/>
      <c r="CI3" s="300" t="s">
        <v>0</v>
      </c>
      <c r="CJ3" s="304"/>
      <c r="CK3" s="300"/>
      <c r="CL3" s="300"/>
      <c r="CM3" s="305"/>
      <c r="CN3" s="306"/>
      <c r="CO3" s="302"/>
      <c r="CP3" s="302"/>
      <c r="CQ3" s="302"/>
      <c r="CR3" s="302"/>
      <c r="CS3" s="307"/>
      <c r="CT3" s="308"/>
      <c r="CU3" s="303"/>
      <c r="CV3" s="302"/>
      <c r="CW3" s="302"/>
      <c r="CX3" s="308"/>
      <c r="CY3" s="303"/>
      <c r="CZ3" s="302"/>
      <c r="DA3" s="307"/>
      <c r="DB3" s="308"/>
      <c r="DC3" s="303"/>
      <c r="DD3" s="309"/>
      <c r="DE3" s="309"/>
      <c r="DF3" s="310"/>
      <c r="DG3" s="310" t="s">
        <v>5</v>
      </c>
      <c r="DH3" s="302"/>
      <c r="DI3" s="311"/>
      <c r="DJ3" s="312"/>
      <c r="DK3" s="313"/>
    </row>
    <row r="4" spans="1:120" ht="13.5" thickBot="1">
      <c r="A4" s="184"/>
      <c r="B4" s="249"/>
      <c r="C4" s="249"/>
      <c r="D4" s="249"/>
      <c r="E4" s="250"/>
      <c r="F4" s="249"/>
      <c r="G4" s="249"/>
      <c r="H4" s="251" t="s">
        <v>103</v>
      </c>
      <c r="I4" s="252">
        <f>I9</f>
        <v>520</v>
      </c>
      <c r="J4" s="253"/>
      <c r="K4" s="250"/>
      <c r="L4" s="249"/>
      <c r="M4" s="249"/>
      <c r="N4" s="249"/>
      <c r="O4" s="251" t="s">
        <v>103</v>
      </c>
      <c r="P4" s="252">
        <f>P9</f>
        <v>595</v>
      </c>
      <c r="Q4" s="253"/>
      <c r="R4" s="250"/>
      <c r="S4" s="249"/>
      <c r="T4" s="249"/>
      <c r="U4" s="249"/>
      <c r="V4" s="251" t="s">
        <v>103</v>
      </c>
      <c r="W4" s="252">
        <f>W9</f>
        <v>610</v>
      </c>
      <c r="X4" s="253"/>
      <c r="Y4" s="250"/>
      <c r="Z4" s="251" t="s">
        <v>103</v>
      </c>
      <c r="AA4" s="252">
        <f>AA9</f>
        <v>548</v>
      </c>
      <c r="AB4" s="253"/>
      <c r="AC4" s="250"/>
      <c r="AD4" s="251" t="s">
        <v>103</v>
      </c>
      <c r="AE4" s="252">
        <f>AE9</f>
        <v>829</v>
      </c>
      <c r="AF4" s="253"/>
      <c r="AG4" s="250"/>
      <c r="AH4" s="249"/>
      <c r="AI4" s="249"/>
      <c r="AJ4" s="251" t="s">
        <v>103</v>
      </c>
      <c r="AK4" s="252">
        <f>AK9</f>
        <v>525</v>
      </c>
      <c r="AL4" s="253"/>
      <c r="AM4" s="250"/>
      <c r="AN4" s="251" t="s">
        <v>103</v>
      </c>
      <c r="AO4" s="252">
        <f>AO9</f>
        <v>568</v>
      </c>
      <c r="AP4" s="253"/>
      <c r="AQ4" s="250"/>
      <c r="AR4" s="251" t="s">
        <v>103</v>
      </c>
      <c r="AS4" s="252">
        <f>AS9</f>
        <v>684</v>
      </c>
      <c r="AT4" s="252"/>
      <c r="AU4" s="250"/>
      <c r="AV4" s="251" t="s">
        <v>103</v>
      </c>
      <c r="AW4" s="252">
        <f>AW9</f>
        <v>526</v>
      </c>
      <c r="AX4" s="253"/>
      <c r="AY4" s="250"/>
      <c r="AZ4" s="251" t="s">
        <v>103</v>
      </c>
      <c r="BA4" s="252">
        <f>BA9</f>
        <v>614</v>
      </c>
      <c r="BB4" s="253"/>
      <c r="BC4" s="250"/>
      <c r="BD4" s="249"/>
      <c r="BE4" s="251" t="s">
        <v>103</v>
      </c>
      <c r="BF4" s="252">
        <f>BF9</f>
        <v>612</v>
      </c>
      <c r="BG4" s="253"/>
      <c r="BH4" s="250"/>
      <c r="BI4" s="251" t="s">
        <v>103</v>
      </c>
      <c r="BJ4" s="252">
        <f>BJ9</f>
        <v>652</v>
      </c>
      <c r="BK4" s="253"/>
      <c r="BL4" s="250"/>
      <c r="BM4" s="251" t="s">
        <v>103</v>
      </c>
      <c r="BN4" s="252">
        <f>BN9</f>
        <v>509</v>
      </c>
      <c r="BO4" s="253"/>
      <c r="BP4" s="250"/>
      <c r="BQ4" s="249"/>
      <c r="BR4" s="249"/>
      <c r="BS4" s="251" t="s">
        <v>103</v>
      </c>
      <c r="BT4" s="252">
        <f>BT9</f>
        <v>355</v>
      </c>
      <c r="BU4" s="253"/>
      <c r="BV4" s="250"/>
      <c r="BW4" s="251" t="s">
        <v>103</v>
      </c>
      <c r="BX4" s="252">
        <f>BX9</f>
        <v>730</v>
      </c>
      <c r="BY4" s="253"/>
      <c r="BZ4" s="250"/>
      <c r="CA4" s="251" t="s">
        <v>103</v>
      </c>
      <c r="CB4" s="252">
        <f>CB9</f>
        <v>730</v>
      </c>
      <c r="CC4" s="253"/>
      <c r="CD4" s="250"/>
      <c r="CE4" s="249"/>
      <c r="CF4" s="249"/>
      <c r="CG4" s="249"/>
      <c r="CH4" s="250"/>
      <c r="CI4" s="249"/>
      <c r="CJ4" s="249"/>
      <c r="CK4" s="251" t="s">
        <v>103</v>
      </c>
      <c r="CL4" s="252">
        <f>CL9</f>
        <v>520</v>
      </c>
      <c r="CM4" s="254"/>
      <c r="CN4" s="250"/>
      <c r="CO4" s="249"/>
      <c r="CP4" s="249"/>
      <c r="CQ4" s="249"/>
      <c r="CR4" s="251" t="s">
        <v>103</v>
      </c>
      <c r="CS4" s="252">
        <f>CS9</f>
        <v>691</v>
      </c>
      <c r="CT4" s="253"/>
      <c r="CU4" s="250"/>
      <c r="CV4" s="251" t="s">
        <v>103</v>
      </c>
      <c r="CW4" s="252">
        <f>CW9</f>
        <v>520</v>
      </c>
      <c r="CX4" s="254"/>
      <c r="CY4" s="250"/>
      <c r="CZ4" s="251" t="s">
        <v>103</v>
      </c>
      <c r="DA4" s="252">
        <f>DA9</f>
        <v>650</v>
      </c>
      <c r="DB4" s="253"/>
      <c r="DC4" s="250"/>
      <c r="DD4" s="249"/>
      <c r="DE4" s="249"/>
      <c r="DF4" s="249"/>
      <c r="DG4" s="249"/>
      <c r="DH4" s="251" t="s">
        <v>103</v>
      </c>
      <c r="DI4" s="252">
        <f>DI9</f>
        <v>868</v>
      </c>
      <c r="DJ4" s="253"/>
      <c r="DK4" s="255"/>
    </row>
    <row r="5" spans="1:120" s="292" customFormat="1" ht="15.75" thickBot="1">
      <c r="A5" s="282" t="s">
        <v>6</v>
      </c>
      <c r="B5" s="283">
        <v>350</v>
      </c>
      <c r="C5" s="284" t="s">
        <v>7</v>
      </c>
      <c r="D5" s="285"/>
      <c r="E5" s="286"/>
      <c r="F5" s="283">
        <v>354</v>
      </c>
      <c r="G5" s="283"/>
      <c r="H5" s="283"/>
      <c r="I5" s="287"/>
      <c r="J5" s="288"/>
      <c r="K5" s="286"/>
      <c r="L5" s="283">
        <v>355</v>
      </c>
      <c r="M5" s="283"/>
      <c r="N5" s="283"/>
      <c r="O5" s="283"/>
      <c r="P5" s="287"/>
      <c r="Q5" s="288"/>
      <c r="R5" s="286"/>
      <c r="S5" s="283">
        <v>356</v>
      </c>
      <c r="T5" s="283"/>
      <c r="U5" s="283"/>
      <c r="V5" s="283"/>
      <c r="W5" s="287"/>
      <c r="X5" s="288"/>
      <c r="Y5" s="286"/>
      <c r="Z5" s="283">
        <v>357</v>
      </c>
      <c r="AA5" s="287"/>
      <c r="AB5" s="288"/>
      <c r="AC5" s="286"/>
      <c r="AD5" s="283">
        <v>358</v>
      </c>
      <c r="AE5" s="287" t="s">
        <v>105</v>
      </c>
      <c r="AF5" s="288"/>
      <c r="AG5" s="286"/>
      <c r="AH5" s="283">
        <v>359</v>
      </c>
      <c r="AI5" s="284" t="s">
        <v>41</v>
      </c>
      <c r="AJ5" s="283"/>
      <c r="AK5" s="287"/>
      <c r="AL5" s="288"/>
      <c r="AM5" s="286"/>
      <c r="AN5" s="350" t="s">
        <v>111</v>
      </c>
      <c r="AO5" s="351"/>
      <c r="AP5" s="351"/>
      <c r="AQ5" s="352"/>
      <c r="AR5" s="350" t="s">
        <v>108</v>
      </c>
      <c r="AS5" s="351"/>
      <c r="AT5" s="351"/>
      <c r="AU5" s="352"/>
      <c r="AV5" s="350" t="s">
        <v>106</v>
      </c>
      <c r="AW5" s="351"/>
      <c r="AX5" s="351"/>
      <c r="AY5" s="352"/>
      <c r="AZ5" s="350" t="s">
        <v>107</v>
      </c>
      <c r="BA5" s="351"/>
      <c r="BB5" s="351"/>
      <c r="BC5" s="352"/>
      <c r="BD5" s="350" t="s">
        <v>112</v>
      </c>
      <c r="BE5" s="351"/>
      <c r="BF5" s="351"/>
      <c r="BG5" s="351"/>
      <c r="BH5" s="352"/>
      <c r="BI5" s="350" t="s">
        <v>113</v>
      </c>
      <c r="BJ5" s="351"/>
      <c r="BK5" s="351"/>
      <c r="BL5" s="352"/>
      <c r="BM5" s="350" t="s">
        <v>114</v>
      </c>
      <c r="BN5" s="351"/>
      <c r="BO5" s="351"/>
      <c r="BP5" s="352"/>
      <c r="BQ5" s="350" t="s">
        <v>109</v>
      </c>
      <c r="BR5" s="351"/>
      <c r="BS5" s="351"/>
      <c r="BT5" s="351"/>
      <c r="BU5" s="351"/>
      <c r="BV5" s="352"/>
      <c r="BW5" s="283">
        <v>373</v>
      </c>
      <c r="BX5" s="289" t="s">
        <v>44</v>
      </c>
      <c r="BY5" s="288"/>
      <c r="BZ5" s="286"/>
      <c r="CA5" s="283">
        <v>373.4</v>
      </c>
      <c r="CB5" s="289" t="s">
        <v>45</v>
      </c>
      <c r="CC5" s="288"/>
      <c r="CD5" s="286"/>
      <c r="CE5" s="283">
        <v>350</v>
      </c>
      <c r="CF5" s="284" t="s">
        <v>11</v>
      </c>
      <c r="CG5" s="285"/>
      <c r="CH5" s="286"/>
      <c r="CI5" s="350" t="s">
        <v>115</v>
      </c>
      <c r="CJ5" s="351"/>
      <c r="CK5" s="351"/>
      <c r="CL5" s="351"/>
      <c r="CM5" s="351"/>
      <c r="CN5" s="352"/>
      <c r="CO5" s="350" t="s">
        <v>116</v>
      </c>
      <c r="CP5" s="351"/>
      <c r="CQ5" s="351"/>
      <c r="CR5" s="351"/>
      <c r="CS5" s="351"/>
      <c r="CT5" s="351"/>
      <c r="CU5" s="352"/>
      <c r="CV5" s="350" t="s">
        <v>117</v>
      </c>
      <c r="CW5" s="351"/>
      <c r="CX5" s="351"/>
      <c r="CY5" s="352"/>
      <c r="CZ5" s="283">
        <v>362</v>
      </c>
      <c r="DA5" s="287"/>
      <c r="DB5" s="288"/>
      <c r="DC5" s="286"/>
      <c r="DD5" s="283" t="s">
        <v>39</v>
      </c>
      <c r="DE5" s="283" t="s">
        <v>40</v>
      </c>
      <c r="DF5" s="283"/>
      <c r="DG5" s="284" t="s">
        <v>43</v>
      </c>
      <c r="DH5" s="284"/>
      <c r="DI5" s="290"/>
      <c r="DJ5" s="288"/>
      <c r="DK5" s="291"/>
    </row>
    <row r="6" spans="1:120">
      <c r="A6" s="157" t="s">
        <v>12</v>
      </c>
      <c r="B6" s="256" t="s">
        <v>13</v>
      </c>
      <c r="C6" s="256" t="s">
        <v>47</v>
      </c>
      <c r="D6" s="256" t="s">
        <v>14</v>
      </c>
      <c r="E6" s="257" t="s">
        <v>15</v>
      </c>
      <c r="F6" s="256" t="s">
        <v>13</v>
      </c>
      <c r="G6" s="256" t="s">
        <v>47</v>
      </c>
      <c r="H6" s="256" t="s">
        <v>16</v>
      </c>
      <c r="I6" s="258" t="s">
        <v>17</v>
      </c>
      <c r="J6" s="259" t="str">
        <f>I2</f>
        <v>to '10</v>
      </c>
      <c r="K6" s="257" t="str">
        <f>K2</f>
        <v>Equiv '10 $$</v>
      </c>
      <c r="L6" s="256" t="s">
        <v>13</v>
      </c>
      <c r="M6" s="256" t="s">
        <v>47</v>
      </c>
      <c r="N6" s="256" t="s">
        <v>18</v>
      </c>
      <c r="O6" s="256" t="s">
        <v>19</v>
      </c>
      <c r="P6" s="258" t="s">
        <v>17</v>
      </c>
      <c r="Q6" s="259" t="str">
        <f>I2</f>
        <v>to '10</v>
      </c>
      <c r="R6" s="257" t="str">
        <f>K2</f>
        <v>Equiv '10 $$</v>
      </c>
      <c r="S6" s="256" t="s">
        <v>13</v>
      </c>
      <c r="T6" s="256" t="s">
        <v>47</v>
      </c>
      <c r="U6" s="256" t="s">
        <v>18</v>
      </c>
      <c r="V6" s="256" t="s">
        <v>20</v>
      </c>
      <c r="W6" s="258" t="s">
        <v>17</v>
      </c>
      <c r="X6" s="259" t="str">
        <f>I2</f>
        <v>to '10</v>
      </c>
      <c r="Y6" s="257" t="str">
        <f>K2</f>
        <v>Equiv '10 $$</v>
      </c>
      <c r="Z6" s="256" t="s">
        <v>13</v>
      </c>
      <c r="AA6" s="258" t="s">
        <v>17</v>
      </c>
      <c r="AB6" s="259" t="str">
        <f>I2</f>
        <v>to '10</v>
      </c>
      <c r="AC6" s="257" t="str">
        <f>K2</f>
        <v>Equiv '10 $$</v>
      </c>
      <c r="AD6" s="256" t="s">
        <v>13</v>
      </c>
      <c r="AE6" s="258" t="s">
        <v>17</v>
      </c>
      <c r="AF6" s="259" t="str">
        <f>I2</f>
        <v>to '10</v>
      </c>
      <c r="AG6" s="257" t="str">
        <f>K2</f>
        <v>Equiv '10 $$</v>
      </c>
      <c r="AH6" s="256" t="s">
        <v>13</v>
      </c>
      <c r="AI6" s="256" t="s">
        <v>47</v>
      </c>
      <c r="AJ6" s="256" t="s">
        <v>22</v>
      </c>
      <c r="AK6" s="258" t="s">
        <v>17</v>
      </c>
      <c r="AL6" s="259" t="str">
        <f>I2</f>
        <v>to '10</v>
      </c>
      <c r="AM6" s="257" t="str">
        <f>K2</f>
        <v>Equiv '10 $$</v>
      </c>
      <c r="AN6" s="256" t="s">
        <v>13</v>
      </c>
      <c r="AO6" s="258" t="s">
        <v>17</v>
      </c>
      <c r="AP6" s="259" t="str">
        <f>I2</f>
        <v>to '10</v>
      </c>
      <c r="AQ6" s="257" t="str">
        <f>K2</f>
        <v>Equiv '10 $$</v>
      </c>
      <c r="AR6" s="256" t="s">
        <v>13</v>
      </c>
      <c r="AS6" s="258" t="s">
        <v>17</v>
      </c>
      <c r="AT6" s="259" t="str">
        <f>I2</f>
        <v>to '10</v>
      </c>
      <c r="AU6" s="257" t="str">
        <f>K2</f>
        <v>Equiv '10 $$</v>
      </c>
      <c r="AV6" s="256" t="s">
        <v>13</v>
      </c>
      <c r="AW6" s="258" t="s">
        <v>17</v>
      </c>
      <c r="AX6" s="259" t="str">
        <f>I2</f>
        <v>to '10</v>
      </c>
      <c r="AY6" s="257" t="str">
        <f>K2</f>
        <v>Equiv '10 $$</v>
      </c>
      <c r="AZ6" s="256" t="s">
        <v>13</v>
      </c>
      <c r="BA6" s="258" t="s">
        <v>17</v>
      </c>
      <c r="BB6" s="259" t="str">
        <f>I2</f>
        <v>to '10</v>
      </c>
      <c r="BC6" s="257" t="str">
        <f>K2</f>
        <v>Equiv '10 $$</v>
      </c>
      <c r="BD6" s="256" t="s">
        <v>23</v>
      </c>
      <c r="BE6" s="256" t="s">
        <v>24</v>
      </c>
      <c r="BF6" s="258" t="s">
        <v>17</v>
      </c>
      <c r="BG6" s="259" t="str">
        <f>I2</f>
        <v>to '10</v>
      </c>
      <c r="BH6" s="257" t="str">
        <f>K2</f>
        <v>Equiv '10 $$</v>
      </c>
      <c r="BI6" s="256" t="s">
        <v>25</v>
      </c>
      <c r="BJ6" s="258" t="s">
        <v>17</v>
      </c>
      <c r="BK6" s="259" t="str">
        <f>I2</f>
        <v>to '10</v>
      </c>
      <c r="BL6" s="257" t="str">
        <f>K2</f>
        <v>Equiv '10 $$</v>
      </c>
      <c r="BM6" s="256" t="s">
        <v>13</v>
      </c>
      <c r="BN6" s="258" t="s">
        <v>17</v>
      </c>
      <c r="BO6" s="259" t="str">
        <f>I2</f>
        <v>to '10</v>
      </c>
      <c r="BP6" s="257" t="str">
        <f>K2</f>
        <v>Equiv '10 $$</v>
      </c>
      <c r="BQ6" s="256" t="s">
        <v>13</v>
      </c>
      <c r="BR6" s="256" t="s">
        <v>21</v>
      </c>
      <c r="BS6" s="256" t="s">
        <v>22</v>
      </c>
      <c r="BT6" s="258" t="s">
        <v>17</v>
      </c>
      <c r="BU6" s="259" t="str">
        <f>I2</f>
        <v>to '10</v>
      </c>
      <c r="BV6" s="257" t="str">
        <f>K2</f>
        <v>Equiv '10 $$</v>
      </c>
      <c r="BW6" s="256" t="s">
        <v>13</v>
      </c>
      <c r="BX6" s="258" t="s">
        <v>17</v>
      </c>
      <c r="BY6" s="259" t="str">
        <f>I2</f>
        <v>to '10</v>
      </c>
      <c r="BZ6" s="257" t="str">
        <f>K2</f>
        <v>Equiv '10 $$</v>
      </c>
      <c r="CA6" s="256" t="s">
        <v>13</v>
      </c>
      <c r="CB6" s="258" t="s">
        <v>17</v>
      </c>
      <c r="CC6" s="259" t="str">
        <f>I2</f>
        <v>to '10</v>
      </c>
      <c r="CD6" s="257" t="str">
        <f>K2</f>
        <v>Equiv '10 $$</v>
      </c>
      <c r="CE6" s="256" t="s">
        <v>13</v>
      </c>
      <c r="CF6" s="256" t="s">
        <v>47</v>
      </c>
      <c r="CG6" s="256" t="s">
        <v>14</v>
      </c>
      <c r="CH6" s="257" t="s">
        <v>26</v>
      </c>
      <c r="CI6" s="256" t="s">
        <v>13</v>
      </c>
      <c r="CJ6" s="256" t="s">
        <v>47</v>
      </c>
      <c r="CK6" s="256" t="s">
        <v>22</v>
      </c>
      <c r="CL6" s="258" t="s">
        <v>17</v>
      </c>
      <c r="CM6" s="259" t="str">
        <f>I2</f>
        <v>to '10</v>
      </c>
      <c r="CN6" s="257" t="str">
        <f>K2</f>
        <v>Equiv '10 $$</v>
      </c>
      <c r="CO6" s="256" t="s">
        <v>13</v>
      </c>
      <c r="CP6" s="256" t="s">
        <v>47</v>
      </c>
      <c r="CQ6" s="256" t="s">
        <v>18</v>
      </c>
      <c r="CR6" s="256" t="s">
        <v>22</v>
      </c>
      <c r="CS6" s="258" t="s">
        <v>17</v>
      </c>
      <c r="CT6" s="259" t="str">
        <f>I2</f>
        <v>to '10</v>
      </c>
      <c r="CU6" s="257" t="str">
        <f>K2</f>
        <v>Equiv '10 $$</v>
      </c>
      <c r="CV6" s="256" t="s">
        <v>13</v>
      </c>
      <c r="CW6" s="258" t="s">
        <v>17</v>
      </c>
      <c r="CX6" s="259" t="str">
        <f>I2</f>
        <v>to '10</v>
      </c>
      <c r="CY6" s="257" t="str">
        <f>K2</f>
        <v>Equiv '10 $$</v>
      </c>
      <c r="CZ6" s="256" t="s">
        <v>13</v>
      </c>
      <c r="DA6" s="258" t="s">
        <v>17</v>
      </c>
      <c r="DB6" s="259" t="str">
        <f>I2</f>
        <v>to '10</v>
      </c>
      <c r="DC6" s="257" t="str">
        <f>K2</f>
        <v>Equiv '10 $$</v>
      </c>
      <c r="DD6" s="256" t="s">
        <v>13</v>
      </c>
      <c r="DE6" s="256"/>
      <c r="DF6" s="256" t="s">
        <v>47</v>
      </c>
      <c r="DG6" s="256" t="s">
        <v>22</v>
      </c>
      <c r="DH6" s="256" t="s">
        <v>26</v>
      </c>
      <c r="DI6" s="260" t="s">
        <v>17</v>
      </c>
      <c r="DJ6" s="259" t="str">
        <f>I2</f>
        <v>to '10</v>
      </c>
      <c r="DK6" s="257" t="str">
        <f>K2</f>
        <v>Equiv '10 $$</v>
      </c>
    </row>
    <row r="7" spans="1:120">
      <c r="A7" s="157"/>
      <c r="B7" s="256"/>
      <c r="C7" s="256" t="s">
        <v>46</v>
      </c>
      <c r="D7" s="256"/>
      <c r="E7" s="257"/>
      <c r="F7" s="256"/>
      <c r="G7" s="256" t="s">
        <v>46</v>
      </c>
      <c r="H7" s="256"/>
      <c r="I7" s="258"/>
      <c r="J7" s="259"/>
      <c r="K7" s="257"/>
      <c r="L7" s="256"/>
      <c r="M7" s="256" t="s">
        <v>46</v>
      </c>
      <c r="N7" s="256"/>
      <c r="O7" s="256"/>
      <c r="P7" s="258"/>
      <c r="Q7" s="259"/>
      <c r="R7" s="257"/>
      <c r="S7" s="256"/>
      <c r="T7" s="256" t="s">
        <v>46</v>
      </c>
      <c r="U7" s="256"/>
      <c r="V7" s="256"/>
      <c r="W7" s="258"/>
      <c r="X7" s="259"/>
      <c r="Y7" s="257"/>
      <c r="Z7" s="256"/>
      <c r="AA7" s="258"/>
      <c r="AB7" s="259"/>
      <c r="AC7" s="257"/>
      <c r="AD7" s="256"/>
      <c r="AE7" s="258"/>
      <c r="AF7" s="259"/>
      <c r="AG7" s="257"/>
      <c r="AH7" s="256"/>
      <c r="AI7" s="256" t="s">
        <v>46</v>
      </c>
      <c r="AJ7" s="256"/>
      <c r="AK7" s="258"/>
      <c r="AL7" s="259"/>
      <c r="AM7" s="257"/>
      <c r="AN7" s="256"/>
      <c r="AO7" s="258"/>
      <c r="AP7" s="259"/>
      <c r="AQ7" s="257"/>
      <c r="AR7" s="256"/>
      <c r="AS7" s="258"/>
      <c r="AT7" s="259"/>
      <c r="AU7" s="257"/>
      <c r="AV7" s="256"/>
      <c r="AW7" s="258"/>
      <c r="AX7" s="259"/>
      <c r="AY7" s="257"/>
      <c r="AZ7" s="256"/>
      <c r="BA7" s="258"/>
      <c r="BB7" s="259"/>
      <c r="BC7" s="257"/>
      <c r="BD7" s="256"/>
      <c r="BE7" s="256"/>
      <c r="BF7" s="258"/>
      <c r="BG7" s="259"/>
      <c r="BH7" s="257"/>
      <c r="BI7" s="256"/>
      <c r="BJ7" s="258"/>
      <c r="BK7" s="259"/>
      <c r="BL7" s="257"/>
      <c r="BM7" s="256"/>
      <c r="BN7" s="258"/>
      <c r="BO7" s="259"/>
      <c r="BP7" s="257"/>
      <c r="BQ7" s="256"/>
      <c r="BR7" s="256"/>
      <c r="BS7" s="256"/>
      <c r="BT7" s="258"/>
      <c r="BU7" s="259"/>
      <c r="BV7" s="257"/>
      <c r="BW7" s="256"/>
      <c r="BX7" s="258"/>
      <c r="BY7" s="259"/>
      <c r="BZ7" s="257"/>
      <c r="CA7" s="256"/>
      <c r="CB7" s="258"/>
      <c r="CC7" s="259"/>
      <c r="CD7" s="257"/>
      <c r="CE7" s="256"/>
      <c r="CF7" s="256" t="s">
        <v>46</v>
      </c>
      <c r="CG7" s="256"/>
      <c r="CH7" s="257"/>
      <c r="CI7" s="256"/>
      <c r="CJ7" s="256" t="s">
        <v>46</v>
      </c>
      <c r="CK7" s="256"/>
      <c r="CL7" s="261"/>
      <c r="CM7" s="262"/>
      <c r="CN7" s="257"/>
      <c r="CO7" s="256"/>
      <c r="CP7" s="256" t="s">
        <v>46</v>
      </c>
      <c r="CQ7" s="256"/>
      <c r="CR7" s="256"/>
      <c r="CS7" s="258"/>
      <c r="CT7" s="259"/>
      <c r="CU7" s="257"/>
      <c r="CV7" s="256"/>
      <c r="CW7" s="263"/>
      <c r="CX7" s="262"/>
      <c r="CY7" s="257"/>
      <c r="CZ7" s="256"/>
      <c r="DA7" s="258"/>
      <c r="DB7" s="259"/>
      <c r="DC7" s="257"/>
      <c r="DD7" s="256"/>
      <c r="DE7" s="256"/>
      <c r="DF7" s="256" t="s">
        <v>46</v>
      </c>
      <c r="DG7" s="256"/>
      <c r="DH7" s="256"/>
      <c r="DI7" s="260"/>
      <c r="DJ7" s="264"/>
      <c r="DK7" s="265"/>
      <c r="DM7" s="92" t="s">
        <v>88</v>
      </c>
      <c r="DN7" s="92" t="s">
        <v>86</v>
      </c>
      <c r="DO7" s="92" t="s">
        <v>88</v>
      </c>
      <c r="DP7" s="92" t="s">
        <v>86</v>
      </c>
    </row>
    <row r="8" spans="1:120" ht="13.5" thickBot="1">
      <c r="A8" s="166" t="s">
        <v>124</v>
      </c>
      <c r="B8" s="266"/>
      <c r="C8" s="266"/>
      <c r="D8" s="266"/>
      <c r="E8" s="267"/>
      <c r="F8" s="266"/>
      <c r="G8" s="266"/>
      <c r="H8" s="266"/>
      <c r="I8" s="268"/>
      <c r="J8" s="269"/>
      <c r="K8" s="267"/>
      <c r="L8" s="266"/>
      <c r="M8" s="266"/>
      <c r="N8" s="266"/>
      <c r="O8" s="266"/>
      <c r="P8" s="268"/>
      <c r="Q8" s="269"/>
      <c r="R8" s="267"/>
      <c r="S8" s="266"/>
      <c r="T8" s="266"/>
      <c r="U8" s="266"/>
      <c r="V8" s="266"/>
      <c r="W8" s="268"/>
      <c r="X8" s="269"/>
      <c r="Y8" s="267"/>
      <c r="Z8" s="266"/>
      <c r="AA8" s="268"/>
      <c r="AB8" s="269"/>
      <c r="AC8" s="267"/>
      <c r="AD8" s="266"/>
      <c r="AE8" s="268"/>
      <c r="AF8" s="269"/>
      <c r="AG8" s="267"/>
      <c r="AH8" s="266"/>
      <c r="AI8" s="266"/>
      <c r="AJ8" s="266"/>
      <c r="AK8" s="268"/>
      <c r="AL8" s="269"/>
      <c r="AM8" s="267"/>
      <c r="AN8" s="278"/>
      <c r="AO8" s="279"/>
      <c r="AP8" s="280"/>
      <c r="AQ8" s="281"/>
      <c r="AR8" s="278"/>
      <c r="AS8" s="279"/>
      <c r="AT8" s="280"/>
      <c r="AU8" s="281"/>
      <c r="AV8" s="278"/>
      <c r="AW8" s="279"/>
      <c r="AX8" s="280"/>
      <c r="AY8" s="281"/>
      <c r="AZ8" s="278"/>
      <c r="BA8" s="279"/>
      <c r="BB8" s="280"/>
      <c r="BC8" s="281"/>
      <c r="BD8" s="278"/>
      <c r="BE8" s="278"/>
      <c r="BF8" s="279"/>
      <c r="BG8" s="280"/>
      <c r="BH8" s="281"/>
      <c r="BI8" s="278"/>
      <c r="BJ8" s="279"/>
      <c r="BK8" s="280"/>
      <c r="BL8" s="281"/>
      <c r="BM8" s="278"/>
      <c r="BN8" s="279"/>
      <c r="BO8" s="280"/>
      <c r="BP8" s="281"/>
      <c r="BQ8" s="278"/>
      <c r="BR8" s="278"/>
      <c r="BS8" s="278"/>
      <c r="BT8" s="279"/>
      <c r="BU8" s="280"/>
      <c r="BV8" s="281"/>
      <c r="BW8" s="278"/>
      <c r="BX8" s="279"/>
      <c r="BY8" s="280"/>
      <c r="BZ8" s="281"/>
      <c r="CA8" s="278"/>
      <c r="CB8" s="279"/>
      <c r="CC8" s="280"/>
      <c r="CD8" s="281"/>
      <c r="CE8" s="310"/>
      <c r="CF8" s="310"/>
      <c r="CG8" s="310"/>
      <c r="CH8" s="314"/>
      <c r="CI8" s="310"/>
      <c r="CJ8" s="310"/>
      <c r="CK8" s="310"/>
      <c r="CL8" s="315"/>
      <c r="CM8" s="308"/>
      <c r="CN8" s="314"/>
      <c r="CO8" s="310"/>
      <c r="CP8" s="310"/>
      <c r="CQ8" s="310"/>
      <c r="CR8" s="310"/>
      <c r="CS8" s="316"/>
      <c r="CT8" s="317"/>
      <c r="CU8" s="314"/>
      <c r="CV8" s="310"/>
      <c r="CW8" s="302"/>
      <c r="CX8" s="308"/>
      <c r="CY8" s="314"/>
      <c r="CZ8" s="310"/>
      <c r="DA8" s="316"/>
      <c r="DB8" s="317"/>
      <c r="DC8" s="314"/>
      <c r="DD8" s="310"/>
      <c r="DE8" s="310"/>
      <c r="DF8" s="310"/>
      <c r="DG8" s="310"/>
      <c r="DH8" s="310"/>
      <c r="DI8" s="318"/>
      <c r="DJ8" s="319"/>
      <c r="DK8" s="320"/>
    </row>
    <row r="9" spans="1:120" ht="13.5" thickBot="1">
      <c r="A9" s="128">
        <v>2010</v>
      </c>
      <c r="B9" s="321">
        <v>175518.83</v>
      </c>
      <c r="C9" s="130"/>
      <c r="D9" s="167">
        <f t="shared" ref="D9:D11" si="0">B9-C9</f>
        <v>175518.83</v>
      </c>
      <c r="E9" s="168">
        <f t="shared" ref="E9:E11" si="1">D9*0.7</f>
        <v>122863.18099999998</v>
      </c>
      <c r="F9" s="322">
        <v>320082.09000000003</v>
      </c>
      <c r="G9" s="130"/>
      <c r="H9" s="192">
        <f t="shared" ref="H9:H18" si="2">F9-G9</f>
        <v>320082.09000000003</v>
      </c>
      <c r="I9" s="80">
        <f>INDEX(HW_Data,MATCH(A9,HW_Year,0),$I$1)</f>
        <v>520</v>
      </c>
      <c r="J9" s="139">
        <f>$I$4/I9</f>
        <v>1</v>
      </c>
      <c r="K9" s="193">
        <f t="shared" ref="K9:K18" si="3">H9*J9</f>
        <v>320082.09000000003</v>
      </c>
      <c r="L9" s="322">
        <v>2447874.4500000002</v>
      </c>
      <c r="M9" s="130"/>
      <c r="N9" s="130"/>
      <c r="O9" s="58">
        <f t="shared" ref="O9:O18" si="4">L9-M9+N9</f>
        <v>2447874.4500000002</v>
      </c>
      <c r="P9" s="80">
        <f t="shared" ref="P9:P40" si="5">INDEX(HW_Data,MATCH(A9,HW_Year,0),$P$1)</f>
        <v>595</v>
      </c>
      <c r="Q9" s="139">
        <f>$P$4/P9</f>
        <v>1</v>
      </c>
      <c r="R9" s="193">
        <f t="shared" ref="R9:R72" si="6">O9*Q9</f>
        <v>2447874.4500000002</v>
      </c>
      <c r="S9" s="322">
        <v>2062526.55</v>
      </c>
      <c r="T9" s="130"/>
      <c r="U9" s="130"/>
      <c r="V9" s="58">
        <f t="shared" ref="V9:V18" si="7">S9-T9+U9</f>
        <v>2062526.55</v>
      </c>
      <c r="W9" s="80">
        <f t="shared" ref="W9:W40" si="8">INDEX(HW_Data,MATCH(A9,HW_Year,0),$W$1)</f>
        <v>610</v>
      </c>
      <c r="X9" s="139">
        <f>$W$4/W9</f>
        <v>1</v>
      </c>
      <c r="Y9" s="193">
        <f t="shared" ref="Y9:Y18" si="9">X9*V9</f>
        <v>2062526.55</v>
      </c>
      <c r="Z9" s="322">
        <v>41166.720000000001</v>
      </c>
      <c r="AA9" s="80">
        <f t="shared" ref="AA9:AA40" si="10">INDEX(HW_Data,MATCH(A9,HW_Year,0),$AA$1)</f>
        <v>548</v>
      </c>
      <c r="AB9" s="139">
        <f>$AA$4/AA9</f>
        <v>1</v>
      </c>
      <c r="AC9" s="193">
        <f t="shared" ref="AC9:AC45" si="11">AB9*Z9</f>
        <v>41166.720000000001</v>
      </c>
      <c r="AD9" s="322">
        <v>40310.28</v>
      </c>
      <c r="AE9" s="80">
        <f t="shared" ref="AE9:AE40" si="12">INDEX(HW_Data,MATCH(A9,HW_Year,0),$AE$1)</f>
        <v>829</v>
      </c>
      <c r="AF9" s="139">
        <f>$AE$4/AE9</f>
        <v>1</v>
      </c>
      <c r="AG9" s="193">
        <f t="shared" ref="AG9:AG18" si="13">AD9*AF9</f>
        <v>40310.28</v>
      </c>
      <c r="AH9" s="322">
        <v>30892.080000000002</v>
      </c>
      <c r="AI9" s="130"/>
      <c r="AJ9" s="58">
        <f t="shared" ref="AJ9:AJ18" si="14">AH9-AI9</f>
        <v>30892.080000000002</v>
      </c>
      <c r="AK9" s="80">
        <f t="shared" ref="AK9:AK40" si="15">INDEX(HW_Data,MATCH(A9,HW_Year,0),$AK$1)</f>
        <v>525</v>
      </c>
      <c r="AL9" s="139">
        <f>$AK$4/AK9</f>
        <v>1</v>
      </c>
      <c r="AM9" s="193">
        <f t="shared" ref="AM9:AM18" si="16">AJ9*AL9</f>
        <v>30892.080000000002</v>
      </c>
      <c r="AN9" s="322">
        <v>5888921.2699999996</v>
      </c>
      <c r="AO9" s="80">
        <f t="shared" ref="AO9:AO40" si="17">INDEX(HW_Data,MATCH(A9,HW_Year,0),$AO$1)</f>
        <v>568</v>
      </c>
      <c r="AP9" s="139">
        <f>$AO$4/AO9</f>
        <v>1</v>
      </c>
      <c r="AQ9" s="193">
        <f t="shared" ref="AQ9:AQ18" si="18">AN9*AP9</f>
        <v>5888921.2699999996</v>
      </c>
      <c r="AR9" s="322">
        <v>3546828.22</v>
      </c>
      <c r="AS9" s="80">
        <f t="shared" ref="AS9:AS40" si="19">INDEX(HW_Data,MATCH(A9,HW_Year,0),$AS$1)</f>
        <v>684</v>
      </c>
      <c r="AT9" s="139">
        <f>$AS$4/AS9</f>
        <v>1</v>
      </c>
      <c r="AU9" s="193">
        <f t="shared" ref="AU9:AU18" si="20">AR9*AT9</f>
        <v>3546828.22</v>
      </c>
      <c r="AV9" s="322">
        <v>2066991.76</v>
      </c>
      <c r="AW9" s="80">
        <f t="shared" ref="AW9:AW40" si="21">INDEX(HW_Data,MATCH(A9,HW_Year,0),$AW$1)</f>
        <v>526</v>
      </c>
      <c r="AX9" s="139">
        <f>$AW$4/AW9</f>
        <v>1</v>
      </c>
      <c r="AY9" s="193">
        <f t="shared" ref="AY9:AY18" si="22">AV9*AX9</f>
        <v>2066991.76</v>
      </c>
      <c r="AZ9" s="322">
        <v>7083951.8899999997</v>
      </c>
      <c r="BA9" s="80">
        <f t="shared" ref="BA9:BA40" si="23">INDEX(HW_Data,MATCH(A9,HW_Year,0),$BA$1)</f>
        <v>614</v>
      </c>
      <c r="BB9" s="139">
        <f>$BA$4/BA9</f>
        <v>1</v>
      </c>
      <c r="BC9" s="193">
        <f t="shared" ref="BC9:BC18" si="24">AZ9*BB9</f>
        <v>7083951.8899999997</v>
      </c>
      <c r="BD9" s="322">
        <v>3477997.73</v>
      </c>
      <c r="BE9" s="58">
        <f t="shared" ref="BE9:BE18" si="25">BD9*0.824</f>
        <v>2865870.12952</v>
      </c>
      <c r="BF9" s="80">
        <f t="shared" ref="BF9:BF40" si="26">INDEX(HW_Data,MATCH(A9,HW_Year,0),$BF$1)</f>
        <v>612</v>
      </c>
      <c r="BG9" s="139">
        <f>$BF$4/BF9</f>
        <v>1</v>
      </c>
      <c r="BH9" s="193">
        <f t="shared" ref="BH9:BH18" si="27">BE9*BG9</f>
        <v>2865870.12952</v>
      </c>
      <c r="BI9" s="296">
        <f t="shared" ref="BI9:BI18" si="28">BD9*0.176</f>
        <v>612127.60047999991</v>
      </c>
      <c r="BJ9" s="80">
        <f t="shared" ref="BJ9:BJ40" si="29">INDEX(HW_Data,MATCH(A9,HW_Year,0),$BJ$1)</f>
        <v>652</v>
      </c>
      <c r="BK9" s="139">
        <f>$BJ$4/BJ9</f>
        <v>1</v>
      </c>
      <c r="BL9" s="193">
        <f t="shared" ref="BL9:BL18" si="30">BI9*BK9</f>
        <v>612127.60047999991</v>
      </c>
      <c r="BM9" s="322">
        <v>793503.57</v>
      </c>
      <c r="BN9" s="80">
        <f t="shared" ref="BN9:BN40" si="31">INDEX(HW_Data,MATCH(A9,HW_Year,0),$BN$1)</f>
        <v>509</v>
      </c>
      <c r="BO9" s="139">
        <f>$BN$4/BN9</f>
        <v>1</v>
      </c>
      <c r="BP9" s="193">
        <f t="shared" ref="BP9:BP18" si="32">BM9*BO9</f>
        <v>793503.57</v>
      </c>
      <c r="BQ9" s="322">
        <v>1088023.1200000001</v>
      </c>
      <c r="BR9" s="130"/>
      <c r="BS9" s="58">
        <f t="shared" ref="BS9:BS18" si="33">BQ9-BR9</f>
        <v>1088023.1200000001</v>
      </c>
      <c r="BT9" s="80">
        <f t="shared" ref="BT9:BT40" si="34">INDEX(HW_Data,MATCH(A9,HW_Year,0),$BT$1)</f>
        <v>355</v>
      </c>
      <c r="BU9" s="139">
        <f>$BT$4/BT9</f>
        <v>1</v>
      </c>
      <c r="BV9" s="193">
        <f t="shared" ref="BV9:BV18" si="35">BS9*BU9</f>
        <v>1088023.1200000001</v>
      </c>
      <c r="BW9" s="322">
        <v>153613.34</v>
      </c>
      <c r="BX9" s="80">
        <f t="shared" ref="BX9:BX40" si="36">INDEX(HW_Data,MATCH(A9,HW_Year,0),$BX$1)</f>
        <v>730</v>
      </c>
      <c r="BY9" s="139">
        <f>$BX$4/BX9</f>
        <v>1</v>
      </c>
      <c r="BZ9" s="193">
        <f t="shared" ref="BZ9:BZ18" si="37">BW9*BY9</f>
        <v>153613.34</v>
      </c>
      <c r="CA9" s="322">
        <v>427395.27</v>
      </c>
      <c r="CB9" s="80">
        <f t="shared" ref="CB9:CB37" si="38">INDEX(HW_Data,MATCH(A9,HW_Year,0),$CB$1)</f>
        <v>730</v>
      </c>
      <c r="CC9" s="139">
        <f>$CB$4/CB9</f>
        <v>1</v>
      </c>
      <c r="CD9" s="193">
        <f t="shared" ref="CD9:CD18" si="39">CA9*CC9</f>
        <v>427395.27</v>
      </c>
      <c r="CE9" s="324">
        <f>B9</f>
        <v>175518.83</v>
      </c>
      <c r="CF9" s="130"/>
      <c r="CG9" s="58">
        <f t="shared" ref="CG9:CG11" si="40">CE9-CF9</f>
        <v>175518.83</v>
      </c>
      <c r="CH9" s="194">
        <f t="shared" ref="CH9:CH11" si="41">CG9*0.3</f>
        <v>52655.648999999998</v>
      </c>
      <c r="CI9" s="322">
        <v>259476.86</v>
      </c>
      <c r="CJ9" s="130"/>
      <c r="CK9" s="296">
        <f t="shared" ref="CK9:CK18" si="42">CI9-CJ9</f>
        <v>259476.86</v>
      </c>
      <c r="CL9" s="80">
        <f t="shared" ref="CL9:CL40" si="43">INDEX(HW_Data,MATCH(A9,HW_Year,0),$CL$1)</f>
        <v>520</v>
      </c>
      <c r="CM9" s="325">
        <f>$CL$4/CL9</f>
        <v>1</v>
      </c>
      <c r="CN9" s="326">
        <f t="shared" ref="CN9:CN43" si="44">CK9*CM9</f>
        <v>259476.86</v>
      </c>
      <c r="CO9" s="322">
        <v>4373089.09</v>
      </c>
      <c r="CP9" s="130"/>
      <c r="CQ9" s="130"/>
      <c r="CR9" s="299">
        <f t="shared" ref="CR9:CR18" si="45">CO9-CP9+CQ9</f>
        <v>4373089.09</v>
      </c>
      <c r="CS9" s="80">
        <f t="shared" ref="CS9:CS40" si="46">INDEX(HW_Data,MATCH(A9,HW_Year,0),$CS$1)</f>
        <v>691</v>
      </c>
      <c r="CT9" s="329">
        <f>$CS$4/CS9</f>
        <v>1</v>
      </c>
      <c r="CU9" s="326">
        <f t="shared" ref="CU9:CU43" si="47">CR9*CT9</f>
        <v>4373089.09</v>
      </c>
      <c r="CV9" s="322">
        <v>254672.84</v>
      </c>
      <c r="CW9" s="80">
        <f t="shared" ref="CW9:CW40" si="48">INDEX(HW_Data,MATCH(A9,HW_Year,0),$CW$1)</f>
        <v>520</v>
      </c>
      <c r="CX9" s="325">
        <f>$CW$4/CW9</f>
        <v>1</v>
      </c>
      <c r="CY9" s="326">
        <f t="shared" ref="CY9:CY18" si="49">CV9*CX9</f>
        <v>254672.84</v>
      </c>
      <c r="CZ9" s="322">
        <v>2453493.96</v>
      </c>
      <c r="DA9" s="80">
        <f t="shared" ref="DA9:DA40" si="50">INDEX(HW_Data,MATCH(A9,HW_Year,0),$DA$1)</f>
        <v>650</v>
      </c>
      <c r="DB9" s="329">
        <f>$DA$4/DA9</f>
        <v>1</v>
      </c>
      <c r="DC9" s="326">
        <f t="shared" ref="DC9:DC18" si="51">CZ9*DB9</f>
        <v>2453493.96</v>
      </c>
      <c r="DD9" s="322">
        <v>3584282.76</v>
      </c>
      <c r="DE9" s="130"/>
      <c r="DF9" s="130"/>
      <c r="DG9" s="58">
        <f t="shared" ref="DG9:DG18" si="52">DD9-DF9</f>
        <v>3584282.76</v>
      </c>
      <c r="DH9" s="58">
        <f t="shared" ref="DH9:DH18" si="53">DG9*0.25</f>
        <v>896070.69</v>
      </c>
      <c r="DI9" s="80">
        <f t="shared" ref="DI9:DI40" si="54">INDEX(HW_Data,MATCH(A9,HW_Year,0),$DI$1)</f>
        <v>868</v>
      </c>
      <c r="DJ9" s="332">
        <f>$DI$4/DI9</f>
        <v>1</v>
      </c>
      <c r="DK9" s="193">
        <f t="shared" ref="DK9:DK43" si="55">DH9*DJ9</f>
        <v>896070.69</v>
      </c>
      <c r="DM9" s="185"/>
      <c r="DN9" s="186"/>
      <c r="DO9" s="187"/>
    </row>
    <row r="10" spans="1:120">
      <c r="A10" s="128">
        <v>2009</v>
      </c>
      <c r="B10" s="321">
        <v>168209.86</v>
      </c>
      <c r="C10" s="130"/>
      <c r="D10" s="167">
        <f t="shared" si="0"/>
        <v>168209.86</v>
      </c>
      <c r="E10" s="168">
        <f t="shared" si="1"/>
        <v>117746.90199999999</v>
      </c>
      <c r="F10" s="322">
        <v>319890.46999999997</v>
      </c>
      <c r="G10" s="130"/>
      <c r="H10" s="192">
        <f t="shared" si="2"/>
        <v>319890.46999999997</v>
      </c>
      <c r="I10" s="80">
        <v>502</v>
      </c>
      <c r="J10" s="139">
        <f>$I$4/I10</f>
        <v>1.0358565737051793</v>
      </c>
      <c r="K10" s="193">
        <f t="shared" si="3"/>
        <v>331360.64621513942</v>
      </c>
      <c r="L10" s="322">
        <v>2379536.2400000002</v>
      </c>
      <c r="M10" s="130"/>
      <c r="N10" s="130"/>
      <c r="O10" s="58">
        <f t="shared" si="4"/>
        <v>2379536.2400000002</v>
      </c>
      <c r="P10" s="80">
        <f t="shared" si="5"/>
        <v>596</v>
      </c>
      <c r="Q10" s="139">
        <f>$P$4/P10</f>
        <v>0.99832214765100669</v>
      </c>
      <c r="R10" s="193">
        <f t="shared" si="6"/>
        <v>2375543.7295302013</v>
      </c>
      <c r="S10" s="322">
        <v>2015877.78</v>
      </c>
      <c r="T10" s="130"/>
      <c r="U10" s="130"/>
      <c r="V10" s="58">
        <f t="shared" si="7"/>
        <v>2015877.78</v>
      </c>
      <c r="W10" s="80">
        <f t="shared" si="8"/>
        <v>525</v>
      </c>
      <c r="X10" s="139">
        <f>$W$4/W10</f>
        <v>1.161904761904762</v>
      </c>
      <c r="Y10" s="193">
        <f t="shared" si="9"/>
        <v>2342257.9920000001</v>
      </c>
      <c r="Z10" s="322">
        <v>41166.720000000001</v>
      </c>
      <c r="AA10" s="80">
        <f t="shared" si="10"/>
        <v>530</v>
      </c>
      <c r="AB10" s="139">
        <f>$AA$4/AA10</f>
        <v>1.0339622641509434</v>
      </c>
      <c r="AC10" s="193">
        <f t="shared" si="11"/>
        <v>42564.835018867925</v>
      </c>
      <c r="AD10" s="322">
        <v>40310.28</v>
      </c>
      <c r="AE10" s="80">
        <f t="shared" si="12"/>
        <v>832</v>
      </c>
      <c r="AF10" s="139">
        <f>$AE$4/AE10</f>
        <v>0.99639423076923073</v>
      </c>
      <c r="AG10" s="193">
        <f t="shared" si="13"/>
        <v>40164.930432692308</v>
      </c>
      <c r="AH10" s="322">
        <v>30892.080000000002</v>
      </c>
      <c r="AI10" s="130"/>
      <c r="AJ10" s="58">
        <f t="shared" si="14"/>
        <v>30892.080000000002</v>
      </c>
      <c r="AK10" s="80">
        <f t="shared" si="15"/>
        <v>498</v>
      </c>
      <c r="AL10" s="139">
        <f>$AK$4/AK10</f>
        <v>1.0542168674698795</v>
      </c>
      <c r="AM10" s="193">
        <f t="shared" si="16"/>
        <v>32566.951807228917</v>
      </c>
      <c r="AN10" s="322">
        <v>5444510.5499999998</v>
      </c>
      <c r="AO10" s="80">
        <f t="shared" si="17"/>
        <v>550</v>
      </c>
      <c r="AP10" s="139">
        <f>$AO$4/AO10</f>
        <v>1.0327272727272727</v>
      </c>
      <c r="AQ10" s="193">
        <f t="shared" si="18"/>
        <v>5622694.5316363638</v>
      </c>
      <c r="AR10" s="322">
        <v>3282615.06</v>
      </c>
      <c r="AS10" s="80">
        <f t="shared" si="19"/>
        <v>612</v>
      </c>
      <c r="AT10" s="139">
        <f>$AS$4/AS10</f>
        <v>1.1176470588235294</v>
      </c>
      <c r="AU10" s="193">
        <f t="shared" si="20"/>
        <v>3668805.0670588235</v>
      </c>
      <c r="AV10" s="322">
        <v>1972195.77</v>
      </c>
      <c r="AW10" s="80">
        <f t="shared" si="21"/>
        <v>520</v>
      </c>
      <c r="AX10" s="139">
        <f>$AW$4/AW10</f>
        <v>1.0115384615384615</v>
      </c>
      <c r="AY10" s="193">
        <f t="shared" si="22"/>
        <v>1994951.8750384615</v>
      </c>
      <c r="AZ10" s="322">
        <v>6661910.7599999998</v>
      </c>
      <c r="BA10" s="80">
        <f t="shared" si="23"/>
        <v>641</v>
      </c>
      <c r="BB10" s="139">
        <f>$BA$4/BA10</f>
        <v>0.95787831513260535</v>
      </c>
      <c r="BC10" s="193">
        <f t="shared" si="24"/>
        <v>6381299.8543525739</v>
      </c>
      <c r="BD10" s="322">
        <v>3297255.25</v>
      </c>
      <c r="BE10" s="58">
        <f t="shared" si="25"/>
        <v>2716938.3259999999</v>
      </c>
      <c r="BF10" s="80">
        <f t="shared" si="26"/>
        <v>558</v>
      </c>
      <c r="BG10" s="139">
        <f>$BF$4/BF10</f>
        <v>1.096774193548387</v>
      </c>
      <c r="BH10" s="193">
        <f t="shared" si="27"/>
        <v>2979867.8414193545</v>
      </c>
      <c r="BI10" s="296">
        <f t="shared" si="28"/>
        <v>580316.924</v>
      </c>
      <c r="BJ10" s="80">
        <f t="shared" si="29"/>
        <v>666</v>
      </c>
      <c r="BK10" s="139">
        <f>$BJ$4/BJ10</f>
        <v>0.97897897897897901</v>
      </c>
      <c r="BL10" s="193">
        <f t="shared" si="30"/>
        <v>568118.06974174175</v>
      </c>
      <c r="BM10" s="322">
        <v>773832.89</v>
      </c>
      <c r="BN10" s="80">
        <f t="shared" si="31"/>
        <v>468</v>
      </c>
      <c r="BO10" s="139">
        <f>$BN$4/BN10</f>
        <v>1.0876068376068375</v>
      </c>
      <c r="BP10" s="193">
        <f t="shared" si="32"/>
        <v>841625.94232905982</v>
      </c>
      <c r="BQ10" s="322">
        <v>1069329.6100000001</v>
      </c>
      <c r="BR10" s="130"/>
      <c r="BS10" s="58">
        <f t="shared" si="33"/>
        <v>1069329.6100000001</v>
      </c>
      <c r="BT10" s="80">
        <f t="shared" si="34"/>
        <v>338</v>
      </c>
      <c r="BU10" s="139">
        <f>$BT$4/BT10</f>
        <v>1.0502958579881656</v>
      </c>
      <c r="BV10" s="193">
        <f t="shared" si="35"/>
        <v>1123112.4602071007</v>
      </c>
      <c r="BW10" s="322">
        <v>124534.94</v>
      </c>
      <c r="BX10" s="80">
        <f t="shared" si="36"/>
        <v>753</v>
      </c>
      <c r="BY10" s="139">
        <f>$BX$4/BX10</f>
        <v>0.96945551128818064</v>
      </c>
      <c r="BZ10" s="193">
        <f t="shared" si="37"/>
        <v>120731.0839309429</v>
      </c>
      <c r="CA10" s="322">
        <v>388156.8</v>
      </c>
      <c r="CB10" s="80">
        <f t="shared" si="38"/>
        <v>753</v>
      </c>
      <c r="CC10" s="139">
        <f>$CB$4/CB10</f>
        <v>0.96945551128818064</v>
      </c>
      <c r="CD10" s="193">
        <f t="shared" si="39"/>
        <v>376300.74900398403</v>
      </c>
      <c r="CE10" s="324">
        <f>B10</f>
        <v>168209.86</v>
      </c>
      <c r="CF10" s="130"/>
      <c r="CG10" s="58">
        <f t="shared" si="40"/>
        <v>168209.86</v>
      </c>
      <c r="CH10" s="194">
        <f t="shared" si="41"/>
        <v>50462.957999999991</v>
      </c>
      <c r="CI10" s="322">
        <v>255385.5</v>
      </c>
      <c r="CJ10" s="130"/>
      <c r="CK10" s="296">
        <f t="shared" si="42"/>
        <v>255385.5</v>
      </c>
      <c r="CL10" s="80">
        <f t="shared" si="43"/>
        <v>502</v>
      </c>
      <c r="CM10" s="325">
        <f>$CL$4/CL10</f>
        <v>1.0358565737051793</v>
      </c>
      <c r="CN10" s="326">
        <f t="shared" si="44"/>
        <v>264542.74900398403</v>
      </c>
      <c r="CO10" s="322">
        <v>4177531.18</v>
      </c>
      <c r="CP10" s="130"/>
      <c r="CQ10" s="130"/>
      <c r="CR10" s="299">
        <f t="shared" si="45"/>
        <v>4177531.18</v>
      </c>
      <c r="CS10" s="80">
        <f t="shared" si="46"/>
        <v>657</v>
      </c>
      <c r="CT10" s="329">
        <f>$CS$4/CS10</f>
        <v>1.0517503805175039</v>
      </c>
      <c r="CU10" s="326">
        <f t="shared" si="47"/>
        <v>4393720.0081887376</v>
      </c>
      <c r="CV10" s="322">
        <v>232267.4</v>
      </c>
      <c r="CW10" s="80">
        <f t="shared" si="48"/>
        <v>502</v>
      </c>
      <c r="CX10" s="325">
        <f>$CW$4/CW10</f>
        <v>1.0358565737051793</v>
      </c>
      <c r="CY10" s="326">
        <f t="shared" si="49"/>
        <v>240595.71314741034</v>
      </c>
      <c r="CZ10" s="322">
        <v>2321285.4300000002</v>
      </c>
      <c r="DA10" s="80">
        <f t="shared" si="50"/>
        <v>615</v>
      </c>
      <c r="DB10" s="329">
        <f>$DA$4/DA10</f>
        <v>1.056910569105691</v>
      </c>
      <c r="DC10" s="326">
        <f t="shared" si="51"/>
        <v>2453391.1048780489</v>
      </c>
      <c r="DD10" s="322">
        <v>3657422.61</v>
      </c>
      <c r="DE10" s="130"/>
      <c r="DF10" s="130"/>
      <c r="DG10" s="58">
        <f t="shared" si="52"/>
        <v>3657422.61</v>
      </c>
      <c r="DH10" s="58">
        <f t="shared" si="53"/>
        <v>914355.65249999997</v>
      </c>
      <c r="DI10" s="80">
        <f t="shared" si="54"/>
        <v>816</v>
      </c>
      <c r="DJ10" s="332">
        <f>$DI$4/DI10</f>
        <v>1.0637254901960784</v>
      </c>
      <c r="DK10" s="193">
        <f t="shared" si="55"/>
        <v>972623.41466911766</v>
      </c>
      <c r="DM10" s="185" t="s">
        <v>90</v>
      </c>
      <c r="DN10" s="186"/>
      <c r="DO10" s="187"/>
    </row>
    <row r="11" spans="1:120" ht="13.5" thickBot="1">
      <c r="A11" s="128">
        <v>2008</v>
      </c>
      <c r="B11" s="321">
        <v>144505.4</v>
      </c>
      <c r="C11" s="130"/>
      <c r="D11" s="167">
        <f t="shared" si="0"/>
        <v>144505.4</v>
      </c>
      <c r="E11" s="168">
        <f t="shared" si="1"/>
        <v>101153.77999999998</v>
      </c>
      <c r="F11" s="322">
        <v>319567.2</v>
      </c>
      <c r="G11" s="130"/>
      <c r="H11" s="192">
        <f t="shared" si="2"/>
        <v>319567.2</v>
      </c>
      <c r="I11" s="80">
        <v>517</v>
      </c>
      <c r="J11" s="139">
        <f t="shared" ref="J11:J74" si="56">$I$4/I11</f>
        <v>1.0058027079303675</v>
      </c>
      <c r="K11" s="193">
        <f t="shared" si="3"/>
        <v>321421.55512572534</v>
      </c>
      <c r="L11" s="322">
        <v>2334045.66</v>
      </c>
      <c r="M11" s="130"/>
      <c r="N11" s="130"/>
      <c r="O11" s="58">
        <f t="shared" si="4"/>
        <v>2334045.66</v>
      </c>
      <c r="P11" s="80">
        <f t="shared" si="5"/>
        <v>576</v>
      </c>
      <c r="Q11" s="139">
        <f t="shared" ref="Q11:Q74" si="57">$P$4/P11</f>
        <v>1.0329861111111112</v>
      </c>
      <c r="R11" s="193">
        <f t="shared" si="6"/>
        <v>2411036.7494791672</v>
      </c>
      <c r="S11" s="322">
        <v>1954724.67</v>
      </c>
      <c r="T11" s="130"/>
      <c r="U11" s="130"/>
      <c r="V11" s="58">
        <f t="shared" si="7"/>
        <v>1954724.67</v>
      </c>
      <c r="W11" s="80">
        <f t="shared" si="8"/>
        <v>716</v>
      </c>
      <c r="X11" s="139">
        <f t="shared" ref="X11:X74" si="58">$W$4/W11</f>
        <v>0.85195530726256985</v>
      </c>
      <c r="Y11" s="193">
        <f t="shared" si="9"/>
        <v>1665338.0568435753</v>
      </c>
      <c r="Z11" s="322">
        <v>31631.62</v>
      </c>
      <c r="AA11" s="80">
        <f t="shared" si="10"/>
        <v>534</v>
      </c>
      <c r="AB11" s="139">
        <f t="shared" ref="AB11:AB74" si="59">$AA$4/AA11</f>
        <v>1.0262172284644195</v>
      </c>
      <c r="AC11" s="193">
        <f t="shared" si="11"/>
        <v>32460.913408239703</v>
      </c>
      <c r="AD11" s="322">
        <v>36676.53</v>
      </c>
      <c r="AE11" s="80">
        <f t="shared" si="12"/>
        <v>818</v>
      </c>
      <c r="AF11" s="139">
        <f t="shared" ref="AF11:AF74" si="60">$AE$4/AE11</f>
        <v>1.0134474327628362</v>
      </c>
      <c r="AG11" s="193">
        <f t="shared" si="13"/>
        <v>37169.735171149143</v>
      </c>
      <c r="AH11" s="322">
        <v>30377.56</v>
      </c>
      <c r="AI11" s="130"/>
      <c r="AJ11" s="58">
        <f t="shared" si="14"/>
        <v>30377.56</v>
      </c>
      <c r="AK11" s="80">
        <f t="shared" si="15"/>
        <v>478</v>
      </c>
      <c r="AL11" s="139">
        <f t="shared" ref="AL11:AL59" si="61">$AK$4/AK11</f>
        <v>1.098326359832636</v>
      </c>
      <c r="AM11" s="193">
        <f t="shared" si="16"/>
        <v>33364.474895397492</v>
      </c>
      <c r="AN11" s="322">
        <v>5067285.63</v>
      </c>
      <c r="AO11" s="80">
        <f t="shared" si="17"/>
        <v>533</v>
      </c>
      <c r="AP11" s="139">
        <f t="shared" ref="AP11:AP74" si="62">$AO$4/AO11</f>
        <v>1.0656660412757974</v>
      </c>
      <c r="AQ11" s="193">
        <f t="shared" si="18"/>
        <v>5400034.2173358351</v>
      </c>
      <c r="AR11" s="322">
        <v>3081128.59</v>
      </c>
      <c r="AS11" s="80">
        <f t="shared" si="19"/>
        <v>698</v>
      </c>
      <c r="AT11" s="139">
        <f t="shared" ref="AT11:AT74" si="63">$AS$4/AS11</f>
        <v>0.97994269340974216</v>
      </c>
      <c r="AU11" s="193">
        <f t="shared" si="20"/>
        <v>3019329.4492263612</v>
      </c>
      <c r="AV11" s="322">
        <v>1859867.46</v>
      </c>
      <c r="AW11" s="80">
        <f t="shared" si="21"/>
        <v>503</v>
      </c>
      <c r="AX11" s="139">
        <f t="shared" ref="AX11:AX74" si="64">$AW$4/AW11</f>
        <v>1.0457256461232605</v>
      </c>
      <c r="AY11" s="193">
        <f t="shared" si="22"/>
        <v>1944911.1013121272</v>
      </c>
      <c r="AZ11" s="322">
        <v>6169309.3099999996</v>
      </c>
      <c r="BA11" s="80">
        <f t="shared" si="23"/>
        <v>588</v>
      </c>
      <c r="BB11" s="139">
        <f t="shared" ref="BB11:BB74" si="65">$BA$4/BA11</f>
        <v>1.0442176870748299</v>
      </c>
      <c r="BC11" s="193">
        <f t="shared" si="24"/>
        <v>6442101.8985374141</v>
      </c>
      <c r="BD11" s="322">
        <v>3110973.63</v>
      </c>
      <c r="BE11" s="58">
        <f t="shared" si="25"/>
        <v>2563442.2711199997</v>
      </c>
      <c r="BF11" s="80">
        <f t="shared" si="26"/>
        <v>508</v>
      </c>
      <c r="BG11" s="139">
        <f t="shared" ref="BG11:BG74" si="66">$BF$4/BF11</f>
        <v>1.204724409448819</v>
      </c>
      <c r="BH11" s="193">
        <f t="shared" si="27"/>
        <v>3088241.4762311811</v>
      </c>
      <c r="BI11" s="296">
        <f t="shared" si="28"/>
        <v>547531.35887999996</v>
      </c>
      <c r="BJ11" s="80">
        <f t="shared" si="29"/>
        <v>758</v>
      </c>
      <c r="BK11" s="139">
        <f t="shared" ref="BK11:BK74" si="67">$BJ$4/BJ11</f>
        <v>0.86015831134564646</v>
      </c>
      <c r="BL11" s="193">
        <f t="shared" si="30"/>
        <v>470963.64906300791</v>
      </c>
      <c r="BM11" s="322">
        <v>754409.66</v>
      </c>
      <c r="BN11" s="80">
        <f t="shared" si="31"/>
        <v>493</v>
      </c>
      <c r="BO11" s="139">
        <f t="shared" ref="BO11:BO74" si="68">$BN$4/BN11</f>
        <v>1.0324543610547667</v>
      </c>
      <c r="BP11" s="193">
        <f t="shared" si="32"/>
        <v>778893.54348884383</v>
      </c>
      <c r="BQ11" s="322">
        <v>590013.76</v>
      </c>
      <c r="BR11" s="130"/>
      <c r="BS11" s="58">
        <f t="shared" si="33"/>
        <v>590013.76</v>
      </c>
      <c r="BT11" s="80">
        <f t="shared" si="34"/>
        <v>334</v>
      </c>
      <c r="BU11" s="139">
        <f t="shared" ref="BU11:BU74" si="69">$BT$4/BT11</f>
        <v>1.062874251497006</v>
      </c>
      <c r="BV11" s="193">
        <f t="shared" si="35"/>
        <v>627110.43353293417</v>
      </c>
      <c r="BW11" s="322">
        <v>157107.26999999999</v>
      </c>
      <c r="BX11" s="80">
        <f t="shared" si="36"/>
        <v>674</v>
      </c>
      <c r="BY11" s="139">
        <f t="shared" ref="BY11:BY74" si="70">$BX$4/BX11</f>
        <v>1.0830860534124629</v>
      </c>
      <c r="BZ11" s="193">
        <f t="shared" si="37"/>
        <v>170160.69302670623</v>
      </c>
      <c r="CA11" s="322">
        <v>364603.33</v>
      </c>
      <c r="CB11" s="80">
        <f t="shared" si="38"/>
        <v>674</v>
      </c>
      <c r="CC11" s="139">
        <f t="shared" ref="CC11:CC37" si="71">$CB$4/CB11</f>
        <v>1.0830860534124629</v>
      </c>
      <c r="CD11" s="193">
        <f t="shared" si="39"/>
        <v>394896.78175074182</v>
      </c>
      <c r="CE11" s="324">
        <f>B11</f>
        <v>144505.4</v>
      </c>
      <c r="CF11" s="130"/>
      <c r="CG11" s="58">
        <f t="shared" si="40"/>
        <v>144505.4</v>
      </c>
      <c r="CH11" s="194">
        <f t="shared" si="41"/>
        <v>43351.619999999995</v>
      </c>
      <c r="CI11" s="322">
        <v>247144.35</v>
      </c>
      <c r="CJ11" s="130"/>
      <c r="CK11" s="296">
        <f t="shared" si="42"/>
        <v>247144.35</v>
      </c>
      <c r="CL11" s="80">
        <f t="shared" si="43"/>
        <v>517</v>
      </c>
      <c r="CM11" s="325">
        <f t="shared" ref="CM11:CM74" si="72">$CL$4/CL11</f>
        <v>1.0058027079303675</v>
      </c>
      <c r="CN11" s="326">
        <f t="shared" si="44"/>
        <v>248578.45647969053</v>
      </c>
      <c r="CO11" s="322">
        <v>4167575.59</v>
      </c>
      <c r="CP11" s="130"/>
      <c r="CQ11" s="130"/>
      <c r="CR11" s="299">
        <f t="shared" si="45"/>
        <v>4167575.59</v>
      </c>
      <c r="CS11" s="80">
        <f t="shared" si="46"/>
        <v>641</v>
      </c>
      <c r="CT11" s="329">
        <f t="shared" ref="CT11:CT74" si="73">$CS$4/CS11</f>
        <v>1.078003120124805</v>
      </c>
      <c r="CU11" s="326">
        <f t="shared" si="47"/>
        <v>4492659.489375975</v>
      </c>
      <c r="CV11" s="322">
        <v>204998.2</v>
      </c>
      <c r="CW11" s="80">
        <f t="shared" si="48"/>
        <v>517</v>
      </c>
      <c r="CX11" s="325">
        <f t="shared" ref="CX11:CX74" si="74">$CW$4/CW11</f>
        <v>1.0058027079303675</v>
      </c>
      <c r="CY11" s="326">
        <f t="shared" si="49"/>
        <v>206187.74468085109</v>
      </c>
      <c r="CZ11" s="322">
        <v>2169560.19</v>
      </c>
      <c r="DA11" s="80">
        <f t="shared" si="50"/>
        <v>602</v>
      </c>
      <c r="DB11" s="329">
        <f t="shared" ref="DB11:DB74" si="75">$DA$4/DA11</f>
        <v>1.0797342192691031</v>
      </c>
      <c r="DC11" s="326">
        <f t="shared" si="51"/>
        <v>2342548.3779069767</v>
      </c>
      <c r="DD11" s="322">
        <v>2959834.55</v>
      </c>
      <c r="DE11" s="130"/>
      <c r="DF11" s="130"/>
      <c r="DG11" s="58">
        <f t="shared" si="52"/>
        <v>2959834.55</v>
      </c>
      <c r="DH11" s="58">
        <f t="shared" si="53"/>
        <v>739958.63749999995</v>
      </c>
      <c r="DI11" s="80">
        <f t="shared" si="54"/>
        <v>761</v>
      </c>
      <c r="DJ11" s="332">
        <f t="shared" ref="DJ11:DJ74" si="76">$DI$4/DI11</f>
        <v>1.1406044678055192</v>
      </c>
      <c r="DK11" s="193">
        <f t="shared" si="55"/>
        <v>844000.12792378454</v>
      </c>
      <c r="DM11" s="188" t="s">
        <v>88</v>
      </c>
      <c r="DN11" s="189" t="s">
        <v>86</v>
      </c>
      <c r="DO11" s="190" t="s">
        <v>87</v>
      </c>
    </row>
    <row r="12" spans="1:120">
      <c r="A12" s="128">
        <v>2007</v>
      </c>
      <c r="B12" s="321">
        <v>139108</v>
      </c>
      <c r="C12" s="130"/>
      <c r="D12" s="167">
        <f t="shared" ref="D12:D18" si="77">B12-C12</f>
        <v>139108</v>
      </c>
      <c r="E12" s="168">
        <f>D12*0.7</f>
        <v>97375.599999999991</v>
      </c>
      <c r="F12" s="322">
        <v>239025.57</v>
      </c>
      <c r="G12" s="130"/>
      <c r="H12" s="192">
        <f t="shared" si="2"/>
        <v>239025.57</v>
      </c>
      <c r="I12" s="80">
        <v>498</v>
      </c>
      <c r="J12" s="139">
        <f t="shared" si="56"/>
        <v>1.0441767068273093</v>
      </c>
      <c r="K12" s="193">
        <f t="shared" si="3"/>
        <v>249584.93253012051</v>
      </c>
      <c r="L12" s="322">
        <v>3334220.89</v>
      </c>
      <c r="M12" s="130"/>
      <c r="N12" s="130"/>
      <c r="O12" s="58">
        <f t="shared" si="4"/>
        <v>3334220.89</v>
      </c>
      <c r="P12" s="80">
        <f t="shared" si="5"/>
        <v>534</v>
      </c>
      <c r="Q12" s="139">
        <f t="shared" si="57"/>
        <v>1.1142322097378277</v>
      </c>
      <c r="R12" s="193">
        <f t="shared" si="6"/>
        <v>3715096.3100187266</v>
      </c>
      <c r="S12" s="322">
        <v>1501043.99</v>
      </c>
      <c r="T12" s="130"/>
      <c r="U12" s="130"/>
      <c r="V12" s="58">
        <f t="shared" si="7"/>
        <v>1501043.99</v>
      </c>
      <c r="W12" s="80">
        <f t="shared" si="8"/>
        <v>608</v>
      </c>
      <c r="X12" s="139">
        <f t="shared" si="58"/>
        <v>1.0032894736842106</v>
      </c>
      <c r="Y12" s="193">
        <f t="shared" si="9"/>
        <v>1505981.6347039475</v>
      </c>
      <c r="Z12" s="322">
        <v>9315</v>
      </c>
      <c r="AA12" s="80">
        <f t="shared" si="10"/>
        <v>479</v>
      </c>
      <c r="AB12" s="139">
        <f t="shared" si="59"/>
        <v>1.1440501043841336</v>
      </c>
      <c r="AC12" s="193">
        <f t="shared" si="11"/>
        <v>10656.826722338204</v>
      </c>
      <c r="AD12" s="322">
        <v>20032.2</v>
      </c>
      <c r="AE12" s="80">
        <f t="shared" si="12"/>
        <v>608</v>
      </c>
      <c r="AF12" s="139">
        <f t="shared" si="60"/>
        <v>1.3634868421052631</v>
      </c>
      <c r="AG12" s="193">
        <f t="shared" si="13"/>
        <v>27313.641118421052</v>
      </c>
      <c r="AH12" s="322">
        <v>24479.759999999998</v>
      </c>
      <c r="AI12" s="130"/>
      <c r="AJ12" s="58">
        <f t="shared" si="14"/>
        <v>24479.759999999998</v>
      </c>
      <c r="AK12" s="80">
        <f t="shared" si="15"/>
        <v>460</v>
      </c>
      <c r="AL12" s="139">
        <f t="shared" si="61"/>
        <v>1.1413043478260869</v>
      </c>
      <c r="AM12" s="193">
        <f t="shared" si="16"/>
        <v>27938.856521739126</v>
      </c>
      <c r="AN12" s="322">
        <v>3369983.94</v>
      </c>
      <c r="AO12" s="80">
        <f t="shared" si="17"/>
        <v>504</v>
      </c>
      <c r="AP12" s="139">
        <f t="shared" si="62"/>
        <v>1.126984126984127</v>
      </c>
      <c r="AQ12" s="193">
        <f t="shared" si="18"/>
        <v>3797918.4085714286</v>
      </c>
      <c r="AR12" s="322">
        <v>1537335.23</v>
      </c>
      <c r="AS12" s="80">
        <f t="shared" si="19"/>
        <v>612</v>
      </c>
      <c r="AT12" s="139">
        <f t="shared" si="63"/>
        <v>1.1176470588235294</v>
      </c>
      <c r="AU12" s="193">
        <f t="shared" si="20"/>
        <v>1718198.1982352941</v>
      </c>
      <c r="AV12" s="322">
        <v>1195501.26</v>
      </c>
      <c r="AW12" s="80">
        <f t="shared" si="21"/>
        <v>476</v>
      </c>
      <c r="AX12" s="139">
        <f t="shared" si="64"/>
        <v>1.1050420168067228</v>
      </c>
      <c r="AY12" s="193">
        <f t="shared" si="22"/>
        <v>1321079.1234453782</v>
      </c>
      <c r="AZ12" s="322">
        <v>2316004.15</v>
      </c>
      <c r="BA12" s="80">
        <f t="shared" si="23"/>
        <v>518</v>
      </c>
      <c r="BB12" s="139">
        <f t="shared" si="65"/>
        <v>1.1853281853281854</v>
      </c>
      <c r="BC12" s="193">
        <f t="shared" si="24"/>
        <v>2745224.9963320466</v>
      </c>
      <c r="BD12" s="322">
        <v>3837790.32</v>
      </c>
      <c r="BE12" s="58">
        <f t="shared" si="25"/>
        <v>3162339.2236799998</v>
      </c>
      <c r="BF12" s="80">
        <f t="shared" si="26"/>
        <v>417</v>
      </c>
      <c r="BG12" s="139">
        <f t="shared" si="66"/>
        <v>1.4676258992805755</v>
      </c>
      <c r="BH12" s="193">
        <f t="shared" si="27"/>
        <v>4641130.9469835972</v>
      </c>
      <c r="BI12" s="296">
        <f t="shared" si="28"/>
        <v>675451.0963199999</v>
      </c>
      <c r="BJ12" s="80">
        <f t="shared" si="29"/>
        <v>818</v>
      </c>
      <c r="BK12" s="139">
        <f t="shared" si="67"/>
        <v>0.79706601466992666</v>
      </c>
      <c r="BL12" s="193">
        <f t="shared" si="30"/>
        <v>538379.11344821507</v>
      </c>
      <c r="BM12" s="323">
        <v>932347.37</v>
      </c>
      <c r="BN12" s="80">
        <f t="shared" si="31"/>
        <v>457</v>
      </c>
      <c r="BO12" s="139">
        <f t="shared" si="68"/>
        <v>1.113785557986871</v>
      </c>
      <c r="BP12" s="193">
        <f t="shared" si="32"/>
        <v>1038435.0357330416</v>
      </c>
      <c r="BQ12" s="322">
        <v>767522.38</v>
      </c>
      <c r="BR12" s="130"/>
      <c r="BS12" s="58">
        <f t="shared" si="33"/>
        <v>767522.38</v>
      </c>
      <c r="BT12" s="80">
        <f t="shared" si="34"/>
        <v>328</v>
      </c>
      <c r="BU12" s="139">
        <f t="shared" si="69"/>
        <v>1.0823170731707317</v>
      </c>
      <c r="BV12" s="193">
        <f t="shared" si="35"/>
        <v>830702.57591463416</v>
      </c>
      <c r="BW12" s="322">
        <v>292045.63</v>
      </c>
      <c r="BX12" s="80">
        <f t="shared" si="36"/>
        <v>626</v>
      </c>
      <c r="BY12" s="139">
        <f t="shared" si="70"/>
        <v>1.1661341853035143</v>
      </c>
      <c r="BZ12" s="193">
        <f t="shared" si="37"/>
        <v>340564.39281150157</v>
      </c>
      <c r="CA12" s="322">
        <v>738602.03</v>
      </c>
      <c r="CB12" s="80">
        <f t="shared" si="38"/>
        <v>626</v>
      </c>
      <c r="CC12" s="139">
        <f t="shared" si="71"/>
        <v>1.1661341853035143</v>
      </c>
      <c r="CD12" s="193">
        <f t="shared" si="39"/>
        <v>861309.07651757193</v>
      </c>
      <c r="CE12" s="324">
        <f>B12</f>
        <v>139108</v>
      </c>
      <c r="CF12" s="130"/>
      <c r="CG12" s="58">
        <f t="shared" ref="CG12:CG18" si="78">CE12-CF12</f>
        <v>139108</v>
      </c>
      <c r="CH12" s="194">
        <f t="shared" ref="CH12:CH18" si="79">CG12*0.3</f>
        <v>41732.400000000001</v>
      </c>
      <c r="CI12" s="322">
        <v>293722.49</v>
      </c>
      <c r="CJ12" s="130"/>
      <c r="CK12" s="296">
        <f t="shared" si="42"/>
        <v>293722.49</v>
      </c>
      <c r="CL12" s="80">
        <f t="shared" si="43"/>
        <v>498</v>
      </c>
      <c r="CM12" s="325">
        <f t="shared" si="72"/>
        <v>1.0441767068273093</v>
      </c>
      <c r="CN12" s="326">
        <f t="shared" si="44"/>
        <v>306698.18232931726</v>
      </c>
      <c r="CO12" s="322">
        <v>4278976.55</v>
      </c>
      <c r="CP12" s="130"/>
      <c r="CQ12" s="130"/>
      <c r="CR12" s="299">
        <f t="shared" si="45"/>
        <v>4278976.55</v>
      </c>
      <c r="CS12" s="80">
        <f t="shared" si="46"/>
        <v>597</v>
      </c>
      <c r="CT12" s="329">
        <f t="shared" si="73"/>
        <v>1.1574539363484087</v>
      </c>
      <c r="CU12" s="326">
        <f t="shared" si="47"/>
        <v>4952718.2513400335</v>
      </c>
      <c r="CV12" s="322">
        <v>225329.96</v>
      </c>
      <c r="CW12" s="80">
        <f t="shared" si="48"/>
        <v>498</v>
      </c>
      <c r="CX12" s="325">
        <f t="shared" si="74"/>
        <v>1.0441767068273093</v>
      </c>
      <c r="CY12" s="326">
        <f t="shared" si="49"/>
        <v>235284.29558232933</v>
      </c>
      <c r="CZ12" s="322">
        <v>1987852.27</v>
      </c>
      <c r="DA12" s="80">
        <f t="shared" si="50"/>
        <v>559</v>
      </c>
      <c r="DB12" s="329">
        <f t="shared" si="75"/>
        <v>1.1627906976744187</v>
      </c>
      <c r="DC12" s="326">
        <f t="shared" si="51"/>
        <v>2311456.1279069767</v>
      </c>
      <c r="DD12" s="322">
        <v>4249785.51</v>
      </c>
      <c r="DE12" s="130"/>
      <c r="DF12" s="130"/>
      <c r="DG12" s="58">
        <f t="shared" si="52"/>
        <v>4249785.51</v>
      </c>
      <c r="DH12" s="58">
        <f t="shared" si="53"/>
        <v>1062446.3774999999</v>
      </c>
      <c r="DI12" s="80">
        <f t="shared" si="54"/>
        <v>697</v>
      </c>
      <c r="DJ12" s="332">
        <f t="shared" si="76"/>
        <v>1.2453371592539455</v>
      </c>
      <c r="DK12" s="193">
        <f t="shared" si="55"/>
        <v>1323103.953615495</v>
      </c>
      <c r="DM12" s="196"/>
      <c r="DN12" s="197"/>
      <c r="DO12" s="198"/>
    </row>
    <row r="13" spans="1:120">
      <c r="A13" s="128">
        <v>2006</v>
      </c>
      <c r="B13" s="206">
        <v>131548.28</v>
      </c>
      <c r="C13" s="130"/>
      <c r="D13" s="167">
        <f t="shared" si="77"/>
        <v>131548.28</v>
      </c>
      <c r="E13" s="168">
        <f t="shared" ref="E13:E18" si="80">D13*0.7</f>
        <v>92083.795999999988</v>
      </c>
      <c r="F13" s="191">
        <v>238969.32</v>
      </c>
      <c r="G13" s="130"/>
      <c r="H13" s="192">
        <f t="shared" si="2"/>
        <v>238969.32</v>
      </c>
      <c r="I13" s="80">
        <v>459</v>
      </c>
      <c r="J13" s="132">
        <f t="shared" si="56"/>
        <v>1.1328976034858387</v>
      </c>
      <c r="K13" s="193">
        <f t="shared" si="3"/>
        <v>270727.7699346405</v>
      </c>
      <c r="L13" s="191">
        <v>3010249.3</v>
      </c>
      <c r="M13" s="130"/>
      <c r="N13" s="130"/>
      <c r="O13" s="58">
        <f t="shared" si="4"/>
        <v>3010249.3</v>
      </c>
      <c r="P13" s="80">
        <f t="shared" si="5"/>
        <v>522</v>
      </c>
      <c r="Q13" s="132">
        <f t="shared" si="57"/>
        <v>1.1398467432950192</v>
      </c>
      <c r="R13" s="193">
        <f t="shared" si="6"/>
        <v>3431222.861111111</v>
      </c>
      <c r="S13" s="191">
        <v>1309859.81</v>
      </c>
      <c r="T13" s="130"/>
      <c r="U13" s="130"/>
      <c r="V13" s="58">
        <f t="shared" si="7"/>
        <v>1309859.81</v>
      </c>
      <c r="W13" s="80">
        <f t="shared" si="8"/>
        <v>568</v>
      </c>
      <c r="X13" s="132">
        <f t="shared" si="58"/>
        <v>1.073943661971831</v>
      </c>
      <c r="Y13" s="193">
        <f t="shared" si="9"/>
        <v>1406715.6410211269</v>
      </c>
      <c r="Z13" s="191">
        <v>9315</v>
      </c>
      <c r="AA13" s="80">
        <f t="shared" si="10"/>
        <v>468</v>
      </c>
      <c r="AB13" s="132">
        <f t="shared" si="59"/>
        <v>1.170940170940171</v>
      </c>
      <c r="AC13" s="193">
        <f t="shared" si="11"/>
        <v>10907.307692307693</v>
      </c>
      <c r="AD13" s="191">
        <v>20032.2</v>
      </c>
      <c r="AE13" s="80">
        <f t="shared" si="12"/>
        <v>594</v>
      </c>
      <c r="AF13" s="132">
        <f t="shared" si="60"/>
        <v>1.3956228956228955</v>
      </c>
      <c r="AG13" s="193">
        <f t="shared" si="13"/>
        <v>27957.396969696969</v>
      </c>
      <c r="AH13" s="191">
        <v>24479.759999999998</v>
      </c>
      <c r="AI13" s="130"/>
      <c r="AJ13" s="58">
        <f t="shared" si="14"/>
        <v>24479.759999999998</v>
      </c>
      <c r="AK13" s="80">
        <f t="shared" si="15"/>
        <v>444</v>
      </c>
      <c r="AL13" s="132">
        <f t="shared" si="61"/>
        <v>1.1824324324324325</v>
      </c>
      <c r="AM13" s="193">
        <f t="shared" si="16"/>
        <v>28945.66216216216</v>
      </c>
      <c r="AN13" s="191">
        <v>3210542.18</v>
      </c>
      <c r="AO13" s="80">
        <f t="shared" si="17"/>
        <v>490</v>
      </c>
      <c r="AP13" s="132">
        <f t="shared" si="62"/>
        <v>1.1591836734693877</v>
      </c>
      <c r="AQ13" s="193">
        <f t="shared" si="18"/>
        <v>3721608.0780408164</v>
      </c>
      <c r="AR13" s="191">
        <v>1477987.52</v>
      </c>
      <c r="AS13" s="80">
        <f t="shared" si="19"/>
        <v>574</v>
      </c>
      <c r="AT13" s="132">
        <f t="shared" si="63"/>
        <v>1.1916376306620209</v>
      </c>
      <c r="AU13" s="193">
        <f t="shared" si="20"/>
        <v>1761225.5464808361</v>
      </c>
      <c r="AV13" s="191">
        <v>1128211.3600000001</v>
      </c>
      <c r="AW13" s="80">
        <f t="shared" si="21"/>
        <v>461</v>
      </c>
      <c r="AX13" s="132">
        <f t="shared" si="64"/>
        <v>1.140997830802603</v>
      </c>
      <c r="AY13" s="193">
        <f t="shared" si="22"/>
        <v>1287286.7144468548</v>
      </c>
      <c r="AZ13" s="191">
        <v>2144698.15</v>
      </c>
      <c r="BA13" s="80">
        <f t="shared" si="23"/>
        <v>437</v>
      </c>
      <c r="BB13" s="132">
        <f t="shared" si="65"/>
        <v>1.4050343249427917</v>
      </c>
      <c r="BC13" s="193">
        <f t="shared" si="24"/>
        <v>3013374.517391304</v>
      </c>
      <c r="BD13" s="191">
        <v>3573305.04</v>
      </c>
      <c r="BE13" s="58">
        <f t="shared" si="25"/>
        <v>2944403.3529599998</v>
      </c>
      <c r="BF13" s="80">
        <f t="shared" si="26"/>
        <v>363</v>
      </c>
      <c r="BG13" s="132">
        <f t="shared" si="66"/>
        <v>1.6859504132231404</v>
      </c>
      <c r="BH13" s="193">
        <f t="shared" si="27"/>
        <v>4964118.0496185115</v>
      </c>
      <c r="BI13" s="58">
        <f t="shared" si="28"/>
        <v>628901.68703999999</v>
      </c>
      <c r="BJ13" s="80">
        <f t="shared" si="29"/>
        <v>653</v>
      </c>
      <c r="BK13" s="132">
        <f t="shared" si="67"/>
        <v>0.99846860643185298</v>
      </c>
      <c r="BL13" s="193">
        <f t="shared" si="30"/>
        <v>627938.59104147018</v>
      </c>
      <c r="BM13" s="191">
        <v>882084.53</v>
      </c>
      <c r="BN13" s="80">
        <f t="shared" si="31"/>
        <v>436</v>
      </c>
      <c r="BO13" s="132">
        <f t="shared" si="68"/>
        <v>1.1674311926605505</v>
      </c>
      <c r="BP13" s="193">
        <f t="shared" si="32"/>
        <v>1029772.9948853211</v>
      </c>
      <c r="BQ13" s="191">
        <v>779704.27</v>
      </c>
      <c r="BR13" s="130"/>
      <c r="BS13" s="58">
        <f t="shared" si="33"/>
        <v>779704.27</v>
      </c>
      <c r="BT13" s="80">
        <f t="shared" si="34"/>
        <v>319</v>
      </c>
      <c r="BU13" s="132">
        <f t="shared" si="69"/>
        <v>1.1128526645768024</v>
      </c>
      <c r="BV13" s="193">
        <f t="shared" si="35"/>
        <v>867695.97445141058</v>
      </c>
      <c r="BW13" s="191">
        <v>276507.99</v>
      </c>
      <c r="BX13" s="80">
        <f t="shared" si="36"/>
        <v>596</v>
      </c>
      <c r="BY13" s="132">
        <f t="shared" si="70"/>
        <v>1.2248322147651007</v>
      </c>
      <c r="BZ13" s="193">
        <f t="shared" si="37"/>
        <v>338675.89379194629</v>
      </c>
      <c r="CA13" s="191">
        <v>687777.31</v>
      </c>
      <c r="CB13" s="80">
        <f t="shared" si="38"/>
        <v>596</v>
      </c>
      <c r="CC13" s="132">
        <f t="shared" si="71"/>
        <v>1.2248322147651007</v>
      </c>
      <c r="CD13" s="193">
        <f t="shared" si="39"/>
        <v>842411.8058724833</v>
      </c>
      <c r="CE13" s="82">
        <v>131548.28</v>
      </c>
      <c r="CF13" s="130"/>
      <c r="CG13" s="58">
        <f t="shared" si="78"/>
        <v>131548.28</v>
      </c>
      <c r="CH13" s="194">
        <f t="shared" si="79"/>
        <v>39464.483999999997</v>
      </c>
      <c r="CI13" s="191">
        <v>273978.32</v>
      </c>
      <c r="CJ13" s="130"/>
      <c r="CK13" s="58">
        <f t="shared" si="42"/>
        <v>273978.32</v>
      </c>
      <c r="CL13" s="80">
        <f t="shared" si="43"/>
        <v>459</v>
      </c>
      <c r="CM13" s="135">
        <f t="shared" si="72"/>
        <v>1.1328976034858387</v>
      </c>
      <c r="CN13" s="193">
        <f t="shared" si="44"/>
        <v>310389.38213507622</v>
      </c>
      <c r="CO13" s="191">
        <v>4026403.7</v>
      </c>
      <c r="CP13" s="130"/>
      <c r="CQ13" s="130"/>
      <c r="CR13" s="195">
        <f t="shared" si="45"/>
        <v>4026403.7</v>
      </c>
      <c r="CS13" s="80">
        <f t="shared" si="46"/>
        <v>546</v>
      </c>
      <c r="CT13" s="327">
        <f t="shared" si="73"/>
        <v>1.2655677655677655</v>
      </c>
      <c r="CU13" s="193">
        <f t="shared" si="47"/>
        <v>5095686.7338827839</v>
      </c>
      <c r="CV13" s="191">
        <v>217918.7</v>
      </c>
      <c r="CW13" s="80">
        <f t="shared" si="48"/>
        <v>459</v>
      </c>
      <c r="CX13" s="135">
        <f t="shared" si="74"/>
        <v>1.1328976034858387</v>
      </c>
      <c r="CY13" s="193">
        <f t="shared" si="49"/>
        <v>246879.57298474945</v>
      </c>
      <c r="CZ13" s="191">
        <v>1900201.55</v>
      </c>
      <c r="DA13" s="80">
        <f t="shared" si="50"/>
        <v>506</v>
      </c>
      <c r="DB13" s="327">
        <f t="shared" si="75"/>
        <v>1.2845849802371541</v>
      </c>
      <c r="DC13" s="193">
        <f t="shared" si="51"/>
        <v>2440970.3705533594</v>
      </c>
      <c r="DD13" s="191">
        <v>3998978.4</v>
      </c>
      <c r="DE13" s="130"/>
      <c r="DF13" s="130"/>
      <c r="DG13" s="58">
        <f t="shared" si="52"/>
        <v>3998978.4</v>
      </c>
      <c r="DH13" s="58">
        <f t="shared" si="53"/>
        <v>999744.6</v>
      </c>
      <c r="DI13" s="80">
        <f t="shared" si="54"/>
        <v>632</v>
      </c>
      <c r="DJ13" s="332">
        <f t="shared" si="76"/>
        <v>1.3734177215189873</v>
      </c>
      <c r="DK13" s="193">
        <f t="shared" si="55"/>
        <v>1373066.9506329114</v>
      </c>
      <c r="DL13" s="181">
        <v>2010</v>
      </c>
      <c r="DM13" s="199">
        <f t="shared" ref="DM13" si="81">SUM(E9,K9,Y9,R9,AG9,AC9,AM9)</f>
        <v>5065715.3509999998</v>
      </c>
      <c r="DN13" s="200">
        <f t="shared" ref="DN13" si="82">SUM(AQ9,AU9,AY9,BC9,BH9,BL9,BP9,BV9,BZ9,CD9)</f>
        <v>24527226.170000002</v>
      </c>
      <c r="DO13" s="201">
        <f t="shared" ref="DO13" si="83">SUM(CH9,CN9,CU9,CY9,DC9,DK9)</f>
        <v>8289459.0889999997</v>
      </c>
    </row>
    <row r="14" spans="1:120">
      <c r="A14" s="128">
        <v>2005</v>
      </c>
      <c r="B14" s="206">
        <v>131124.66</v>
      </c>
      <c r="C14" s="130"/>
      <c r="D14" s="167">
        <f t="shared" si="77"/>
        <v>131124.66</v>
      </c>
      <c r="E14" s="168">
        <f t="shared" si="80"/>
        <v>91787.262000000002</v>
      </c>
      <c r="F14" s="191">
        <v>238967.92</v>
      </c>
      <c r="G14" s="130"/>
      <c r="H14" s="192">
        <f t="shared" si="2"/>
        <v>238967.92</v>
      </c>
      <c r="I14" s="80">
        <v>437</v>
      </c>
      <c r="J14" s="132">
        <f t="shared" si="56"/>
        <v>1.1899313501144164</v>
      </c>
      <c r="K14" s="193">
        <f t="shared" si="3"/>
        <v>284355.41967963387</v>
      </c>
      <c r="L14" s="191">
        <v>2742451.94</v>
      </c>
      <c r="M14" s="130"/>
      <c r="N14" s="130"/>
      <c r="O14" s="58">
        <f t="shared" si="4"/>
        <v>2742451.94</v>
      </c>
      <c r="P14" s="80">
        <f t="shared" si="5"/>
        <v>503</v>
      </c>
      <c r="Q14" s="132">
        <f t="shared" si="57"/>
        <v>1.1829025844930416</v>
      </c>
      <c r="R14" s="193">
        <f t="shared" si="6"/>
        <v>3244053.487673956</v>
      </c>
      <c r="S14" s="191">
        <v>1244443.6499999999</v>
      </c>
      <c r="T14" s="130"/>
      <c r="U14" s="130"/>
      <c r="V14" s="58">
        <f t="shared" si="7"/>
        <v>1244443.6499999999</v>
      </c>
      <c r="W14" s="80">
        <f t="shared" si="8"/>
        <v>489</v>
      </c>
      <c r="X14" s="132">
        <f t="shared" si="58"/>
        <v>1.2474437627811861</v>
      </c>
      <c r="Y14" s="193">
        <f t="shared" si="9"/>
        <v>1552373.4693251532</v>
      </c>
      <c r="Z14" s="191">
        <v>9315</v>
      </c>
      <c r="AA14" s="80">
        <f t="shared" si="10"/>
        <v>448</v>
      </c>
      <c r="AB14" s="132">
        <f t="shared" si="59"/>
        <v>1.2232142857142858</v>
      </c>
      <c r="AC14" s="193">
        <f t="shared" si="11"/>
        <v>11394.241071428572</v>
      </c>
      <c r="AD14" s="191">
        <v>20031.64</v>
      </c>
      <c r="AE14" s="80">
        <f t="shared" si="12"/>
        <v>550</v>
      </c>
      <c r="AF14" s="132">
        <f t="shared" si="60"/>
        <v>1.5072727272727273</v>
      </c>
      <c r="AG14" s="193">
        <f t="shared" si="13"/>
        <v>30193.144654545453</v>
      </c>
      <c r="AH14" s="191">
        <v>24479.759999999998</v>
      </c>
      <c r="AI14" s="130"/>
      <c r="AJ14" s="58">
        <f t="shared" si="14"/>
        <v>24479.759999999998</v>
      </c>
      <c r="AK14" s="80">
        <f t="shared" si="15"/>
        <v>427</v>
      </c>
      <c r="AL14" s="132">
        <f t="shared" si="61"/>
        <v>1.2295081967213115</v>
      </c>
      <c r="AM14" s="193">
        <f t="shared" si="16"/>
        <v>30098.065573770491</v>
      </c>
      <c r="AN14" s="191">
        <v>3090406.51</v>
      </c>
      <c r="AO14" s="80">
        <f t="shared" si="17"/>
        <v>470</v>
      </c>
      <c r="AP14" s="132">
        <f t="shared" si="62"/>
        <v>1.2085106382978723</v>
      </c>
      <c r="AQ14" s="193">
        <f t="shared" si="18"/>
        <v>3734789.1439999999</v>
      </c>
      <c r="AR14" s="191">
        <v>1439431.13</v>
      </c>
      <c r="AS14" s="80">
        <f t="shared" si="19"/>
        <v>516</v>
      </c>
      <c r="AT14" s="132">
        <f t="shared" si="63"/>
        <v>1.3255813953488371</v>
      </c>
      <c r="AU14" s="193">
        <f t="shared" si="20"/>
        <v>1908083.1258139531</v>
      </c>
      <c r="AV14" s="191">
        <v>1065539.1100000001</v>
      </c>
      <c r="AW14" s="80">
        <f t="shared" si="21"/>
        <v>433</v>
      </c>
      <c r="AX14" s="132">
        <f t="shared" si="64"/>
        <v>1.2147806004618937</v>
      </c>
      <c r="AY14" s="193">
        <f t="shared" si="22"/>
        <v>1294396.239861432</v>
      </c>
      <c r="AZ14" s="191">
        <v>2028235.53</v>
      </c>
      <c r="BA14" s="80">
        <f t="shared" si="23"/>
        <v>405</v>
      </c>
      <c r="BB14" s="132">
        <f t="shared" si="65"/>
        <v>1.5160493827160493</v>
      </c>
      <c r="BC14" s="193">
        <f t="shared" si="24"/>
        <v>3074905.223259259</v>
      </c>
      <c r="BD14" s="191">
        <v>3389655.84</v>
      </c>
      <c r="BE14" s="58">
        <f t="shared" si="25"/>
        <v>2793076.4121599998</v>
      </c>
      <c r="BF14" s="80">
        <f t="shared" si="26"/>
        <v>286</v>
      </c>
      <c r="BG14" s="132">
        <f t="shared" si="66"/>
        <v>2.13986013986014</v>
      </c>
      <c r="BH14" s="193">
        <f t="shared" si="27"/>
        <v>5976792.8819647552</v>
      </c>
      <c r="BI14" s="58">
        <f t="shared" si="28"/>
        <v>596579.4278399999</v>
      </c>
      <c r="BJ14" s="80">
        <f t="shared" si="29"/>
        <v>542</v>
      </c>
      <c r="BK14" s="132">
        <f t="shared" si="67"/>
        <v>1.2029520295202951</v>
      </c>
      <c r="BL14" s="193">
        <f t="shared" si="30"/>
        <v>717656.43349018437</v>
      </c>
      <c r="BM14" s="191">
        <v>892036.74</v>
      </c>
      <c r="BN14" s="80">
        <f t="shared" si="31"/>
        <v>414</v>
      </c>
      <c r="BO14" s="132">
        <f t="shared" si="68"/>
        <v>1.2294685990338163</v>
      </c>
      <c r="BP14" s="193">
        <f t="shared" si="32"/>
        <v>1096731.1610144926</v>
      </c>
      <c r="BQ14" s="191">
        <v>803880.18</v>
      </c>
      <c r="BR14" s="130"/>
      <c r="BS14" s="58">
        <f t="shared" si="33"/>
        <v>803880.18</v>
      </c>
      <c r="BT14" s="80">
        <f t="shared" si="34"/>
        <v>311</v>
      </c>
      <c r="BU14" s="132">
        <f t="shared" si="69"/>
        <v>1.1414790996784565</v>
      </c>
      <c r="BV14" s="193">
        <f t="shared" si="35"/>
        <v>917612.4241157556</v>
      </c>
      <c r="BW14" s="191">
        <v>263098.14</v>
      </c>
      <c r="BX14" s="80">
        <f t="shared" si="36"/>
        <v>513</v>
      </c>
      <c r="BY14" s="132">
        <f t="shared" si="70"/>
        <v>1.4230019493177388</v>
      </c>
      <c r="BZ14" s="193">
        <f t="shared" si="37"/>
        <v>374389.16608187137</v>
      </c>
      <c r="CA14" s="191">
        <v>647956.31999999995</v>
      </c>
      <c r="CB14" s="80">
        <f t="shared" si="38"/>
        <v>513</v>
      </c>
      <c r="CC14" s="132">
        <f t="shared" si="71"/>
        <v>1.4230019493177388</v>
      </c>
      <c r="CD14" s="193">
        <f t="shared" si="39"/>
        <v>922043.10643274849</v>
      </c>
      <c r="CE14" s="82">
        <v>131124.66</v>
      </c>
      <c r="CF14" s="130"/>
      <c r="CG14" s="58">
        <f t="shared" si="78"/>
        <v>131124.66</v>
      </c>
      <c r="CH14" s="194">
        <f t="shared" si="79"/>
        <v>39337.398000000001</v>
      </c>
      <c r="CI14" s="191">
        <v>264778.09000000003</v>
      </c>
      <c r="CJ14" s="130"/>
      <c r="CK14" s="58">
        <f t="shared" si="42"/>
        <v>264778.09000000003</v>
      </c>
      <c r="CL14" s="80">
        <f t="shared" si="43"/>
        <v>437</v>
      </c>
      <c r="CM14" s="135">
        <f t="shared" si="72"/>
        <v>1.1899313501144164</v>
      </c>
      <c r="CN14" s="193">
        <f t="shared" si="44"/>
        <v>315067.75011441647</v>
      </c>
      <c r="CO14" s="191">
        <v>3784636.68</v>
      </c>
      <c r="CP14" s="130"/>
      <c r="CQ14" s="130"/>
      <c r="CR14" s="195">
        <f t="shared" si="45"/>
        <v>3784636.68</v>
      </c>
      <c r="CS14" s="80">
        <f t="shared" si="46"/>
        <v>507</v>
      </c>
      <c r="CT14" s="327">
        <f t="shared" si="73"/>
        <v>1.3629191321499015</v>
      </c>
      <c r="CU14" s="193">
        <f t="shared" si="47"/>
        <v>5158153.7394082844</v>
      </c>
      <c r="CV14" s="191">
        <v>219495.47</v>
      </c>
      <c r="CW14" s="80">
        <f t="shared" si="48"/>
        <v>437</v>
      </c>
      <c r="CX14" s="135">
        <f t="shared" si="74"/>
        <v>1.1899313501144164</v>
      </c>
      <c r="CY14" s="193">
        <f t="shared" si="49"/>
        <v>261184.54096109839</v>
      </c>
      <c r="CZ14" s="191">
        <v>1806725.3</v>
      </c>
      <c r="DA14" s="80">
        <f t="shared" si="50"/>
        <v>468</v>
      </c>
      <c r="DB14" s="327">
        <f t="shared" si="75"/>
        <v>1.3888888888888888</v>
      </c>
      <c r="DC14" s="193">
        <f t="shared" si="51"/>
        <v>2509340.6944444445</v>
      </c>
      <c r="DD14" s="191">
        <v>3510133.32</v>
      </c>
      <c r="DE14" s="130"/>
      <c r="DF14" s="130"/>
      <c r="DG14" s="58">
        <f t="shared" si="52"/>
        <v>3510133.32</v>
      </c>
      <c r="DH14" s="58">
        <f t="shared" si="53"/>
        <v>877533.33</v>
      </c>
      <c r="DI14" s="80">
        <f t="shared" si="54"/>
        <v>589</v>
      </c>
      <c r="DJ14" s="332">
        <f t="shared" si="76"/>
        <v>1.4736842105263157</v>
      </c>
      <c r="DK14" s="193">
        <f t="shared" si="55"/>
        <v>1293207.0126315788</v>
      </c>
      <c r="DL14" s="181">
        <v>2009</v>
      </c>
      <c r="DM14" s="199">
        <f t="shared" ref="DM14:DM15" si="84">SUM(E10,K10,Y10,R10,AG10,AC10,AM10)</f>
        <v>5282205.9870041292</v>
      </c>
      <c r="DN14" s="200">
        <f t="shared" ref="DN14:DN15" si="85">SUM(AQ10,AU10,AY10,BC10,BH10,BL10,BP10,BV10,BZ10,CD10)</f>
        <v>23677507.474718407</v>
      </c>
      <c r="DO14" s="201">
        <f t="shared" ref="DO14:DO15" si="86">SUM(CH10,CN10,CU10,CY10,DC10,DK10)</f>
        <v>8375335.9478872987</v>
      </c>
    </row>
    <row r="15" spans="1:120">
      <c r="A15" s="128">
        <v>2004</v>
      </c>
      <c r="B15" s="206">
        <v>131059.32</v>
      </c>
      <c r="C15" s="130"/>
      <c r="D15" s="167">
        <f t="shared" si="77"/>
        <v>131059.32</v>
      </c>
      <c r="E15" s="168">
        <f t="shared" si="80"/>
        <v>91741.524000000005</v>
      </c>
      <c r="F15" s="191">
        <v>250385.72</v>
      </c>
      <c r="G15" s="130"/>
      <c r="H15" s="192">
        <f t="shared" si="2"/>
        <v>250385.72</v>
      </c>
      <c r="I15" s="80">
        <v>422</v>
      </c>
      <c r="J15" s="132">
        <f t="shared" si="56"/>
        <v>1.2322274881516588</v>
      </c>
      <c r="K15" s="193">
        <f t="shared" si="3"/>
        <v>308532.16682464455</v>
      </c>
      <c r="L15" s="191">
        <v>2515284.3199999998</v>
      </c>
      <c r="M15" s="130"/>
      <c r="N15" s="130"/>
      <c r="O15" s="58">
        <f t="shared" si="4"/>
        <v>2515284.3199999998</v>
      </c>
      <c r="P15" s="80">
        <f t="shared" si="5"/>
        <v>470</v>
      </c>
      <c r="Q15" s="132">
        <f t="shared" si="57"/>
        <v>1.2659574468085106</v>
      </c>
      <c r="R15" s="193">
        <f t="shared" si="6"/>
        <v>3184242.9157446804</v>
      </c>
      <c r="S15" s="191">
        <v>1229202.48</v>
      </c>
      <c r="T15" s="130"/>
      <c r="U15" s="130"/>
      <c r="V15" s="58">
        <f t="shared" si="7"/>
        <v>1229202.48</v>
      </c>
      <c r="W15" s="80">
        <f t="shared" si="8"/>
        <v>445</v>
      </c>
      <c r="X15" s="132">
        <f t="shared" si="58"/>
        <v>1.3707865168539326</v>
      </c>
      <c r="Y15" s="193">
        <f t="shared" si="9"/>
        <v>1684974.1860674156</v>
      </c>
      <c r="Z15" s="191">
        <v>9404.2800000000007</v>
      </c>
      <c r="AA15" s="80">
        <f t="shared" si="10"/>
        <v>415</v>
      </c>
      <c r="AB15" s="132">
        <f t="shared" si="59"/>
        <v>1.3204819277108433</v>
      </c>
      <c r="AC15" s="193">
        <f t="shared" si="11"/>
        <v>12418.18178313253</v>
      </c>
      <c r="AD15" s="191">
        <v>20580.439999999999</v>
      </c>
      <c r="AE15" s="80">
        <f t="shared" si="12"/>
        <v>528</v>
      </c>
      <c r="AF15" s="132">
        <f t="shared" si="60"/>
        <v>1.5700757575757576</v>
      </c>
      <c r="AG15" s="193">
        <f t="shared" si="13"/>
        <v>32312.849924242422</v>
      </c>
      <c r="AH15" s="191">
        <v>24487.08</v>
      </c>
      <c r="AI15" s="130"/>
      <c r="AJ15" s="58">
        <f t="shared" si="14"/>
        <v>24487.08</v>
      </c>
      <c r="AK15" s="80">
        <f t="shared" si="15"/>
        <v>407</v>
      </c>
      <c r="AL15" s="132">
        <f t="shared" si="61"/>
        <v>1.28992628992629</v>
      </c>
      <c r="AM15" s="193">
        <f t="shared" si="16"/>
        <v>31586.528255528261</v>
      </c>
      <c r="AN15" s="191">
        <f>1182004.76+1806863.28</f>
        <v>2988868.04</v>
      </c>
      <c r="AO15" s="80">
        <f t="shared" si="17"/>
        <v>448</v>
      </c>
      <c r="AP15" s="132">
        <f t="shared" si="62"/>
        <v>1.2678571428571428</v>
      </c>
      <c r="AQ15" s="193">
        <f t="shared" si="18"/>
        <v>3789457.6935714283</v>
      </c>
      <c r="AR15" s="191">
        <f>571849.32+836812.56</f>
        <v>1408661.88</v>
      </c>
      <c r="AS15" s="80">
        <f t="shared" si="19"/>
        <v>477</v>
      </c>
      <c r="AT15" s="132">
        <f t="shared" si="63"/>
        <v>1.4339622641509433</v>
      </c>
      <c r="AU15" s="193">
        <f t="shared" si="20"/>
        <v>2019967.9788679243</v>
      </c>
      <c r="AV15" s="191">
        <f>403434.32+582363.36</f>
        <v>985797.67999999993</v>
      </c>
      <c r="AW15" s="80">
        <f t="shared" si="21"/>
        <v>406</v>
      </c>
      <c r="AX15" s="132">
        <f t="shared" si="64"/>
        <v>1.2955665024630543</v>
      </c>
      <c r="AY15" s="193">
        <f t="shared" si="22"/>
        <v>1277166.4524137932</v>
      </c>
      <c r="AZ15" s="191">
        <f>807398.64+1211379.72</f>
        <v>2018778.3599999999</v>
      </c>
      <c r="BA15" s="80">
        <f t="shared" si="23"/>
        <v>369</v>
      </c>
      <c r="BB15" s="132">
        <f t="shared" si="65"/>
        <v>1.6639566395663956</v>
      </c>
      <c r="BC15" s="193">
        <f t="shared" si="24"/>
        <v>3359159.6559349592</v>
      </c>
      <c r="BD15" s="191">
        <f>1191962.16+2070535.08</f>
        <v>3262497.24</v>
      </c>
      <c r="BE15" s="58">
        <f t="shared" si="25"/>
        <v>2688297.7257599998</v>
      </c>
      <c r="BF15" s="80">
        <f t="shared" si="26"/>
        <v>267</v>
      </c>
      <c r="BG15" s="132">
        <f t="shared" si="66"/>
        <v>2.292134831460674</v>
      </c>
      <c r="BH15" s="193">
        <f t="shared" si="27"/>
        <v>6161940.8545510108</v>
      </c>
      <c r="BI15" s="58">
        <f t="shared" si="28"/>
        <v>574199.51424000005</v>
      </c>
      <c r="BJ15" s="80">
        <f t="shared" si="29"/>
        <v>460</v>
      </c>
      <c r="BK15" s="132">
        <f t="shared" si="67"/>
        <v>1.4173913043478261</v>
      </c>
      <c r="BL15" s="193">
        <f t="shared" si="30"/>
        <v>813865.39844452182</v>
      </c>
      <c r="BM15" s="191">
        <f>770287.2+1168362.12</f>
        <v>1938649.32</v>
      </c>
      <c r="BN15" s="80">
        <f t="shared" si="31"/>
        <v>393</v>
      </c>
      <c r="BO15" s="132">
        <f t="shared" si="68"/>
        <v>1.2951653944020356</v>
      </c>
      <c r="BP15" s="193">
        <f t="shared" si="32"/>
        <v>2510871.5111450381</v>
      </c>
      <c r="BQ15" s="191">
        <f>235296.08+556426.92</f>
        <v>791723</v>
      </c>
      <c r="BR15" s="130"/>
      <c r="BS15" s="58">
        <f t="shared" si="33"/>
        <v>791723</v>
      </c>
      <c r="BT15" s="80">
        <f t="shared" si="34"/>
        <v>324</v>
      </c>
      <c r="BU15" s="132">
        <f t="shared" si="69"/>
        <v>1.095679012345679</v>
      </c>
      <c r="BV15" s="193">
        <f t="shared" si="35"/>
        <v>867474.27469135798</v>
      </c>
      <c r="BW15" s="191">
        <f>118763.64+145644.96</f>
        <v>264408.59999999998</v>
      </c>
      <c r="BX15" s="80">
        <f t="shared" si="36"/>
        <v>488</v>
      </c>
      <c r="BY15" s="132">
        <f t="shared" si="70"/>
        <v>1.4959016393442623</v>
      </c>
      <c r="BZ15" s="193">
        <f t="shared" si="37"/>
        <v>395529.25819672132</v>
      </c>
      <c r="CA15" s="191">
        <f>260266.68+300119.88</f>
        <v>560386.56000000006</v>
      </c>
      <c r="CB15" s="80">
        <f t="shared" si="38"/>
        <v>488</v>
      </c>
      <c r="CC15" s="132">
        <f t="shared" si="71"/>
        <v>1.4959016393442623</v>
      </c>
      <c r="CD15" s="193">
        <f t="shared" si="39"/>
        <v>838283.17377049197</v>
      </c>
      <c r="CE15" s="82">
        <v>131059.32</v>
      </c>
      <c r="CF15" s="130"/>
      <c r="CG15" s="58">
        <f t="shared" si="78"/>
        <v>131059.32</v>
      </c>
      <c r="CH15" s="194">
        <f t="shared" si="79"/>
        <v>39317.796000000002</v>
      </c>
      <c r="CI15" s="191">
        <v>215736.32000000001</v>
      </c>
      <c r="CJ15" s="130"/>
      <c r="CK15" s="58">
        <f t="shared" si="42"/>
        <v>215736.32000000001</v>
      </c>
      <c r="CL15" s="80">
        <f t="shared" si="43"/>
        <v>422</v>
      </c>
      <c r="CM15" s="135">
        <f t="shared" si="72"/>
        <v>1.2322274881516588</v>
      </c>
      <c r="CN15" s="193">
        <f t="shared" si="44"/>
        <v>265836.22369668249</v>
      </c>
      <c r="CO15" s="191">
        <v>3351349</v>
      </c>
      <c r="CP15" s="130"/>
      <c r="CQ15" s="130"/>
      <c r="CR15" s="195">
        <f t="shared" si="45"/>
        <v>3351349</v>
      </c>
      <c r="CS15" s="80">
        <f t="shared" si="46"/>
        <v>477</v>
      </c>
      <c r="CT15" s="327">
        <f t="shared" si="73"/>
        <v>1.4486373165618449</v>
      </c>
      <c r="CU15" s="193">
        <f t="shared" si="47"/>
        <v>4854889.222222222</v>
      </c>
      <c r="CV15" s="191">
        <f>57851.04+159078.24</f>
        <v>216929.28</v>
      </c>
      <c r="CW15" s="80">
        <f t="shared" si="48"/>
        <v>422</v>
      </c>
      <c r="CX15" s="135">
        <f t="shared" si="74"/>
        <v>1.2322274881516588</v>
      </c>
      <c r="CY15" s="193">
        <f t="shared" si="49"/>
        <v>267306.22180094785</v>
      </c>
      <c r="CZ15" s="191">
        <f>662562.76+1100733.6</f>
        <v>1763296.36</v>
      </c>
      <c r="DA15" s="80">
        <f t="shared" si="50"/>
        <v>444</v>
      </c>
      <c r="DB15" s="327">
        <f t="shared" si="75"/>
        <v>1.4639639639639639</v>
      </c>
      <c r="DC15" s="193">
        <f t="shared" si="51"/>
        <v>2581402.3288288289</v>
      </c>
      <c r="DD15" s="191">
        <f>400299.68+607985.04+6652.6+2060933.28+74864.04</f>
        <v>3150734.64</v>
      </c>
      <c r="DE15" s="130"/>
      <c r="DF15" s="130"/>
      <c r="DG15" s="58">
        <f t="shared" si="52"/>
        <v>3150734.64</v>
      </c>
      <c r="DH15" s="58">
        <f t="shared" si="53"/>
        <v>787683.66</v>
      </c>
      <c r="DI15" s="80">
        <f t="shared" si="54"/>
        <v>537</v>
      </c>
      <c r="DJ15" s="332">
        <f t="shared" si="76"/>
        <v>1.6163873370577282</v>
      </c>
      <c r="DK15" s="193">
        <f t="shared" si="55"/>
        <v>1273201.8936312851</v>
      </c>
      <c r="DL15" s="181">
        <v>2008</v>
      </c>
      <c r="DM15" s="199">
        <f t="shared" si="84"/>
        <v>4601945.264923254</v>
      </c>
      <c r="DN15" s="200">
        <f t="shared" si="85"/>
        <v>22336643.24350515</v>
      </c>
      <c r="DO15" s="201">
        <f t="shared" si="86"/>
        <v>8177325.8163672779</v>
      </c>
    </row>
    <row r="16" spans="1:120">
      <c r="A16" s="128">
        <v>2003</v>
      </c>
      <c r="B16" s="206">
        <v>128074.08</v>
      </c>
      <c r="C16" s="130"/>
      <c r="D16" s="167">
        <f t="shared" si="77"/>
        <v>128074.08</v>
      </c>
      <c r="E16" s="168">
        <f t="shared" si="80"/>
        <v>89651.856</v>
      </c>
      <c r="F16" s="191">
        <v>255966.48</v>
      </c>
      <c r="G16" s="130"/>
      <c r="H16" s="192">
        <f t="shared" si="2"/>
        <v>255966.48</v>
      </c>
      <c r="I16" s="80">
        <v>389</v>
      </c>
      <c r="J16" s="132">
        <f t="shared" si="56"/>
        <v>1.3367609254498716</v>
      </c>
      <c r="K16" s="193">
        <f t="shared" si="3"/>
        <v>342165.98868894606</v>
      </c>
      <c r="L16" s="191">
        <v>2304296.88</v>
      </c>
      <c r="M16" s="130"/>
      <c r="N16" s="130"/>
      <c r="O16" s="58">
        <f t="shared" si="4"/>
        <v>2304296.88</v>
      </c>
      <c r="P16" s="80">
        <f t="shared" si="5"/>
        <v>456</v>
      </c>
      <c r="Q16" s="132">
        <f t="shared" si="57"/>
        <v>1.3048245614035088</v>
      </c>
      <c r="R16" s="193">
        <f t="shared" si="6"/>
        <v>3006703.1657894733</v>
      </c>
      <c r="S16" s="191">
        <v>1209840.1200000001</v>
      </c>
      <c r="T16" s="130"/>
      <c r="U16" s="130"/>
      <c r="V16" s="58">
        <f t="shared" si="7"/>
        <v>1209840.1200000001</v>
      </c>
      <c r="W16" s="80">
        <f t="shared" si="8"/>
        <v>412</v>
      </c>
      <c r="X16" s="132">
        <f t="shared" si="58"/>
        <v>1.4805825242718447</v>
      </c>
      <c r="Y16" s="193">
        <f t="shared" si="9"/>
        <v>1791268.1388349517</v>
      </c>
      <c r="Z16" s="191">
        <v>9449.52</v>
      </c>
      <c r="AA16" s="80">
        <f t="shared" si="10"/>
        <v>389</v>
      </c>
      <c r="AB16" s="132">
        <f t="shared" si="59"/>
        <v>1.4087403598971722</v>
      </c>
      <c r="AC16" s="193">
        <f t="shared" si="11"/>
        <v>13311.920205655528</v>
      </c>
      <c r="AD16" s="191">
        <v>20847.84</v>
      </c>
      <c r="AE16" s="80">
        <f t="shared" si="12"/>
        <v>475</v>
      </c>
      <c r="AF16" s="132">
        <f t="shared" si="60"/>
        <v>1.7452631578947368</v>
      </c>
      <c r="AG16" s="193">
        <f t="shared" si="13"/>
        <v>36384.967073684209</v>
      </c>
      <c r="AH16" s="191">
        <v>24480.84</v>
      </c>
      <c r="AI16" s="130"/>
      <c r="AJ16" s="58">
        <f t="shared" si="14"/>
        <v>24480.84</v>
      </c>
      <c r="AK16" s="80">
        <f t="shared" si="15"/>
        <v>398</v>
      </c>
      <c r="AL16" s="132">
        <f t="shared" si="61"/>
        <v>1.3190954773869348</v>
      </c>
      <c r="AM16" s="193">
        <f t="shared" si="16"/>
        <v>32292.565326633168</v>
      </c>
      <c r="AN16" s="191">
        <f>1143086.52+1737038.16</f>
        <v>2880124.6799999997</v>
      </c>
      <c r="AO16" s="80">
        <f t="shared" si="17"/>
        <v>437</v>
      </c>
      <c r="AP16" s="132">
        <f t="shared" si="62"/>
        <v>1.299771167048055</v>
      </c>
      <c r="AQ16" s="193">
        <f t="shared" si="18"/>
        <v>3743503.0165675054</v>
      </c>
      <c r="AR16" s="191">
        <f>560648.4+808933.68</f>
        <v>1369582.08</v>
      </c>
      <c r="AS16" s="80">
        <f t="shared" si="19"/>
        <v>451</v>
      </c>
      <c r="AT16" s="132">
        <f t="shared" si="63"/>
        <v>1.5166297117516629</v>
      </c>
      <c r="AU16" s="193">
        <f t="shared" si="20"/>
        <v>2077148.875210643</v>
      </c>
      <c r="AV16" s="191">
        <f>384342.96+529875.36</f>
        <v>914218.32000000007</v>
      </c>
      <c r="AW16" s="80">
        <f t="shared" si="21"/>
        <v>394</v>
      </c>
      <c r="AX16" s="132">
        <f t="shared" si="64"/>
        <v>1.3350253807106598</v>
      </c>
      <c r="AY16" s="193">
        <f t="shared" si="22"/>
        <v>1220504.6607106598</v>
      </c>
      <c r="AZ16" s="191">
        <f>826382.28+1139084.4</f>
        <v>1965466.68</v>
      </c>
      <c r="BA16" s="80">
        <f t="shared" si="23"/>
        <v>349</v>
      </c>
      <c r="BB16" s="132">
        <f t="shared" si="65"/>
        <v>1.7593123209169055</v>
      </c>
      <c r="BC16" s="193">
        <f t="shared" si="24"/>
        <v>3457869.7464756449</v>
      </c>
      <c r="BD16" s="191">
        <f>1160775.96+1998030.72</f>
        <v>3158806.6799999997</v>
      </c>
      <c r="BE16" s="58">
        <f t="shared" si="25"/>
        <v>2602856.7043199996</v>
      </c>
      <c r="BF16" s="80">
        <f t="shared" si="26"/>
        <v>257</v>
      </c>
      <c r="BG16" s="132">
        <f t="shared" si="66"/>
        <v>2.3813229571984436</v>
      </c>
      <c r="BH16" s="193">
        <f t="shared" si="27"/>
        <v>6198242.4242950957</v>
      </c>
      <c r="BI16" s="58">
        <f t="shared" si="28"/>
        <v>555949.97567999992</v>
      </c>
      <c r="BJ16" s="80">
        <f t="shared" si="29"/>
        <v>362</v>
      </c>
      <c r="BK16" s="132">
        <f t="shared" si="67"/>
        <v>1.8011049723756907</v>
      </c>
      <c r="BL16" s="193">
        <f t="shared" si="30"/>
        <v>1001324.2655893922</v>
      </c>
      <c r="BM16" s="191">
        <f>754228.08+1123900.32</f>
        <v>1878128.4</v>
      </c>
      <c r="BN16" s="80">
        <f t="shared" si="31"/>
        <v>375</v>
      </c>
      <c r="BO16" s="132">
        <f t="shared" si="68"/>
        <v>1.3573333333333333</v>
      </c>
      <c r="BP16" s="193">
        <f t="shared" si="32"/>
        <v>2549246.2815999999</v>
      </c>
      <c r="BQ16" s="191">
        <f>221825.04+545600.16</f>
        <v>767425.20000000007</v>
      </c>
      <c r="BR16" s="130"/>
      <c r="BS16" s="58">
        <f t="shared" si="33"/>
        <v>767425.20000000007</v>
      </c>
      <c r="BT16" s="80">
        <f t="shared" si="34"/>
        <v>287</v>
      </c>
      <c r="BU16" s="132">
        <f t="shared" si="69"/>
        <v>1.2369337979094077</v>
      </c>
      <c r="BV16" s="193">
        <f t="shared" si="35"/>
        <v>949254.16724738688</v>
      </c>
      <c r="BW16" s="191">
        <f>119762.64+139929</f>
        <v>259691.64</v>
      </c>
      <c r="BX16" s="80">
        <f t="shared" si="36"/>
        <v>478</v>
      </c>
      <c r="BY16" s="132">
        <f t="shared" si="70"/>
        <v>1.5271966527196652</v>
      </c>
      <c r="BZ16" s="193">
        <f t="shared" si="37"/>
        <v>396600.20334728033</v>
      </c>
      <c r="CA16" s="191">
        <f>235264.8+282162.6</f>
        <v>517427.39999999997</v>
      </c>
      <c r="CB16" s="80">
        <f t="shared" si="38"/>
        <v>478</v>
      </c>
      <c r="CC16" s="132">
        <f t="shared" si="71"/>
        <v>1.5271966527196652</v>
      </c>
      <c r="CD16" s="193">
        <f t="shared" si="39"/>
        <v>790213.39330543927</v>
      </c>
      <c r="CE16" s="82">
        <v>128074.08</v>
      </c>
      <c r="CF16" s="130"/>
      <c r="CG16" s="58">
        <f t="shared" si="78"/>
        <v>128074.08</v>
      </c>
      <c r="CH16" s="194">
        <f t="shared" si="79"/>
        <v>38422.224000000002</v>
      </c>
      <c r="CI16" s="191">
        <v>197493.84</v>
      </c>
      <c r="CJ16" s="130"/>
      <c r="CK16" s="58">
        <f t="shared" si="42"/>
        <v>197493.84</v>
      </c>
      <c r="CL16" s="80">
        <f t="shared" si="43"/>
        <v>389</v>
      </c>
      <c r="CM16" s="135">
        <f t="shared" si="72"/>
        <v>1.3367609254498716</v>
      </c>
      <c r="CN16" s="193">
        <f t="shared" si="44"/>
        <v>264002.04832904885</v>
      </c>
      <c r="CO16" s="191">
        <v>3152092.32</v>
      </c>
      <c r="CP16" s="130"/>
      <c r="CQ16" s="130"/>
      <c r="CR16" s="195">
        <f t="shared" si="45"/>
        <v>3152092.32</v>
      </c>
      <c r="CS16" s="80">
        <f t="shared" si="46"/>
        <v>432</v>
      </c>
      <c r="CT16" s="327">
        <f t="shared" si="73"/>
        <v>1.599537037037037</v>
      </c>
      <c r="CU16" s="193">
        <f t="shared" si="47"/>
        <v>5041888.4099999992</v>
      </c>
      <c r="CV16" s="191">
        <f>57456.36+157302.24</f>
        <v>214758.59999999998</v>
      </c>
      <c r="CW16" s="80">
        <f t="shared" si="48"/>
        <v>389</v>
      </c>
      <c r="CX16" s="135">
        <f t="shared" si="74"/>
        <v>1.3367609254498716</v>
      </c>
      <c r="CY16" s="193">
        <f t="shared" si="49"/>
        <v>287080.90488431876</v>
      </c>
      <c r="CZ16" s="191">
        <f>632594.04+1081014.96</f>
        <v>1713609</v>
      </c>
      <c r="DA16" s="80">
        <f t="shared" si="50"/>
        <v>387</v>
      </c>
      <c r="DB16" s="327">
        <f t="shared" si="75"/>
        <v>1.6795865633074936</v>
      </c>
      <c r="DC16" s="193">
        <f t="shared" si="51"/>
        <v>2878154.6511627906</v>
      </c>
      <c r="DD16" s="191">
        <f>430753.2+609288.12+65254.32+1892288.88+72164.16+1419.33+4224.48</f>
        <v>3075392.49</v>
      </c>
      <c r="DE16" s="130"/>
      <c r="DF16" s="130"/>
      <c r="DG16" s="58">
        <f t="shared" si="52"/>
        <v>3075392.49</v>
      </c>
      <c r="DH16" s="58">
        <f t="shared" si="53"/>
        <v>768848.12250000006</v>
      </c>
      <c r="DI16" s="80">
        <f t="shared" si="54"/>
        <v>518</v>
      </c>
      <c r="DJ16" s="332">
        <f t="shared" si="76"/>
        <v>1.6756756756756757</v>
      </c>
      <c r="DK16" s="193">
        <f t="shared" si="55"/>
        <v>1288340.0971621622</v>
      </c>
      <c r="DL16" s="181">
        <v>2007</v>
      </c>
      <c r="DM16" s="199">
        <f>SUM(E12,K12,Y12,R12,AG12,AC12,AM12)</f>
        <v>5633947.8016152922</v>
      </c>
      <c r="DN16" s="200">
        <f>SUM(AQ12,AU12,AY12,BC12,BH12,BL12,BP12,BV12,BZ12,CD12)</f>
        <v>17832941.86799271</v>
      </c>
      <c r="DO16" s="201">
        <f>SUM(CH12,CN12,CU12,CY12,DC12,DK12)</f>
        <v>9170993.2107741497</v>
      </c>
    </row>
    <row r="17" spans="1:119">
      <c r="A17" s="128">
        <v>2002</v>
      </c>
      <c r="B17" s="206">
        <v>125055.24</v>
      </c>
      <c r="C17" s="130"/>
      <c r="D17" s="167">
        <f t="shared" si="77"/>
        <v>125055.24</v>
      </c>
      <c r="E17" s="168">
        <f t="shared" si="80"/>
        <v>87538.668000000005</v>
      </c>
      <c r="F17" s="191">
        <v>254922.36</v>
      </c>
      <c r="G17" s="130"/>
      <c r="H17" s="192">
        <f t="shared" si="2"/>
        <v>254922.36</v>
      </c>
      <c r="I17" s="80">
        <v>385</v>
      </c>
      <c r="J17" s="132">
        <f t="shared" si="56"/>
        <v>1.3506493506493507</v>
      </c>
      <c r="K17" s="193">
        <f t="shared" si="3"/>
        <v>344310.72</v>
      </c>
      <c r="L17" s="191">
        <v>2265043.7999999998</v>
      </c>
      <c r="M17" s="130"/>
      <c r="N17" s="130"/>
      <c r="O17" s="58">
        <f t="shared" si="4"/>
        <v>2265043.7999999998</v>
      </c>
      <c r="P17" s="80">
        <f t="shared" si="5"/>
        <v>448</v>
      </c>
      <c r="Q17" s="132">
        <f t="shared" si="57"/>
        <v>1.328125</v>
      </c>
      <c r="R17" s="193">
        <f t="shared" si="6"/>
        <v>3008261.2968749995</v>
      </c>
      <c r="S17" s="191">
        <v>1191539.6399999999</v>
      </c>
      <c r="T17" s="130"/>
      <c r="U17" s="130"/>
      <c r="V17" s="58">
        <f t="shared" si="7"/>
        <v>1191539.6399999999</v>
      </c>
      <c r="W17" s="80">
        <f t="shared" si="8"/>
        <v>406</v>
      </c>
      <c r="X17" s="132">
        <f t="shared" si="58"/>
        <v>1.5024630541871922</v>
      </c>
      <c r="Y17" s="193">
        <f t="shared" si="9"/>
        <v>1790244.2866995074</v>
      </c>
      <c r="Z17" s="191">
        <v>9441.9599999999991</v>
      </c>
      <c r="AA17" s="80">
        <f t="shared" si="10"/>
        <v>381</v>
      </c>
      <c r="AB17" s="132">
        <f t="shared" si="59"/>
        <v>1.4383202099737533</v>
      </c>
      <c r="AC17" s="193">
        <f t="shared" si="11"/>
        <v>13580.561889763778</v>
      </c>
      <c r="AD17" s="191">
        <v>20802.96</v>
      </c>
      <c r="AE17" s="80">
        <f t="shared" si="12"/>
        <v>466</v>
      </c>
      <c r="AF17" s="132">
        <f t="shared" si="60"/>
        <v>1.7789699570815452</v>
      </c>
      <c r="AG17" s="193">
        <f t="shared" si="13"/>
        <v>37007.840858369098</v>
      </c>
      <c r="AH17" s="191">
        <v>24448.080000000002</v>
      </c>
      <c r="AI17" s="130"/>
      <c r="AJ17" s="58">
        <f t="shared" si="14"/>
        <v>24448.080000000002</v>
      </c>
      <c r="AK17" s="80">
        <f t="shared" si="15"/>
        <v>392</v>
      </c>
      <c r="AL17" s="132">
        <f t="shared" si="61"/>
        <v>1.3392857142857142</v>
      </c>
      <c r="AM17" s="193">
        <f t="shared" si="16"/>
        <v>32742.964285714286</v>
      </c>
      <c r="AN17" s="191">
        <f>1099650.96+1681636.56</f>
        <v>2781287.52</v>
      </c>
      <c r="AO17" s="80">
        <f t="shared" si="17"/>
        <v>426</v>
      </c>
      <c r="AP17" s="132">
        <f t="shared" si="62"/>
        <v>1.3333333333333333</v>
      </c>
      <c r="AQ17" s="193">
        <f t="shared" si="18"/>
        <v>3708383.36</v>
      </c>
      <c r="AR17" s="191">
        <f>543624+784706.16</f>
        <v>1328330.1600000001</v>
      </c>
      <c r="AS17" s="80">
        <f t="shared" si="19"/>
        <v>437</v>
      </c>
      <c r="AT17" s="132">
        <f t="shared" si="63"/>
        <v>1.5652173913043479</v>
      </c>
      <c r="AU17" s="193">
        <f t="shared" si="20"/>
        <v>2079125.4678260873</v>
      </c>
      <c r="AV17" s="191">
        <f>365342.28+503889.48</f>
        <v>869231.76</v>
      </c>
      <c r="AW17" s="80">
        <f t="shared" si="21"/>
        <v>389</v>
      </c>
      <c r="AX17" s="132">
        <f t="shared" si="64"/>
        <v>1.3521850899742931</v>
      </c>
      <c r="AY17" s="193">
        <f t="shared" si="22"/>
        <v>1175362.2256041132</v>
      </c>
      <c r="AZ17" s="191">
        <f>792972.6+1104669.48</f>
        <v>1897642.08</v>
      </c>
      <c r="BA17" s="80">
        <f t="shared" si="23"/>
        <v>343</v>
      </c>
      <c r="BB17" s="132">
        <f t="shared" si="65"/>
        <v>1.7900874635568513</v>
      </c>
      <c r="BC17" s="193">
        <f t="shared" si="24"/>
        <v>3396945.2977259476</v>
      </c>
      <c r="BD17" s="191">
        <f>1135981.44+1950035.04</f>
        <v>3086016.48</v>
      </c>
      <c r="BE17" s="58">
        <f t="shared" si="25"/>
        <v>2542877.5795199997</v>
      </c>
      <c r="BF17" s="80">
        <f t="shared" si="26"/>
        <v>250</v>
      </c>
      <c r="BG17" s="132">
        <f t="shared" si="66"/>
        <v>2.448</v>
      </c>
      <c r="BH17" s="193">
        <f t="shared" si="27"/>
        <v>6224964.314664959</v>
      </c>
      <c r="BI17" s="58">
        <f t="shared" si="28"/>
        <v>543138.90047999995</v>
      </c>
      <c r="BJ17" s="80">
        <f t="shared" si="29"/>
        <v>365</v>
      </c>
      <c r="BK17" s="132">
        <f t="shared" si="67"/>
        <v>1.7863013698630137</v>
      </c>
      <c r="BL17" s="193">
        <f t="shared" si="30"/>
        <v>970209.761953315</v>
      </c>
      <c r="BM17" s="191">
        <f>712333.2+1081242.96</f>
        <v>1793576.16</v>
      </c>
      <c r="BN17" s="80">
        <f t="shared" si="31"/>
        <v>363</v>
      </c>
      <c r="BO17" s="132">
        <f t="shared" si="68"/>
        <v>1.4022038567493114</v>
      </c>
      <c r="BP17" s="193">
        <f t="shared" si="32"/>
        <v>2514959.4089256199</v>
      </c>
      <c r="BQ17" s="191">
        <f>216840.72+536865.6</f>
        <v>753706.32</v>
      </c>
      <c r="BR17" s="130"/>
      <c r="BS17" s="58">
        <f t="shared" si="33"/>
        <v>753706.32</v>
      </c>
      <c r="BT17" s="80">
        <f t="shared" si="34"/>
        <v>275</v>
      </c>
      <c r="BU17" s="132">
        <f t="shared" si="69"/>
        <v>1.290909090909091</v>
      </c>
      <c r="BV17" s="193">
        <f t="shared" si="35"/>
        <v>972966.34036363638</v>
      </c>
      <c r="BW17" s="191">
        <f>110603.76+135687.36</f>
        <v>246291.12</v>
      </c>
      <c r="BX17" s="80">
        <f t="shared" si="36"/>
        <v>450</v>
      </c>
      <c r="BY17" s="132">
        <f t="shared" si="70"/>
        <v>1.6222222222222222</v>
      </c>
      <c r="BZ17" s="193">
        <f t="shared" si="37"/>
        <v>399538.92800000001</v>
      </c>
      <c r="CA17" s="191">
        <f>217567.56+265961.64</f>
        <v>483529.2</v>
      </c>
      <c r="CB17" s="80">
        <f t="shared" si="38"/>
        <v>450</v>
      </c>
      <c r="CC17" s="132">
        <f t="shared" si="71"/>
        <v>1.6222222222222222</v>
      </c>
      <c r="CD17" s="193">
        <f t="shared" si="39"/>
        <v>784391.81333333335</v>
      </c>
      <c r="CE17" s="82">
        <v>125055.24</v>
      </c>
      <c r="CF17" s="130"/>
      <c r="CG17" s="58">
        <f t="shared" si="78"/>
        <v>125055.24</v>
      </c>
      <c r="CH17" s="194">
        <f t="shared" si="79"/>
        <v>37516.572</v>
      </c>
      <c r="CI17" s="191">
        <v>193168.2</v>
      </c>
      <c r="CJ17" s="130"/>
      <c r="CK17" s="58">
        <f t="shared" si="42"/>
        <v>193168.2</v>
      </c>
      <c r="CL17" s="80">
        <f t="shared" si="43"/>
        <v>385</v>
      </c>
      <c r="CM17" s="135">
        <f t="shared" si="72"/>
        <v>1.3506493506493507</v>
      </c>
      <c r="CN17" s="193">
        <f t="shared" si="44"/>
        <v>260902.50389610391</v>
      </c>
      <c r="CO17" s="191">
        <v>3055779.48</v>
      </c>
      <c r="CP17" s="130"/>
      <c r="CQ17" s="130"/>
      <c r="CR17" s="195">
        <f t="shared" si="45"/>
        <v>3055779.48</v>
      </c>
      <c r="CS17" s="80">
        <f t="shared" si="46"/>
        <v>434</v>
      </c>
      <c r="CT17" s="327">
        <f t="shared" si="73"/>
        <v>1.5921658986175116</v>
      </c>
      <c r="CU17" s="193">
        <f t="shared" si="47"/>
        <v>4865307.8817511518</v>
      </c>
      <c r="CV17" s="191">
        <f>54345.72+154004.52</f>
        <v>208350.24</v>
      </c>
      <c r="CW17" s="80">
        <f t="shared" si="48"/>
        <v>385</v>
      </c>
      <c r="CX17" s="135">
        <f t="shared" si="74"/>
        <v>1.3506493506493507</v>
      </c>
      <c r="CY17" s="193">
        <f t="shared" si="49"/>
        <v>281408.11636363633</v>
      </c>
      <c r="CZ17" s="191">
        <f>616602+1066572.24</f>
        <v>1683174.24</v>
      </c>
      <c r="DA17" s="80">
        <f t="shared" si="50"/>
        <v>383</v>
      </c>
      <c r="DB17" s="327">
        <f t="shared" si="75"/>
        <v>1.6971279373368147</v>
      </c>
      <c r="DC17" s="193">
        <f t="shared" si="51"/>
        <v>2856562.0261096605</v>
      </c>
      <c r="DD17" s="191">
        <f>481012.32+621109.2+65254.32+1767603.12+65866.92+1443.6+4076.64</f>
        <v>3006366.12</v>
      </c>
      <c r="DE17" s="130"/>
      <c r="DF17" s="130"/>
      <c r="DG17" s="58">
        <f t="shared" si="52"/>
        <v>3006366.12</v>
      </c>
      <c r="DH17" s="58">
        <f t="shared" si="53"/>
        <v>751591.53</v>
      </c>
      <c r="DI17" s="80">
        <f t="shared" si="54"/>
        <v>511</v>
      </c>
      <c r="DJ17" s="332">
        <f t="shared" si="76"/>
        <v>1.6986301369863013</v>
      </c>
      <c r="DK17" s="193">
        <f t="shared" si="55"/>
        <v>1276676.0235616439</v>
      </c>
      <c r="DL17" s="181">
        <v>2006</v>
      </c>
      <c r="DM17" s="199">
        <f t="shared" ref="DM17:DM22" si="87">SUM(E13,K13,Y13,R13,AG13,AC13,AM13)</f>
        <v>5268560.4348910451</v>
      </c>
      <c r="DN17" s="200">
        <f t="shared" ref="DN17:DN22" si="88">SUM(AQ13,AU13,AY13,BC13,BH13,BL13,BP13,BV13,BZ13,CD13)</f>
        <v>18454108.166020956</v>
      </c>
      <c r="DO17" s="201">
        <f t="shared" ref="DO17:DO22" si="89">SUM(CH13,CN13,CU13,CY13,DC13,DK13)</f>
        <v>9506457.4941888805</v>
      </c>
    </row>
    <row r="18" spans="1:119">
      <c r="A18" s="128">
        <v>2001</v>
      </c>
      <c r="B18" s="206">
        <v>124969.8</v>
      </c>
      <c r="C18" s="130"/>
      <c r="D18" s="167">
        <f t="shared" si="77"/>
        <v>124969.8</v>
      </c>
      <c r="E18" s="168">
        <f t="shared" si="80"/>
        <v>87478.86</v>
      </c>
      <c r="F18" s="191">
        <v>254769.12</v>
      </c>
      <c r="G18" s="130"/>
      <c r="H18" s="192">
        <f t="shared" si="2"/>
        <v>254769.12</v>
      </c>
      <c r="I18" s="80">
        <v>377</v>
      </c>
      <c r="J18" s="132">
        <f t="shared" si="56"/>
        <v>1.3793103448275863</v>
      </c>
      <c r="K18" s="193">
        <f t="shared" si="3"/>
        <v>351405.68275862071</v>
      </c>
      <c r="L18" s="191">
        <v>2221339.3199999998</v>
      </c>
      <c r="M18" s="130"/>
      <c r="N18" s="130"/>
      <c r="O18" s="58">
        <f t="shared" si="4"/>
        <v>2221339.3199999998</v>
      </c>
      <c r="P18" s="80">
        <f t="shared" si="5"/>
        <v>432</v>
      </c>
      <c r="Q18" s="132">
        <f t="shared" si="57"/>
        <v>1.3773148148148149</v>
      </c>
      <c r="R18" s="193">
        <f t="shared" si="6"/>
        <v>3059483.5541666667</v>
      </c>
      <c r="S18" s="191">
        <v>1174744.32</v>
      </c>
      <c r="T18" s="130"/>
      <c r="U18" s="130"/>
      <c r="V18" s="58">
        <f t="shared" si="7"/>
        <v>1174744.32</v>
      </c>
      <c r="W18" s="80">
        <f t="shared" si="8"/>
        <v>403</v>
      </c>
      <c r="X18" s="132">
        <f t="shared" si="58"/>
        <v>1.5136476426799008</v>
      </c>
      <c r="Y18" s="193">
        <f t="shared" si="9"/>
        <v>1778148.9707196031</v>
      </c>
      <c r="Z18" s="191">
        <v>9427.56</v>
      </c>
      <c r="AA18" s="80">
        <f t="shared" si="10"/>
        <v>360</v>
      </c>
      <c r="AB18" s="132">
        <f t="shared" si="59"/>
        <v>1.5222222222222221</v>
      </c>
      <c r="AC18" s="193">
        <f t="shared" si="11"/>
        <v>14350.841333333332</v>
      </c>
      <c r="AD18" s="191">
        <v>20802.96</v>
      </c>
      <c r="AE18" s="80">
        <f t="shared" si="12"/>
        <v>447</v>
      </c>
      <c r="AF18" s="132">
        <f t="shared" si="60"/>
        <v>1.854586129753915</v>
      </c>
      <c r="AG18" s="193">
        <f t="shared" si="13"/>
        <v>38580.881073825505</v>
      </c>
      <c r="AH18" s="191">
        <v>24370.92</v>
      </c>
      <c r="AI18" s="130"/>
      <c r="AJ18" s="58">
        <f t="shared" si="14"/>
        <v>24370.92</v>
      </c>
      <c r="AK18" s="80">
        <f t="shared" si="15"/>
        <v>374</v>
      </c>
      <c r="AL18" s="132">
        <f t="shared" si="61"/>
        <v>1.4037433155080214</v>
      </c>
      <c r="AM18" s="193">
        <f t="shared" si="16"/>
        <v>34210.51604278075</v>
      </c>
      <c r="AN18" s="191">
        <f>1055123.4+1621098.24</f>
        <v>2676221.6399999997</v>
      </c>
      <c r="AO18" s="80">
        <f t="shared" si="17"/>
        <v>403</v>
      </c>
      <c r="AP18" s="132">
        <f t="shared" si="62"/>
        <v>1.4094292803970223</v>
      </c>
      <c r="AQ18" s="193">
        <f t="shared" si="18"/>
        <v>3771945.1402481385</v>
      </c>
      <c r="AR18" s="191">
        <f>526199.88+760308.72</f>
        <v>1286508.6000000001</v>
      </c>
      <c r="AS18" s="80">
        <f t="shared" si="19"/>
        <v>416</v>
      </c>
      <c r="AT18" s="132">
        <f t="shared" si="63"/>
        <v>1.6442307692307692</v>
      </c>
      <c r="AU18" s="193">
        <f t="shared" si="20"/>
        <v>2115317.0249999999</v>
      </c>
      <c r="AV18" s="191">
        <f>347421+476901.84</f>
        <v>824322.84000000008</v>
      </c>
      <c r="AW18" s="80">
        <f t="shared" si="21"/>
        <v>362</v>
      </c>
      <c r="AX18" s="132">
        <f t="shared" si="64"/>
        <v>1.4530386740331491</v>
      </c>
      <c r="AY18" s="193">
        <f t="shared" si="22"/>
        <v>1197772.9664088399</v>
      </c>
      <c r="AZ18" s="191">
        <f>762892.92+1076776.2</f>
        <v>1839669.12</v>
      </c>
      <c r="BA18" s="80">
        <f t="shared" si="23"/>
        <v>327</v>
      </c>
      <c r="BB18" s="132">
        <f t="shared" si="65"/>
        <v>1.8776758409785932</v>
      </c>
      <c r="BC18" s="193">
        <f t="shared" si="24"/>
        <v>3454302.2620183486</v>
      </c>
      <c r="BD18" s="191">
        <f>1115975.28+1911566.64</f>
        <v>3027541.92</v>
      </c>
      <c r="BE18" s="58">
        <f t="shared" si="25"/>
        <v>2494694.5420799996</v>
      </c>
      <c r="BF18" s="80">
        <f t="shared" si="26"/>
        <v>238</v>
      </c>
      <c r="BG18" s="132">
        <f t="shared" si="66"/>
        <v>2.5714285714285716</v>
      </c>
      <c r="BH18" s="193">
        <f t="shared" si="27"/>
        <v>6414928.8224914279</v>
      </c>
      <c r="BI18" s="58">
        <f t="shared" si="28"/>
        <v>532847.37792</v>
      </c>
      <c r="BJ18" s="80">
        <f t="shared" si="29"/>
        <v>351</v>
      </c>
      <c r="BK18" s="132">
        <f t="shared" si="67"/>
        <v>1.8575498575498575</v>
      </c>
      <c r="BL18" s="193">
        <f t="shared" si="30"/>
        <v>989790.57095111103</v>
      </c>
      <c r="BM18" s="191">
        <f>674236.32+1041302.28</f>
        <v>1715538.6</v>
      </c>
      <c r="BN18" s="80">
        <f t="shared" si="31"/>
        <v>343</v>
      </c>
      <c r="BO18" s="132">
        <f t="shared" si="68"/>
        <v>1.4839650145772594</v>
      </c>
      <c r="BP18" s="193">
        <f t="shared" si="32"/>
        <v>2545799.2635568511</v>
      </c>
      <c r="BQ18" s="191">
        <f>212845.08+530641.56</f>
        <v>743486.64</v>
      </c>
      <c r="BR18" s="130"/>
      <c r="BS18" s="58">
        <f t="shared" si="33"/>
        <v>743486.64</v>
      </c>
      <c r="BT18" s="80">
        <f t="shared" si="34"/>
        <v>237</v>
      </c>
      <c r="BU18" s="132">
        <f t="shared" si="69"/>
        <v>1.4978902953586497</v>
      </c>
      <c r="BV18" s="193">
        <f t="shared" si="35"/>
        <v>1113661.4227848102</v>
      </c>
      <c r="BW18" s="191">
        <f>102177+132066</f>
        <v>234243</v>
      </c>
      <c r="BX18" s="80">
        <f t="shared" si="36"/>
        <v>419</v>
      </c>
      <c r="BY18" s="132">
        <f t="shared" si="70"/>
        <v>1.7422434367541766</v>
      </c>
      <c r="BZ18" s="193">
        <f t="shared" si="37"/>
        <v>408108.32935560861</v>
      </c>
      <c r="CA18" s="191">
        <f>201406.68+250147.08</f>
        <v>451553.76</v>
      </c>
      <c r="CB18" s="80">
        <f t="shared" si="38"/>
        <v>419</v>
      </c>
      <c r="CC18" s="132">
        <f t="shared" si="71"/>
        <v>1.7422434367541766</v>
      </c>
      <c r="CD18" s="193">
        <f t="shared" si="39"/>
        <v>786716.57470167067</v>
      </c>
      <c r="CE18" s="82">
        <v>124969.8</v>
      </c>
      <c r="CF18" s="130"/>
      <c r="CG18" s="58">
        <f t="shared" si="78"/>
        <v>124969.8</v>
      </c>
      <c r="CH18" s="194">
        <f t="shared" si="79"/>
        <v>37490.94</v>
      </c>
      <c r="CI18" s="191">
        <v>189783</v>
      </c>
      <c r="CJ18" s="130"/>
      <c r="CK18" s="58">
        <f t="shared" si="42"/>
        <v>189783</v>
      </c>
      <c r="CL18" s="80">
        <f t="shared" si="43"/>
        <v>377</v>
      </c>
      <c r="CM18" s="135">
        <f t="shared" si="72"/>
        <v>1.3793103448275863</v>
      </c>
      <c r="CN18" s="193">
        <f t="shared" si="44"/>
        <v>261769.6551724138</v>
      </c>
      <c r="CO18" s="191">
        <v>2919691.32</v>
      </c>
      <c r="CP18" s="130"/>
      <c r="CQ18" s="130"/>
      <c r="CR18" s="195">
        <f t="shared" si="45"/>
        <v>2919691.32</v>
      </c>
      <c r="CS18" s="80">
        <f t="shared" si="46"/>
        <v>421</v>
      </c>
      <c r="CT18" s="327">
        <f t="shared" si="73"/>
        <v>1.6413301662707838</v>
      </c>
      <c r="CU18" s="193">
        <f t="shared" si="47"/>
        <v>4792177.4397149635</v>
      </c>
      <c r="CV18" s="191">
        <f>50386.68+148573.2</f>
        <v>198959.88</v>
      </c>
      <c r="CW18" s="80">
        <f t="shared" si="48"/>
        <v>377</v>
      </c>
      <c r="CX18" s="135">
        <f t="shared" si="74"/>
        <v>1.3793103448275863</v>
      </c>
      <c r="CY18" s="193">
        <f t="shared" si="49"/>
        <v>274427.42068965518</v>
      </c>
      <c r="CZ18" s="191">
        <f>607141.2+1024911.48</f>
        <v>1632052.68</v>
      </c>
      <c r="DA18" s="80">
        <f t="shared" si="50"/>
        <v>383</v>
      </c>
      <c r="DB18" s="327">
        <f t="shared" si="75"/>
        <v>1.6971279373368147</v>
      </c>
      <c r="DC18" s="193">
        <f t="shared" si="51"/>
        <v>2769802.1984334202</v>
      </c>
      <c r="DD18" s="191">
        <f>522128.28+585837.36+65254.32+1749631.2+62025.96+1620.12+3585.96</f>
        <v>2990083.2</v>
      </c>
      <c r="DE18" s="130"/>
      <c r="DF18" s="130"/>
      <c r="DG18" s="58">
        <f t="shared" si="52"/>
        <v>2990083.2</v>
      </c>
      <c r="DH18" s="58">
        <f t="shared" si="53"/>
        <v>747520.8</v>
      </c>
      <c r="DI18" s="80">
        <f t="shared" si="54"/>
        <v>472</v>
      </c>
      <c r="DJ18" s="332">
        <f t="shared" si="76"/>
        <v>1.8389830508474576</v>
      </c>
      <c r="DK18" s="193">
        <f t="shared" si="55"/>
        <v>1374678.0813559322</v>
      </c>
      <c r="DL18" s="181">
        <v>2005</v>
      </c>
      <c r="DM18" s="199">
        <f t="shared" si="87"/>
        <v>5244255.0899784863</v>
      </c>
      <c r="DN18" s="200">
        <f t="shared" si="88"/>
        <v>20017398.906034451</v>
      </c>
      <c r="DO18" s="201">
        <f t="shared" si="89"/>
        <v>9576291.1355598215</v>
      </c>
    </row>
    <row r="19" spans="1:119">
      <c r="A19" s="205">
        <v>2000</v>
      </c>
      <c r="B19" s="206">
        <v>56867</v>
      </c>
      <c r="C19" s="207"/>
      <c r="D19" s="167">
        <f t="shared" ref="D19:D50" si="90">B19-C19</f>
        <v>56867</v>
      </c>
      <c r="E19" s="208">
        <f t="shared" ref="E19:E50" si="91">D19*0.7</f>
        <v>39806.899999999994</v>
      </c>
      <c r="F19" s="206">
        <v>8231</v>
      </c>
      <c r="G19" s="207"/>
      <c r="H19" s="209">
        <f t="shared" ref="H19:H50" si="92">F19-G19</f>
        <v>8231</v>
      </c>
      <c r="I19" s="210">
        <v>368</v>
      </c>
      <c r="J19" s="132">
        <f t="shared" si="56"/>
        <v>1.4130434782608696</v>
      </c>
      <c r="K19" s="183">
        <f t="shared" ref="K19:K50" si="93">J19*H19</f>
        <v>11630.760869565218</v>
      </c>
      <c r="L19" s="206">
        <v>3216446</v>
      </c>
      <c r="M19" s="207"/>
      <c r="N19" s="207"/>
      <c r="O19" s="58">
        <f t="shared" ref="O19:O48" si="94">L19-M19+N19</f>
        <v>3216446</v>
      </c>
      <c r="P19" s="80">
        <f t="shared" si="5"/>
        <v>422</v>
      </c>
      <c r="Q19" s="132">
        <f t="shared" si="57"/>
        <v>1.4099526066350712</v>
      </c>
      <c r="R19" s="193">
        <f t="shared" si="6"/>
        <v>4535036.4218009477</v>
      </c>
      <c r="S19" s="206">
        <v>1102320</v>
      </c>
      <c r="T19" s="207"/>
      <c r="U19" s="207"/>
      <c r="V19" s="58">
        <f t="shared" ref="V19:V48" si="95">S19-T19+U19</f>
        <v>1102320</v>
      </c>
      <c r="W19" s="80">
        <f t="shared" si="8"/>
        <v>398</v>
      </c>
      <c r="X19" s="132">
        <f t="shared" si="58"/>
        <v>1.5326633165829147</v>
      </c>
      <c r="Y19" s="183">
        <f t="shared" ref="Y19:Y50" si="96">V19*X19</f>
        <v>1689485.4271356785</v>
      </c>
      <c r="Z19" s="206">
        <v>3230</v>
      </c>
      <c r="AA19" s="80">
        <f t="shared" si="10"/>
        <v>355</v>
      </c>
      <c r="AB19" s="132">
        <f t="shared" si="59"/>
        <v>1.5436619718309859</v>
      </c>
      <c r="AC19" s="183">
        <f t="shared" si="11"/>
        <v>4986.0281690140846</v>
      </c>
      <c r="AD19" s="206">
        <v>325</v>
      </c>
      <c r="AE19" s="80">
        <f t="shared" si="12"/>
        <v>458</v>
      </c>
      <c r="AF19" s="132">
        <f t="shared" si="60"/>
        <v>1.8100436681222707</v>
      </c>
      <c r="AG19" s="183">
        <f t="shared" ref="AG19:AG45" si="97">AF19*AD19</f>
        <v>588.26419213973793</v>
      </c>
      <c r="AH19" s="206">
        <v>0</v>
      </c>
      <c r="AI19" s="207"/>
      <c r="AJ19" s="207"/>
      <c r="AK19" s="80">
        <f t="shared" si="15"/>
        <v>364</v>
      </c>
      <c r="AL19" s="132">
        <f t="shared" si="61"/>
        <v>1.4423076923076923</v>
      </c>
      <c r="AM19" s="183">
        <f t="shared" ref="AM19:AM59" si="98">AL19*AJ19</f>
        <v>0</v>
      </c>
      <c r="AN19" s="206">
        <v>7937236</v>
      </c>
      <c r="AO19" s="80">
        <f t="shared" si="17"/>
        <v>398</v>
      </c>
      <c r="AP19" s="132">
        <f t="shared" si="62"/>
        <v>1.4271356783919598</v>
      </c>
      <c r="AQ19" s="183">
        <f t="shared" ref="AQ19:AQ50" si="99">AP19*AN19</f>
        <v>11327512.683417086</v>
      </c>
      <c r="AR19" s="206">
        <v>5767026</v>
      </c>
      <c r="AS19" s="80">
        <f t="shared" si="19"/>
        <v>410</v>
      </c>
      <c r="AT19" s="132">
        <f t="shared" si="63"/>
        <v>1.6682926829268292</v>
      </c>
      <c r="AU19" s="183">
        <f t="shared" ref="AU19:AU50" si="100">AT19*AR19</f>
        <v>9621087.2780487798</v>
      </c>
      <c r="AV19" s="206">
        <v>3581852</v>
      </c>
      <c r="AW19" s="80">
        <f t="shared" si="21"/>
        <v>356</v>
      </c>
      <c r="AX19" s="132">
        <f t="shared" si="64"/>
        <v>1.4775280898876404</v>
      </c>
      <c r="AY19" s="183">
        <f t="shared" ref="AY19:AY50" si="101">AX19*AV19</f>
        <v>5292286.9438202241</v>
      </c>
      <c r="AZ19" s="206">
        <v>3765438</v>
      </c>
      <c r="BA19" s="80">
        <f t="shared" si="23"/>
        <v>335</v>
      </c>
      <c r="BB19" s="132">
        <f t="shared" si="65"/>
        <v>1.8328358208955224</v>
      </c>
      <c r="BC19" s="183">
        <f t="shared" ref="BC19:BC50" si="102">BB19*AZ19</f>
        <v>6901429.647761194</v>
      </c>
      <c r="BD19" s="211">
        <v>3229521</v>
      </c>
      <c r="BE19" s="58">
        <f t="shared" ref="BE19:BE50" si="103">BD19*0.824</f>
        <v>2661125.304</v>
      </c>
      <c r="BF19" s="80">
        <f t="shared" si="26"/>
        <v>231</v>
      </c>
      <c r="BG19" s="132">
        <f t="shared" si="66"/>
        <v>2.6493506493506493</v>
      </c>
      <c r="BH19" s="183">
        <f t="shared" ref="BH19:BH50" si="104">BG19*BE19</f>
        <v>7050254.0521558439</v>
      </c>
      <c r="BI19" s="58">
        <f t="shared" ref="BI19:BI50" si="105">BD19*0.176</f>
        <v>568395.696</v>
      </c>
      <c r="BJ19" s="80">
        <f t="shared" si="29"/>
        <v>332</v>
      </c>
      <c r="BK19" s="132">
        <f t="shared" si="67"/>
        <v>1.963855421686747</v>
      </c>
      <c r="BL19" s="183">
        <f t="shared" ref="BL19:BL50" si="106">BK19*BI19</f>
        <v>1116246.969253012</v>
      </c>
      <c r="BM19" s="206">
        <v>3557558</v>
      </c>
      <c r="BN19" s="80">
        <f t="shared" si="31"/>
        <v>343</v>
      </c>
      <c r="BO19" s="132">
        <f t="shared" si="68"/>
        <v>1.4839650145772594</v>
      </c>
      <c r="BP19" s="183">
        <f t="shared" ref="BP19:BP50" si="107">BO19*BM19</f>
        <v>5279291.6093294453</v>
      </c>
      <c r="BQ19" s="206">
        <v>999644</v>
      </c>
      <c r="BR19" s="207"/>
      <c r="BS19" s="58">
        <f t="shared" ref="BS19:BS50" si="108">BQ19-BR19</f>
        <v>999644</v>
      </c>
      <c r="BT19" s="80">
        <f t="shared" si="34"/>
        <v>210</v>
      </c>
      <c r="BU19" s="132">
        <f t="shared" si="69"/>
        <v>1.6904761904761905</v>
      </c>
      <c r="BV19" s="183">
        <f t="shared" ref="BV19:BV50" si="109">BU19*BS19</f>
        <v>1689874.3809523808</v>
      </c>
      <c r="BW19" s="206">
        <v>518740</v>
      </c>
      <c r="BX19" s="80">
        <f t="shared" si="36"/>
        <v>410</v>
      </c>
      <c r="BY19" s="132">
        <f t="shared" si="70"/>
        <v>1.7804878048780488</v>
      </c>
      <c r="BZ19" s="212">
        <f t="shared" ref="BZ19:BZ55" si="110">BY19*BW19</f>
        <v>923610.24390243902</v>
      </c>
      <c r="CA19" s="206">
        <v>665094</v>
      </c>
      <c r="CB19" s="80">
        <f t="shared" si="38"/>
        <v>410</v>
      </c>
      <c r="CC19" s="132">
        <f t="shared" si="71"/>
        <v>1.7804878048780488</v>
      </c>
      <c r="CD19" s="212">
        <f t="shared" ref="CD19:CD37" si="111">CC19*CA19</f>
        <v>1184191.756097561</v>
      </c>
      <c r="CE19" s="206">
        <v>56867</v>
      </c>
      <c r="CF19" s="207"/>
      <c r="CG19" s="58">
        <f t="shared" ref="CG19:CG50" si="112">CE19-CF19</f>
        <v>56867</v>
      </c>
      <c r="CH19" s="194">
        <f t="shared" ref="CH19:CH50" si="113">CG19*0.3</f>
        <v>17060.099999999999</v>
      </c>
      <c r="CI19" s="206">
        <v>1058504</v>
      </c>
      <c r="CJ19" s="207"/>
      <c r="CK19" s="58">
        <f t="shared" ref="CK19:CK50" si="114">CI19-CJ19</f>
        <v>1058504</v>
      </c>
      <c r="CL19" s="80">
        <f t="shared" si="43"/>
        <v>368</v>
      </c>
      <c r="CM19" s="135">
        <f t="shared" si="72"/>
        <v>1.4130434782608696</v>
      </c>
      <c r="CN19" s="183">
        <f t="shared" si="44"/>
        <v>1495712.1739130435</v>
      </c>
      <c r="CO19" s="206">
        <v>4471917</v>
      </c>
      <c r="CP19" s="207"/>
      <c r="CQ19" s="207"/>
      <c r="CR19" s="195">
        <f t="shared" ref="CR19:CR48" si="115">CO19-CP19+CQ19</f>
        <v>4471917</v>
      </c>
      <c r="CS19" s="80">
        <f t="shared" si="46"/>
        <v>415</v>
      </c>
      <c r="CT19" s="327">
        <f t="shared" si="73"/>
        <v>1.6650602409638555</v>
      </c>
      <c r="CU19" s="183">
        <f t="shared" si="47"/>
        <v>7446011.1975903623</v>
      </c>
      <c r="CV19" s="206">
        <v>254395</v>
      </c>
      <c r="CW19" s="80">
        <f t="shared" si="48"/>
        <v>368</v>
      </c>
      <c r="CX19" s="135">
        <f t="shared" si="74"/>
        <v>1.4130434782608696</v>
      </c>
      <c r="CY19" s="183">
        <f t="shared" ref="CY19:CY50" si="116">CX19*CV19</f>
        <v>359471.19565217395</v>
      </c>
      <c r="CZ19" s="206">
        <v>3463796</v>
      </c>
      <c r="DA19" s="80">
        <f t="shared" si="50"/>
        <v>379</v>
      </c>
      <c r="DB19" s="327">
        <f t="shared" si="75"/>
        <v>1.7150395778364116</v>
      </c>
      <c r="DC19" s="183">
        <f t="shared" ref="DC19:DC50" si="117">DB19*CZ19</f>
        <v>5940547.2295514513</v>
      </c>
      <c r="DD19" s="206">
        <f>2262581+30942+4313</f>
        <v>2297836</v>
      </c>
      <c r="DE19" s="206">
        <v>2262581</v>
      </c>
      <c r="DF19" s="207"/>
      <c r="DG19" s="58">
        <f t="shared" ref="DG19:DG50" si="118">DD19-DF19</f>
        <v>2297836</v>
      </c>
      <c r="DH19" s="58">
        <f t="shared" ref="DH19:DH29" si="119">DG19*0.25</f>
        <v>574459</v>
      </c>
      <c r="DI19" s="80">
        <f t="shared" si="54"/>
        <v>461</v>
      </c>
      <c r="DJ19" s="332">
        <f t="shared" si="76"/>
        <v>1.8828633405639914</v>
      </c>
      <c r="DK19" s="183">
        <f t="shared" si="55"/>
        <v>1081627.79175705</v>
      </c>
      <c r="DL19" s="181">
        <v>2004</v>
      </c>
      <c r="DM19" s="199">
        <f t="shared" si="87"/>
        <v>5345808.3525996432</v>
      </c>
      <c r="DN19" s="200">
        <f t="shared" si="88"/>
        <v>22033716.251587246</v>
      </c>
      <c r="DO19" s="201">
        <f t="shared" si="89"/>
        <v>9281953.6861799657</v>
      </c>
    </row>
    <row r="20" spans="1:119">
      <c r="A20" s="205">
        <v>1999</v>
      </c>
      <c r="B20" s="206">
        <v>299415</v>
      </c>
      <c r="C20" s="207"/>
      <c r="D20" s="167">
        <f t="shared" si="90"/>
        <v>299415</v>
      </c>
      <c r="E20" s="208">
        <f t="shared" si="91"/>
        <v>209590.5</v>
      </c>
      <c r="F20" s="206">
        <v>8553</v>
      </c>
      <c r="G20" s="207"/>
      <c r="H20" s="209">
        <f t="shared" si="92"/>
        <v>8553</v>
      </c>
      <c r="I20" s="210">
        <v>354</v>
      </c>
      <c r="J20" s="132">
        <f t="shared" si="56"/>
        <v>1.4689265536723164</v>
      </c>
      <c r="K20" s="183">
        <f t="shared" si="93"/>
        <v>12563.728813559323</v>
      </c>
      <c r="L20" s="206">
        <v>1431247</v>
      </c>
      <c r="M20" s="207"/>
      <c r="N20" s="207"/>
      <c r="O20" s="58">
        <f t="shared" si="94"/>
        <v>1431247</v>
      </c>
      <c r="P20" s="80">
        <f t="shared" si="5"/>
        <v>419</v>
      </c>
      <c r="Q20" s="132">
        <f t="shared" si="57"/>
        <v>1.4200477326968974</v>
      </c>
      <c r="R20" s="193">
        <f t="shared" si="6"/>
        <v>2032439.0572792364</v>
      </c>
      <c r="S20" s="206">
        <v>674319</v>
      </c>
      <c r="T20" s="207"/>
      <c r="U20" s="207"/>
      <c r="V20" s="58">
        <f t="shared" si="95"/>
        <v>674319</v>
      </c>
      <c r="W20" s="80">
        <f t="shared" si="8"/>
        <v>354</v>
      </c>
      <c r="X20" s="132">
        <f t="shared" si="58"/>
        <v>1.7231638418079096</v>
      </c>
      <c r="Y20" s="183">
        <f t="shared" si="96"/>
        <v>1161962.1186440678</v>
      </c>
      <c r="Z20" s="206">
        <v>159</v>
      </c>
      <c r="AA20" s="80">
        <f t="shared" si="10"/>
        <v>346</v>
      </c>
      <c r="AB20" s="132">
        <f t="shared" si="59"/>
        <v>1.5838150289017341</v>
      </c>
      <c r="AC20" s="183">
        <f t="shared" si="11"/>
        <v>251.82658959537571</v>
      </c>
      <c r="AD20" s="206">
        <v>229</v>
      </c>
      <c r="AE20" s="80">
        <f t="shared" si="12"/>
        <v>463</v>
      </c>
      <c r="AF20" s="132">
        <f t="shared" si="60"/>
        <v>1.7904967602591793</v>
      </c>
      <c r="AG20" s="183">
        <f t="shared" si="97"/>
        <v>410.02375809935205</v>
      </c>
      <c r="AH20" s="206">
        <v>0</v>
      </c>
      <c r="AI20" s="207"/>
      <c r="AJ20" s="207"/>
      <c r="AK20" s="80">
        <f t="shared" si="15"/>
        <v>355</v>
      </c>
      <c r="AL20" s="132">
        <f t="shared" si="61"/>
        <v>1.4788732394366197</v>
      </c>
      <c r="AM20" s="183">
        <f t="shared" si="98"/>
        <v>0</v>
      </c>
      <c r="AN20" s="206">
        <v>7278140</v>
      </c>
      <c r="AO20" s="80">
        <f t="shared" si="17"/>
        <v>391</v>
      </c>
      <c r="AP20" s="132">
        <f t="shared" si="62"/>
        <v>1.4526854219948848</v>
      </c>
      <c r="AQ20" s="183">
        <f t="shared" si="99"/>
        <v>10572847.877237851</v>
      </c>
      <c r="AR20" s="206">
        <v>4943259</v>
      </c>
      <c r="AS20" s="80">
        <f t="shared" si="19"/>
        <v>377</v>
      </c>
      <c r="AT20" s="132">
        <f t="shared" si="63"/>
        <v>1.8143236074270557</v>
      </c>
      <c r="AU20" s="183">
        <f t="shared" si="100"/>
        <v>8968671.5013262592</v>
      </c>
      <c r="AV20" s="206">
        <v>2917405</v>
      </c>
      <c r="AW20" s="80">
        <f t="shared" si="21"/>
        <v>347</v>
      </c>
      <c r="AX20" s="132">
        <f t="shared" si="64"/>
        <v>1.515850144092219</v>
      </c>
      <c r="AY20" s="183">
        <f t="shared" si="101"/>
        <v>4422348.7896253597</v>
      </c>
      <c r="AZ20" s="206">
        <v>5223712</v>
      </c>
      <c r="BA20" s="80">
        <f t="shared" si="23"/>
        <v>329</v>
      </c>
      <c r="BB20" s="132">
        <f t="shared" si="65"/>
        <v>1.8662613981762919</v>
      </c>
      <c r="BC20" s="183">
        <f t="shared" si="102"/>
        <v>9748812.0607902743</v>
      </c>
      <c r="BD20" s="211">
        <v>3572909</v>
      </c>
      <c r="BE20" s="58">
        <f t="shared" si="103"/>
        <v>2944077.0159999998</v>
      </c>
      <c r="BF20" s="80">
        <f t="shared" si="26"/>
        <v>228</v>
      </c>
      <c r="BG20" s="132">
        <f t="shared" si="66"/>
        <v>2.6842105263157894</v>
      </c>
      <c r="BH20" s="183">
        <f t="shared" si="104"/>
        <v>7902522.5166315781</v>
      </c>
      <c r="BI20" s="58">
        <f t="shared" si="105"/>
        <v>628831.98399999994</v>
      </c>
      <c r="BJ20" s="80">
        <f t="shared" si="29"/>
        <v>329</v>
      </c>
      <c r="BK20" s="132">
        <f t="shared" si="67"/>
        <v>1.9817629179331306</v>
      </c>
      <c r="BL20" s="183">
        <f t="shared" si="106"/>
        <v>1246195.9075015197</v>
      </c>
      <c r="BM20" s="206">
        <v>2978773</v>
      </c>
      <c r="BN20" s="80">
        <f t="shared" si="31"/>
        <v>330</v>
      </c>
      <c r="BO20" s="132">
        <f t="shared" si="68"/>
        <v>1.5424242424242425</v>
      </c>
      <c r="BP20" s="183">
        <f t="shared" si="107"/>
        <v>4594531.6878787884</v>
      </c>
      <c r="BQ20" s="206">
        <v>839356</v>
      </c>
      <c r="BR20" s="207"/>
      <c r="BS20" s="58">
        <f t="shared" si="108"/>
        <v>839356</v>
      </c>
      <c r="BT20" s="80">
        <f t="shared" si="34"/>
        <v>212</v>
      </c>
      <c r="BU20" s="132">
        <f t="shared" si="69"/>
        <v>1.6745283018867925</v>
      </c>
      <c r="BV20" s="183">
        <f t="shared" si="109"/>
        <v>1405525.3773584906</v>
      </c>
      <c r="BW20" s="206">
        <v>329777</v>
      </c>
      <c r="BX20" s="80">
        <f t="shared" si="36"/>
        <v>402</v>
      </c>
      <c r="BY20" s="132">
        <f t="shared" si="70"/>
        <v>1.8159203980099503</v>
      </c>
      <c r="BZ20" s="212">
        <f t="shared" si="110"/>
        <v>598848.78109452734</v>
      </c>
      <c r="CA20" s="206">
        <v>563117</v>
      </c>
      <c r="CB20" s="80">
        <f t="shared" si="38"/>
        <v>402</v>
      </c>
      <c r="CC20" s="132">
        <f t="shared" si="71"/>
        <v>1.8159203980099503</v>
      </c>
      <c r="CD20" s="212">
        <f t="shared" si="111"/>
        <v>1022575.6467661692</v>
      </c>
      <c r="CE20" s="206">
        <v>299415</v>
      </c>
      <c r="CF20" s="207"/>
      <c r="CG20" s="58">
        <f t="shared" si="112"/>
        <v>299415</v>
      </c>
      <c r="CH20" s="194">
        <f t="shared" si="113"/>
        <v>89824.5</v>
      </c>
      <c r="CI20" s="206">
        <v>374155</v>
      </c>
      <c r="CJ20" s="207"/>
      <c r="CK20" s="58">
        <f t="shared" si="114"/>
        <v>374155</v>
      </c>
      <c r="CL20" s="80">
        <f t="shared" si="43"/>
        <v>354</v>
      </c>
      <c r="CM20" s="135">
        <f t="shared" si="72"/>
        <v>1.4689265536723164</v>
      </c>
      <c r="CN20" s="183">
        <f t="shared" si="44"/>
        <v>549606.21468926559</v>
      </c>
      <c r="CO20" s="206">
        <v>5002789</v>
      </c>
      <c r="CP20" s="207"/>
      <c r="CQ20" s="207"/>
      <c r="CR20" s="195">
        <f t="shared" si="115"/>
        <v>5002789</v>
      </c>
      <c r="CS20" s="80">
        <f t="shared" si="46"/>
        <v>388</v>
      </c>
      <c r="CT20" s="327">
        <f t="shared" si="73"/>
        <v>1.7809278350515463</v>
      </c>
      <c r="CU20" s="183">
        <f t="shared" si="47"/>
        <v>8909606.1829896905</v>
      </c>
      <c r="CV20" s="206">
        <v>1547828</v>
      </c>
      <c r="CW20" s="80">
        <f t="shared" si="48"/>
        <v>354</v>
      </c>
      <c r="CX20" s="135">
        <f t="shared" si="74"/>
        <v>1.4689265536723164</v>
      </c>
      <c r="CY20" s="183">
        <f t="shared" si="116"/>
        <v>2273645.6497175139</v>
      </c>
      <c r="CZ20" s="206">
        <v>4813979</v>
      </c>
      <c r="DA20" s="80">
        <f t="shared" si="50"/>
        <v>375</v>
      </c>
      <c r="DB20" s="327">
        <f t="shared" si="75"/>
        <v>1.7333333333333334</v>
      </c>
      <c r="DC20" s="183">
        <f t="shared" si="117"/>
        <v>8344230.2666666666</v>
      </c>
      <c r="DD20" s="206">
        <f>2694271+111574+13752</f>
        <v>2819597</v>
      </c>
      <c r="DE20" s="206">
        <v>2694271</v>
      </c>
      <c r="DF20" s="207"/>
      <c r="DG20" s="58">
        <f t="shared" si="118"/>
        <v>2819597</v>
      </c>
      <c r="DH20" s="58">
        <f t="shared" si="119"/>
        <v>704899.25</v>
      </c>
      <c r="DI20" s="80">
        <f t="shared" si="54"/>
        <v>428</v>
      </c>
      <c r="DJ20" s="332">
        <f t="shared" si="76"/>
        <v>2.02803738317757</v>
      </c>
      <c r="DK20" s="183">
        <f t="shared" si="55"/>
        <v>1429562.0303738317</v>
      </c>
      <c r="DL20" s="181">
        <v>2003</v>
      </c>
      <c r="DM20" s="199">
        <f t="shared" si="87"/>
        <v>5311778.6019193446</v>
      </c>
      <c r="DN20" s="200">
        <f t="shared" si="88"/>
        <v>22383907.03434905</v>
      </c>
      <c r="DO20" s="201">
        <f t="shared" si="89"/>
        <v>9797888.3355383202</v>
      </c>
    </row>
    <row r="21" spans="1:119">
      <c r="A21" s="205">
        <v>1998</v>
      </c>
      <c r="B21" s="206">
        <v>62160</v>
      </c>
      <c r="C21" s="207"/>
      <c r="D21" s="167">
        <f t="shared" si="90"/>
        <v>62160</v>
      </c>
      <c r="E21" s="208">
        <f t="shared" si="91"/>
        <v>43512</v>
      </c>
      <c r="F21" s="206">
        <v>3725</v>
      </c>
      <c r="G21" s="207"/>
      <c r="H21" s="209">
        <f t="shared" si="92"/>
        <v>3725</v>
      </c>
      <c r="I21" s="210">
        <v>347</v>
      </c>
      <c r="J21" s="132">
        <f t="shared" si="56"/>
        <v>1.4985590778097984</v>
      </c>
      <c r="K21" s="183">
        <f t="shared" si="93"/>
        <v>5582.1325648414986</v>
      </c>
      <c r="L21" s="206">
        <v>1417187</v>
      </c>
      <c r="M21" s="207"/>
      <c r="N21" s="207"/>
      <c r="O21" s="58">
        <f t="shared" si="94"/>
        <v>1417187</v>
      </c>
      <c r="P21" s="80">
        <f t="shared" si="5"/>
        <v>428</v>
      </c>
      <c r="Q21" s="132">
        <f t="shared" si="57"/>
        <v>1.3901869158878504</v>
      </c>
      <c r="R21" s="193">
        <f t="shared" si="6"/>
        <v>1970154.8247663551</v>
      </c>
      <c r="S21" s="206">
        <v>531292</v>
      </c>
      <c r="T21" s="207"/>
      <c r="U21" s="207"/>
      <c r="V21" s="58">
        <f t="shared" si="95"/>
        <v>531292</v>
      </c>
      <c r="W21" s="80">
        <f t="shared" si="8"/>
        <v>391</v>
      </c>
      <c r="X21" s="132">
        <f t="shared" si="58"/>
        <v>1.5601023017902813</v>
      </c>
      <c r="Y21" s="183">
        <f t="shared" si="96"/>
        <v>828869.87212276214</v>
      </c>
      <c r="Z21" s="206">
        <v>0</v>
      </c>
      <c r="AA21" s="80">
        <f t="shared" si="10"/>
        <v>337</v>
      </c>
      <c r="AB21" s="132">
        <f t="shared" si="59"/>
        <v>1.6261127596439169</v>
      </c>
      <c r="AC21" s="183">
        <f t="shared" si="11"/>
        <v>0</v>
      </c>
      <c r="AD21" s="206">
        <v>1712</v>
      </c>
      <c r="AE21" s="80">
        <f t="shared" si="12"/>
        <v>450</v>
      </c>
      <c r="AF21" s="132">
        <f t="shared" si="60"/>
        <v>1.8422222222222222</v>
      </c>
      <c r="AG21" s="183">
        <f t="shared" si="97"/>
        <v>3153.8844444444444</v>
      </c>
      <c r="AH21" s="206">
        <v>1797</v>
      </c>
      <c r="AI21" s="207"/>
      <c r="AJ21" s="207"/>
      <c r="AK21" s="80">
        <f t="shared" si="15"/>
        <v>345</v>
      </c>
      <c r="AL21" s="132">
        <f t="shared" si="61"/>
        <v>1.5217391304347827</v>
      </c>
      <c r="AM21" s="183">
        <f t="shared" si="98"/>
        <v>0</v>
      </c>
      <c r="AN21" s="206">
        <v>7447126</v>
      </c>
      <c r="AO21" s="80">
        <f t="shared" si="17"/>
        <v>387</v>
      </c>
      <c r="AP21" s="132">
        <f t="shared" si="62"/>
        <v>1.4677002583979328</v>
      </c>
      <c r="AQ21" s="183">
        <f t="shared" si="99"/>
        <v>10930148.754521964</v>
      </c>
      <c r="AR21" s="206">
        <v>4157343</v>
      </c>
      <c r="AS21" s="80">
        <f t="shared" si="19"/>
        <v>391</v>
      </c>
      <c r="AT21" s="132">
        <f t="shared" si="63"/>
        <v>1.7493606138107416</v>
      </c>
      <c r="AU21" s="183">
        <f t="shared" si="100"/>
        <v>7272692.1023017894</v>
      </c>
      <c r="AV21" s="206">
        <v>3275038</v>
      </c>
      <c r="AW21" s="80">
        <f t="shared" si="21"/>
        <v>337</v>
      </c>
      <c r="AX21" s="132">
        <f t="shared" si="64"/>
        <v>1.5608308605341246</v>
      </c>
      <c r="AY21" s="183">
        <f t="shared" si="101"/>
        <v>5111780.379821958</v>
      </c>
      <c r="AZ21" s="206">
        <v>4531960</v>
      </c>
      <c r="BA21" s="80">
        <f t="shared" si="23"/>
        <v>320</v>
      </c>
      <c r="BB21" s="132">
        <f t="shared" si="65"/>
        <v>1.91875</v>
      </c>
      <c r="BC21" s="183">
        <f t="shared" si="102"/>
        <v>8695698.25</v>
      </c>
      <c r="BD21" s="211">
        <v>3867372</v>
      </c>
      <c r="BE21" s="58">
        <f t="shared" si="103"/>
        <v>3186714.5279999999</v>
      </c>
      <c r="BF21" s="80">
        <f t="shared" si="26"/>
        <v>228</v>
      </c>
      <c r="BG21" s="132">
        <f t="shared" si="66"/>
        <v>2.6842105263157894</v>
      </c>
      <c r="BH21" s="183">
        <f t="shared" si="104"/>
        <v>8553812.6804210525</v>
      </c>
      <c r="BI21" s="58">
        <f t="shared" si="105"/>
        <v>680657.47199999995</v>
      </c>
      <c r="BJ21" s="80">
        <f t="shared" si="29"/>
        <v>327</v>
      </c>
      <c r="BK21" s="132">
        <f t="shared" si="67"/>
        <v>1.9938837920489296</v>
      </c>
      <c r="BL21" s="183">
        <f t="shared" si="106"/>
        <v>1357151.9013577981</v>
      </c>
      <c r="BM21" s="206">
        <v>3362635</v>
      </c>
      <c r="BN21" s="80">
        <f t="shared" si="31"/>
        <v>330</v>
      </c>
      <c r="BO21" s="132">
        <f t="shared" si="68"/>
        <v>1.5424242424242425</v>
      </c>
      <c r="BP21" s="183">
        <f t="shared" si="107"/>
        <v>5186609.7424242422</v>
      </c>
      <c r="BQ21" s="206">
        <v>1205546</v>
      </c>
      <c r="BR21" s="207"/>
      <c r="BS21" s="58">
        <f t="shared" si="108"/>
        <v>1205546</v>
      </c>
      <c r="BT21" s="80">
        <f t="shared" si="34"/>
        <v>222</v>
      </c>
      <c r="BU21" s="132">
        <f t="shared" si="69"/>
        <v>1.5990990990990992</v>
      </c>
      <c r="BV21" s="183">
        <f t="shared" si="109"/>
        <v>1927787.5225225226</v>
      </c>
      <c r="BW21" s="206">
        <v>350678</v>
      </c>
      <c r="BX21" s="80">
        <f t="shared" si="36"/>
        <v>397</v>
      </c>
      <c r="BY21" s="132">
        <f t="shared" si="70"/>
        <v>1.8387909319899245</v>
      </c>
      <c r="BZ21" s="212">
        <f t="shared" si="110"/>
        <v>644823.52644836274</v>
      </c>
      <c r="CA21" s="206">
        <v>586087</v>
      </c>
      <c r="CB21" s="80">
        <f t="shared" si="38"/>
        <v>397</v>
      </c>
      <c r="CC21" s="132">
        <f t="shared" si="71"/>
        <v>1.8387909319899245</v>
      </c>
      <c r="CD21" s="212">
        <f t="shared" si="111"/>
        <v>1077691.4609571788</v>
      </c>
      <c r="CE21" s="206">
        <v>62160</v>
      </c>
      <c r="CF21" s="207"/>
      <c r="CG21" s="58">
        <f t="shared" si="112"/>
        <v>62160</v>
      </c>
      <c r="CH21" s="194">
        <f t="shared" si="113"/>
        <v>18648</v>
      </c>
      <c r="CI21" s="206">
        <v>15700</v>
      </c>
      <c r="CJ21" s="207"/>
      <c r="CK21" s="58">
        <f t="shared" si="114"/>
        <v>15700</v>
      </c>
      <c r="CL21" s="80">
        <f t="shared" si="43"/>
        <v>347</v>
      </c>
      <c r="CM21" s="135">
        <f t="shared" si="72"/>
        <v>1.4985590778097984</v>
      </c>
      <c r="CN21" s="183">
        <f t="shared" si="44"/>
        <v>23527.377521613835</v>
      </c>
      <c r="CO21" s="206">
        <v>1748493</v>
      </c>
      <c r="CP21" s="207"/>
      <c r="CQ21" s="207"/>
      <c r="CR21" s="195">
        <f t="shared" si="115"/>
        <v>1748493</v>
      </c>
      <c r="CS21" s="80">
        <f t="shared" si="46"/>
        <v>382</v>
      </c>
      <c r="CT21" s="327">
        <f t="shared" si="73"/>
        <v>1.8089005235602094</v>
      </c>
      <c r="CU21" s="183">
        <f t="shared" si="47"/>
        <v>3162849.9031413612</v>
      </c>
      <c r="CV21" s="206">
        <v>153069</v>
      </c>
      <c r="CW21" s="80">
        <f t="shared" si="48"/>
        <v>347</v>
      </c>
      <c r="CX21" s="135">
        <f t="shared" si="74"/>
        <v>1.4985590778097984</v>
      </c>
      <c r="CY21" s="183">
        <f t="shared" si="116"/>
        <v>229382.93948126803</v>
      </c>
      <c r="CZ21" s="206">
        <v>2996249</v>
      </c>
      <c r="DA21" s="80">
        <f t="shared" si="50"/>
        <v>372</v>
      </c>
      <c r="DB21" s="327">
        <f t="shared" si="75"/>
        <v>1.7473118279569892</v>
      </c>
      <c r="DC21" s="183">
        <f t="shared" si="117"/>
        <v>5235381.3172043012</v>
      </c>
      <c r="DD21" s="206">
        <f>3770586+117779</f>
        <v>3888365</v>
      </c>
      <c r="DE21" s="206">
        <v>3770586</v>
      </c>
      <c r="DF21" s="207"/>
      <c r="DG21" s="58">
        <f t="shared" si="118"/>
        <v>3888365</v>
      </c>
      <c r="DH21" s="58">
        <f t="shared" si="119"/>
        <v>972091.25</v>
      </c>
      <c r="DI21" s="80">
        <f t="shared" si="54"/>
        <v>417</v>
      </c>
      <c r="DJ21" s="332">
        <f t="shared" si="76"/>
        <v>2.0815347721822541</v>
      </c>
      <c r="DK21" s="183">
        <f t="shared" si="55"/>
        <v>2023441.7386091126</v>
      </c>
      <c r="DL21" s="181">
        <v>2002</v>
      </c>
      <c r="DM21" s="199">
        <f t="shared" si="87"/>
        <v>5313686.3386083543</v>
      </c>
      <c r="DN21" s="200">
        <f t="shared" si="88"/>
        <v>22226846.918397013</v>
      </c>
      <c r="DO21" s="201">
        <f t="shared" si="89"/>
        <v>9578373.1236821953</v>
      </c>
    </row>
    <row r="22" spans="1:119" ht="13.5" thickBot="1">
      <c r="A22" s="205">
        <v>1997</v>
      </c>
      <c r="B22" s="206">
        <v>377741</v>
      </c>
      <c r="C22" s="207"/>
      <c r="D22" s="167">
        <f t="shared" si="90"/>
        <v>377741</v>
      </c>
      <c r="E22" s="208">
        <f t="shared" si="91"/>
        <v>264418.7</v>
      </c>
      <c r="F22" s="206">
        <v>9840</v>
      </c>
      <c r="G22" s="207"/>
      <c r="H22" s="209">
        <f t="shared" si="92"/>
        <v>9840</v>
      </c>
      <c r="I22" s="210">
        <v>341</v>
      </c>
      <c r="J22" s="132">
        <f t="shared" si="56"/>
        <v>1.5249266862170088</v>
      </c>
      <c r="K22" s="183">
        <f t="shared" si="93"/>
        <v>15005.278592375367</v>
      </c>
      <c r="L22" s="206">
        <v>4375370</v>
      </c>
      <c r="M22" s="207"/>
      <c r="N22" s="207"/>
      <c r="O22" s="58">
        <f t="shared" si="94"/>
        <v>4375370</v>
      </c>
      <c r="P22" s="80">
        <f t="shared" si="5"/>
        <v>420</v>
      </c>
      <c r="Q22" s="132">
        <f t="shared" si="57"/>
        <v>1.4166666666666667</v>
      </c>
      <c r="R22" s="193">
        <f t="shared" si="6"/>
        <v>6198440.833333334</v>
      </c>
      <c r="S22" s="206">
        <v>2988678</v>
      </c>
      <c r="T22" s="207"/>
      <c r="U22" s="207"/>
      <c r="V22" s="58">
        <f t="shared" si="95"/>
        <v>2988678</v>
      </c>
      <c r="W22" s="80">
        <f t="shared" si="8"/>
        <v>379</v>
      </c>
      <c r="X22" s="132">
        <f t="shared" si="58"/>
        <v>1.6094986807387863</v>
      </c>
      <c r="Y22" s="183">
        <f t="shared" si="96"/>
        <v>4810273.2981530344</v>
      </c>
      <c r="Z22" s="206">
        <v>0</v>
      </c>
      <c r="AA22" s="80">
        <f t="shared" si="10"/>
        <v>331</v>
      </c>
      <c r="AB22" s="132">
        <f t="shared" si="59"/>
        <v>1.6555891238670695</v>
      </c>
      <c r="AC22" s="183">
        <f t="shared" si="11"/>
        <v>0</v>
      </c>
      <c r="AD22" s="206">
        <v>0</v>
      </c>
      <c r="AE22" s="80">
        <f t="shared" si="12"/>
        <v>446</v>
      </c>
      <c r="AF22" s="132">
        <f t="shared" si="60"/>
        <v>1.858744394618834</v>
      </c>
      <c r="AG22" s="183">
        <f t="shared" si="97"/>
        <v>0</v>
      </c>
      <c r="AH22" s="206">
        <v>0</v>
      </c>
      <c r="AI22" s="207"/>
      <c r="AJ22" s="207"/>
      <c r="AK22" s="80">
        <f t="shared" si="15"/>
        <v>337</v>
      </c>
      <c r="AL22" s="132">
        <f t="shared" si="61"/>
        <v>1.5578635014836795</v>
      </c>
      <c r="AM22" s="183">
        <f t="shared" si="98"/>
        <v>0</v>
      </c>
      <c r="AN22" s="206">
        <v>7183342</v>
      </c>
      <c r="AO22" s="80">
        <f t="shared" si="17"/>
        <v>382</v>
      </c>
      <c r="AP22" s="132">
        <f t="shared" si="62"/>
        <v>1.4869109947643979</v>
      </c>
      <c r="AQ22" s="183">
        <f t="shared" si="99"/>
        <v>10680990.19895288</v>
      </c>
      <c r="AR22" s="206">
        <v>3890233</v>
      </c>
      <c r="AS22" s="80">
        <f t="shared" si="19"/>
        <v>380</v>
      </c>
      <c r="AT22" s="132">
        <f t="shared" si="63"/>
        <v>1.8</v>
      </c>
      <c r="AU22" s="183">
        <f t="shared" si="100"/>
        <v>7002419.4000000004</v>
      </c>
      <c r="AV22" s="206">
        <v>3830313</v>
      </c>
      <c r="AW22" s="80">
        <f t="shared" si="21"/>
        <v>330</v>
      </c>
      <c r="AX22" s="132">
        <f t="shared" si="64"/>
        <v>1.593939393939394</v>
      </c>
      <c r="AY22" s="183">
        <f t="shared" si="101"/>
        <v>6105286.7818181822</v>
      </c>
      <c r="AZ22" s="206">
        <v>5311192</v>
      </c>
      <c r="BA22" s="80">
        <f t="shared" si="23"/>
        <v>315</v>
      </c>
      <c r="BB22" s="132">
        <f t="shared" si="65"/>
        <v>1.9492063492063492</v>
      </c>
      <c r="BC22" s="183">
        <f t="shared" si="102"/>
        <v>10352609.168253968</v>
      </c>
      <c r="BD22" s="211">
        <v>4251568</v>
      </c>
      <c r="BE22" s="58">
        <f t="shared" si="103"/>
        <v>3503292.0319999997</v>
      </c>
      <c r="BF22" s="80">
        <f t="shared" si="26"/>
        <v>225</v>
      </c>
      <c r="BG22" s="132">
        <f t="shared" si="66"/>
        <v>2.72</v>
      </c>
      <c r="BH22" s="183">
        <f t="shared" si="104"/>
        <v>9528954.3270399999</v>
      </c>
      <c r="BI22" s="58">
        <f t="shared" si="105"/>
        <v>748275.96799999999</v>
      </c>
      <c r="BJ22" s="80">
        <f t="shared" si="29"/>
        <v>325</v>
      </c>
      <c r="BK22" s="132">
        <f t="shared" si="67"/>
        <v>2.006153846153846</v>
      </c>
      <c r="BL22" s="183">
        <f t="shared" si="106"/>
        <v>1501156.7111876921</v>
      </c>
      <c r="BM22" s="206">
        <v>3757288</v>
      </c>
      <c r="BN22" s="80">
        <f t="shared" si="31"/>
        <v>323</v>
      </c>
      <c r="BO22" s="132">
        <f t="shared" si="68"/>
        <v>1.5758513931888545</v>
      </c>
      <c r="BP22" s="183">
        <f t="shared" si="107"/>
        <v>5920927.5294117648</v>
      </c>
      <c r="BQ22" s="206">
        <v>1006592</v>
      </c>
      <c r="BR22" s="207"/>
      <c r="BS22" s="58">
        <f t="shared" si="108"/>
        <v>1006592</v>
      </c>
      <c r="BT22" s="80">
        <f t="shared" si="34"/>
        <v>216</v>
      </c>
      <c r="BU22" s="132">
        <f t="shared" si="69"/>
        <v>1.6435185185185186</v>
      </c>
      <c r="BV22" s="183">
        <f t="shared" si="109"/>
        <v>1654352.5925925926</v>
      </c>
      <c r="BW22" s="206">
        <v>532708</v>
      </c>
      <c r="BX22" s="80">
        <f t="shared" si="36"/>
        <v>395</v>
      </c>
      <c r="BY22" s="132">
        <f t="shared" si="70"/>
        <v>1.8481012658227849</v>
      </c>
      <c r="BZ22" s="212">
        <f t="shared" si="110"/>
        <v>984498.32911392406</v>
      </c>
      <c r="CA22" s="206">
        <v>676542</v>
      </c>
      <c r="CB22" s="80">
        <f t="shared" si="38"/>
        <v>395</v>
      </c>
      <c r="CC22" s="132">
        <f t="shared" si="71"/>
        <v>1.8481012658227849</v>
      </c>
      <c r="CD22" s="212">
        <f t="shared" si="111"/>
        <v>1250318.1265822786</v>
      </c>
      <c r="CE22" s="206">
        <v>377741</v>
      </c>
      <c r="CF22" s="207"/>
      <c r="CG22" s="58">
        <f t="shared" si="112"/>
        <v>377741</v>
      </c>
      <c r="CH22" s="194">
        <f t="shared" si="113"/>
        <v>113322.3</v>
      </c>
      <c r="CI22" s="206">
        <v>513434</v>
      </c>
      <c r="CJ22" s="207"/>
      <c r="CK22" s="58">
        <f t="shared" si="114"/>
        <v>513434</v>
      </c>
      <c r="CL22" s="80">
        <f t="shared" si="43"/>
        <v>341</v>
      </c>
      <c r="CM22" s="135">
        <f t="shared" si="72"/>
        <v>1.5249266862170088</v>
      </c>
      <c r="CN22" s="183">
        <f t="shared" si="44"/>
        <v>782949.20821114373</v>
      </c>
      <c r="CO22" s="206">
        <v>3073814</v>
      </c>
      <c r="CP22" s="207"/>
      <c r="CQ22" s="207"/>
      <c r="CR22" s="195">
        <f t="shared" si="115"/>
        <v>3073814</v>
      </c>
      <c r="CS22" s="80">
        <f t="shared" si="46"/>
        <v>372</v>
      </c>
      <c r="CT22" s="327">
        <f t="shared" si="73"/>
        <v>1.85752688172043</v>
      </c>
      <c r="CU22" s="183">
        <f t="shared" si="47"/>
        <v>5709692.1344086016</v>
      </c>
      <c r="CV22" s="206">
        <v>250540</v>
      </c>
      <c r="CW22" s="80">
        <f t="shared" si="48"/>
        <v>341</v>
      </c>
      <c r="CX22" s="135">
        <f t="shared" si="74"/>
        <v>1.5249266862170088</v>
      </c>
      <c r="CY22" s="183">
        <f t="shared" si="116"/>
        <v>382055.13196480938</v>
      </c>
      <c r="CZ22" s="206">
        <v>1986340</v>
      </c>
      <c r="DA22" s="80">
        <f t="shared" si="50"/>
        <v>357</v>
      </c>
      <c r="DB22" s="327">
        <f t="shared" si="75"/>
        <v>1.8207282913165266</v>
      </c>
      <c r="DC22" s="183">
        <f t="shared" si="117"/>
        <v>3616585.4341736692</v>
      </c>
      <c r="DD22" s="206">
        <f>1868850+87855+14510</f>
        <v>1971215</v>
      </c>
      <c r="DE22" s="206">
        <v>1868850</v>
      </c>
      <c r="DF22" s="207"/>
      <c r="DG22" s="58">
        <f t="shared" si="118"/>
        <v>1971215</v>
      </c>
      <c r="DH22" s="58">
        <f t="shared" si="119"/>
        <v>492803.75</v>
      </c>
      <c r="DI22" s="80">
        <f t="shared" si="54"/>
        <v>408</v>
      </c>
      <c r="DJ22" s="332">
        <f t="shared" si="76"/>
        <v>2.1274509803921569</v>
      </c>
      <c r="DK22" s="183">
        <f t="shared" si="55"/>
        <v>1048415.8210784313</v>
      </c>
      <c r="DL22" s="181">
        <v>2001</v>
      </c>
      <c r="DM22" s="202">
        <f t="shared" si="87"/>
        <v>5363659.3060948299</v>
      </c>
      <c r="DN22" s="203">
        <f t="shared" si="88"/>
        <v>22798342.37751681</v>
      </c>
      <c r="DO22" s="204">
        <f t="shared" si="89"/>
        <v>9510345.7353663854</v>
      </c>
    </row>
    <row r="23" spans="1:119">
      <c r="A23" s="205">
        <v>1996</v>
      </c>
      <c r="B23" s="206">
        <v>0</v>
      </c>
      <c r="C23" s="207"/>
      <c r="D23" s="167">
        <f t="shared" si="90"/>
        <v>0</v>
      </c>
      <c r="E23" s="208">
        <f t="shared" si="91"/>
        <v>0</v>
      </c>
      <c r="F23" s="206">
        <v>7786</v>
      </c>
      <c r="G23" s="207"/>
      <c r="H23" s="209">
        <f t="shared" si="92"/>
        <v>7786</v>
      </c>
      <c r="I23" s="210">
        <v>333</v>
      </c>
      <c r="J23" s="132">
        <f t="shared" si="56"/>
        <v>1.5615615615615615</v>
      </c>
      <c r="K23" s="183">
        <f t="shared" si="93"/>
        <v>12158.318318318317</v>
      </c>
      <c r="L23" s="206">
        <v>686675</v>
      </c>
      <c r="M23" s="207"/>
      <c r="N23" s="207"/>
      <c r="O23" s="58">
        <f t="shared" si="94"/>
        <v>686675</v>
      </c>
      <c r="P23" s="80">
        <f t="shared" si="5"/>
        <v>407</v>
      </c>
      <c r="Q23" s="132">
        <f t="shared" si="57"/>
        <v>1.461916461916462</v>
      </c>
      <c r="R23" s="193">
        <f t="shared" si="6"/>
        <v>1003861.4864864865</v>
      </c>
      <c r="S23" s="206">
        <v>260693</v>
      </c>
      <c r="T23" s="207"/>
      <c r="U23" s="207"/>
      <c r="V23" s="58">
        <f t="shared" si="95"/>
        <v>260693</v>
      </c>
      <c r="W23" s="80">
        <f t="shared" si="8"/>
        <v>374</v>
      </c>
      <c r="X23" s="132">
        <f t="shared" si="58"/>
        <v>1.6310160427807487</v>
      </c>
      <c r="Y23" s="183">
        <f t="shared" si="96"/>
        <v>425194.46524064173</v>
      </c>
      <c r="Z23" s="206">
        <v>0</v>
      </c>
      <c r="AA23" s="80">
        <f t="shared" si="10"/>
        <v>323</v>
      </c>
      <c r="AB23" s="132">
        <f t="shared" si="59"/>
        <v>1.6965944272445821</v>
      </c>
      <c r="AC23" s="183">
        <f t="shared" si="11"/>
        <v>0</v>
      </c>
      <c r="AD23" s="206">
        <v>0</v>
      </c>
      <c r="AE23" s="80">
        <f t="shared" si="12"/>
        <v>441</v>
      </c>
      <c r="AF23" s="132">
        <f t="shared" si="60"/>
        <v>1.8798185941043084</v>
      </c>
      <c r="AG23" s="183">
        <f t="shared" si="97"/>
        <v>0</v>
      </c>
      <c r="AH23" s="206">
        <v>4171</v>
      </c>
      <c r="AI23" s="207"/>
      <c r="AJ23" s="207"/>
      <c r="AK23" s="80">
        <f t="shared" si="15"/>
        <v>326</v>
      </c>
      <c r="AL23" s="132">
        <f t="shared" si="61"/>
        <v>1.6104294478527608</v>
      </c>
      <c r="AM23" s="183">
        <f t="shared" si="98"/>
        <v>0</v>
      </c>
      <c r="AN23" s="206">
        <v>8115669</v>
      </c>
      <c r="AO23" s="80">
        <f t="shared" si="17"/>
        <v>373</v>
      </c>
      <c r="AP23" s="132">
        <f t="shared" si="62"/>
        <v>1.5227882037533511</v>
      </c>
      <c r="AQ23" s="183">
        <f t="shared" si="99"/>
        <v>12358445.018766755</v>
      </c>
      <c r="AR23" s="206">
        <v>4459617</v>
      </c>
      <c r="AS23" s="80">
        <f t="shared" si="19"/>
        <v>373</v>
      </c>
      <c r="AT23" s="132">
        <f t="shared" si="63"/>
        <v>1.8337801608579087</v>
      </c>
      <c r="AU23" s="183">
        <f t="shared" si="100"/>
        <v>8177957.1796246646</v>
      </c>
      <c r="AV23" s="206">
        <v>2793055</v>
      </c>
      <c r="AW23" s="80">
        <f t="shared" si="21"/>
        <v>321</v>
      </c>
      <c r="AX23" s="132">
        <f t="shared" si="64"/>
        <v>1.6386292834890965</v>
      </c>
      <c r="AY23" s="183">
        <f t="shared" si="101"/>
        <v>4576781.7133956384</v>
      </c>
      <c r="AZ23" s="206">
        <v>5395918</v>
      </c>
      <c r="BA23" s="80">
        <f t="shared" si="23"/>
        <v>312</v>
      </c>
      <c r="BB23" s="132">
        <f t="shared" si="65"/>
        <v>1.9679487179487178</v>
      </c>
      <c r="BC23" s="183">
        <f t="shared" si="102"/>
        <v>10618889.91025641</v>
      </c>
      <c r="BD23" s="211">
        <v>4873481</v>
      </c>
      <c r="BE23" s="58">
        <f t="shared" si="103"/>
        <v>4015748.3439999996</v>
      </c>
      <c r="BF23" s="80">
        <f t="shared" si="26"/>
        <v>234</v>
      </c>
      <c r="BG23" s="132">
        <f t="shared" si="66"/>
        <v>2.6153846153846154</v>
      </c>
      <c r="BH23" s="183">
        <f t="shared" si="104"/>
        <v>10502726.438153844</v>
      </c>
      <c r="BI23" s="58">
        <f t="shared" si="105"/>
        <v>857732.65599999996</v>
      </c>
      <c r="BJ23" s="80">
        <f t="shared" si="29"/>
        <v>320</v>
      </c>
      <c r="BK23" s="132">
        <f t="shared" si="67"/>
        <v>2.0375000000000001</v>
      </c>
      <c r="BL23" s="183">
        <f t="shared" si="106"/>
        <v>1747630.2866</v>
      </c>
      <c r="BM23" s="206">
        <v>3898078</v>
      </c>
      <c r="BN23" s="80">
        <f t="shared" si="31"/>
        <v>319</v>
      </c>
      <c r="BO23" s="132">
        <f t="shared" si="68"/>
        <v>1.5956112852664577</v>
      </c>
      <c r="BP23" s="183">
        <f t="shared" si="107"/>
        <v>6219817.2476489032</v>
      </c>
      <c r="BQ23" s="206">
        <v>956298</v>
      </c>
      <c r="BR23" s="207"/>
      <c r="BS23" s="58">
        <f t="shared" si="108"/>
        <v>956298</v>
      </c>
      <c r="BT23" s="80">
        <f t="shared" si="34"/>
        <v>202</v>
      </c>
      <c r="BU23" s="132">
        <f t="shared" si="69"/>
        <v>1.7574257425742574</v>
      </c>
      <c r="BV23" s="183">
        <f t="shared" si="109"/>
        <v>1680622.7227722772</v>
      </c>
      <c r="BW23" s="206">
        <v>459077</v>
      </c>
      <c r="BX23" s="80">
        <f t="shared" si="36"/>
        <v>386</v>
      </c>
      <c r="BY23" s="132">
        <f t="shared" si="70"/>
        <v>1.8911917098445596</v>
      </c>
      <c r="BZ23" s="212">
        <f t="shared" si="110"/>
        <v>868202.61658031086</v>
      </c>
      <c r="CA23" s="206">
        <v>531730</v>
      </c>
      <c r="CB23" s="80">
        <f t="shared" si="38"/>
        <v>386</v>
      </c>
      <c r="CC23" s="132">
        <f t="shared" si="71"/>
        <v>1.8911917098445596</v>
      </c>
      <c r="CD23" s="212">
        <f t="shared" si="111"/>
        <v>1005603.3678756477</v>
      </c>
      <c r="CE23" s="206">
        <v>0</v>
      </c>
      <c r="CF23" s="207"/>
      <c r="CG23" s="58">
        <f t="shared" si="112"/>
        <v>0</v>
      </c>
      <c r="CH23" s="194">
        <f t="shared" si="113"/>
        <v>0</v>
      </c>
      <c r="CI23" s="206">
        <v>776612</v>
      </c>
      <c r="CJ23" s="207"/>
      <c r="CK23" s="58">
        <f t="shared" si="114"/>
        <v>776612</v>
      </c>
      <c r="CL23" s="80">
        <f t="shared" si="43"/>
        <v>333</v>
      </c>
      <c r="CM23" s="135">
        <f t="shared" si="72"/>
        <v>1.5615615615615615</v>
      </c>
      <c r="CN23" s="183">
        <f t="shared" si="44"/>
        <v>1212727.4474474473</v>
      </c>
      <c r="CO23" s="206">
        <v>1636066</v>
      </c>
      <c r="CP23" s="207"/>
      <c r="CQ23" s="207"/>
      <c r="CR23" s="195">
        <f t="shared" si="115"/>
        <v>1636066</v>
      </c>
      <c r="CS23" s="80">
        <f t="shared" si="46"/>
        <v>366</v>
      </c>
      <c r="CT23" s="327">
        <f t="shared" si="73"/>
        <v>1.8879781420765027</v>
      </c>
      <c r="CU23" s="183">
        <f t="shared" si="47"/>
        <v>3088856.8469945355</v>
      </c>
      <c r="CV23" s="206">
        <v>120370</v>
      </c>
      <c r="CW23" s="80">
        <f t="shared" si="48"/>
        <v>333</v>
      </c>
      <c r="CX23" s="135">
        <f t="shared" si="74"/>
        <v>1.5615615615615615</v>
      </c>
      <c r="CY23" s="183">
        <f t="shared" si="116"/>
        <v>187965.16516516515</v>
      </c>
      <c r="CZ23" s="206">
        <v>1115091</v>
      </c>
      <c r="DA23" s="80">
        <f t="shared" si="50"/>
        <v>352</v>
      </c>
      <c r="DB23" s="327">
        <f t="shared" si="75"/>
        <v>1.8465909090909092</v>
      </c>
      <c r="DC23" s="183">
        <f t="shared" si="117"/>
        <v>2059116.9034090911</v>
      </c>
      <c r="DD23" s="206">
        <f>1259976+72988</f>
        <v>1332964</v>
      </c>
      <c r="DE23" s="206">
        <v>1259976</v>
      </c>
      <c r="DF23" s="207"/>
      <c r="DG23" s="58">
        <f t="shared" si="118"/>
        <v>1332964</v>
      </c>
      <c r="DH23" s="58">
        <f t="shared" si="119"/>
        <v>333241</v>
      </c>
      <c r="DI23" s="80">
        <f t="shared" si="54"/>
        <v>399</v>
      </c>
      <c r="DJ23" s="332">
        <f t="shared" si="76"/>
        <v>2.1754385964912282</v>
      </c>
      <c r="DK23" s="183">
        <f t="shared" si="55"/>
        <v>724945.33333333337</v>
      </c>
    </row>
    <row r="24" spans="1:119">
      <c r="A24" s="205">
        <v>1995</v>
      </c>
      <c r="B24" s="206">
        <v>819531</v>
      </c>
      <c r="C24" s="207"/>
      <c r="D24" s="167">
        <f t="shared" si="90"/>
        <v>819531</v>
      </c>
      <c r="E24" s="208">
        <f t="shared" si="91"/>
        <v>573671.69999999995</v>
      </c>
      <c r="F24" s="206">
        <v>6099</v>
      </c>
      <c r="G24" s="207"/>
      <c r="H24" s="209">
        <f t="shared" si="92"/>
        <v>6099</v>
      </c>
      <c r="I24" s="210">
        <v>322</v>
      </c>
      <c r="J24" s="132">
        <f t="shared" si="56"/>
        <v>1.6149068322981366</v>
      </c>
      <c r="K24" s="183">
        <f t="shared" si="93"/>
        <v>9849.3167701863349</v>
      </c>
      <c r="L24" s="206">
        <v>4430992</v>
      </c>
      <c r="M24" s="207"/>
      <c r="N24" s="207"/>
      <c r="O24" s="58">
        <f t="shared" si="94"/>
        <v>4430992</v>
      </c>
      <c r="P24" s="80">
        <f t="shared" si="5"/>
        <v>392</v>
      </c>
      <c r="Q24" s="132">
        <f t="shared" si="57"/>
        <v>1.5178571428571428</v>
      </c>
      <c r="R24" s="193">
        <f t="shared" si="6"/>
        <v>6725612.8571428573</v>
      </c>
      <c r="S24" s="206">
        <v>1996474</v>
      </c>
      <c r="T24" s="207"/>
      <c r="U24" s="207"/>
      <c r="V24" s="58">
        <f t="shared" si="95"/>
        <v>1996474</v>
      </c>
      <c r="W24" s="80">
        <f t="shared" si="8"/>
        <v>368</v>
      </c>
      <c r="X24" s="132">
        <f t="shared" si="58"/>
        <v>1.6576086956521738</v>
      </c>
      <c r="Y24" s="183">
        <f t="shared" si="96"/>
        <v>3309372.663043478</v>
      </c>
      <c r="Z24" s="206">
        <v>0</v>
      </c>
      <c r="AA24" s="80">
        <f t="shared" si="10"/>
        <v>318</v>
      </c>
      <c r="AB24" s="132">
        <f t="shared" si="59"/>
        <v>1.7232704402515724</v>
      </c>
      <c r="AC24" s="183">
        <f t="shared" si="11"/>
        <v>0</v>
      </c>
      <c r="AD24" s="206">
        <v>1025</v>
      </c>
      <c r="AE24" s="80">
        <f t="shared" si="12"/>
        <v>436</v>
      </c>
      <c r="AF24" s="132">
        <f t="shared" si="60"/>
        <v>1.9013761467889909</v>
      </c>
      <c r="AG24" s="183">
        <f t="shared" si="97"/>
        <v>1948.9105504587158</v>
      </c>
      <c r="AH24" s="206">
        <v>5465</v>
      </c>
      <c r="AI24" s="207"/>
      <c r="AJ24" s="207"/>
      <c r="AK24" s="80">
        <f t="shared" si="15"/>
        <v>317</v>
      </c>
      <c r="AL24" s="132">
        <f t="shared" si="61"/>
        <v>1.6561514195583595</v>
      </c>
      <c r="AM24" s="183">
        <f t="shared" si="98"/>
        <v>0</v>
      </c>
      <c r="AN24" s="206">
        <v>11419655</v>
      </c>
      <c r="AO24" s="80">
        <f t="shared" si="17"/>
        <v>364</v>
      </c>
      <c r="AP24" s="132">
        <f t="shared" si="62"/>
        <v>1.5604395604395604</v>
      </c>
      <c r="AQ24" s="183">
        <f t="shared" si="99"/>
        <v>17819681.428571429</v>
      </c>
      <c r="AR24" s="206">
        <v>8607263</v>
      </c>
      <c r="AS24" s="80">
        <f t="shared" si="19"/>
        <v>366</v>
      </c>
      <c r="AT24" s="132">
        <f t="shared" si="63"/>
        <v>1.8688524590163935</v>
      </c>
      <c r="AU24" s="183">
        <f t="shared" si="100"/>
        <v>16085704.62295082</v>
      </c>
      <c r="AV24" s="206">
        <v>3782143</v>
      </c>
      <c r="AW24" s="80">
        <f t="shared" si="21"/>
        <v>316</v>
      </c>
      <c r="AX24" s="132">
        <f t="shared" si="64"/>
        <v>1.6645569620253164</v>
      </c>
      <c r="AY24" s="183">
        <f t="shared" si="101"/>
        <v>6295592.4620253164</v>
      </c>
      <c r="AZ24" s="206">
        <v>6543937</v>
      </c>
      <c r="BA24" s="80">
        <f t="shared" si="23"/>
        <v>306</v>
      </c>
      <c r="BB24" s="132">
        <f t="shared" si="65"/>
        <v>2.0065359477124183</v>
      </c>
      <c r="BC24" s="183">
        <f t="shared" si="102"/>
        <v>13130644.830065358</v>
      </c>
      <c r="BD24" s="211">
        <v>10694896</v>
      </c>
      <c r="BE24" s="58">
        <f t="shared" si="103"/>
        <v>8812594.3039999995</v>
      </c>
      <c r="BF24" s="80">
        <f t="shared" si="26"/>
        <v>238</v>
      </c>
      <c r="BG24" s="132">
        <f t="shared" si="66"/>
        <v>2.5714285714285716</v>
      </c>
      <c r="BH24" s="183">
        <f t="shared" si="104"/>
        <v>22660956.781714287</v>
      </c>
      <c r="BI24" s="58">
        <f t="shared" si="105"/>
        <v>1882301.696</v>
      </c>
      <c r="BJ24" s="80">
        <f t="shared" si="29"/>
        <v>307</v>
      </c>
      <c r="BK24" s="132">
        <f t="shared" si="67"/>
        <v>2.1237785016286646</v>
      </c>
      <c r="BL24" s="183">
        <f t="shared" si="106"/>
        <v>3997591.8755439739</v>
      </c>
      <c r="BM24" s="206">
        <v>6107255</v>
      </c>
      <c r="BN24" s="80">
        <f t="shared" si="31"/>
        <v>317</v>
      </c>
      <c r="BO24" s="132">
        <f t="shared" si="68"/>
        <v>1.6056782334384858</v>
      </c>
      <c r="BP24" s="183">
        <f t="shared" si="107"/>
        <v>9806286.4195583593</v>
      </c>
      <c r="BQ24" s="206">
        <v>2103993</v>
      </c>
      <c r="BR24" s="207"/>
      <c r="BS24" s="58">
        <f t="shared" si="108"/>
        <v>2103993</v>
      </c>
      <c r="BT24" s="80">
        <f t="shared" si="34"/>
        <v>198</v>
      </c>
      <c r="BU24" s="132">
        <f t="shared" si="69"/>
        <v>1.792929292929293</v>
      </c>
      <c r="BV24" s="183">
        <f t="shared" si="109"/>
        <v>3772310.6818181821</v>
      </c>
      <c r="BW24" s="206">
        <v>619506</v>
      </c>
      <c r="BX24" s="80">
        <f t="shared" si="36"/>
        <v>367</v>
      </c>
      <c r="BY24" s="132">
        <f t="shared" si="70"/>
        <v>1.9891008174386922</v>
      </c>
      <c r="BZ24" s="212">
        <f t="shared" si="110"/>
        <v>1232259.8910081745</v>
      </c>
      <c r="CA24" s="206">
        <v>585692</v>
      </c>
      <c r="CB24" s="80">
        <f t="shared" si="38"/>
        <v>367</v>
      </c>
      <c r="CC24" s="132">
        <f t="shared" si="71"/>
        <v>1.9891008174386922</v>
      </c>
      <c r="CD24" s="212">
        <f t="shared" si="111"/>
        <v>1165000.4359673024</v>
      </c>
      <c r="CE24" s="206">
        <v>819531</v>
      </c>
      <c r="CF24" s="207"/>
      <c r="CG24" s="58">
        <f t="shared" si="112"/>
        <v>819531</v>
      </c>
      <c r="CH24" s="194">
        <f t="shared" si="113"/>
        <v>245859.3</v>
      </c>
      <c r="CI24" s="206">
        <v>119887</v>
      </c>
      <c r="CJ24" s="207"/>
      <c r="CK24" s="58">
        <f t="shared" si="114"/>
        <v>119887</v>
      </c>
      <c r="CL24" s="80">
        <f t="shared" si="43"/>
        <v>322</v>
      </c>
      <c r="CM24" s="135">
        <f t="shared" si="72"/>
        <v>1.6149068322981366</v>
      </c>
      <c r="CN24" s="183">
        <f t="shared" si="44"/>
        <v>193606.3354037267</v>
      </c>
      <c r="CO24" s="206">
        <v>2808513</v>
      </c>
      <c r="CP24" s="207"/>
      <c r="CQ24" s="207"/>
      <c r="CR24" s="195">
        <f t="shared" si="115"/>
        <v>2808513</v>
      </c>
      <c r="CS24" s="80">
        <f t="shared" si="46"/>
        <v>364</v>
      </c>
      <c r="CT24" s="327">
        <f t="shared" si="73"/>
        <v>1.8983516483516483</v>
      </c>
      <c r="CU24" s="183">
        <f t="shared" si="47"/>
        <v>5331545.2829670329</v>
      </c>
      <c r="CV24" s="206">
        <v>499943</v>
      </c>
      <c r="CW24" s="80">
        <f t="shared" si="48"/>
        <v>322</v>
      </c>
      <c r="CX24" s="135">
        <f t="shared" si="74"/>
        <v>1.6149068322981366</v>
      </c>
      <c r="CY24" s="183">
        <f t="shared" si="116"/>
        <v>807361.36645962729</v>
      </c>
      <c r="CZ24" s="206">
        <v>4250720</v>
      </c>
      <c r="DA24" s="80">
        <f t="shared" si="50"/>
        <v>354</v>
      </c>
      <c r="DB24" s="327">
        <f t="shared" si="75"/>
        <v>1.8361581920903955</v>
      </c>
      <c r="DC24" s="183">
        <f t="shared" si="117"/>
        <v>7804994.3502824865</v>
      </c>
      <c r="DD24" s="206">
        <f>2081724+106238</f>
        <v>2187962</v>
      </c>
      <c r="DE24" s="206">
        <v>2081724</v>
      </c>
      <c r="DF24" s="207"/>
      <c r="DG24" s="58">
        <f t="shared" si="118"/>
        <v>2187962</v>
      </c>
      <c r="DH24" s="58">
        <f t="shared" si="119"/>
        <v>546990.5</v>
      </c>
      <c r="DI24" s="80">
        <f t="shared" si="54"/>
        <v>388</v>
      </c>
      <c r="DJ24" s="332">
        <f t="shared" si="76"/>
        <v>2.2371134020618557</v>
      </c>
      <c r="DK24" s="183">
        <f t="shared" si="55"/>
        <v>1223679.7783505155</v>
      </c>
    </row>
    <row r="25" spans="1:119">
      <c r="A25" s="205">
        <v>1994</v>
      </c>
      <c r="B25" s="206">
        <v>581753</v>
      </c>
      <c r="C25" s="207"/>
      <c r="D25" s="167">
        <f t="shared" si="90"/>
        <v>581753</v>
      </c>
      <c r="E25" s="208">
        <f t="shared" si="91"/>
        <v>407227.1</v>
      </c>
      <c r="F25" s="206">
        <v>52304</v>
      </c>
      <c r="G25" s="207"/>
      <c r="H25" s="209">
        <f t="shared" si="92"/>
        <v>52304</v>
      </c>
      <c r="I25" s="210">
        <v>312</v>
      </c>
      <c r="J25" s="132">
        <f t="shared" si="56"/>
        <v>1.6666666666666667</v>
      </c>
      <c r="K25" s="183">
        <f t="shared" si="93"/>
        <v>87173.333333333343</v>
      </c>
      <c r="L25" s="206">
        <v>4046823</v>
      </c>
      <c r="M25" s="207"/>
      <c r="N25" s="207"/>
      <c r="O25" s="58">
        <f t="shared" si="94"/>
        <v>4046823</v>
      </c>
      <c r="P25" s="80">
        <f t="shared" si="5"/>
        <v>378</v>
      </c>
      <c r="Q25" s="132">
        <f t="shared" si="57"/>
        <v>1.5740740740740742</v>
      </c>
      <c r="R25" s="193">
        <f t="shared" si="6"/>
        <v>6369999.166666667</v>
      </c>
      <c r="S25" s="206">
        <v>1686755</v>
      </c>
      <c r="T25" s="207"/>
      <c r="U25" s="207"/>
      <c r="V25" s="58">
        <f t="shared" si="95"/>
        <v>1686755</v>
      </c>
      <c r="W25" s="80">
        <f t="shared" si="8"/>
        <v>340</v>
      </c>
      <c r="X25" s="132">
        <f t="shared" si="58"/>
        <v>1.7941176470588236</v>
      </c>
      <c r="Y25" s="183">
        <f t="shared" si="96"/>
        <v>3026236.911764706</v>
      </c>
      <c r="Z25" s="206">
        <v>191</v>
      </c>
      <c r="AA25" s="80">
        <f t="shared" si="10"/>
        <v>311</v>
      </c>
      <c r="AB25" s="132">
        <f t="shared" si="59"/>
        <v>1.7620578778135048</v>
      </c>
      <c r="AC25" s="183">
        <f t="shared" si="11"/>
        <v>336.5530546623794</v>
      </c>
      <c r="AD25" s="206">
        <v>0</v>
      </c>
      <c r="AE25" s="80">
        <f t="shared" si="12"/>
        <v>424</v>
      </c>
      <c r="AF25" s="132">
        <f t="shared" si="60"/>
        <v>1.9551886792452831</v>
      </c>
      <c r="AG25" s="183">
        <f t="shared" si="97"/>
        <v>0</v>
      </c>
      <c r="AH25" s="206">
        <v>0</v>
      </c>
      <c r="AI25" s="207"/>
      <c r="AJ25" s="207"/>
      <c r="AK25" s="80">
        <f t="shared" si="15"/>
        <v>313</v>
      </c>
      <c r="AL25" s="132">
        <f t="shared" si="61"/>
        <v>1.6773162939297124</v>
      </c>
      <c r="AM25" s="183">
        <f t="shared" si="98"/>
        <v>0</v>
      </c>
      <c r="AN25" s="206">
        <v>4932958</v>
      </c>
      <c r="AO25" s="80">
        <f t="shared" si="17"/>
        <v>349</v>
      </c>
      <c r="AP25" s="132">
        <f t="shared" si="62"/>
        <v>1.6275071633237823</v>
      </c>
      <c r="AQ25" s="183">
        <f t="shared" si="99"/>
        <v>8028424.481375359</v>
      </c>
      <c r="AR25" s="206">
        <v>2085978</v>
      </c>
      <c r="AS25" s="80">
        <f t="shared" si="19"/>
        <v>343</v>
      </c>
      <c r="AT25" s="132">
        <f t="shared" si="63"/>
        <v>1.9941690962099126</v>
      </c>
      <c r="AU25" s="183">
        <f t="shared" si="100"/>
        <v>4159792.8629737608</v>
      </c>
      <c r="AV25" s="206">
        <v>4397186</v>
      </c>
      <c r="AW25" s="80">
        <f t="shared" si="21"/>
        <v>308</v>
      </c>
      <c r="AX25" s="132">
        <f t="shared" si="64"/>
        <v>1.7077922077922079</v>
      </c>
      <c r="AY25" s="183">
        <f t="shared" si="101"/>
        <v>7509479.987012987</v>
      </c>
      <c r="AZ25" s="206">
        <v>7188110</v>
      </c>
      <c r="BA25" s="80">
        <f t="shared" si="23"/>
        <v>293</v>
      </c>
      <c r="BB25" s="132">
        <f t="shared" si="65"/>
        <v>2.0955631399317407</v>
      </c>
      <c r="BC25" s="183">
        <f t="shared" si="102"/>
        <v>15063138.361774744</v>
      </c>
      <c r="BD25" s="211">
        <v>4983726</v>
      </c>
      <c r="BE25" s="58">
        <f t="shared" si="103"/>
        <v>4106590.2239999999</v>
      </c>
      <c r="BF25" s="80">
        <f t="shared" si="26"/>
        <v>242</v>
      </c>
      <c r="BG25" s="132">
        <f t="shared" si="66"/>
        <v>2.5289256198347108</v>
      </c>
      <c r="BH25" s="183">
        <f t="shared" si="104"/>
        <v>10385261.227636363</v>
      </c>
      <c r="BI25" s="58">
        <f t="shared" si="105"/>
        <v>877135.77599999995</v>
      </c>
      <c r="BJ25" s="80">
        <f t="shared" si="29"/>
        <v>305</v>
      </c>
      <c r="BK25" s="132">
        <f t="shared" si="67"/>
        <v>2.1377049180327869</v>
      </c>
      <c r="BL25" s="183">
        <f t="shared" si="106"/>
        <v>1875057.4621377049</v>
      </c>
      <c r="BM25" s="206">
        <v>3826736</v>
      </c>
      <c r="BN25" s="80">
        <f t="shared" si="31"/>
        <v>301</v>
      </c>
      <c r="BO25" s="132">
        <f t="shared" si="68"/>
        <v>1.691029900332226</v>
      </c>
      <c r="BP25" s="183">
        <f t="shared" si="107"/>
        <v>6471124.9966777414</v>
      </c>
      <c r="BQ25" s="206">
        <v>783359</v>
      </c>
      <c r="BR25" s="207"/>
      <c r="BS25" s="58">
        <f t="shared" si="108"/>
        <v>783359</v>
      </c>
      <c r="BT25" s="80">
        <f t="shared" si="34"/>
        <v>200</v>
      </c>
      <c r="BU25" s="132">
        <f t="shared" si="69"/>
        <v>1.7749999999999999</v>
      </c>
      <c r="BV25" s="183">
        <f t="shared" si="109"/>
        <v>1390462.2249999999</v>
      </c>
      <c r="BW25" s="206">
        <v>546436</v>
      </c>
      <c r="BX25" s="80">
        <f t="shared" si="36"/>
        <v>350</v>
      </c>
      <c r="BY25" s="132">
        <f t="shared" si="70"/>
        <v>2.0857142857142859</v>
      </c>
      <c r="BZ25" s="212">
        <f t="shared" si="110"/>
        <v>1139709.3714285714</v>
      </c>
      <c r="CA25" s="206">
        <v>645439</v>
      </c>
      <c r="CB25" s="80">
        <f t="shared" si="38"/>
        <v>350</v>
      </c>
      <c r="CC25" s="132">
        <f t="shared" si="71"/>
        <v>2.0857142857142859</v>
      </c>
      <c r="CD25" s="212">
        <f t="shared" si="111"/>
        <v>1346201.3428571429</v>
      </c>
      <c r="CE25" s="206">
        <v>581753</v>
      </c>
      <c r="CF25" s="207"/>
      <c r="CG25" s="58">
        <f t="shared" si="112"/>
        <v>581753</v>
      </c>
      <c r="CH25" s="194">
        <f t="shared" si="113"/>
        <v>174525.9</v>
      </c>
      <c r="CI25" s="206">
        <v>51295</v>
      </c>
      <c r="CJ25" s="207"/>
      <c r="CK25" s="58">
        <f t="shared" si="114"/>
        <v>51295</v>
      </c>
      <c r="CL25" s="80">
        <f t="shared" si="43"/>
        <v>312</v>
      </c>
      <c r="CM25" s="135">
        <f t="shared" si="72"/>
        <v>1.6666666666666667</v>
      </c>
      <c r="CN25" s="183">
        <f t="shared" si="44"/>
        <v>85491.666666666672</v>
      </c>
      <c r="CO25" s="206">
        <v>4848155</v>
      </c>
      <c r="CP25" s="207"/>
      <c r="CQ25" s="207"/>
      <c r="CR25" s="195">
        <f t="shared" si="115"/>
        <v>4848155</v>
      </c>
      <c r="CS25" s="80">
        <f t="shared" si="46"/>
        <v>352</v>
      </c>
      <c r="CT25" s="327">
        <f t="shared" si="73"/>
        <v>1.9630681818181819</v>
      </c>
      <c r="CU25" s="183">
        <f t="shared" si="47"/>
        <v>9517258.8210227285</v>
      </c>
      <c r="CV25" s="206">
        <v>92183</v>
      </c>
      <c r="CW25" s="80">
        <f t="shared" si="48"/>
        <v>312</v>
      </c>
      <c r="CX25" s="135">
        <f t="shared" si="74"/>
        <v>1.6666666666666667</v>
      </c>
      <c r="CY25" s="183">
        <f t="shared" si="116"/>
        <v>153638.33333333334</v>
      </c>
      <c r="CZ25" s="206">
        <v>1064181</v>
      </c>
      <c r="DA25" s="80">
        <f t="shared" si="50"/>
        <v>337</v>
      </c>
      <c r="DB25" s="327">
        <f t="shared" si="75"/>
        <v>1.9287833827893175</v>
      </c>
      <c r="DC25" s="183">
        <f t="shared" si="117"/>
        <v>2052574.6290801186</v>
      </c>
      <c r="DD25" s="206">
        <f>1878631+139526+3028</f>
        <v>2021185</v>
      </c>
      <c r="DE25" s="206">
        <v>1878631</v>
      </c>
      <c r="DF25" s="207"/>
      <c r="DG25" s="58">
        <f t="shared" si="118"/>
        <v>2021185</v>
      </c>
      <c r="DH25" s="58">
        <f t="shared" si="119"/>
        <v>505296.25</v>
      </c>
      <c r="DI25" s="80">
        <f t="shared" si="54"/>
        <v>371</v>
      </c>
      <c r="DJ25" s="332">
        <f t="shared" si="76"/>
        <v>2.3396226415094339</v>
      </c>
      <c r="DK25" s="183">
        <f t="shared" si="55"/>
        <v>1182202.5471698113</v>
      </c>
    </row>
    <row r="26" spans="1:119">
      <c r="A26" s="213">
        <v>1993</v>
      </c>
      <c r="B26" s="192">
        <v>29053</v>
      </c>
      <c r="C26" s="58">
        <v>0</v>
      </c>
      <c r="D26" s="58">
        <f t="shared" si="90"/>
        <v>29053</v>
      </c>
      <c r="E26" s="194">
        <f t="shared" si="91"/>
        <v>20337.099999999999</v>
      </c>
      <c r="F26" s="58">
        <v>106690</v>
      </c>
      <c r="G26" s="58">
        <v>0</v>
      </c>
      <c r="H26" s="209">
        <f t="shared" si="92"/>
        <v>106690</v>
      </c>
      <c r="I26" s="214">
        <v>296</v>
      </c>
      <c r="J26" s="132">
        <f t="shared" si="56"/>
        <v>1.7567567567567568</v>
      </c>
      <c r="K26" s="183">
        <f t="shared" si="93"/>
        <v>187428.37837837837</v>
      </c>
      <c r="L26" s="58">
        <v>2845709</v>
      </c>
      <c r="M26" s="58">
        <v>758</v>
      </c>
      <c r="N26" s="58">
        <v>98</v>
      </c>
      <c r="O26" s="58">
        <f t="shared" si="94"/>
        <v>2845049</v>
      </c>
      <c r="P26" s="80">
        <f t="shared" si="5"/>
        <v>360</v>
      </c>
      <c r="Q26" s="132">
        <f t="shared" si="57"/>
        <v>1.6527777777777777</v>
      </c>
      <c r="R26" s="193">
        <f t="shared" si="6"/>
        <v>4702233.763888889</v>
      </c>
      <c r="S26" s="58">
        <v>2700866</v>
      </c>
      <c r="T26" s="58">
        <v>10444</v>
      </c>
      <c r="U26" s="58">
        <v>107</v>
      </c>
      <c r="V26" s="58">
        <f t="shared" si="95"/>
        <v>2690529</v>
      </c>
      <c r="W26" s="80">
        <f t="shared" si="8"/>
        <v>330</v>
      </c>
      <c r="X26" s="132">
        <f t="shared" si="58"/>
        <v>1.8484848484848484</v>
      </c>
      <c r="Y26" s="183">
        <f t="shared" si="96"/>
        <v>4973402.0909090908</v>
      </c>
      <c r="Z26" s="58">
        <v>0</v>
      </c>
      <c r="AA26" s="80">
        <f t="shared" si="10"/>
        <v>304</v>
      </c>
      <c r="AB26" s="132">
        <f t="shared" si="59"/>
        <v>1.8026315789473684</v>
      </c>
      <c r="AC26" s="183">
        <f t="shared" si="11"/>
        <v>0</v>
      </c>
      <c r="AD26" s="58">
        <v>0</v>
      </c>
      <c r="AE26" s="80">
        <f t="shared" si="12"/>
        <v>423</v>
      </c>
      <c r="AF26" s="132">
        <f t="shared" si="60"/>
        <v>1.9598108747044918</v>
      </c>
      <c r="AG26" s="183">
        <f t="shared" si="97"/>
        <v>0</v>
      </c>
      <c r="AH26" s="58">
        <v>496</v>
      </c>
      <c r="AI26" s="58">
        <v>0</v>
      </c>
      <c r="AJ26" s="58">
        <f t="shared" ref="AJ26:AJ57" si="120">AH26-AI26</f>
        <v>496</v>
      </c>
      <c r="AK26" s="80">
        <f t="shared" si="15"/>
        <v>304</v>
      </c>
      <c r="AL26" s="132">
        <f t="shared" si="61"/>
        <v>1.7269736842105263</v>
      </c>
      <c r="AM26" s="183">
        <f t="shared" si="98"/>
        <v>856.57894736842104</v>
      </c>
      <c r="AN26" s="58">
        <v>4149708</v>
      </c>
      <c r="AO26" s="80">
        <f t="shared" si="17"/>
        <v>333</v>
      </c>
      <c r="AP26" s="132">
        <f t="shared" si="62"/>
        <v>1.7057057057057057</v>
      </c>
      <c r="AQ26" s="183">
        <f t="shared" si="99"/>
        <v>7078180.6126126125</v>
      </c>
      <c r="AR26" s="58">
        <v>2543595</v>
      </c>
      <c r="AS26" s="80">
        <f t="shared" si="19"/>
        <v>332</v>
      </c>
      <c r="AT26" s="132">
        <f t="shared" si="63"/>
        <v>2.0602409638554215</v>
      </c>
      <c r="AU26" s="183">
        <f t="shared" si="100"/>
        <v>5240418.6144578308</v>
      </c>
      <c r="AV26" s="58">
        <v>2531479</v>
      </c>
      <c r="AW26" s="80">
        <f t="shared" si="21"/>
        <v>298</v>
      </c>
      <c r="AX26" s="132">
        <f t="shared" si="64"/>
        <v>1.7651006711409396</v>
      </c>
      <c r="AY26" s="183">
        <f t="shared" si="101"/>
        <v>4468315.281879195</v>
      </c>
      <c r="AZ26" s="58">
        <v>5832907</v>
      </c>
      <c r="BA26" s="80">
        <f t="shared" si="23"/>
        <v>291</v>
      </c>
      <c r="BB26" s="132">
        <f t="shared" si="65"/>
        <v>2.1099656357388317</v>
      </c>
      <c r="BC26" s="183">
        <f t="shared" si="102"/>
        <v>12307233.326460481</v>
      </c>
      <c r="BD26" s="209">
        <v>4326104</v>
      </c>
      <c r="BE26" s="58">
        <f t="shared" si="103"/>
        <v>3564709.696</v>
      </c>
      <c r="BF26" s="80">
        <f t="shared" si="26"/>
        <v>238</v>
      </c>
      <c r="BG26" s="132">
        <f t="shared" si="66"/>
        <v>2.5714285714285716</v>
      </c>
      <c r="BH26" s="183">
        <f t="shared" si="104"/>
        <v>9166396.361142857</v>
      </c>
      <c r="BI26" s="58">
        <f t="shared" si="105"/>
        <v>761394.304</v>
      </c>
      <c r="BJ26" s="80">
        <f t="shared" si="29"/>
        <v>304</v>
      </c>
      <c r="BK26" s="132">
        <f t="shared" si="67"/>
        <v>2.1447368421052633</v>
      </c>
      <c r="BL26" s="183">
        <f t="shared" si="106"/>
        <v>1632990.4151578948</v>
      </c>
      <c r="BM26" s="58">
        <v>3334335</v>
      </c>
      <c r="BN26" s="80">
        <f t="shared" si="31"/>
        <v>293</v>
      </c>
      <c r="BO26" s="132">
        <f t="shared" si="68"/>
        <v>1.7372013651877134</v>
      </c>
      <c r="BP26" s="183">
        <f t="shared" si="107"/>
        <v>5792411.3139931746</v>
      </c>
      <c r="BQ26" s="58">
        <v>818396</v>
      </c>
      <c r="BR26" s="58"/>
      <c r="BS26" s="58">
        <f t="shared" si="108"/>
        <v>818396</v>
      </c>
      <c r="BT26" s="80">
        <f t="shared" si="34"/>
        <v>211</v>
      </c>
      <c r="BU26" s="132">
        <f t="shared" si="69"/>
        <v>1.6824644549763033</v>
      </c>
      <c r="BV26" s="183">
        <f t="shared" si="109"/>
        <v>1376922.1800947867</v>
      </c>
      <c r="BW26" s="195">
        <v>571165</v>
      </c>
      <c r="BX26" s="80">
        <f t="shared" si="36"/>
        <v>337</v>
      </c>
      <c r="BY26" s="132">
        <f t="shared" si="70"/>
        <v>2.1661721068249258</v>
      </c>
      <c r="BZ26" s="212">
        <f t="shared" si="110"/>
        <v>1237241.6913946588</v>
      </c>
      <c r="CA26" s="195">
        <v>632242</v>
      </c>
      <c r="CB26" s="80">
        <f t="shared" si="38"/>
        <v>337</v>
      </c>
      <c r="CC26" s="132">
        <f t="shared" si="71"/>
        <v>2.1661721068249258</v>
      </c>
      <c r="CD26" s="212">
        <f t="shared" si="111"/>
        <v>1369544.9851632048</v>
      </c>
      <c r="CE26" s="192">
        <v>29053</v>
      </c>
      <c r="CF26" s="58">
        <v>0</v>
      </c>
      <c r="CG26" s="58">
        <f t="shared" si="112"/>
        <v>29053</v>
      </c>
      <c r="CH26" s="194">
        <f t="shared" si="113"/>
        <v>8715.9</v>
      </c>
      <c r="CI26" s="58">
        <v>667711</v>
      </c>
      <c r="CJ26" s="58">
        <v>0</v>
      </c>
      <c r="CK26" s="58">
        <f t="shared" si="114"/>
        <v>667711</v>
      </c>
      <c r="CL26" s="80">
        <f t="shared" si="43"/>
        <v>296</v>
      </c>
      <c r="CM26" s="135">
        <f t="shared" si="72"/>
        <v>1.7567567567567568</v>
      </c>
      <c r="CN26" s="183">
        <f t="shared" si="44"/>
        <v>1173005.8108108109</v>
      </c>
      <c r="CO26" s="58">
        <v>3922611</v>
      </c>
      <c r="CP26" s="58">
        <f>11800+8325</f>
        <v>20125</v>
      </c>
      <c r="CQ26" s="58">
        <v>0</v>
      </c>
      <c r="CR26" s="195">
        <f t="shared" si="115"/>
        <v>3902486</v>
      </c>
      <c r="CS26" s="80">
        <f t="shared" si="46"/>
        <v>337</v>
      </c>
      <c r="CT26" s="327">
        <f t="shared" si="73"/>
        <v>2.0504451038575668</v>
      </c>
      <c r="CU26" s="183">
        <f t="shared" si="47"/>
        <v>8001833.3115727007</v>
      </c>
      <c r="CV26" s="58">
        <v>33650</v>
      </c>
      <c r="CW26" s="80">
        <f t="shared" si="48"/>
        <v>296</v>
      </c>
      <c r="CX26" s="135">
        <f t="shared" si="74"/>
        <v>1.7567567567567568</v>
      </c>
      <c r="CY26" s="183">
        <f t="shared" si="116"/>
        <v>59114.864864864867</v>
      </c>
      <c r="CZ26" s="58">
        <v>400059</v>
      </c>
      <c r="DA26" s="80">
        <f t="shared" si="50"/>
        <v>328</v>
      </c>
      <c r="DB26" s="327">
        <f t="shared" si="75"/>
        <v>1.9817073170731707</v>
      </c>
      <c r="DC26" s="183">
        <f t="shared" si="117"/>
        <v>792799.84756097558</v>
      </c>
      <c r="DD26" s="58">
        <f>2615465+94648</f>
        <v>2710113</v>
      </c>
      <c r="DE26" s="58">
        <v>2615465</v>
      </c>
      <c r="DF26" s="58">
        <f>232+6768</f>
        <v>7000</v>
      </c>
      <c r="DG26" s="58">
        <f t="shared" si="118"/>
        <v>2703113</v>
      </c>
      <c r="DH26" s="58">
        <f t="shared" si="119"/>
        <v>675778.25</v>
      </c>
      <c r="DI26" s="80">
        <f t="shared" si="54"/>
        <v>365</v>
      </c>
      <c r="DJ26" s="332">
        <f t="shared" si="76"/>
        <v>2.3780821917808219</v>
      </c>
      <c r="DK26" s="183">
        <f t="shared" si="55"/>
        <v>1607056.2219178083</v>
      </c>
    </row>
    <row r="27" spans="1:119" s="167" customFormat="1">
      <c r="A27" s="213">
        <v>1992</v>
      </c>
      <c r="B27" s="58">
        <v>64705</v>
      </c>
      <c r="C27" s="58">
        <v>0</v>
      </c>
      <c r="D27" s="58">
        <f t="shared" si="90"/>
        <v>64705</v>
      </c>
      <c r="E27" s="194">
        <f t="shared" si="91"/>
        <v>45293.5</v>
      </c>
      <c r="F27" s="58">
        <v>47</v>
      </c>
      <c r="G27" s="58">
        <v>0</v>
      </c>
      <c r="H27" s="209">
        <f t="shared" si="92"/>
        <v>47</v>
      </c>
      <c r="I27" s="214">
        <v>284</v>
      </c>
      <c r="J27" s="132">
        <f t="shared" si="56"/>
        <v>1.8309859154929577</v>
      </c>
      <c r="K27" s="183">
        <f t="shared" si="93"/>
        <v>86.056338028169009</v>
      </c>
      <c r="L27" s="58">
        <v>1085078</v>
      </c>
      <c r="M27" s="58">
        <v>1942</v>
      </c>
      <c r="N27" s="58">
        <v>98</v>
      </c>
      <c r="O27" s="58">
        <f t="shared" si="94"/>
        <v>1083234</v>
      </c>
      <c r="P27" s="80">
        <f t="shared" si="5"/>
        <v>350</v>
      </c>
      <c r="Q27" s="132">
        <f t="shared" si="57"/>
        <v>1.7</v>
      </c>
      <c r="R27" s="193">
        <f t="shared" si="6"/>
        <v>1841497.8</v>
      </c>
      <c r="S27" s="58">
        <v>480682</v>
      </c>
      <c r="T27" s="58">
        <v>40816</v>
      </c>
      <c r="U27" s="58">
        <v>107</v>
      </c>
      <c r="V27" s="58">
        <f t="shared" si="95"/>
        <v>439973</v>
      </c>
      <c r="W27" s="80">
        <f t="shared" si="8"/>
        <v>318</v>
      </c>
      <c r="X27" s="132">
        <f t="shared" si="58"/>
        <v>1.9182389937106918</v>
      </c>
      <c r="Y27" s="183">
        <f t="shared" si="96"/>
        <v>843973.36477987422</v>
      </c>
      <c r="Z27" s="58">
        <v>0</v>
      </c>
      <c r="AA27" s="80">
        <f t="shared" si="10"/>
        <v>296</v>
      </c>
      <c r="AB27" s="132">
        <f t="shared" si="59"/>
        <v>1.8513513513513513</v>
      </c>
      <c r="AC27" s="183">
        <f t="shared" si="11"/>
        <v>0</v>
      </c>
      <c r="AD27" s="58">
        <v>0</v>
      </c>
      <c r="AE27" s="80">
        <f t="shared" si="12"/>
        <v>416</v>
      </c>
      <c r="AF27" s="132">
        <f t="shared" si="60"/>
        <v>1.9927884615384615</v>
      </c>
      <c r="AG27" s="183">
        <f t="shared" si="97"/>
        <v>0</v>
      </c>
      <c r="AH27" s="58">
        <v>251</v>
      </c>
      <c r="AI27" s="58">
        <v>0</v>
      </c>
      <c r="AJ27" s="58">
        <f t="shared" si="120"/>
        <v>251</v>
      </c>
      <c r="AK27" s="80">
        <f t="shared" si="15"/>
        <v>297</v>
      </c>
      <c r="AL27" s="132">
        <f t="shared" si="61"/>
        <v>1.7676767676767677</v>
      </c>
      <c r="AM27" s="183">
        <f t="shared" si="98"/>
        <v>443.68686868686871</v>
      </c>
      <c r="AN27" s="58">
        <v>3775337</v>
      </c>
      <c r="AO27" s="80">
        <f t="shared" si="17"/>
        <v>321</v>
      </c>
      <c r="AP27" s="132">
        <f t="shared" si="62"/>
        <v>1.7694704049844237</v>
      </c>
      <c r="AQ27" s="183">
        <f t="shared" si="99"/>
        <v>6680347.0903426791</v>
      </c>
      <c r="AR27" s="58">
        <v>1956850</v>
      </c>
      <c r="AS27" s="80">
        <f t="shared" si="19"/>
        <v>318</v>
      </c>
      <c r="AT27" s="132">
        <f t="shared" si="63"/>
        <v>2.1509433962264151</v>
      </c>
      <c r="AU27" s="183">
        <f t="shared" si="100"/>
        <v>4209073.5849056607</v>
      </c>
      <c r="AV27" s="58">
        <v>2603758</v>
      </c>
      <c r="AW27" s="80">
        <f t="shared" si="21"/>
        <v>290</v>
      </c>
      <c r="AX27" s="132">
        <f t="shared" si="64"/>
        <v>1.8137931034482759</v>
      </c>
      <c r="AY27" s="183">
        <f t="shared" si="101"/>
        <v>4722678.3034482757</v>
      </c>
      <c r="AZ27" s="58">
        <v>4886111</v>
      </c>
      <c r="BA27" s="80">
        <f t="shared" si="23"/>
        <v>286</v>
      </c>
      <c r="BB27" s="132">
        <f t="shared" si="65"/>
        <v>2.1468531468531467</v>
      </c>
      <c r="BC27" s="183">
        <f t="shared" si="102"/>
        <v>10489762.776223775</v>
      </c>
      <c r="BD27" s="209">
        <v>4070927</v>
      </c>
      <c r="BE27" s="58">
        <f t="shared" si="103"/>
        <v>3354443.8479999998</v>
      </c>
      <c r="BF27" s="80">
        <f t="shared" si="26"/>
        <v>236</v>
      </c>
      <c r="BG27" s="132">
        <f t="shared" si="66"/>
        <v>2.593220338983051</v>
      </c>
      <c r="BH27" s="183">
        <f t="shared" si="104"/>
        <v>8698812.0126101691</v>
      </c>
      <c r="BI27" s="58">
        <f t="shared" si="105"/>
        <v>716483.152</v>
      </c>
      <c r="BJ27" s="80">
        <f t="shared" si="29"/>
        <v>296</v>
      </c>
      <c r="BK27" s="132">
        <f t="shared" si="67"/>
        <v>2.2027027027027026</v>
      </c>
      <c r="BL27" s="183">
        <f t="shared" si="106"/>
        <v>1578199.3753513512</v>
      </c>
      <c r="BM27" s="58">
        <v>3141928</v>
      </c>
      <c r="BN27" s="80">
        <f t="shared" si="31"/>
        <v>283</v>
      </c>
      <c r="BO27" s="132">
        <f t="shared" si="68"/>
        <v>1.7985865724381624</v>
      </c>
      <c r="BP27" s="183">
        <f t="shared" si="107"/>
        <v>5651029.5123674907</v>
      </c>
      <c r="BQ27" s="58">
        <v>698784</v>
      </c>
      <c r="BR27" s="58"/>
      <c r="BS27" s="58">
        <f t="shared" si="108"/>
        <v>698784</v>
      </c>
      <c r="BT27" s="80">
        <f t="shared" si="34"/>
        <v>208</v>
      </c>
      <c r="BU27" s="132">
        <f t="shared" si="69"/>
        <v>1.7067307692307692</v>
      </c>
      <c r="BV27" s="183">
        <f t="shared" si="109"/>
        <v>1192636.1538461538</v>
      </c>
      <c r="BW27" s="195">
        <v>184363</v>
      </c>
      <c r="BX27" s="80">
        <f t="shared" si="36"/>
        <v>321</v>
      </c>
      <c r="BY27" s="132">
        <f t="shared" si="70"/>
        <v>2.2741433021806854</v>
      </c>
      <c r="BZ27" s="212">
        <f t="shared" si="110"/>
        <v>419267.88161993772</v>
      </c>
      <c r="CA27" s="195">
        <v>443039</v>
      </c>
      <c r="CB27" s="80">
        <f t="shared" si="38"/>
        <v>321</v>
      </c>
      <c r="CC27" s="132">
        <f t="shared" si="71"/>
        <v>2.2741433021806854</v>
      </c>
      <c r="CD27" s="212">
        <f t="shared" si="111"/>
        <v>1007534.1744548287</v>
      </c>
      <c r="CE27" s="58">
        <v>64705</v>
      </c>
      <c r="CF27" s="58">
        <v>0</v>
      </c>
      <c r="CG27" s="58">
        <f t="shared" si="112"/>
        <v>64705</v>
      </c>
      <c r="CH27" s="194">
        <f t="shared" si="113"/>
        <v>19411.5</v>
      </c>
      <c r="CI27" s="58">
        <v>14377</v>
      </c>
      <c r="CJ27" s="58">
        <v>0</v>
      </c>
      <c r="CK27" s="58">
        <f t="shared" si="114"/>
        <v>14377</v>
      </c>
      <c r="CL27" s="80">
        <f t="shared" si="43"/>
        <v>284</v>
      </c>
      <c r="CM27" s="135">
        <f t="shared" si="72"/>
        <v>1.8309859154929577</v>
      </c>
      <c r="CN27" s="183">
        <f t="shared" si="44"/>
        <v>26324.084507042255</v>
      </c>
      <c r="CO27" s="58">
        <v>2115437</v>
      </c>
      <c r="CP27" s="58">
        <f>1044+199635</f>
        <v>200679</v>
      </c>
      <c r="CQ27" s="58">
        <v>0</v>
      </c>
      <c r="CR27" s="195">
        <f t="shared" si="115"/>
        <v>1914758</v>
      </c>
      <c r="CS27" s="80">
        <f t="shared" si="46"/>
        <v>324</v>
      </c>
      <c r="CT27" s="327">
        <f t="shared" si="73"/>
        <v>2.132716049382716</v>
      </c>
      <c r="CU27" s="183">
        <f t="shared" si="47"/>
        <v>4083635.1172839506</v>
      </c>
      <c r="CV27" s="195">
        <v>318416</v>
      </c>
      <c r="CW27" s="80">
        <f t="shared" si="48"/>
        <v>284</v>
      </c>
      <c r="CX27" s="135">
        <f t="shared" si="74"/>
        <v>1.8309859154929577</v>
      </c>
      <c r="CY27" s="183">
        <f t="shared" si="116"/>
        <v>583015.21126760566</v>
      </c>
      <c r="CZ27" s="58">
        <v>2739369</v>
      </c>
      <c r="DA27" s="80">
        <f t="shared" si="50"/>
        <v>323</v>
      </c>
      <c r="DB27" s="327">
        <f t="shared" si="75"/>
        <v>2.0123839009287927</v>
      </c>
      <c r="DC27" s="183">
        <f t="shared" si="117"/>
        <v>5512662.0743034063</v>
      </c>
      <c r="DD27" s="58">
        <f>1044499+110030</f>
        <v>1154529</v>
      </c>
      <c r="DE27" s="58">
        <v>1044499</v>
      </c>
      <c r="DF27" s="58">
        <f>8440+11245</f>
        <v>19685</v>
      </c>
      <c r="DG27" s="58">
        <f t="shared" si="118"/>
        <v>1134844</v>
      </c>
      <c r="DH27" s="58">
        <f t="shared" si="119"/>
        <v>283711</v>
      </c>
      <c r="DI27" s="80">
        <f t="shared" si="54"/>
        <v>349</v>
      </c>
      <c r="DJ27" s="332">
        <f t="shared" si="76"/>
        <v>2.487106017191977</v>
      </c>
      <c r="DK27" s="183">
        <f t="shared" si="55"/>
        <v>705619.33524355304</v>
      </c>
    </row>
    <row r="28" spans="1:119" s="167" customFormat="1">
      <c r="A28" s="213">
        <v>1991</v>
      </c>
      <c r="B28" s="58">
        <v>67080</v>
      </c>
      <c r="C28" s="58">
        <v>0</v>
      </c>
      <c r="D28" s="58">
        <f t="shared" si="90"/>
        <v>67080</v>
      </c>
      <c r="E28" s="194">
        <f t="shared" si="91"/>
        <v>46956</v>
      </c>
      <c r="F28" s="58">
        <v>3026</v>
      </c>
      <c r="G28" s="58">
        <v>0</v>
      </c>
      <c r="H28" s="209">
        <f t="shared" si="92"/>
        <v>3026</v>
      </c>
      <c r="I28" s="214">
        <v>281</v>
      </c>
      <c r="J28" s="132">
        <f t="shared" si="56"/>
        <v>1.8505338078291815</v>
      </c>
      <c r="K28" s="183">
        <f t="shared" si="93"/>
        <v>5599.7153024911031</v>
      </c>
      <c r="L28" s="58">
        <v>1267332</v>
      </c>
      <c r="M28" s="58">
        <v>0</v>
      </c>
      <c r="N28" s="58">
        <v>98</v>
      </c>
      <c r="O28" s="58">
        <f t="shared" si="94"/>
        <v>1267430</v>
      </c>
      <c r="P28" s="80">
        <f t="shared" si="5"/>
        <v>333</v>
      </c>
      <c r="Q28" s="132">
        <f t="shared" si="57"/>
        <v>1.7867867867867868</v>
      </c>
      <c r="R28" s="193">
        <f t="shared" si="6"/>
        <v>2264627.1771771773</v>
      </c>
      <c r="S28" s="58">
        <v>791083</v>
      </c>
      <c r="T28" s="58">
        <v>1336</v>
      </c>
      <c r="U28" s="58">
        <v>107</v>
      </c>
      <c r="V28" s="58">
        <f t="shared" si="95"/>
        <v>789854</v>
      </c>
      <c r="W28" s="80">
        <f t="shared" si="8"/>
        <v>333</v>
      </c>
      <c r="X28" s="132">
        <f t="shared" si="58"/>
        <v>1.8318318318318318</v>
      </c>
      <c r="Y28" s="183">
        <f t="shared" si="96"/>
        <v>1446879.6996996996</v>
      </c>
      <c r="Z28" s="58">
        <v>0</v>
      </c>
      <c r="AA28" s="80">
        <f t="shared" si="10"/>
        <v>295</v>
      </c>
      <c r="AB28" s="132">
        <f t="shared" si="59"/>
        <v>1.8576271186440678</v>
      </c>
      <c r="AC28" s="183">
        <f t="shared" si="11"/>
        <v>0</v>
      </c>
      <c r="AD28" s="58">
        <v>0</v>
      </c>
      <c r="AE28" s="80">
        <f t="shared" si="12"/>
        <v>407</v>
      </c>
      <c r="AF28" s="132">
        <f t="shared" si="60"/>
        <v>2.0368550368550369</v>
      </c>
      <c r="AG28" s="183">
        <f t="shared" si="97"/>
        <v>0</v>
      </c>
      <c r="AH28" s="58">
        <v>0</v>
      </c>
      <c r="AI28" s="58">
        <v>0</v>
      </c>
      <c r="AJ28" s="58">
        <f t="shared" si="120"/>
        <v>0</v>
      </c>
      <c r="AK28" s="80">
        <f t="shared" si="15"/>
        <v>290</v>
      </c>
      <c r="AL28" s="132">
        <f t="shared" si="61"/>
        <v>1.8103448275862069</v>
      </c>
      <c r="AM28" s="183">
        <f t="shared" si="98"/>
        <v>0</v>
      </c>
      <c r="AN28" s="58">
        <v>3128188</v>
      </c>
      <c r="AO28" s="80">
        <f t="shared" si="17"/>
        <v>307</v>
      </c>
      <c r="AP28" s="132">
        <f t="shared" si="62"/>
        <v>1.8501628664495113</v>
      </c>
      <c r="AQ28" s="183">
        <f t="shared" si="99"/>
        <v>5787657.2768729636</v>
      </c>
      <c r="AR28" s="58">
        <v>2671034</v>
      </c>
      <c r="AS28" s="80">
        <f t="shared" si="19"/>
        <v>324</v>
      </c>
      <c r="AT28" s="132">
        <f t="shared" si="63"/>
        <v>2.1111111111111112</v>
      </c>
      <c r="AU28" s="183">
        <f t="shared" si="100"/>
        <v>5638849.555555556</v>
      </c>
      <c r="AV28" s="58">
        <v>1146987</v>
      </c>
      <c r="AW28" s="80">
        <f t="shared" si="21"/>
        <v>290</v>
      </c>
      <c r="AX28" s="132">
        <f t="shared" si="64"/>
        <v>1.8137931034482759</v>
      </c>
      <c r="AY28" s="183">
        <f t="shared" si="101"/>
        <v>2080397.1103448276</v>
      </c>
      <c r="AZ28" s="58">
        <v>3021072</v>
      </c>
      <c r="BA28" s="80">
        <f t="shared" si="23"/>
        <v>282</v>
      </c>
      <c r="BB28" s="132">
        <f t="shared" si="65"/>
        <v>2.1773049645390072</v>
      </c>
      <c r="BC28" s="183">
        <f t="shared" si="102"/>
        <v>6577795.063829788</v>
      </c>
      <c r="BD28" s="209">
        <v>3576458</v>
      </c>
      <c r="BE28" s="58">
        <f t="shared" si="103"/>
        <v>2947001.392</v>
      </c>
      <c r="BF28" s="80">
        <f t="shared" si="26"/>
        <v>231</v>
      </c>
      <c r="BG28" s="132">
        <f t="shared" si="66"/>
        <v>2.6493506493506493</v>
      </c>
      <c r="BH28" s="183">
        <f t="shared" si="104"/>
        <v>7807640.0515324678</v>
      </c>
      <c r="BI28" s="58">
        <f t="shared" si="105"/>
        <v>629456.60800000001</v>
      </c>
      <c r="BJ28" s="80">
        <f t="shared" si="29"/>
        <v>297</v>
      </c>
      <c r="BK28" s="132">
        <f t="shared" si="67"/>
        <v>2.1952861952861955</v>
      </c>
      <c r="BL28" s="183">
        <f t="shared" si="106"/>
        <v>1381837.4020740741</v>
      </c>
      <c r="BM28" s="58">
        <v>2511354</v>
      </c>
      <c r="BN28" s="80">
        <f t="shared" si="31"/>
        <v>284</v>
      </c>
      <c r="BO28" s="132">
        <f t="shared" si="68"/>
        <v>1.7922535211267605</v>
      </c>
      <c r="BP28" s="183">
        <f t="shared" si="107"/>
        <v>4500983.0492957747</v>
      </c>
      <c r="BQ28" s="58">
        <v>665846</v>
      </c>
      <c r="BR28" s="215">
        <v>0</v>
      </c>
      <c r="BS28" s="58">
        <f t="shared" si="108"/>
        <v>665846</v>
      </c>
      <c r="BT28" s="80">
        <f t="shared" si="34"/>
        <v>208</v>
      </c>
      <c r="BU28" s="132">
        <f t="shared" si="69"/>
        <v>1.7067307692307692</v>
      </c>
      <c r="BV28" s="183">
        <f t="shared" si="109"/>
        <v>1136419.8557692308</v>
      </c>
      <c r="BW28" s="195">
        <v>80309</v>
      </c>
      <c r="BX28" s="80">
        <f t="shared" si="36"/>
        <v>311</v>
      </c>
      <c r="BY28" s="132">
        <f t="shared" si="70"/>
        <v>2.347266881028939</v>
      </c>
      <c r="BZ28" s="212">
        <f t="shared" si="110"/>
        <v>188506.65594855306</v>
      </c>
      <c r="CA28" s="195">
        <v>234182</v>
      </c>
      <c r="CB28" s="80">
        <f t="shared" si="38"/>
        <v>311</v>
      </c>
      <c r="CC28" s="132">
        <f t="shared" si="71"/>
        <v>2.347266881028939</v>
      </c>
      <c r="CD28" s="212">
        <f t="shared" si="111"/>
        <v>549687.65273311897</v>
      </c>
      <c r="CE28" s="58">
        <v>67080</v>
      </c>
      <c r="CF28" s="58">
        <v>0</v>
      </c>
      <c r="CG28" s="58">
        <f t="shared" si="112"/>
        <v>67080</v>
      </c>
      <c r="CH28" s="194">
        <f t="shared" si="113"/>
        <v>20124</v>
      </c>
      <c r="CI28" s="58">
        <v>413088</v>
      </c>
      <c r="CJ28" s="58">
        <v>0</v>
      </c>
      <c r="CK28" s="58">
        <f t="shared" si="114"/>
        <v>413088</v>
      </c>
      <c r="CL28" s="80">
        <f t="shared" si="43"/>
        <v>281</v>
      </c>
      <c r="CM28" s="135">
        <f t="shared" si="72"/>
        <v>1.8505338078291815</v>
      </c>
      <c r="CN28" s="183">
        <f t="shared" si="44"/>
        <v>764433.30960854096</v>
      </c>
      <c r="CO28" s="58">
        <v>1900692</v>
      </c>
      <c r="CP28" s="58">
        <v>15092</v>
      </c>
      <c r="CQ28" s="58">
        <v>0</v>
      </c>
      <c r="CR28" s="195">
        <f t="shared" si="115"/>
        <v>1885600</v>
      </c>
      <c r="CS28" s="80">
        <f t="shared" si="46"/>
        <v>315</v>
      </c>
      <c r="CT28" s="327">
        <f t="shared" si="73"/>
        <v>2.1936507936507939</v>
      </c>
      <c r="CU28" s="183">
        <f t="shared" si="47"/>
        <v>4136347.936507937</v>
      </c>
      <c r="CV28" s="195">
        <v>319025</v>
      </c>
      <c r="CW28" s="80">
        <f t="shared" si="48"/>
        <v>281</v>
      </c>
      <c r="CX28" s="135">
        <f t="shared" si="74"/>
        <v>1.8505338078291815</v>
      </c>
      <c r="CY28" s="183">
        <f t="shared" si="116"/>
        <v>590366.54804270458</v>
      </c>
      <c r="CZ28" s="58">
        <v>2794805</v>
      </c>
      <c r="DA28" s="80">
        <f t="shared" si="50"/>
        <v>320</v>
      </c>
      <c r="DB28" s="327">
        <f t="shared" si="75"/>
        <v>2.03125</v>
      </c>
      <c r="DC28" s="183">
        <f t="shared" si="117"/>
        <v>5676947.65625</v>
      </c>
      <c r="DD28" s="58">
        <f>1034713+54417+11182</f>
        <v>1100312</v>
      </c>
      <c r="DE28" s="58">
        <v>1034713</v>
      </c>
      <c r="DF28" s="58">
        <f>5593+7419</f>
        <v>13012</v>
      </c>
      <c r="DG28" s="58">
        <f t="shared" si="118"/>
        <v>1087300</v>
      </c>
      <c r="DH28" s="58">
        <f t="shared" si="119"/>
        <v>271825</v>
      </c>
      <c r="DI28" s="80">
        <f t="shared" si="54"/>
        <v>336</v>
      </c>
      <c r="DJ28" s="332">
        <f t="shared" si="76"/>
        <v>2.5833333333333335</v>
      </c>
      <c r="DK28" s="183">
        <f t="shared" si="55"/>
        <v>702214.58333333337</v>
      </c>
    </row>
    <row r="29" spans="1:119" s="167" customFormat="1">
      <c r="A29" s="213">
        <v>1990</v>
      </c>
      <c r="B29" s="58">
        <v>367594</v>
      </c>
      <c r="C29" s="58">
        <v>0</v>
      </c>
      <c r="D29" s="58">
        <f t="shared" si="90"/>
        <v>367594</v>
      </c>
      <c r="E29" s="194">
        <f t="shared" si="91"/>
        <v>257315.8</v>
      </c>
      <c r="F29" s="58">
        <v>295</v>
      </c>
      <c r="G29" s="58">
        <v>0</v>
      </c>
      <c r="H29" s="209">
        <f t="shared" si="92"/>
        <v>295</v>
      </c>
      <c r="I29" s="214">
        <v>288</v>
      </c>
      <c r="J29" s="132">
        <f t="shared" si="56"/>
        <v>1.8055555555555556</v>
      </c>
      <c r="K29" s="183">
        <f t="shared" si="93"/>
        <v>532.63888888888891</v>
      </c>
      <c r="L29" s="58">
        <v>1284852</v>
      </c>
      <c r="M29" s="58">
        <v>581</v>
      </c>
      <c r="N29" s="58">
        <v>98</v>
      </c>
      <c r="O29" s="58">
        <f t="shared" si="94"/>
        <v>1284369</v>
      </c>
      <c r="P29" s="80">
        <f t="shared" si="5"/>
        <v>312</v>
      </c>
      <c r="Q29" s="132">
        <f t="shared" si="57"/>
        <v>1.9070512820512822</v>
      </c>
      <c r="R29" s="193">
        <f t="shared" si="6"/>
        <v>2449357.548076923</v>
      </c>
      <c r="S29" s="58">
        <v>684440</v>
      </c>
      <c r="T29" s="58">
        <v>0</v>
      </c>
      <c r="U29" s="58">
        <v>107</v>
      </c>
      <c r="V29" s="58">
        <f t="shared" si="95"/>
        <v>684547</v>
      </c>
      <c r="W29" s="80">
        <f t="shared" si="8"/>
        <v>323</v>
      </c>
      <c r="X29" s="132">
        <f t="shared" si="58"/>
        <v>1.8885448916408669</v>
      </c>
      <c r="Y29" s="183">
        <f t="shared" si="96"/>
        <v>1292797.7399380805</v>
      </c>
      <c r="Z29" s="58">
        <v>0</v>
      </c>
      <c r="AA29" s="80">
        <f t="shared" si="10"/>
        <v>293</v>
      </c>
      <c r="AB29" s="132">
        <f t="shared" si="59"/>
        <v>1.8703071672354949</v>
      </c>
      <c r="AC29" s="183">
        <f t="shared" si="11"/>
        <v>0</v>
      </c>
      <c r="AD29" s="58">
        <v>0</v>
      </c>
      <c r="AE29" s="80">
        <f t="shared" si="12"/>
        <v>364</v>
      </c>
      <c r="AF29" s="132">
        <f t="shared" si="60"/>
        <v>2.2774725274725274</v>
      </c>
      <c r="AG29" s="183">
        <f t="shared" si="97"/>
        <v>0</v>
      </c>
      <c r="AH29" s="58">
        <v>5258</v>
      </c>
      <c r="AI29" s="58">
        <v>0</v>
      </c>
      <c r="AJ29" s="58">
        <f t="shared" si="120"/>
        <v>5258</v>
      </c>
      <c r="AK29" s="80">
        <f t="shared" si="15"/>
        <v>280</v>
      </c>
      <c r="AL29" s="132">
        <f t="shared" si="61"/>
        <v>1.875</v>
      </c>
      <c r="AM29" s="183">
        <f t="shared" si="98"/>
        <v>9858.75</v>
      </c>
      <c r="AN29" s="58">
        <v>2822998</v>
      </c>
      <c r="AO29" s="80">
        <f t="shared" si="17"/>
        <v>295</v>
      </c>
      <c r="AP29" s="132">
        <f t="shared" si="62"/>
        <v>1.9254237288135594</v>
      </c>
      <c r="AQ29" s="183">
        <f t="shared" si="99"/>
        <v>5435467.3355932208</v>
      </c>
      <c r="AR29" s="58">
        <v>3073635</v>
      </c>
      <c r="AS29" s="80">
        <f t="shared" si="19"/>
        <v>315</v>
      </c>
      <c r="AT29" s="132">
        <f t="shared" si="63"/>
        <v>2.1714285714285713</v>
      </c>
      <c r="AU29" s="183">
        <f t="shared" si="100"/>
        <v>6674178.8571428563</v>
      </c>
      <c r="AV29" s="58">
        <v>1086181</v>
      </c>
      <c r="AW29" s="80">
        <f t="shared" si="21"/>
        <v>295</v>
      </c>
      <c r="AX29" s="132">
        <f t="shared" si="64"/>
        <v>1.7830508474576272</v>
      </c>
      <c r="AY29" s="183">
        <f t="shared" si="101"/>
        <v>1936715.952542373</v>
      </c>
      <c r="AZ29" s="58">
        <v>2728726</v>
      </c>
      <c r="BA29" s="80">
        <f t="shared" si="23"/>
        <v>275</v>
      </c>
      <c r="BB29" s="132">
        <f t="shared" si="65"/>
        <v>2.2327272727272729</v>
      </c>
      <c r="BC29" s="183">
        <f t="shared" si="102"/>
        <v>6092500.9600000009</v>
      </c>
      <c r="BD29" s="209">
        <v>3022813</v>
      </c>
      <c r="BE29" s="58">
        <f t="shared" si="103"/>
        <v>2490797.912</v>
      </c>
      <c r="BF29" s="80">
        <f t="shared" si="26"/>
        <v>232</v>
      </c>
      <c r="BG29" s="132">
        <f t="shared" si="66"/>
        <v>2.6379310344827585</v>
      </c>
      <c r="BH29" s="183">
        <f t="shared" si="104"/>
        <v>6570553.1126896543</v>
      </c>
      <c r="BI29" s="58">
        <f t="shared" si="105"/>
        <v>532015.08799999999</v>
      </c>
      <c r="BJ29" s="80">
        <f t="shared" si="29"/>
        <v>287</v>
      </c>
      <c r="BK29" s="132">
        <f t="shared" si="67"/>
        <v>2.2717770034843205</v>
      </c>
      <c r="BL29" s="183">
        <f t="shared" si="106"/>
        <v>1208619.642425087</v>
      </c>
      <c r="BM29" s="58">
        <v>2201033</v>
      </c>
      <c r="BN29" s="80">
        <f t="shared" si="31"/>
        <v>280</v>
      </c>
      <c r="BO29" s="132">
        <f t="shared" si="68"/>
        <v>1.8178571428571428</v>
      </c>
      <c r="BP29" s="183">
        <f t="shared" si="107"/>
        <v>4001163.5607142858</v>
      </c>
      <c r="BQ29" s="58">
        <v>576340</v>
      </c>
      <c r="BR29" s="215">
        <v>0</v>
      </c>
      <c r="BS29" s="58">
        <f t="shared" si="108"/>
        <v>576340</v>
      </c>
      <c r="BT29" s="80">
        <f t="shared" si="34"/>
        <v>193</v>
      </c>
      <c r="BU29" s="132">
        <f t="shared" si="69"/>
        <v>1.839378238341969</v>
      </c>
      <c r="BV29" s="183">
        <f t="shared" si="109"/>
        <v>1060107.2538860105</v>
      </c>
      <c r="BW29" s="195">
        <v>103595</v>
      </c>
      <c r="BX29" s="80">
        <f t="shared" si="36"/>
        <v>300</v>
      </c>
      <c r="BY29" s="132">
        <f t="shared" si="70"/>
        <v>2.4333333333333331</v>
      </c>
      <c r="BZ29" s="212">
        <f t="shared" si="110"/>
        <v>252081.16666666666</v>
      </c>
      <c r="CA29" s="195">
        <v>309457</v>
      </c>
      <c r="CB29" s="80">
        <f t="shared" si="38"/>
        <v>300</v>
      </c>
      <c r="CC29" s="132">
        <f t="shared" si="71"/>
        <v>2.4333333333333331</v>
      </c>
      <c r="CD29" s="212">
        <f t="shared" si="111"/>
        <v>753012.03333333333</v>
      </c>
      <c r="CE29" s="58">
        <v>367594</v>
      </c>
      <c r="CF29" s="58">
        <v>0</v>
      </c>
      <c r="CG29" s="58">
        <f t="shared" si="112"/>
        <v>367594</v>
      </c>
      <c r="CH29" s="194">
        <f t="shared" si="113"/>
        <v>110278.2</v>
      </c>
      <c r="CI29" s="58">
        <v>138288</v>
      </c>
      <c r="CJ29" s="58">
        <v>0</v>
      </c>
      <c r="CK29" s="58">
        <f t="shared" si="114"/>
        <v>138288</v>
      </c>
      <c r="CL29" s="80">
        <f t="shared" si="43"/>
        <v>288</v>
      </c>
      <c r="CM29" s="135">
        <f t="shared" si="72"/>
        <v>1.8055555555555556</v>
      </c>
      <c r="CN29" s="183">
        <f t="shared" si="44"/>
        <v>249686.66666666666</v>
      </c>
      <c r="CO29" s="58">
        <v>971102</v>
      </c>
      <c r="CP29" s="58">
        <v>8541</v>
      </c>
      <c r="CQ29" s="58">
        <v>0</v>
      </c>
      <c r="CR29" s="195">
        <f t="shared" si="115"/>
        <v>962561</v>
      </c>
      <c r="CS29" s="80">
        <f t="shared" si="46"/>
        <v>312</v>
      </c>
      <c r="CT29" s="327">
        <f t="shared" si="73"/>
        <v>2.2147435897435899</v>
      </c>
      <c r="CU29" s="183">
        <f t="shared" si="47"/>
        <v>2131825.8044871795</v>
      </c>
      <c r="CV29" s="195">
        <v>27269</v>
      </c>
      <c r="CW29" s="80">
        <f t="shared" si="48"/>
        <v>288</v>
      </c>
      <c r="CX29" s="135">
        <f t="shared" si="74"/>
        <v>1.8055555555555556</v>
      </c>
      <c r="CY29" s="183">
        <f t="shared" si="116"/>
        <v>49235.694444444445</v>
      </c>
      <c r="CZ29" s="58">
        <v>1017823</v>
      </c>
      <c r="DA29" s="80">
        <f t="shared" si="50"/>
        <v>318</v>
      </c>
      <c r="DB29" s="327">
        <f t="shared" si="75"/>
        <v>2.0440251572327046</v>
      </c>
      <c r="DC29" s="183">
        <f t="shared" si="117"/>
        <v>2080455.8176100631</v>
      </c>
      <c r="DD29" s="58">
        <f>302196+45981+15326</f>
        <v>363503</v>
      </c>
      <c r="DE29" s="58">
        <v>302196</v>
      </c>
      <c r="DF29" s="58">
        <f>0-1146</f>
        <v>-1146</v>
      </c>
      <c r="DG29" s="58">
        <f t="shared" si="118"/>
        <v>364649</v>
      </c>
      <c r="DH29" s="58">
        <f t="shared" si="119"/>
        <v>91162.25</v>
      </c>
      <c r="DI29" s="80">
        <f t="shared" si="54"/>
        <v>328</v>
      </c>
      <c r="DJ29" s="332">
        <f t="shared" si="76"/>
        <v>2.6463414634146343</v>
      </c>
      <c r="DK29" s="183">
        <f t="shared" si="55"/>
        <v>241246.44207317074</v>
      </c>
    </row>
    <row r="30" spans="1:119" s="167" customFormat="1">
      <c r="A30" s="213">
        <v>1989</v>
      </c>
      <c r="B30" s="58">
        <v>29378</v>
      </c>
      <c r="C30" s="58">
        <v>0</v>
      </c>
      <c r="D30" s="58">
        <f t="shared" si="90"/>
        <v>29378</v>
      </c>
      <c r="E30" s="194">
        <f t="shared" si="91"/>
        <v>20564.599999999999</v>
      </c>
      <c r="F30" s="58">
        <v>819</v>
      </c>
      <c r="G30" s="58">
        <v>243</v>
      </c>
      <c r="H30" s="209">
        <f t="shared" si="92"/>
        <v>576</v>
      </c>
      <c r="I30" s="214">
        <v>287</v>
      </c>
      <c r="J30" s="132">
        <f t="shared" si="56"/>
        <v>1.8118466898954704</v>
      </c>
      <c r="K30" s="183">
        <f t="shared" si="93"/>
        <v>1043.6236933797909</v>
      </c>
      <c r="L30" s="58">
        <v>1163037</v>
      </c>
      <c r="M30" s="58">
        <v>2902</v>
      </c>
      <c r="N30" s="58">
        <v>98</v>
      </c>
      <c r="O30" s="58">
        <f t="shared" si="94"/>
        <v>1160233</v>
      </c>
      <c r="P30" s="80">
        <f t="shared" si="5"/>
        <v>301</v>
      </c>
      <c r="Q30" s="132">
        <f t="shared" si="57"/>
        <v>1.9767441860465116</v>
      </c>
      <c r="R30" s="193">
        <f t="shared" si="6"/>
        <v>2293483.8372093025</v>
      </c>
      <c r="S30" s="58">
        <v>487937</v>
      </c>
      <c r="T30" s="58">
        <f>-2468+1006</f>
        <v>-1462</v>
      </c>
      <c r="U30" s="58">
        <v>107</v>
      </c>
      <c r="V30" s="58">
        <f t="shared" si="95"/>
        <v>489506</v>
      </c>
      <c r="W30" s="80">
        <f t="shared" si="8"/>
        <v>320</v>
      </c>
      <c r="X30" s="132">
        <f t="shared" si="58"/>
        <v>1.90625</v>
      </c>
      <c r="Y30" s="183">
        <f t="shared" si="96"/>
        <v>933120.8125</v>
      </c>
      <c r="Z30" s="58">
        <v>0</v>
      </c>
      <c r="AA30" s="80">
        <f t="shared" si="10"/>
        <v>291</v>
      </c>
      <c r="AB30" s="132">
        <f t="shared" si="59"/>
        <v>1.8831615120274914</v>
      </c>
      <c r="AC30" s="183">
        <f t="shared" si="11"/>
        <v>0</v>
      </c>
      <c r="AD30" s="58">
        <v>0</v>
      </c>
      <c r="AE30" s="80">
        <f t="shared" si="12"/>
        <v>314</v>
      </c>
      <c r="AF30" s="132">
        <f t="shared" si="60"/>
        <v>2.6401273885350318</v>
      </c>
      <c r="AG30" s="183">
        <f t="shared" si="97"/>
        <v>0</v>
      </c>
      <c r="AH30" s="58">
        <v>0</v>
      </c>
      <c r="AI30" s="58">
        <v>0</v>
      </c>
      <c r="AJ30" s="58">
        <f t="shared" si="120"/>
        <v>0</v>
      </c>
      <c r="AK30" s="80">
        <f t="shared" si="15"/>
        <v>272</v>
      </c>
      <c r="AL30" s="132">
        <f t="shared" si="61"/>
        <v>1.9301470588235294</v>
      </c>
      <c r="AM30" s="183">
        <f t="shared" si="98"/>
        <v>0</v>
      </c>
      <c r="AN30" s="58">
        <v>2616440</v>
      </c>
      <c r="AO30" s="80">
        <f t="shared" si="17"/>
        <v>285</v>
      </c>
      <c r="AP30" s="132">
        <f t="shared" si="62"/>
        <v>1.9929824561403509</v>
      </c>
      <c r="AQ30" s="183">
        <f t="shared" si="99"/>
        <v>5214519.0175438598</v>
      </c>
      <c r="AR30" s="58">
        <v>3513873</v>
      </c>
      <c r="AS30" s="80">
        <f t="shared" si="19"/>
        <v>312</v>
      </c>
      <c r="AT30" s="132">
        <f t="shared" si="63"/>
        <v>2.1923076923076925</v>
      </c>
      <c r="AU30" s="183">
        <f t="shared" si="100"/>
        <v>7703490.807692308</v>
      </c>
      <c r="AV30" s="58">
        <v>746390</v>
      </c>
      <c r="AW30" s="80">
        <f t="shared" si="21"/>
        <v>296</v>
      </c>
      <c r="AX30" s="132">
        <f t="shared" si="64"/>
        <v>1.777027027027027</v>
      </c>
      <c r="AY30" s="183">
        <f t="shared" si="101"/>
        <v>1326355.2027027027</v>
      </c>
      <c r="AZ30" s="58">
        <v>2089566</v>
      </c>
      <c r="BA30" s="80">
        <f t="shared" si="23"/>
        <v>264</v>
      </c>
      <c r="BB30" s="132">
        <f t="shared" si="65"/>
        <v>2.3257575757575757</v>
      </c>
      <c r="BC30" s="183">
        <f t="shared" si="102"/>
        <v>4859823.9545454541</v>
      </c>
      <c r="BD30" s="209">
        <v>3031140</v>
      </c>
      <c r="BE30" s="58">
        <f t="shared" si="103"/>
        <v>2497659.36</v>
      </c>
      <c r="BF30" s="80">
        <f t="shared" si="26"/>
        <v>228</v>
      </c>
      <c r="BG30" s="132">
        <f t="shared" si="66"/>
        <v>2.6842105263157894</v>
      </c>
      <c r="BH30" s="183">
        <f t="shared" si="104"/>
        <v>6704243.5452631572</v>
      </c>
      <c r="BI30" s="58">
        <f t="shared" si="105"/>
        <v>533480.64</v>
      </c>
      <c r="BJ30" s="80">
        <f t="shared" si="29"/>
        <v>281</v>
      </c>
      <c r="BK30" s="132">
        <f t="shared" si="67"/>
        <v>2.3202846975088969</v>
      </c>
      <c r="BL30" s="183">
        <f t="shared" si="106"/>
        <v>1237826.9654092528</v>
      </c>
      <c r="BM30" s="58">
        <v>1851814</v>
      </c>
      <c r="BN30" s="80">
        <f t="shared" si="31"/>
        <v>279</v>
      </c>
      <c r="BO30" s="132">
        <f t="shared" si="68"/>
        <v>1.8243727598566308</v>
      </c>
      <c r="BP30" s="183">
        <f t="shared" si="107"/>
        <v>3378399.0179211469</v>
      </c>
      <c r="BQ30" s="58">
        <v>482166</v>
      </c>
      <c r="BR30" s="215">
        <v>0</v>
      </c>
      <c r="BS30" s="58">
        <f t="shared" si="108"/>
        <v>482166</v>
      </c>
      <c r="BT30" s="80">
        <f t="shared" si="34"/>
        <v>193</v>
      </c>
      <c r="BU30" s="132">
        <f t="shared" si="69"/>
        <v>1.839378238341969</v>
      </c>
      <c r="BV30" s="183">
        <f t="shared" si="109"/>
        <v>886885.64766839379</v>
      </c>
      <c r="BW30" s="195">
        <v>91995</v>
      </c>
      <c r="BX30" s="80">
        <f t="shared" si="36"/>
        <v>292</v>
      </c>
      <c r="BY30" s="132">
        <f t="shared" si="70"/>
        <v>2.5</v>
      </c>
      <c r="BZ30" s="212">
        <f t="shared" si="110"/>
        <v>229987.5</v>
      </c>
      <c r="CA30" s="195">
        <v>254824</v>
      </c>
      <c r="CB30" s="80">
        <f t="shared" si="38"/>
        <v>292</v>
      </c>
      <c r="CC30" s="132">
        <f t="shared" si="71"/>
        <v>2.5</v>
      </c>
      <c r="CD30" s="212">
        <f t="shared" si="111"/>
        <v>637060</v>
      </c>
      <c r="CE30" s="58">
        <v>29378</v>
      </c>
      <c r="CF30" s="58">
        <v>0</v>
      </c>
      <c r="CG30" s="58">
        <f t="shared" si="112"/>
        <v>29378</v>
      </c>
      <c r="CH30" s="194">
        <f t="shared" si="113"/>
        <v>8813.4</v>
      </c>
      <c r="CI30" s="58">
        <v>35258</v>
      </c>
      <c r="CJ30" s="58">
        <v>0</v>
      </c>
      <c r="CK30" s="58">
        <f t="shared" si="114"/>
        <v>35258</v>
      </c>
      <c r="CL30" s="80">
        <f t="shared" si="43"/>
        <v>287</v>
      </c>
      <c r="CM30" s="135">
        <f t="shared" si="72"/>
        <v>1.8118466898954704</v>
      </c>
      <c r="CN30" s="183">
        <f t="shared" si="44"/>
        <v>63882.090592334498</v>
      </c>
      <c r="CO30" s="58">
        <v>858820</v>
      </c>
      <c r="CP30" s="58">
        <f>2988+3374</f>
        <v>6362</v>
      </c>
      <c r="CQ30" s="58">
        <v>78</v>
      </c>
      <c r="CR30" s="195">
        <f t="shared" si="115"/>
        <v>852536</v>
      </c>
      <c r="CS30" s="80">
        <f t="shared" si="46"/>
        <v>295</v>
      </c>
      <c r="CT30" s="327">
        <f t="shared" si="73"/>
        <v>2.3423728813559324</v>
      </c>
      <c r="CU30" s="183">
        <f t="shared" si="47"/>
        <v>1996957.2067796611</v>
      </c>
      <c r="CV30" s="195">
        <v>173157</v>
      </c>
      <c r="CW30" s="80">
        <f t="shared" si="48"/>
        <v>287</v>
      </c>
      <c r="CX30" s="135">
        <f t="shared" si="74"/>
        <v>1.8118466898954704</v>
      </c>
      <c r="CY30" s="183">
        <f t="shared" si="116"/>
        <v>313733.93728222995</v>
      </c>
      <c r="CZ30" s="58">
        <v>912440</v>
      </c>
      <c r="DA30" s="80">
        <f t="shared" si="50"/>
        <v>297</v>
      </c>
      <c r="DB30" s="327">
        <f t="shared" si="75"/>
        <v>2.1885521885521886</v>
      </c>
      <c r="DC30" s="183">
        <f t="shared" si="117"/>
        <v>1996922.558922559</v>
      </c>
      <c r="DD30" s="58">
        <f>837606+17311+2526</f>
        <v>857443</v>
      </c>
      <c r="DE30" s="58">
        <v>837606</v>
      </c>
      <c r="DF30" s="58">
        <f>105+8294</f>
        <v>8399</v>
      </c>
      <c r="DG30" s="58">
        <f t="shared" si="118"/>
        <v>849044</v>
      </c>
      <c r="DH30" s="58">
        <f t="shared" ref="DH30:DH61" si="121">DG30/2</f>
        <v>424522</v>
      </c>
      <c r="DI30" s="80">
        <f t="shared" si="54"/>
        <v>317</v>
      </c>
      <c r="DJ30" s="332">
        <f t="shared" si="76"/>
        <v>2.7381703470031544</v>
      </c>
      <c r="DK30" s="183">
        <f t="shared" si="55"/>
        <v>1162413.5520504732</v>
      </c>
    </row>
    <row r="31" spans="1:119" s="167" customFormat="1">
      <c r="A31" s="213">
        <v>1988</v>
      </c>
      <c r="B31" s="58">
        <v>133187</v>
      </c>
      <c r="C31" s="58">
        <v>0</v>
      </c>
      <c r="D31" s="58">
        <f t="shared" si="90"/>
        <v>133187</v>
      </c>
      <c r="E31" s="194">
        <f t="shared" si="91"/>
        <v>93230.9</v>
      </c>
      <c r="F31" s="58">
        <v>76894</v>
      </c>
      <c r="G31" s="58">
        <v>81057</v>
      </c>
      <c r="H31" s="209">
        <f t="shared" si="92"/>
        <v>-4163</v>
      </c>
      <c r="I31" s="214">
        <v>278</v>
      </c>
      <c r="J31" s="132">
        <f t="shared" si="56"/>
        <v>1.8705035971223021</v>
      </c>
      <c r="K31" s="183">
        <f t="shared" si="93"/>
        <v>-7786.9064748201436</v>
      </c>
      <c r="L31" s="58">
        <v>1294180</v>
      </c>
      <c r="M31" s="58">
        <v>48</v>
      </c>
      <c r="N31" s="58">
        <v>98</v>
      </c>
      <c r="O31" s="58">
        <f t="shared" si="94"/>
        <v>1294230</v>
      </c>
      <c r="P31" s="80">
        <f t="shared" si="5"/>
        <v>281</v>
      </c>
      <c r="Q31" s="132">
        <f t="shared" si="57"/>
        <v>2.117437722419929</v>
      </c>
      <c r="R31" s="193">
        <f t="shared" si="6"/>
        <v>2740451.4234875445</v>
      </c>
      <c r="S31" s="58">
        <v>626564</v>
      </c>
      <c r="T31" s="58">
        <v>76723</v>
      </c>
      <c r="U31" s="58">
        <v>107</v>
      </c>
      <c r="V31" s="58">
        <f t="shared" si="95"/>
        <v>549948</v>
      </c>
      <c r="W31" s="80">
        <f t="shared" si="8"/>
        <v>311</v>
      </c>
      <c r="X31" s="132">
        <f t="shared" si="58"/>
        <v>1.9614147909967845</v>
      </c>
      <c r="Y31" s="183">
        <f t="shared" si="96"/>
        <v>1078676.1414790996</v>
      </c>
      <c r="Z31" s="58">
        <v>0</v>
      </c>
      <c r="AA31" s="80">
        <f t="shared" si="10"/>
        <v>278</v>
      </c>
      <c r="AB31" s="132">
        <f t="shared" si="59"/>
        <v>1.9712230215827338</v>
      </c>
      <c r="AC31" s="183">
        <f t="shared" si="11"/>
        <v>0</v>
      </c>
      <c r="AD31" s="58">
        <v>0</v>
      </c>
      <c r="AE31" s="80">
        <f t="shared" si="12"/>
        <v>293</v>
      </c>
      <c r="AF31" s="132">
        <f t="shared" si="60"/>
        <v>2.8293515358361776</v>
      </c>
      <c r="AG31" s="183">
        <f t="shared" si="97"/>
        <v>0</v>
      </c>
      <c r="AH31" s="58">
        <v>14271</v>
      </c>
      <c r="AI31" s="58">
        <v>0</v>
      </c>
      <c r="AJ31" s="58">
        <f t="shared" si="120"/>
        <v>14271</v>
      </c>
      <c r="AK31" s="80">
        <f t="shared" si="15"/>
        <v>264</v>
      </c>
      <c r="AL31" s="132">
        <f t="shared" si="61"/>
        <v>1.9886363636363635</v>
      </c>
      <c r="AM31" s="183">
        <f t="shared" si="98"/>
        <v>28379.829545454544</v>
      </c>
      <c r="AN31" s="58">
        <v>2900755</v>
      </c>
      <c r="AO31" s="80">
        <f t="shared" si="17"/>
        <v>275</v>
      </c>
      <c r="AP31" s="132">
        <f t="shared" si="62"/>
        <v>2.0654545454545454</v>
      </c>
      <c r="AQ31" s="183">
        <f t="shared" si="99"/>
        <v>5991377.5999999996</v>
      </c>
      <c r="AR31" s="58">
        <v>151812</v>
      </c>
      <c r="AS31" s="80">
        <f t="shared" si="19"/>
        <v>302</v>
      </c>
      <c r="AT31" s="132">
        <f t="shared" si="63"/>
        <v>2.2649006622516556</v>
      </c>
      <c r="AU31" s="183">
        <f t="shared" si="100"/>
        <v>343839.09933774837</v>
      </c>
      <c r="AV31" s="58">
        <v>1217710</v>
      </c>
      <c r="AW31" s="80">
        <f t="shared" si="21"/>
        <v>272</v>
      </c>
      <c r="AX31" s="132">
        <f t="shared" si="64"/>
        <v>1.9338235294117647</v>
      </c>
      <c r="AY31" s="183">
        <f t="shared" si="101"/>
        <v>2354836.25</v>
      </c>
      <c r="AZ31" s="58">
        <v>1788726</v>
      </c>
      <c r="BA31" s="80">
        <f t="shared" si="23"/>
        <v>249</v>
      </c>
      <c r="BB31" s="132">
        <f t="shared" si="65"/>
        <v>2.4658634538152611</v>
      </c>
      <c r="BC31" s="183">
        <f t="shared" si="102"/>
        <v>4410754.0722891567</v>
      </c>
      <c r="BD31" s="209">
        <v>2095241</v>
      </c>
      <c r="BE31" s="58">
        <f t="shared" si="103"/>
        <v>1726478.5839999998</v>
      </c>
      <c r="BF31" s="80">
        <f t="shared" si="26"/>
        <v>220</v>
      </c>
      <c r="BG31" s="132">
        <f t="shared" si="66"/>
        <v>2.7818181818181817</v>
      </c>
      <c r="BH31" s="183">
        <f t="shared" si="104"/>
        <v>4802749.5154909082</v>
      </c>
      <c r="BI31" s="58">
        <f t="shared" si="105"/>
        <v>368762.41599999997</v>
      </c>
      <c r="BJ31" s="80">
        <f t="shared" si="29"/>
        <v>266</v>
      </c>
      <c r="BK31" s="132">
        <f t="shared" si="67"/>
        <v>2.4511278195488724</v>
      </c>
      <c r="BL31" s="183">
        <f t="shared" si="106"/>
        <v>903883.81666165416</v>
      </c>
      <c r="BM31" s="58">
        <v>2101115</v>
      </c>
      <c r="BN31" s="80">
        <f t="shared" si="31"/>
        <v>266</v>
      </c>
      <c r="BO31" s="132">
        <f t="shared" si="68"/>
        <v>1.9135338345864661</v>
      </c>
      <c r="BP31" s="183">
        <f t="shared" si="107"/>
        <v>4020554.6428571427</v>
      </c>
      <c r="BQ31" s="58">
        <v>412065</v>
      </c>
      <c r="BR31" s="58">
        <v>-1785</v>
      </c>
      <c r="BS31" s="58">
        <f t="shared" si="108"/>
        <v>413850</v>
      </c>
      <c r="BT31" s="80">
        <f t="shared" si="34"/>
        <v>202</v>
      </c>
      <c r="BU31" s="132">
        <f t="shared" si="69"/>
        <v>1.7574257425742574</v>
      </c>
      <c r="BV31" s="183">
        <f t="shared" si="109"/>
        <v>727310.64356435649</v>
      </c>
      <c r="BW31" s="195">
        <v>143280</v>
      </c>
      <c r="BX31" s="80">
        <f t="shared" si="36"/>
        <v>282</v>
      </c>
      <c r="BY31" s="132">
        <f t="shared" si="70"/>
        <v>2.5886524822695036</v>
      </c>
      <c r="BZ31" s="212">
        <f t="shared" si="110"/>
        <v>370902.1276595745</v>
      </c>
      <c r="CA31" s="195">
        <v>289447</v>
      </c>
      <c r="CB31" s="80">
        <f t="shared" si="38"/>
        <v>282</v>
      </c>
      <c r="CC31" s="132">
        <f t="shared" si="71"/>
        <v>2.5886524822695036</v>
      </c>
      <c r="CD31" s="212">
        <f t="shared" si="111"/>
        <v>749277.69503546099</v>
      </c>
      <c r="CE31" s="58">
        <v>133187</v>
      </c>
      <c r="CF31" s="58">
        <v>0</v>
      </c>
      <c r="CG31" s="58">
        <f t="shared" si="112"/>
        <v>133187</v>
      </c>
      <c r="CH31" s="194">
        <f t="shared" si="113"/>
        <v>39956.1</v>
      </c>
      <c r="CI31" s="58">
        <v>4413</v>
      </c>
      <c r="CJ31" s="58">
        <v>0</v>
      </c>
      <c r="CK31" s="58">
        <f t="shared" si="114"/>
        <v>4413</v>
      </c>
      <c r="CL31" s="80">
        <f t="shared" si="43"/>
        <v>278</v>
      </c>
      <c r="CM31" s="135">
        <f t="shared" si="72"/>
        <v>1.8705035971223021</v>
      </c>
      <c r="CN31" s="183">
        <f t="shared" si="44"/>
        <v>8254.5323741007196</v>
      </c>
      <c r="CO31" s="58">
        <v>1136272</v>
      </c>
      <c r="CP31" s="58">
        <f>3319+3349</f>
        <v>6668</v>
      </c>
      <c r="CQ31" s="58">
        <v>78</v>
      </c>
      <c r="CR31" s="195">
        <f t="shared" si="115"/>
        <v>1129682</v>
      </c>
      <c r="CS31" s="80">
        <f t="shared" si="46"/>
        <v>281</v>
      </c>
      <c r="CT31" s="327">
        <f t="shared" si="73"/>
        <v>2.4590747330960854</v>
      </c>
      <c r="CU31" s="183">
        <f t="shared" si="47"/>
        <v>2777972.4626334519</v>
      </c>
      <c r="CV31" s="195">
        <v>179791</v>
      </c>
      <c r="CW31" s="80">
        <f t="shared" si="48"/>
        <v>278</v>
      </c>
      <c r="CX31" s="135">
        <f t="shared" si="74"/>
        <v>1.8705035971223021</v>
      </c>
      <c r="CY31" s="183">
        <f t="shared" si="116"/>
        <v>336299.71223021584</v>
      </c>
      <c r="CZ31" s="58">
        <v>1016019</v>
      </c>
      <c r="DA31" s="80">
        <f t="shared" si="50"/>
        <v>276</v>
      </c>
      <c r="DB31" s="327">
        <f t="shared" si="75"/>
        <v>2.3550724637681157</v>
      </c>
      <c r="DC31" s="183">
        <f t="shared" si="117"/>
        <v>2392798.3695652173</v>
      </c>
      <c r="DD31" s="58">
        <f>309813+47872</f>
        <v>357685</v>
      </c>
      <c r="DE31" s="58">
        <v>309813</v>
      </c>
      <c r="DF31" s="58">
        <f>79379+8904</f>
        <v>88283</v>
      </c>
      <c r="DG31" s="58">
        <f t="shared" si="118"/>
        <v>269402</v>
      </c>
      <c r="DH31" s="58">
        <f t="shared" si="121"/>
        <v>134701</v>
      </c>
      <c r="DI31" s="80">
        <f t="shared" si="54"/>
        <v>300</v>
      </c>
      <c r="DJ31" s="332">
        <f t="shared" si="76"/>
        <v>2.8933333333333335</v>
      </c>
      <c r="DK31" s="183">
        <f t="shared" si="55"/>
        <v>389734.89333333337</v>
      </c>
    </row>
    <row r="32" spans="1:119" s="167" customFormat="1">
      <c r="A32" s="213">
        <v>1987</v>
      </c>
      <c r="B32" s="58">
        <v>556993</v>
      </c>
      <c r="C32" s="58">
        <v>-817</v>
      </c>
      <c r="D32" s="58">
        <f t="shared" si="90"/>
        <v>557810</v>
      </c>
      <c r="E32" s="194">
        <f t="shared" si="91"/>
        <v>390467</v>
      </c>
      <c r="F32" s="58">
        <v>80403</v>
      </c>
      <c r="G32" s="58">
        <v>78776</v>
      </c>
      <c r="H32" s="209">
        <f t="shared" si="92"/>
        <v>1627</v>
      </c>
      <c r="I32" s="214">
        <v>267</v>
      </c>
      <c r="J32" s="132">
        <f t="shared" si="56"/>
        <v>1.9475655430711611</v>
      </c>
      <c r="K32" s="183">
        <f t="shared" si="93"/>
        <v>3168.689138576779</v>
      </c>
      <c r="L32" s="58">
        <v>2225899</v>
      </c>
      <c r="M32" s="58">
        <v>210</v>
      </c>
      <c r="N32" s="58">
        <v>98</v>
      </c>
      <c r="O32" s="58">
        <f t="shared" si="94"/>
        <v>2225787</v>
      </c>
      <c r="P32" s="80">
        <f t="shared" si="5"/>
        <v>261</v>
      </c>
      <c r="Q32" s="132">
        <f t="shared" si="57"/>
        <v>2.2796934865900385</v>
      </c>
      <c r="R32" s="193">
        <f t="shared" si="6"/>
        <v>5074112.1264367821</v>
      </c>
      <c r="S32" s="58">
        <v>1443444</v>
      </c>
      <c r="T32" s="58">
        <v>-10847</v>
      </c>
      <c r="U32" s="58">
        <v>107</v>
      </c>
      <c r="V32" s="58">
        <f t="shared" si="95"/>
        <v>1454398</v>
      </c>
      <c r="W32" s="80">
        <f t="shared" si="8"/>
        <v>243</v>
      </c>
      <c r="X32" s="132">
        <f t="shared" si="58"/>
        <v>2.5102880658436213</v>
      </c>
      <c r="Y32" s="183">
        <f t="shared" si="96"/>
        <v>3650957.9423868312</v>
      </c>
      <c r="Z32" s="58">
        <v>0</v>
      </c>
      <c r="AA32" s="80">
        <f t="shared" si="10"/>
        <v>263</v>
      </c>
      <c r="AB32" s="132">
        <f t="shared" si="59"/>
        <v>2.0836501901140685</v>
      </c>
      <c r="AC32" s="183">
        <f t="shared" si="11"/>
        <v>0</v>
      </c>
      <c r="AD32" s="58">
        <v>0</v>
      </c>
      <c r="AE32" s="80">
        <f t="shared" si="12"/>
        <v>278</v>
      </c>
      <c r="AF32" s="132">
        <f t="shared" si="60"/>
        <v>2.9820143884892087</v>
      </c>
      <c r="AG32" s="183">
        <f t="shared" si="97"/>
        <v>0</v>
      </c>
      <c r="AH32" s="58">
        <v>56885</v>
      </c>
      <c r="AI32" s="58">
        <v>-102</v>
      </c>
      <c r="AJ32" s="58">
        <f t="shared" si="120"/>
        <v>56987</v>
      </c>
      <c r="AK32" s="80">
        <f t="shared" si="15"/>
        <v>259</v>
      </c>
      <c r="AL32" s="132">
        <f t="shared" si="61"/>
        <v>2.0270270270270272</v>
      </c>
      <c r="AM32" s="183">
        <f t="shared" si="98"/>
        <v>115514.1891891892</v>
      </c>
      <c r="AN32" s="58">
        <v>3007811</v>
      </c>
      <c r="AO32" s="80">
        <f t="shared" si="17"/>
        <v>265</v>
      </c>
      <c r="AP32" s="132">
        <f t="shared" si="62"/>
        <v>2.1433962264150943</v>
      </c>
      <c r="AQ32" s="183">
        <f t="shared" si="99"/>
        <v>6446930.7471698113</v>
      </c>
      <c r="AR32" s="58">
        <v>2324115</v>
      </c>
      <c r="AS32" s="80">
        <f t="shared" si="19"/>
        <v>260</v>
      </c>
      <c r="AT32" s="132">
        <f t="shared" si="63"/>
        <v>2.6307692307692307</v>
      </c>
      <c r="AU32" s="183">
        <f t="shared" si="100"/>
        <v>6114210.230769231</v>
      </c>
      <c r="AV32" s="58">
        <v>600919</v>
      </c>
      <c r="AW32" s="80">
        <f t="shared" si="21"/>
        <v>255</v>
      </c>
      <c r="AX32" s="132">
        <f t="shared" si="64"/>
        <v>2.0627450980392159</v>
      </c>
      <c r="AY32" s="183">
        <f t="shared" si="101"/>
        <v>1239542.7215686275</v>
      </c>
      <c r="AZ32" s="58">
        <v>1798509</v>
      </c>
      <c r="BA32" s="80">
        <f t="shared" si="23"/>
        <v>244</v>
      </c>
      <c r="BB32" s="132">
        <f t="shared" si="65"/>
        <v>2.5163934426229506</v>
      </c>
      <c r="BC32" s="183">
        <f t="shared" si="102"/>
        <v>4525756.2540983604</v>
      </c>
      <c r="BD32" s="209">
        <v>2289667</v>
      </c>
      <c r="BE32" s="58">
        <f t="shared" si="103"/>
        <v>1886685.608</v>
      </c>
      <c r="BF32" s="80">
        <f t="shared" si="26"/>
        <v>218</v>
      </c>
      <c r="BG32" s="132">
        <f t="shared" si="66"/>
        <v>2.8073394495412844</v>
      </c>
      <c r="BH32" s="183">
        <f t="shared" si="104"/>
        <v>5296566.936220184</v>
      </c>
      <c r="BI32" s="58">
        <f t="shared" si="105"/>
        <v>402981.39199999999</v>
      </c>
      <c r="BJ32" s="80">
        <f t="shared" si="29"/>
        <v>243</v>
      </c>
      <c r="BK32" s="132">
        <f t="shared" si="67"/>
        <v>2.6831275720164611</v>
      </c>
      <c r="BL32" s="183">
        <f t="shared" si="106"/>
        <v>1081250.4838847737</v>
      </c>
      <c r="BM32" s="58">
        <v>1944376</v>
      </c>
      <c r="BN32" s="80">
        <f t="shared" si="31"/>
        <v>245</v>
      </c>
      <c r="BO32" s="132">
        <f t="shared" si="68"/>
        <v>2.0775510204081633</v>
      </c>
      <c r="BP32" s="183">
        <f t="shared" si="107"/>
        <v>4039540.3428571429</v>
      </c>
      <c r="BQ32" s="58">
        <v>496787</v>
      </c>
      <c r="BR32" s="58"/>
      <c r="BS32" s="58">
        <f t="shared" si="108"/>
        <v>496787</v>
      </c>
      <c r="BT32" s="80">
        <f t="shared" si="34"/>
        <v>215</v>
      </c>
      <c r="BU32" s="132">
        <f t="shared" si="69"/>
        <v>1.6511627906976745</v>
      </c>
      <c r="BV32" s="183">
        <f t="shared" si="109"/>
        <v>820276.20930232562</v>
      </c>
      <c r="BW32" s="195">
        <v>56187</v>
      </c>
      <c r="BX32" s="80">
        <f t="shared" si="36"/>
        <v>278</v>
      </c>
      <c r="BY32" s="132">
        <f t="shared" si="70"/>
        <v>2.6258992805755397</v>
      </c>
      <c r="BZ32" s="212">
        <f t="shared" si="110"/>
        <v>147541.40287769784</v>
      </c>
      <c r="CA32" s="195">
        <v>307718</v>
      </c>
      <c r="CB32" s="80">
        <f t="shared" si="38"/>
        <v>278</v>
      </c>
      <c r="CC32" s="132">
        <f t="shared" si="71"/>
        <v>2.6258992805755397</v>
      </c>
      <c r="CD32" s="212">
        <f t="shared" si="111"/>
        <v>808036.47482014389</v>
      </c>
      <c r="CE32" s="58">
        <v>556993</v>
      </c>
      <c r="CF32" s="58">
        <v>-817</v>
      </c>
      <c r="CG32" s="58">
        <f t="shared" si="112"/>
        <v>557810</v>
      </c>
      <c r="CH32" s="194">
        <f t="shared" si="113"/>
        <v>167343</v>
      </c>
      <c r="CI32" s="58">
        <v>165094</v>
      </c>
      <c r="CJ32" s="58">
        <v>0</v>
      </c>
      <c r="CK32" s="58">
        <f t="shared" si="114"/>
        <v>165094</v>
      </c>
      <c r="CL32" s="80">
        <f t="shared" si="43"/>
        <v>267</v>
      </c>
      <c r="CM32" s="135">
        <f t="shared" si="72"/>
        <v>1.9475655430711611</v>
      </c>
      <c r="CN32" s="183">
        <f t="shared" si="44"/>
        <v>321531.38576779026</v>
      </c>
      <c r="CO32" s="58">
        <v>2173430</v>
      </c>
      <c r="CP32" s="58">
        <f>2602+-11190</f>
        <v>-8588</v>
      </c>
      <c r="CQ32" s="58">
        <v>78</v>
      </c>
      <c r="CR32" s="195">
        <f t="shared" si="115"/>
        <v>2182096</v>
      </c>
      <c r="CS32" s="80">
        <f t="shared" si="46"/>
        <v>269</v>
      </c>
      <c r="CT32" s="327">
        <f t="shared" si="73"/>
        <v>2.5687732342007434</v>
      </c>
      <c r="CU32" s="183">
        <f t="shared" si="47"/>
        <v>5605309.7992565054</v>
      </c>
      <c r="CV32" s="195">
        <v>715694</v>
      </c>
      <c r="CW32" s="80">
        <f t="shared" si="48"/>
        <v>267</v>
      </c>
      <c r="CX32" s="135">
        <f t="shared" si="74"/>
        <v>1.9475655430711611</v>
      </c>
      <c r="CY32" s="183">
        <f t="shared" si="116"/>
        <v>1393860.9737827715</v>
      </c>
      <c r="CZ32" s="58">
        <v>2123445</v>
      </c>
      <c r="DA32" s="80">
        <f t="shared" si="50"/>
        <v>253</v>
      </c>
      <c r="DB32" s="327">
        <f t="shared" si="75"/>
        <v>2.5691699604743081</v>
      </c>
      <c r="DC32" s="183">
        <f t="shared" si="117"/>
        <v>5455491.1067193672</v>
      </c>
      <c r="DD32" s="58">
        <f>1572122+27140</f>
        <v>1599262</v>
      </c>
      <c r="DE32" s="58">
        <v>1572122</v>
      </c>
      <c r="DF32" s="58">
        <f>16748+0</f>
        <v>16748</v>
      </c>
      <c r="DG32" s="58">
        <f t="shared" si="118"/>
        <v>1582514</v>
      </c>
      <c r="DH32" s="58">
        <f t="shared" si="121"/>
        <v>791257</v>
      </c>
      <c r="DI32" s="80">
        <f t="shared" si="54"/>
        <v>270</v>
      </c>
      <c r="DJ32" s="332">
        <f t="shared" si="76"/>
        <v>3.2148148148148148</v>
      </c>
      <c r="DK32" s="183">
        <f t="shared" si="55"/>
        <v>2543744.7259259261</v>
      </c>
    </row>
    <row r="33" spans="1:115" s="167" customFormat="1">
      <c r="A33" s="213">
        <v>1986</v>
      </c>
      <c r="B33" s="58">
        <v>38908</v>
      </c>
      <c r="C33" s="58">
        <v>13971</v>
      </c>
      <c r="D33" s="58">
        <f t="shared" si="90"/>
        <v>24937</v>
      </c>
      <c r="E33" s="194">
        <f t="shared" si="91"/>
        <v>17455.899999999998</v>
      </c>
      <c r="F33" s="58">
        <v>301692</v>
      </c>
      <c r="G33" s="58">
        <v>301697</v>
      </c>
      <c r="H33" s="209">
        <f t="shared" si="92"/>
        <v>-5</v>
      </c>
      <c r="I33" s="214">
        <v>261</v>
      </c>
      <c r="J33" s="132">
        <f t="shared" si="56"/>
        <v>1.9923371647509578</v>
      </c>
      <c r="K33" s="183">
        <f t="shared" si="93"/>
        <v>-9.9616858237547881</v>
      </c>
      <c r="L33" s="58">
        <v>9698392</v>
      </c>
      <c r="M33" s="58">
        <v>0</v>
      </c>
      <c r="N33" s="58">
        <v>98</v>
      </c>
      <c r="O33" s="58">
        <f t="shared" si="94"/>
        <v>9698490</v>
      </c>
      <c r="P33" s="80">
        <f t="shared" si="5"/>
        <v>258</v>
      </c>
      <c r="Q33" s="132">
        <f t="shared" si="57"/>
        <v>2.306201550387597</v>
      </c>
      <c r="R33" s="193">
        <f t="shared" si="6"/>
        <v>22366672.674418606</v>
      </c>
      <c r="S33" s="58">
        <v>4592976</v>
      </c>
      <c r="T33" s="58">
        <v>278335</v>
      </c>
      <c r="U33" s="58">
        <v>107</v>
      </c>
      <c r="V33" s="58">
        <f t="shared" si="95"/>
        <v>4314748</v>
      </c>
      <c r="W33" s="80">
        <f t="shared" si="8"/>
        <v>252</v>
      </c>
      <c r="X33" s="132">
        <f t="shared" si="58"/>
        <v>2.4206349206349205</v>
      </c>
      <c r="Y33" s="183">
        <f t="shared" si="96"/>
        <v>10444429.682539681</v>
      </c>
      <c r="Z33" s="58">
        <v>33488</v>
      </c>
      <c r="AA33" s="80">
        <f t="shared" si="10"/>
        <v>256</v>
      </c>
      <c r="AB33" s="132">
        <f t="shared" si="59"/>
        <v>2.140625</v>
      </c>
      <c r="AC33" s="183">
        <f t="shared" si="11"/>
        <v>71685.25</v>
      </c>
      <c r="AD33" s="58">
        <v>0</v>
      </c>
      <c r="AE33" s="80">
        <f t="shared" si="12"/>
        <v>275</v>
      </c>
      <c r="AF33" s="132">
        <f t="shared" si="60"/>
        <v>3.0145454545454546</v>
      </c>
      <c r="AG33" s="183">
        <f t="shared" si="97"/>
        <v>0</v>
      </c>
      <c r="AH33" s="58">
        <v>816132</v>
      </c>
      <c r="AI33" s="58">
        <v>1775</v>
      </c>
      <c r="AJ33" s="58">
        <f t="shared" si="120"/>
        <v>814357</v>
      </c>
      <c r="AK33" s="80">
        <f t="shared" si="15"/>
        <v>255</v>
      </c>
      <c r="AL33" s="132">
        <f t="shared" si="61"/>
        <v>2.0588235294117645</v>
      </c>
      <c r="AM33" s="183">
        <f t="shared" si="98"/>
        <v>1676617.3529411764</v>
      </c>
      <c r="AN33" s="58">
        <v>4030482</v>
      </c>
      <c r="AO33" s="80">
        <f t="shared" si="17"/>
        <v>264</v>
      </c>
      <c r="AP33" s="132">
        <f t="shared" si="62"/>
        <v>2.1515151515151514</v>
      </c>
      <c r="AQ33" s="183">
        <f t="shared" si="99"/>
        <v>8671643.0909090899</v>
      </c>
      <c r="AR33" s="58">
        <v>4071507</v>
      </c>
      <c r="AS33" s="80">
        <f t="shared" si="19"/>
        <v>263</v>
      </c>
      <c r="AT33" s="132">
        <f t="shared" si="63"/>
        <v>2.6007604562737643</v>
      </c>
      <c r="AU33" s="183">
        <f t="shared" si="100"/>
        <v>10589014.403041825</v>
      </c>
      <c r="AV33" s="58">
        <v>737222</v>
      </c>
      <c r="AW33" s="80">
        <f t="shared" si="21"/>
        <v>250</v>
      </c>
      <c r="AX33" s="132">
        <f t="shared" si="64"/>
        <v>2.1040000000000001</v>
      </c>
      <c r="AY33" s="183">
        <f t="shared" si="101"/>
        <v>1551115.088</v>
      </c>
      <c r="AZ33" s="58">
        <v>2343598</v>
      </c>
      <c r="BA33" s="80">
        <f t="shared" si="23"/>
        <v>240</v>
      </c>
      <c r="BB33" s="132">
        <f t="shared" si="65"/>
        <v>2.5583333333333331</v>
      </c>
      <c r="BC33" s="183">
        <f t="shared" si="102"/>
        <v>5995704.8833333328</v>
      </c>
      <c r="BD33" s="209">
        <v>3811357</v>
      </c>
      <c r="BE33" s="58">
        <f t="shared" si="103"/>
        <v>3140558.1679999996</v>
      </c>
      <c r="BF33" s="80">
        <f t="shared" si="26"/>
        <v>219</v>
      </c>
      <c r="BG33" s="132">
        <f t="shared" si="66"/>
        <v>2.7945205479452055</v>
      </c>
      <c r="BH33" s="183">
        <f t="shared" si="104"/>
        <v>8776354.3324931506</v>
      </c>
      <c r="BI33" s="58">
        <f t="shared" si="105"/>
        <v>670798.83199999994</v>
      </c>
      <c r="BJ33" s="80">
        <f t="shared" si="29"/>
        <v>221</v>
      </c>
      <c r="BK33" s="132">
        <f t="shared" si="67"/>
        <v>2.9502262443438916</v>
      </c>
      <c r="BL33" s="183">
        <f t="shared" si="106"/>
        <v>1979008.318841629</v>
      </c>
      <c r="BM33" s="58">
        <v>2110229</v>
      </c>
      <c r="BN33" s="80">
        <f t="shared" si="31"/>
        <v>241</v>
      </c>
      <c r="BO33" s="132">
        <f t="shared" si="68"/>
        <v>2.1120331950207469</v>
      </c>
      <c r="BP33" s="183">
        <f t="shared" si="107"/>
        <v>4456873.697095436</v>
      </c>
      <c r="BQ33" s="58">
        <v>710863</v>
      </c>
      <c r="BR33" s="58"/>
      <c r="BS33" s="58">
        <f t="shared" si="108"/>
        <v>710863</v>
      </c>
      <c r="BT33" s="80">
        <f t="shared" si="34"/>
        <v>216</v>
      </c>
      <c r="BU33" s="132">
        <f t="shared" si="69"/>
        <v>1.6435185185185186</v>
      </c>
      <c r="BV33" s="183">
        <f t="shared" si="109"/>
        <v>1168316.5046296297</v>
      </c>
      <c r="BW33" s="195">
        <v>48244</v>
      </c>
      <c r="BX33" s="80">
        <f t="shared" si="36"/>
        <v>292</v>
      </c>
      <c r="BY33" s="132">
        <f t="shared" si="70"/>
        <v>2.5</v>
      </c>
      <c r="BZ33" s="212">
        <f t="shared" si="110"/>
        <v>120610</v>
      </c>
      <c r="CA33" s="195">
        <v>525180</v>
      </c>
      <c r="CB33" s="80">
        <f t="shared" si="38"/>
        <v>292</v>
      </c>
      <c r="CC33" s="132">
        <f t="shared" si="71"/>
        <v>2.5</v>
      </c>
      <c r="CD33" s="212">
        <f t="shared" si="111"/>
        <v>1312950</v>
      </c>
      <c r="CE33" s="58">
        <v>38908</v>
      </c>
      <c r="CF33" s="58">
        <v>13971</v>
      </c>
      <c r="CG33" s="58">
        <f t="shared" si="112"/>
        <v>24937</v>
      </c>
      <c r="CH33" s="194">
        <f t="shared" si="113"/>
        <v>7481.0999999999995</v>
      </c>
      <c r="CI33" s="58">
        <v>1419968</v>
      </c>
      <c r="CJ33" s="58">
        <v>0</v>
      </c>
      <c r="CK33" s="58">
        <f t="shared" si="114"/>
        <v>1419968</v>
      </c>
      <c r="CL33" s="80">
        <f t="shared" si="43"/>
        <v>261</v>
      </c>
      <c r="CM33" s="135">
        <f t="shared" si="72"/>
        <v>1.9923371647509578</v>
      </c>
      <c r="CN33" s="183">
        <f t="shared" si="44"/>
        <v>2829055.0191570879</v>
      </c>
      <c r="CO33" s="58">
        <v>5377220</v>
      </c>
      <c r="CP33" s="58">
        <v>172802</v>
      </c>
      <c r="CQ33" s="58">
        <v>78</v>
      </c>
      <c r="CR33" s="195">
        <f t="shared" si="115"/>
        <v>5204496</v>
      </c>
      <c r="CS33" s="80">
        <f t="shared" si="46"/>
        <v>262</v>
      </c>
      <c r="CT33" s="327">
        <f t="shared" si="73"/>
        <v>2.6374045801526718</v>
      </c>
      <c r="CU33" s="183">
        <f t="shared" si="47"/>
        <v>13726361.587786259</v>
      </c>
      <c r="CV33" s="195">
        <v>52833</v>
      </c>
      <c r="CW33" s="80">
        <f t="shared" si="48"/>
        <v>261</v>
      </c>
      <c r="CX33" s="135">
        <f t="shared" si="74"/>
        <v>1.9923371647509578</v>
      </c>
      <c r="CY33" s="183">
        <f t="shared" si="116"/>
        <v>105261.14942528735</v>
      </c>
      <c r="CZ33" s="58">
        <v>1144689</v>
      </c>
      <c r="DA33" s="80">
        <f t="shared" si="50"/>
        <v>246</v>
      </c>
      <c r="DB33" s="327">
        <f t="shared" si="75"/>
        <v>2.6422764227642275</v>
      </c>
      <c r="DC33" s="183">
        <f t="shared" si="117"/>
        <v>3024584.7560975607</v>
      </c>
      <c r="DD33" s="58">
        <f>568606+93550+4589</f>
        <v>666745</v>
      </c>
      <c r="DE33" s="58">
        <v>568606</v>
      </c>
      <c r="DF33" s="58">
        <f>124829+35346</f>
        <v>160175</v>
      </c>
      <c r="DG33" s="58">
        <f t="shared" si="118"/>
        <v>506570</v>
      </c>
      <c r="DH33" s="58">
        <f t="shared" si="121"/>
        <v>253285</v>
      </c>
      <c r="DI33" s="80">
        <f t="shared" si="54"/>
        <v>269</v>
      </c>
      <c r="DJ33" s="332">
        <f t="shared" si="76"/>
        <v>3.2267657992565058</v>
      </c>
      <c r="DK33" s="183">
        <f t="shared" si="55"/>
        <v>817291.3754646841</v>
      </c>
    </row>
    <row r="34" spans="1:115">
      <c r="A34" s="213">
        <v>1985</v>
      </c>
      <c r="B34" s="58">
        <v>683329</v>
      </c>
      <c r="C34" s="58">
        <v>12720</v>
      </c>
      <c r="D34" s="58">
        <f t="shared" si="90"/>
        <v>670609</v>
      </c>
      <c r="E34" s="194">
        <f t="shared" si="91"/>
        <v>469426.3</v>
      </c>
      <c r="F34" s="58">
        <v>278833</v>
      </c>
      <c r="G34" s="58">
        <v>278329</v>
      </c>
      <c r="H34" s="209">
        <f t="shared" si="92"/>
        <v>504</v>
      </c>
      <c r="I34" s="214">
        <v>256</v>
      </c>
      <c r="J34" s="132">
        <f t="shared" si="56"/>
        <v>2.03125</v>
      </c>
      <c r="K34" s="183">
        <f t="shared" si="93"/>
        <v>1023.75</v>
      </c>
      <c r="L34" s="58">
        <v>10838369</v>
      </c>
      <c r="M34" s="58">
        <v>262</v>
      </c>
      <c r="N34" s="58">
        <v>98</v>
      </c>
      <c r="O34" s="58">
        <f t="shared" si="94"/>
        <v>10838205</v>
      </c>
      <c r="P34" s="80">
        <f t="shared" si="5"/>
        <v>256</v>
      </c>
      <c r="Q34" s="132">
        <f t="shared" si="57"/>
        <v>2.32421875</v>
      </c>
      <c r="R34" s="193">
        <f t="shared" si="6"/>
        <v>25190359.27734375</v>
      </c>
      <c r="S34" s="58">
        <v>5076030</v>
      </c>
      <c r="T34" s="58">
        <v>256210</v>
      </c>
      <c r="U34" s="58">
        <v>107</v>
      </c>
      <c r="V34" s="58">
        <f t="shared" si="95"/>
        <v>4819927</v>
      </c>
      <c r="W34" s="80">
        <f t="shared" si="8"/>
        <v>252</v>
      </c>
      <c r="X34" s="132">
        <f t="shared" si="58"/>
        <v>2.4206349206349205</v>
      </c>
      <c r="Y34" s="183">
        <f t="shared" si="96"/>
        <v>11667283.61111111</v>
      </c>
      <c r="Z34" s="58">
        <v>149013</v>
      </c>
      <c r="AA34" s="80">
        <f t="shared" si="10"/>
        <v>255</v>
      </c>
      <c r="AB34" s="132">
        <f t="shared" si="59"/>
        <v>2.1490196078431372</v>
      </c>
      <c r="AC34" s="183">
        <f t="shared" si="11"/>
        <v>320231.85882352939</v>
      </c>
      <c r="AD34" s="58">
        <v>824394</v>
      </c>
      <c r="AE34" s="80">
        <f t="shared" si="12"/>
        <v>254</v>
      </c>
      <c r="AF34" s="132">
        <f t="shared" si="60"/>
        <v>3.2637795275590551</v>
      </c>
      <c r="AG34" s="183">
        <f t="shared" si="97"/>
        <v>2690640.2598425196</v>
      </c>
      <c r="AH34" s="58">
        <v>788012</v>
      </c>
      <c r="AI34" s="58">
        <v>1636</v>
      </c>
      <c r="AJ34" s="58">
        <f t="shared" si="120"/>
        <v>786376</v>
      </c>
      <c r="AK34" s="80">
        <f t="shared" si="15"/>
        <v>251</v>
      </c>
      <c r="AL34" s="132">
        <f t="shared" si="61"/>
        <v>2.0916334661354581</v>
      </c>
      <c r="AM34" s="183">
        <f t="shared" si="98"/>
        <v>1644810.358565737</v>
      </c>
      <c r="AN34" s="58">
        <v>4831578</v>
      </c>
      <c r="AO34" s="80">
        <f t="shared" si="17"/>
        <v>263</v>
      </c>
      <c r="AP34" s="132">
        <f t="shared" si="62"/>
        <v>2.1596958174904941</v>
      </c>
      <c r="AQ34" s="183">
        <f t="shared" si="99"/>
        <v>10434738.798479086</v>
      </c>
      <c r="AR34" s="58">
        <v>3668498</v>
      </c>
      <c r="AS34" s="80">
        <f t="shared" si="19"/>
        <v>264</v>
      </c>
      <c r="AT34" s="132">
        <f t="shared" si="63"/>
        <v>2.5909090909090908</v>
      </c>
      <c r="AU34" s="183">
        <f t="shared" si="100"/>
        <v>9504744.8181818184</v>
      </c>
      <c r="AV34" s="58">
        <v>707701</v>
      </c>
      <c r="AW34" s="80">
        <f t="shared" si="21"/>
        <v>249</v>
      </c>
      <c r="AX34" s="132">
        <f t="shared" si="64"/>
        <v>2.1124497991967872</v>
      </c>
      <c r="AY34" s="183">
        <f t="shared" si="101"/>
        <v>1494982.8353413655</v>
      </c>
      <c r="AZ34" s="58">
        <v>3067935</v>
      </c>
      <c r="BA34" s="80">
        <f t="shared" si="23"/>
        <v>232</v>
      </c>
      <c r="BB34" s="132">
        <f t="shared" si="65"/>
        <v>2.646551724137931</v>
      </c>
      <c r="BC34" s="183">
        <f t="shared" si="102"/>
        <v>8119448.6637931038</v>
      </c>
      <c r="BD34" s="209">
        <v>4075799</v>
      </c>
      <c r="BE34" s="58">
        <f t="shared" si="103"/>
        <v>3358458.3759999997</v>
      </c>
      <c r="BF34" s="80">
        <f t="shared" si="26"/>
        <v>218</v>
      </c>
      <c r="BG34" s="132">
        <f t="shared" si="66"/>
        <v>2.8073394495412844</v>
      </c>
      <c r="BH34" s="183">
        <f t="shared" si="104"/>
        <v>9428332.6885871552</v>
      </c>
      <c r="BI34" s="58">
        <f t="shared" si="105"/>
        <v>717340.62399999995</v>
      </c>
      <c r="BJ34" s="80">
        <f t="shared" si="29"/>
        <v>215</v>
      </c>
      <c r="BK34" s="132">
        <f t="shared" si="67"/>
        <v>3.0325581395348835</v>
      </c>
      <c r="BL34" s="183">
        <f t="shared" si="106"/>
        <v>2175377.1481302325</v>
      </c>
      <c r="BM34" s="58">
        <v>2393960</v>
      </c>
      <c r="BN34" s="80">
        <f t="shared" si="31"/>
        <v>244</v>
      </c>
      <c r="BO34" s="132">
        <f t="shared" si="68"/>
        <v>2.0860655737704916</v>
      </c>
      <c r="BP34" s="183">
        <f t="shared" si="107"/>
        <v>4993957.5409836061</v>
      </c>
      <c r="BQ34" s="58">
        <v>1180610</v>
      </c>
      <c r="BR34" s="58"/>
      <c r="BS34" s="58">
        <f t="shared" si="108"/>
        <v>1180610</v>
      </c>
      <c r="BT34" s="80">
        <f t="shared" si="34"/>
        <v>212</v>
      </c>
      <c r="BU34" s="132">
        <f t="shared" si="69"/>
        <v>1.6745283018867925</v>
      </c>
      <c r="BV34" s="183">
        <f t="shared" si="109"/>
        <v>1976964.858490566</v>
      </c>
      <c r="BW34" s="195">
        <v>98915</v>
      </c>
      <c r="BX34" s="80">
        <f t="shared" si="36"/>
        <v>294</v>
      </c>
      <c r="BY34" s="132">
        <f t="shared" si="70"/>
        <v>2.4829931972789114</v>
      </c>
      <c r="BZ34" s="212">
        <f t="shared" si="110"/>
        <v>245605.27210884352</v>
      </c>
      <c r="CA34" s="195">
        <v>514848</v>
      </c>
      <c r="CB34" s="80">
        <f t="shared" si="38"/>
        <v>294</v>
      </c>
      <c r="CC34" s="132">
        <f t="shared" si="71"/>
        <v>2.4829931972789114</v>
      </c>
      <c r="CD34" s="212">
        <f t="shared" si="111"/>
        <v>1278364.081632653</v>
      </c>
      <c r="CE34" s="58">
        <v>683329</v>
      </c>
      <c r="CF34" s="58">
        <v>12720</v>
      </c>
      <c r="CG34" s="58">
        <f t="shared" si="112"/>
        <v>670609</v>
      </c>
      <c r="CH34" s="194">
        <f t="shared" si="113"/>
        <v>201182.69999999998</v>
      </c>
      <c r="CI34" s="58">
        <v>982142</v>
      </c>
      <c r="CJ34" s="58">
        <v>0</v>
      </c>
      <c r="CK34" s="58">
        <f t="shared" si="114"/>
        <v>982142</v>
      </c>
      <c r="CL34" s="80">
        <f t="shared" si="43"/>
        <v>256</v>
      </c>
      <c r="CM34" s="135">
        <f t="shared" si="72"/>
        <v>2.03125</v>
      </c>
      <c r="CN34" s="183">
        <f t="shared" si="44"/>
        <v>1994975.9375</v>
      </c>
      <c r="CO34" s="58">
        <v>9237356</v>
      </c>
      <c r="CP34" s="58">
        <v>178228</v>
      </c>
      <c r="CQ34" s="58">
        <v>78</v>
      </c>
      <c r="CR34" s="195">
        <f t="shared" si="115"/>
        <v>9059206</v>
      </c>
      <c r="CS34" s="80">
        <f t="shared" si="46"/>
        <v>260</v>
      </c>
      <c r="CT34" s="327">
        <f t="shared" si="73"/>
        <v>2.6576923076923076</v>
      </c>
      <c r="CU34" s="183">
        <f t="shared" si="47"/>
        <v>24076582.099999998</v>
      </c>
      <c r="CV34" s="195">
        <v>367612</v>
      </c>
      <c r="CW34" s="80">
        <f t="shared" si="48"/>
        <v>256</v>
      </c>
      <c r="CX34" s="135">
        <f t="shared" si="74"/>
        <v>2.03125</v>
      </c>
      <c r="CY34" s="183">
        <f t="shared" si="116"/>
        <v>746711.875</v>
      </c>
      <c r="CZ34" s="58">
        <v>1492489</v>
      </c>
      <c r="DA34" s="80">
        <f t="shared" si="50"/>
        <v>244</v>
      </c>
      <c r="DB34" s="327">
        <f t="shared" si="75"/>
        <v>2.6639344262295084</v>
      </c>
      <c r="DC34" s="183">
        <f t="shared" si="117"/>
        <v>3975892.8278688528</v>
      </c>
      <c r="DD34" s="58">
        <f>1057676+140455</f>
        <v>1198131</v>
      </c>
      <c r="DE34" s="58">
        <v>1057676</v>
      </c>
      <c r="DF34" s="58">
        <f>85912+19871</f>
        <v>105783</v>
      </c>
      <c r="DG34" s="58">
        <f t="shared" si="118"/>
        <v>1092348</v>
      </c>
      <c r="DH34" s="58">
        <f t="shared" si="121"/>
        <v>546174</v>
      </c>
      <c r="DI34" s="80">
        <f t="shared" si="54"/>
        <v>269</v>
      </c>
      <c r="DJ34" s="332">
        <f t="shared" si="76"/>
        <v>3.2267657992565058</v>
      </c>
      <c r="DK34" s="183">
        <f t="shared" si="55"/>
        <v>1762375.5836431228</v>
      </c>
    </row>
    <row r="35" spans="1:115">
      <c r="A35" s="213">
        <v>1984</v>
      </c>
      <c r="B35" s="58">
        <v>772454</v>
      </c>
      <c r="C35" s="58">
        <v>602483</v>
      </c>
      <c r="D35" s="58">
        <f t="shared" si="90"/>
        <v>169971</v>
      </c>
      <c r="E35" s="194">
        <f t="shared" si="91"/>
        <v>118979.7</v>
      </c>
      <c r="F35" s="58">
        <v>12852513</v>
      </c>
      <c r="G35" s="58">
        <v>10911957</v>
      </c>
      <c r="H35" s="209">
        <f t="shared" si="92"/>
        <v>1940556</v>
      </c>
      <c r="I35" s="214">
        <v>247</v>
      </c>
      <c r="J35" s="132">
        <f t="shared" si="56"/>
        <v>2.1052631578947367</v>
      </c>
      <c r="K35" s="183">
        <f t="shared" si="93"/>
        <v>4085381.0526315789</v>
      </c>
      <c r="L35" s="58">
        <v>1778996</v>
      </c>
      <c r="M35" s="58">
        <v>-262</v>
      </c>
      <c r="N35" s="58">
        <v>98</v>
      </c>
      <c r="O35" s="58">
        <f t="shared" si="94"/>
        <v>1779356</v>
      </c>
      <c r="P35" s="80">
        <f t="shared" si="5"/>
        <v>260</v>
      </c>
      <c r="Q35" s="132">
        <f t="shared" si="57"/>
        <v>2.2884615384615383</v>
      </c>
      <c r="R35" s="193">
        <f t="shared" si="6"/>
        <v>4071987.769230769</v>
      </c>
      <c r="S35" s="58">
        <v>13142307</v>
      </c>
      <c r="T35" s="58">
        <v>11844495</v>
      </c>
      <c r="U35" s="58">
        <v>107</v>
      </c>
      <c r="V35" s="58">
        <f t="shared" si="95"/>
        <v>1297919</v>
      </c>
      <c r="W35" s="80">
        <f t="shared" si="8"/>
        <v>258</v>
      </c>
      <c r="X35" s="132">
        <f t="shared" si="58"/>
        <v>2.364341085271318</v>
      </c>
      <c r="Y35" s="183">
        <f t="shared" si="96"/>
        <v>3068723.2170542637</v>
      </c>
      <c r="Z35" s="58">
        <v>0</v>
      </c>
      <c r="AA35" s="80">
        <f t="shared" si="10"/>
        <v>258</v>
      </c>
      <c r="AB35" s="132">
        <f t="shared" si="59"/>
        <v>2.1240310077519382</v>
      </c>
      <c r="AC35" s="183">
        <f t="shared" si="11"/>
        <v>0</v>
      </c>
      <c r="AD35" s="58">
        <v>27485</v>
      </c>
      <c r="AE35" s="80">
        <f t="shared" si="12"/>
        <v>267</v>
      </c>
      <c r="AF35" s="132">
        <f t="shared" si="60"/>
        <v>3.1048689138576777</v>
      </c>
      <c r="AG35" s="183">
        <f t="shared" si="97"/>
        <v>85337.322097378274</v>
      </c>
      <c r="AH35" s="58">
        <v>90321</v>
      </c>
      <c r="AI35" s="58">
        <v>75526</v>
      </c>
      <c r="AJ35" s="58">
        <f t="shared" si="120"/>
        <v>14795</v>
      </c>
      <c r="AK35" s="80">
        <f t="shared" si="15"/>
        <v>247</v>
      </c>
      <c r="AL35" s="132">
        <f t="shared" si="61"/>
        <v>2.1255060728744941</v>
      </c>
      <c r="AM35" s="183">
        <f t="shared" si="98"/>
        <v>31446.86234817814</v>
      </c>
      <c r="AN35" s="58">
        <v>3861394</v>
      </c>
      <c r="AO35" s="80">
        <f t="shared" si="17"/>
        <v>266</v>
      </c>
      <c r="AP35" s="132">
        <f t="shared" si="62"/>
        <v>2.1353383458646618</v>
      </c>
      <c r="AQ35" s="183">
        <f t="shared" si="99"/>
        <v>8245382.6766917296</v>
      </c>
      <c r="AR35" s="58">
        <v>2840726</v>
      </c>
      <c r="AS35" s="80">
        <f t="shared" si="19"/>
        <v>273</v>
      </c>
      <c r="AT35" s="132">
        <f t="shared" si="63"/>
        <v>2.5054945054945055</v>
      </c>
      <c r="AU35" s="183">
        <f t="shared" si="100"/>
        <v>7117423.384615385</v>
      </c>
      <c r="AV35" s="58">
        <v>952301</v>
      </c>
      <c r="AW35" s="80">
        <f t="shared" si="21"/>
        <v>251</v>
      </c>
      <c r="AX35" s="132">
        <f t="shared" si="64"/>
        <v>2.095617529880478</v>
      </c>
      <c r="AY35" s="183">
        <f t="shared" si="101"/>
        <v>1995658.6693227091</v>
      </c>
      <c r="AZ35" s="58">
        <v>2106742</v>
      </c>
      <c r="BA35" s="80">
        <f t="shared" si="23"/>
        <v>233</v>
      </c>
      <c r="BB35" s="132">
        <f t="shared" si="65"/>
        <v>2.6351931330472103</v>
      </c>
      <c r="BC35" s="183">
        <f t="shared" si="102"/>
        <v>5551672.0515021458</v>
      </c>
      <c r="BD35" s="209">
        <v>4718117</v>
      </c>
      <c r="BE35" s="58">
        <f t="shared" si="103"/>
        <v>3887728.4079999998</v>
      </c>
      <c r="BF35" s="80">
        <f t="shared" si="26"/>
        <v>219</v>
      </c>
      <c r="BG35" s="132">
        <f t="shared" si="66"/>
        <v>2.7945205479452055</v>
      </c>
      <c r="BH35" s="183">
        <f t="shared" si="104"/>
        <v>10864336.9209863</v>
      </c>
      <c r="BI35" s="58">
        <f t="shared" si="105"/>
        <v>830388.59199999995</v>
      </c>
      <c r="BJ35" s="80">
        <f t="shared" si="29"/>
        <v>215</v>
      </c>
      <c r="BK35" s="132">
        <f t="shared" si="67"/>
        <v>3.0325581395348835</v>
      </c>
      <c r="BL35" s="183">
        <f t="shared" si="106"/>
        <v>2518201.6836465113</v>
      </c>
      <c r="BM35" s="58">
        <v>2296182</v>
      </c>
      <c r="BN35" s="80">
        <f t="shared" si="31"/>
        <v>255</v>
      </c>
      <c r="BO35" s="132">
        <f t="shared" si="68"/>
        <v>1.996078431372549</v>
      </c>
      <c r="BP35" s="183">
        <f t="shared" si="107"/>
        <v>4583359.364705882</v>
      </c>
      <c r="BQ35" s="58">
        <v>826066</v>
      </c>
      <c r="BR35" s="58"/>
      <c r="BS35" s="58">
        <f t="shared" si="108"/>
        <v>826066</v>
      </c>
      <c r="BT35" s="80">
        <f t="shared" si="34"/>
        <v>213</v>
      </c>
      <c r="BU35" s="132">
        <f t="shared" si="69"/>
        <v>1.6666666666666667</v>
      </c>
      <c r="BV35" s="183">
        <f t="shared" si="109"/>
        <v>1376776.6666666667</v>
      </c>
      <c r="BW35" s="195">
        <v>113025</v>
      </c>
      <c r="BX35" s="80">
        <f t="shared" si="36"/>
        <v>290</v>
      </c>
      <c r="BY35" s="132">
        <f t="shared" si="70"/>
        <v>2.5172413793103448</v>
      </c>
      <c r="BZ35" s="212">
        <f t="shared" si="110"/>
        <v>284511.20689655171</v>
      </c>
      <c r="CA35" s="195">
        <v>230966</v>
      </c>
      <c r="CB35" s="80">
        <f t="shared" si="38"/>
        <v>290</v>
      </c>
      <c r="CC35" s="132">
        <f t="shared" si="71"/>
        <v>2.5172413793103448</v>
      </c>
      <c r="CD35" s="212">
        <f t="shared" si="111"/>
        <v>581397.17241379304</v>
      </c>
      <c r="CE35" s="58">
        <v>772454</v>
      </c>
      <c r="CF35" s="58">
        <v>602483</v>
      </c>
      <c r="CG35" s="58">
        <f t="shared" si="112"/>
        <v>169971</v>
      </c>
      <c r="CH35" s="194">
        <f t="shared" si="113"/>
        <v>50991.299999999996</v>
      </c>
      <c r="CI35" s="58">
        <v>82411</v>
      </c>
      <c r="CJ35" s="58">
        <v>0</v>
      </c>
      <c r="CK35" s="58">
        <f t="shared" si="114"/>
        <v>82411</v>
      </c>
      <c r="CL35" s="80">
        <f t="shared" si="43"/>
        <v>247</v>
      </c>
      <c r="CM35" s="135">
        <f t="shared" si="72"/>
        <v>2.1052631578947367</v>
      </c>
      <c r="CN35" s="183">
        <f t="shared" si="44"/>
        <v>173496.84210526315</v>
      </c>
      <c r="CO35" s="58">
        <v>10247376</v>
      </c>
      <c r="CP35" s="58">
        <v>8209100</v>
      </c>
      <c r="CQ35" s="58">
        <f>78+109</f>
        <v>187</v>
      </c>
      <c r="CR35" s="195">
        <f t="shared" si="115"/>
        <v>2038463</v>
      </c>
      <c r="CS35" s="80">
        <f t="shared" si="46"/>
        <v>259</v>
      </c>
      <c r="CT35" s="327">
        <f t="shared" si="73"/>
        <v>2.6679536679536682</v>
      </c>
      <c r="CU35" s="183">
        <f t="shared" si="47"/>
        <v>5438524.8378378386</v>
      </c>
      <c r="CV35" s="195">
        <v>66465</v>
      </c>
      <c r="CW35" s="80">
        <f t="shared" si="48"/>
        <v>247</v>
      </c>
      <c r="CX35" s="135">
        <f t="shared" si="74"/>
        <v>2.1052631578947367</v>
      </c>
      <c r="CY35" s="183">
        <f t="shared" si="116"/>
        <v>139926.31578947368</v>
      </c>
      <c r="CZ35" s="58">
        <v>215824</v>
      </c>
      <c r="DA35" s="80">
        <f t="shared" si="50"/>
        <v>244</v>
      </c>
      <c r="DB35" s="327">
        <f t="shared" si="75"/>
        <v>2.6639344262295084</v>
      </c>
      <c r="DC35" s="183">
        <f t="shared" si="117"/>
        <v>574940.98360655736</v>
      </c>
      <c r="DD35" s="58">
        <f>2291667+38548</f>
        <v>2330215</v>
      </c>
      <c r="DE35" s="58">
        <v>2291667</v>
      </c>
      <c r="DF35" s="58">
        <f>1994168</f>
        <v>1994168</v>
      </c>
      <c r="DG35" s="58">
        <f t="shared" si="118"/>
        <v>336047</v>
      </c>
      <c r="DH35" s="58">
        <f t="shared" si="121"/>
        <v>168023.5</v>
      </c>
      <c r="DI35" s="80">
        <f t="shared" si="54"/>
        <v>277</v>
      </c>
      <c r="DJ35" s="332">
        <f t="shared" si="76"/>
        <v>3.1335740072202167</v>
      </c>
      <c r="DK35" s="183">
        <f t="shared" si="55"/>
        <v>526514.07220216608</v>
      </c>
    </row>
    <row r="36" spans="1:115">
      <c r="A36" s="213">
        <v>1983</v>
      </c>
      <c r="B36" s="58">
        <v>367388</v>
      </c>
      <c r="C36" s="58">
        <v>0</v>
      </c>
      <c r="D36" s="58">
        <f t="shared" si="90"/>
        <v>367388</v>
      </c>
      <c r="E36" s="194">
        <f t="shared" si="91"/>
        <v>257171.59999999998</v>
      </c>
      <c r="F36" s="58">
        <v>21229</v>
      </c>
      <c r="G36" s="58">
        <v>21229</v>
      </c>
      <c r="H36" s="209">
        <f t="shared" si="92"/>
        <v>0</v>
      </c>
      <c r="I36" s="214">
        <v>234</v>
      </c>
      <c r="J36" s="132">
        <f t="shared" si="56"/>
        <v>2.2222222222222223</v>
      </c>
      <c r="K36" s="183">
        <f t="shared" si="93"/>
        <v>0</v>
      </c>
      <c r="L36" s="58">
        <v>1905155</v>
      </c>
      <c r="M36" s="58">
        <v>0</v>
      </c>
      <c r="N36" s="58">
        <v>0</v>
      </c>
      <c r="O36" s="58">
        <f t="shared" si="94"/>
        <v>1905155</v>
      </c>
      <c r="P36" s="80">
        <f t="shared" si="5"/>
        <v>258</v>
      </c>
      <c r="Q36" s="132">
        <f t="shared" si="57"/>
        <v>2.306201550387597</v>
      </c>
      <c r="R36" s="193">
        <f t="shared" si="6"/>
        <v>4393671.4147286825</v>
      </c>
      <c r="S36" s="58">
        <v>2475150</v>
      </c>
      <c r="T36" s="58">
        <v>0</v>
      </c>
      <c r="U36" s="58">
        <v>0</v>
      </c>
      <c r="V36" s="58">
        <f t="shared" si="95"/>
        <v>2475150</v>
      </c>
      <c r="W36" s="80">
        <f t="shared" si="8"/>
        <v>268</v>
      </c>
      <c r="X36" s="132">
        <f t="shared" si="58"/>
        <v>2.2761194029850746</v>
      </c>
      <c r="Y36" s="183">
        <f t="shared" si="96"/>
        <v>5633736.9402985079</v>
      </c>
      <c r="Z36" s="58">
        <v>0</v>
      </c>
      <c r="AA36" s="80">
        <f t="shared" si="10"/>
        <v>254</v>
      </c>
      <c r="AB36" s="132">
        <f t="shared" si="59"/>
        <v>2.1574803149606301</v>
      </c>
      <c r="AC36" s="183">
        <f t="shared" si="11"/>
        <v>0</v>
      </c>
      <c r="AD36" s="58">
        <v>4093</v>
      </c>
      <c r="AE36" s="80">
        <f t="shared" si="12"/>
        <v>273</v>
      </c>
      <c r="AF36" s="132">
        <f t="shared" si="60"/>
        <v>3.0366300366300365</v>
      </c>
      <c r="AG36" s="183">
        <f t="shared" si="97"/>
        <v>12428.926739926739</v>
      </c>
      <c r="AH36" s="58">
        <v>0</v>
      </c>
      <c r="AI36" s="209"/>
      <c r="AJ36" s="58">
        <f t="shared" si="120"/>
        <v>0</v>
      </c>
      <c r="AK36" s="80">
        <f t="shared" si="15"/>
        <v>239</v>
      </c>
      <c r="AL36" s="132">
        <f t="shared" si="61"/>
        <v>2.1966527196652721</v>
      </c>
      <c r="AM36" s="183">
        <f t="shared" si="98"/>
        <v>0</v>
      </c>
      <c r="AN36" s="58">
        <v>3436975</v>
      </c>
      <c r="AO36" s="80">
        <f t="shared" si="17"/>
        <v>265</v>
      </c>
      <c r="AP36" s="132">
        <f t="shared" si="62"/>
        <v>2.1433962264150943</v>
      </c>
      <c r="AQ36" s="183">
        <f t="shared" si="99"/>
        <v>7366799.2452830188</v>
      </c>
      <c r="AR36" s="58">
        <v>2556897</v>
      </c>
      <c r="AS36" s="80">
        <f t="shared" si="19"/>
        <v>274</v>
      </c>
      <c r="AT36" s="132">
        <f t="shared" si="63"/>
        <v>2.4963503649635035</v>
      </c>
      <c r="AU36" s="183">
        <f t="shared" si="100"/>
        <v>6382910.7591240872</v>
      </c>
      <c r="AV36" s="58">
        <v>390079</v>
      </c>
      <c r="AW36" s="80">
        <f t="shared" si="21"/>
        <v>245</v>
      </c>
      <c r="AX36" s="132">
        <f t="shared" si="64"/>
        <v>2.1469387755102041</v>
      </c>
      <c r="AY36" s="183">
        <f t="shared" si="101"/>
        <v>837475.73061224492</v>
      </c>
      <c r="AZ36" s="58">
        <v>1553188</v>
      </c>
      <c r="BA36" s="80">
        <f t="shared" si="23"/>
        <v>235</v>
      </c>
      <c r="BB36" s="132">
        <f t="shared" si="65"/>
        <v>2.6127659574468085</v>
      </c>
      <c r="BC36" s="183">
        <f t="shared" si="102"/>
        <v>4058116.7319148937</v>
      </c>
      <c r="BD36" s="209">
        <v>3846526</v>
      </c>
      <c r="BE36" s="58">
        <f t="shared" si="103"/>
        <v>3169537.4239999996</v>
      </c>
      <c r="BF36" s="80">
        <f t="shared" si="26"/>
        <v>218</v>
      </c>
      <c r="BG36" s="132">
        <f t="shared" si="66"/>
        <v>2.8073394495412844</v>
      </c>
      <c r="BH36" s="183">
        <f t="shared" si="104"/>
        <v>8897967.4471926596</v>
      </c>
      <c r="BI36" s="58">
        <f t="shared" si="105"/>
        <v>676988.576</v>
      </c>
      <c r="BJ36" s="80">
        <f t="shared" si="29"/>
        <v>199</v>
      </c>
      <c r="BK36" s="132">
        <f t="shared" si="67"/>
        <v>3.2763819095477387</v>
      </c>
      <c r="BL36" s="183">
        <f t="shared" si="106"/>
        <v>2218073.1233768845</v>
      </c>
      <c r="BM36" s="58">
        <v>1872344</v>
      </c>
      <c r="BN36" s="80">
        <f t="shared" si="31"/>
        <v>245</v>
      </c>
      <c r="BO36" s="132">
        <f t="shared" si="68"/>
        <v>2.0775510204081633</v>
      </c>
      <c r="BP36" s="183">
        <f t="shared" si="107"/>
        <v>3889890.1877551023</v>
      </c>
      <c r="BQ36" s="58">
        <v>1025140</v>
      </c>
      <c r="BR36" s="58"/>
      <c r="BS36" s="58">
        <f t="shared" si="108"/>
        <v>1025140</v>
      </c>
      <c r="BT36" s="80">
        <f t="shared" si="34"/>
        <v>213</v>
      </c>
      <c r="BU36" s="132">
        <f t="shared" si="69"/>
        <v>1.6666666666666667</v>
      </c>
      <c r="BV36" s="183">
        <f t="shared" si="109"/>
        <v>1708566.6666666667</v>
      </c>
      <c r="BW36" s="195">
        <v>240150</v>
      </c>
      <c r="BX36" s="80">
        <f t="shared" si="36"/>
        <v>282</v>
      </c>
      <c r="BY36" s="132">
        <f t="shared" si="70"/>
        <v>2.5886524822695036</v>
      </c>
      <c r="BZ36" s="212">
        <f t="shared" si="110"/>
        <v>621664.89361702127</v>
      </c>
      <c r="CA36" s="195">
        <v>0</v>
      </c>
      <c r="CB36" s="80">
        <f t="shared" si="38"/>
        <v>282</v>
      </c>
      <c r="CC36" s="132">
        <f t="shared" si="71"/>
        <v>2.5886524822695036</v>
      </c>
      <c r="CD36" s="212">
        <f t="shared" si="111"/>
        <v>0</v>
      </c>
      <c r="CE36" s="58">
        <v>367388</v>
      </c>
      <c r="CF36" s="58">
        <v>0</v>
      </c>
      <c r="CG36" s="58">
        <f t="shared" si="112"/>
        <v>367388</v>
      </c>
      <c r="CH36" s="194">
        <f t="shared" si="113"/>
        <v>110216.4</v>
      </c>
      <c r="CI36" s="58">
        <v>499290</v>
      </c>
      <c r="CJ36" s="58">
        <v>0</v>
      </c>
      <c r="CK36" s="58">
        <f t="shared" si="114"/>
        <v>499290</v>
      </c>
      <c r="CL36" s="80">
        <f t="shared" si="43"/>
        <v>234</v>
      </c>
      <c r="CM36" s="135">
        <f t="shared" si="72"/>
        <v>2.2222222222222223</v>
      </c>
      <c r="CN36" s="183">
        <f t="shared" si="44"/>
        <v>1109533.3333333335</v>
      </c>
      <c r="CO36" s="58">
        <v>5646138</v>
      </c>
      <c r="CP36" s="58">
        <v>866</v>
      </c>
      <c r="CQ36" s="58">
        <v>0</v>
      </c>
      <c r="CR36" s="195">
        <f t="shared" si="115"/>
        <v>5645272</v>
      </c>
      <c r="CS36" s="80">
        <f t="shared" si="46"/>
        <v>256</v>
      </c>
      <c r="CT36" s="327">
        <f t="shared" si="73"/>
        <v>2.69921875</v>
      </c>
      <c r="CU36" s="183">
        <f t="shared" si="47"/>
        <v>15237824.03125</v>
      </c>
      <c r="CV36" s="195">
        <v>385912</v>
      </c>
      <c r="CW36" s="80">
        <f t="shared" si="48"/>
        <v>234</v>
      </c>
      <c r="CX36" s="135">
        <f t="shared" si="74"/>
        <v>2.2222222222222223</v>
      </c>
      <c r="CY36" s="183">
        <f t="shared" si="116"/>
        <v>857582.22222222225</v>
      </c>
      <c r="CZ36" s="58">
        <v>1513354</v>
      </c>
      <c r="DA36" s="80">
        <f t="shared" si="50"/>
        <v>243</v>
      </c>
      <c r="DB36" s="327">
        <f t="shared" si="75"/>
        <v>2.6748971193415638</v>
      </c>
      <c r="DC36" s="183">
        <f t="shared" si="117"/>
        <v>4048066.2551440331</v>
      </c>
      <c r="DD36" s="58">
        <f>490700+72156</f>
        <v>562856</v>
      </c>
      <c r="DE36" s="58">
        <v>490700</v>
      </c>
      <c r="DF36" s="58">
        <v>0</v>
      </c>
      <c r="DG36" s="58">
        <f t="shared" si="118"/>
        <v>562856</v>
      </c>
      <c r="DH36" s="58">
        <f t="shared" si="121"/>
        <v>281428</v>
      </c>
      <c r="DI36" s="80">
        <f t="shared" si="54"/>
        <v>284</v>
      </c>
      <c r="DJ36" s="332">
        <f t="shared" si="76"/>
        <v>3.056338028169014</v>
      </c>
      <c r="DK36" s="183">
        <f t="shared" si="55"/>
        <v>860139.09859154932</v>
      </c>
    </row>
    <row r="37" spans="1:115">
      <c r="A37" s="213">
        <v>1982</v>
      </c>
      <c r="B37" s="58">
        <v>246093</v>
      </c>
      <c r="C37" s="58">
        <v>0</v>
      </c>
      <c r="D37" s="58">
        <f t="shared" si="90"/>
        <v>246093</v>
      </c>
      <c r="E37" s="194">
        <f t="shared" si="91"/>
        <v>172265.09999999998</v>
      </c>
      <c r="F37" s="58">
        <v>604025</v>
      </c>
      <c r="G37" s="58">
        <v>604026</v>
      </c>
      <c r="H37" s="209">
        <f t="shared" si="92"/>
        <v>-1</v>
      </c>
      <c r="I37" s="214">
        <v>229</v>
      </c>
      <c r="J37" s="132">
        <f t="shared" si="56"/>
        <v>2.2707423580786026</v>
      </c>
      <c r="K37" s="183">
        <f t="shared" si="93"/>
        <v>-2.2707423580786026</v>
      </c>
      <c r="L37" s="58">
        <v>1903511</v>
      </c>
      <c r="M37" s="58">
        <v>0</v>
      </c>
      <c r="N37" s="58">
        <v>0</v>
      </c>
      <c r="O37" s="58">
        <f t="shared" si="94"/>
        <v>1903511</v>
      </c>
      <c r="P37" s="80">
        <f t="shared" si="5"/>
        <v>252</v>
      </c>
      <c r="Q37" s="132">
        <f t="shared" si="57"/>
        <v>2.3611111111111112</v>
      </c>
      <c r="R37" s="193">
        <f t="shared" si="6"/>
        <v>4494400.972222222</v>
      </c>
      <c r="S37" s="58">
        <v>1860287</v>
      </c>
      <c r="T37" s="58">
        <v>0</v>
      </c>
      <c r="U37" s="58">
        <v>0</v>
      </c>
      <c r="V37" s="58">
        <f t="shared" si="95"/>
        <v>1860287</v>
      </c>
      <c r="W37" s="80">
        <f t="shared" si="8"/>
        <v>251</v>
      </c>
      <c r="X37" s="132">
        <f t="shared" si="58"/>
        <v>2.4302788844621515</v>
      </c>
      <c r="Y37" s="183">
        <f t="shared" si="96"/>
        <v>4521016.2151394421</v>
      </c>
      <c r="Z37" s="58">
        <v>0</v>
      </c>
      <c r="AA37" s="80">
        <f t="shared" si="10"/>
        <v>248</v>
      </c>
      <c r="AB37" s="132">
        <f t="shared" si="59"/>
        <v>2.2096774193548385</v>
      </c>
      <c r="AC37" s="183">
        <f t="shared" si="11"/>
        <v>0</v>
      </c>
      <c r="AD37" s="58">
        <v>0</v>
      </c>
      <c r="AE37" s="80">
        <f t="shared" si="12"/>
        <v>269</v>
      </c>
      <c r="AF37" s="132">
        <f t="shared" si="60"/>
        <v>3.0817843866171004</v>
      </c>
      <c r="AG37" s="183">
        <f t="shared" si="97"/>
        <v>0</v>
      </c>
      <c r="AH37" s="58">
        <v>0</v>
      </c>
      <c r="AI37" s="209"/>
      <c r="AJ37" s="58">
        <f t="shared" si="120"/>
        <v>0</v>
      </c>
      <c r="AK37" s="80">
        <f t="shared" si="15"/>
        <v>227</v>
      </c>
      <c r="AL37" s="132">
        <f t="shared" si="61"/>
        <v>2.3127753303964758</v>
      </c>
      <c r="AM37" s="183">
        <f t="shared" si="98"/>
        <v>0</v>
      </c>
      <c r="AN37" s="58">
        <v>3054312</v>
      </c>
      <c r="AO37" s="80">
        <f t="shared" si="17"/>
        <v>260</v>
      </c>
      <c r="AP37" s="132">
        <f t="shared" si="62"/>
        <v>2.1846153846153844</v>
      </c>
      <c r="AQ37" s="183">
        <f t="shared" si="99"/>
        <v>6672496.9846153837</v>
      </c>
      <c r="AR37" s="58">
        <v>2262543</v>
      </c>
      <c r="AS37" s="80">
        <f t="shared" si="19"/>
        <v>261</v>
      </c>
      <c r="AT37" s="132">
        <f t="shared" si="63"/>
        <v>2.6206896551724137</v>
      </c>
      <c r="AU37" s="183">
        <f t="shared" si="100"/>
        <v>5929423.0344827585</v>
      </c>
      <c r="AV37" s="58">
        <v>383860</v>
      </c>
      <c r="AW37" s="80">
        <f t="shared" si="21"/>
        <v>232</v>
      </c>
      <c r="AX37" s="132">
        <f t="shared" si="64"/>
        <v>2.2672413793103448</v>
      </c>
      <c r="AY37" s="183">
        <f t="shared" si="101"/>
        <v>870303.27586206899</v>
      </c>
      <c r="AZ37" s="58">
        <v>1213777</v>
      </c>
      <c r="BA37" s="80">
        <f t="shared" si="23"/>
        <v>233</v>
      </c>
      <c r="BB37" s="132">
        <f t="shared" si="65"/>
        <v>2.6351931330472103</v>
      </c>
      <c r="BC37" s="183">
        <f t="shared" si="102"/>
        <v>3198536.8154506437</v>
      </c>
      <c r="BD37" s="209">
        <v>2549676</v>
      </c>
      <c r="BE37" s="58">
        <f t="shared" si="103"/>
        <v>2100933.0239999997</v>
      </c>
      <c r="BF37" s="80">
        <f t="shared" si="26"/>
        <v>215</v>
      </c>
      <c r="BG37" s="132">
        <f t="shared" si="66"/>
        <v>2.8465116279069766</v>
      </c>
      <c r="BH37" s="183">
        <f t="shared" si="104"/>
        <v>5980330.2822697666</v>
      </c>
      <c r="BI37" s="58">
        <f t="shared" si="105"/>
        <v>448742.97599999997</v>
      </c>
      <c r="BJ37" s="80">
        <f t="shared" si="29"/>
        <v>197</v>
      </c>
      <c r="BK37" s="132">
        <f t="shared" si="67"/>
        <v>3.3096446700507616</v>
      </c>
      <c r="BL37" s="183">
        <f t="shared" si="106"/>
        <v>1485179.7987411167</v>
      </c>
      <c r="BM37" s="58">
        <v>1478352</v>
      </c>
      <c r="BN37" s="80">
        <f t="shared" si="31"/>
        <v>239</v>
      </c>
      <c r="BO37" s="132">
        <f t="shared" si="68"/>
        <v>2.1297071129707112</v>
      </c>
      <c r="BP37" s="183">
        <f t="shared" si="107"/>
        <v>3148456.7698744768</v>
      </c>
      <c r="BQ37" s="58">
        <v>1231772</v>
      </c>
      <c r="BR37" s="58"/>
      <c r="BS37" s="58">
        <f t="shared" si="108"/>
        <v>1231772</v>
      </c>
      <c r="BT37" s="80">
        <f t="shared" si="34"/>
        <v>201</v>
      </c>
      <c r="BU37" s="132">
        <f t="shared" si="69"/>
        <v>1.7661691542288558</v>
      </c>
      <c r="BV37" s="183">
        <f t="shared" si="109"/>
        <v>2175517.7114427863</v>
      </c>
      <c r="BW37" s="195">
        <v>169089</v>
      </c>
      <c r="BX37" s="80">
        <f t="shared" si="36"/>
        <v>280</v>
      </c>
      <c r="BY37" s="132">
        <f t="shared" si="70"/>
        <v>2.6071428571428572</v>
      </c>
      <c r="BZ37" s="212">
        <f t="shared" si="110"/>
        <v>440839.17857142858</v>
      </c>
      <c r="CA37" s="195">
        <v>0</v>
      </c>
      <c r="CB37" s="80">
        <f t="shared" si="38"/>
        <v>280</v>
      </c>
      <c r="CC37" s="132">
        <f t="shared" si="71"/>
        <v>2.6071428571428572</v>
      </c>
      <c r="CD37" s="212">
        <f t="shared" si="111"/>
        <v>0</v>
      </c>
      <c r="CE37" s="58">
        <v>246093</v>
      </c>
      <c r="CF37" s="58">
        <v>0</v>
      </c>
      <c r="CG37" s="58">
        <f t="shared" si="112"/>
        <v>246093</v>
      </c>
      <c r="CH37" s="194">
        <f t="shared" si="113"/>
        <v>73827.899999999994</v>
      </c>
      <c r="CI37" s="58">
        <v>63211</v>
      </c>
      <c r="CJ37" s="58">
        <v>0</v>
      </c>
      <c r="CK37" s="58">
        <f t="shared" si="114"/>
        <v>63211</v>
      </c>
      <c r="CL37" s="80">
        <f t="shared" si="43"/>
        <v>229</v>
      </c>
      <c r="CM37" s="135">
        <f t="shared" si="72"/>
        <v>2.2707423580786026</v>
      </c>
      <c r="CN37" s="183">
        <f t="shared" si="44"/>
        <v>143535.89519650655</v>
      </c>
      <c r="CO37" s="58">
        <v>2655032</v>
      </c>
      <c r="CP37" s="58">
        <v>0</v>
      </c>
      <c r="CQ37" s="58">
        <v>0</v>
      </c>
      <c r="CR37" s="195">
        <f t="shared" si="115"/>
        <v>2655032</v>
      </c>
      <c r="CS37" s="80">
        <f t="shared" si="46"/>
        <v>253</v>
      </c>
      <c r="CT37" s="327">
        <f t="shared" si="73"/>
        <v>2.731225296442688</v>
      </c>
      <c r="CU37" s="183">
        <f t="shared" si="47"/>
        <v>7251490.5612648223</v>
      </c>
      <c r="CV37" s="195">
        <v>683031</v>
      </c>
      <c r="CW37" s="80">
        <f t="shared" si="48"/>
        <v>229</v>
      </c>
      <c r="CX37" s="135">
        <f t="shared" si="74"/>
        <v>2.2707423580786026</v>
      </c>
      <c r="CY37" s="183">
        <f t="shared" si="116"/>
        <v>1550987.423580786</v>
      </c>
      <c r="CZ37" s="58">
        <v>2656849</v>
      </c>
      <c r="DA37" s="80">
        <f t="shared" si="50"/>
        <v>241</v>
      </c>
      <c r="DB37" s="327">
        <f t="shared" si="75"/>
        <v>2.6970954356846475</v>
      </c>
      <c r="DC37" s="183">
        <f t="shared" si="117"/>
        <v>7165775.3112033196</v>
      </c>
      <c r="DD37" s="58">
        <v>0</v>
      </c>
      <c r="DE37" s="58">
        <v>0</v>
      </c>
      <c r="DF37" s="58">
        <v>0</v>
      </c>
      <c r="DG37" s="58">
        <f t="shared" si="118"/>
        <v>0</v>
      </c>
      <c r="DH37" s="58">
        <f t="shared" si="121"/>
        <v>0</v>
      </c>
      <c r="DI37" s="80">
        <f t="shared" si="54"/>
        <v>274</v>
      </c>
      <c r="DJ37" s="332">
        <f t="shared" si="76"/>
        <v>3.167883211678832</v>
      </c>
      <c r="DK37" s="183">
        <f t="shared" si="55"/>
        <v>0</v>
      </c>
    </row>
    <row r="38" spans="1:115">
      <c r="A38" s="213">
        <v>1981</v>
      </c>
      <c r="B38" s="58">
        <v>68933</v>
      </c>
      <c r="C38" s="58">
        <v>0</v>
      </c>
      <c r="D38" s="58">
        <f t="shared" si="90"/>
        <v>68933</v>
      </c>
      <c r="E38" s="194">
        <f t="shared" si="91"/>
        <v>48253.1</v>
      </c>
      <c r="F38" s="58">
        <v>0</v>
      </c>
      <c r="G38" s="58">
        <v>0</v>
      </c>
      <c r="H38" s="209">
        <f t="shared" si="92"/>
        <v>0</v>
      </c>
      <c r="I38" s="214">
        <v>225</v>
      </c>
      <c r="J38" s="132">
        <f t="shared" si="56"/>
        <v>2.3111111111111109</v>
      </c>
      <c r="K38" s="183">
        <f t="shared" si="93"/>
        <v>0</v>
      </c>
      <c r="L38" s="58">
        <v>840774</v>
      </c>
      <c r="M38" s="58">
        <v>0</v>
      </c>
      <c r="N38" s="58">
        <v>0</v>
      </c>
      <c r="O38" s="58">
        <f t="shared" si="94"/>
        <v>840774</v>
      </c>
      <c r="P38" s="80">
        <f t="shared" si="5"/>
        <v>233</v>
      </c>
      <c r="Q38" s="132">
        <f t="shared" si="57"/>
        <v>2.5536480686695278</v>
      </c>
      <c r="R38" s="193">
        <f t="shared" si="6"/>
        <v>2147040.9012875534</v>
      </c>
      <c r="S38" s="58">
        <v>696545</v>
      </c>
      <c r="T38" s="58">
        <v>0</v>
      </c>
      <c r="U38" s="58">
        <v>0</v>
      </c>
      <c r="V38" s="58">
        <f t="shared" si="95"/>
        <v>696545</v>
      </c>
      <c r="W38" s="80">
        <f t="shared" si="8"/>
        <v>241</v>
      </c>
      <c r="X38" s="132">
        <f t="shared" si="58"/>
        <v>2.5311203319502074</v>
      </c>
      <c r="Y38" s="183">
        <f t="shared" si="96"/>
        <v>1763039.2116182572</v>
      </c>
      <c r="Z38" s="58">
        <v>0</v>
      </c>
      <c r="AA38" s="80">
        <f t="shared" si="10"/>
        <v>226</v>
      </c>
      <c r="AB38" s="132">
        <f t="shared" si="59"/>
        <v>2.4247787610619471</v>
      </c>
      <c r="AC38" s="183">
        <f t="shared" si="11"/>
        <v>0</v>
      </c>
      <c r="AD38" s="58">
        <v>0</v>
      </c>
      <c r="AE38" s="80">
        <f t="shared" si="12"/>
        <v>244</v>
      </c>
      <c r="AF38" s="132">
        <f t="shared" si="60"/>
        <v>3.3975409836065573</v>
      </c>
      <c r="AG38" s="183">
        <f t="shared" si="97"/>
        <v>0</v>
      </c>
      <c r="AH38" s="58">
        <v>0</v>
      </c>
      <c r="AI38" s="209"/>
      <c r="AJ38" s="58">
        <f t="shared" si="120"/>
        <v>0</v>
      </c>
      <c r="AK38" s="80">
        <f t="shared" si="15"/>
        <v>203</v>
      </c>
      <c r="AL38" s="132">
        <f t="shared" si="61"/>
        <v>2.5862068965517242</v>
      </c>
      <c r="AM38" s="183">
        <f t="shared" si="98"/>
        <v>0</v>
      </c>
      <c r="AN38" s="58">
        <v>4281005</v>
      </c>
      <c r="AO38" s="80">
        <f t="shared" si="17"/>
        <v>242</v>
      </c>
      <c r="AP38" s="132">
        <f t="shared" si="62"/>
        <v>2.3471074380165291</v>
      </c>
      <c r="AQ38" s="183">
        <f t="shared" si="99"/>
        <v>10047978.677685952</v>
      </c>
      <c r="AR38" s="58">
        <v>2602278</v>
      </c>
      <c r="AS38" s="80">
        <f t="shared" si="19"/>
        <v>243</v>
      </c>
      <c r="AT38" s="132">
        <f t="shared" si="63"/>
        <v>2.8148148148148149</v>
      </c>
      <c r="AU38" s="183">
        <f t="shared" si="100"/>
        <v>7324930.666666667</v>
      </c>
      <c r="AV38" s="58">
        <v>362835</v>
      </c>
      <c r="AW38" s="80">
        <f t="shared" si="21"/>
        <v>217</v>
      </c>
      <c r="AX38" s="132">
        <f t="shared" si="64"/>
        <v>2.4239631336405529</v>
      </c>
      <c r="AY38" s="183">
        <f t="shared" si="101"/>
        <v>879498.66359447001</v>
      </c>
      <c r="AZ38" s="58">
        <v>902049</v>
      </c>
      <c r="BA38" s="80">
        <f t="shared" si="23"/>
        <v>230</v>
      </c>
      <c r="BB38" s="132">
        <f t="shared" si="65"/>
        <v>2.6695652173913045</v>
      </c>
      <c r="BC38" s="183">
        <f t="shared" si="102"/>
        <v>2408078.6347826086</v>
      </c>
      <c r="BD38" s="209">
        <v>3317468</v>
      </c>
      <c r="BE38" s="58">
        <f t="shared" si="103"/>
        <v>2733593.6319999998</v>
      </c>
      <c r="BF38" s="80">
        <f t="shared" si="26"/>
        <v>199</v>
      </c>
      <c r="BG38" s="132">
        <f t="shared" si="66"/>
        <v>3.0753768844221105</v>
      </c>
      <c r="BH38" s="183">
        <f t="shared" si="104"/>
        <v>8406830.6672562808</v>
      </c>
      <c r="BI38" s="58">
        <f t="shared" si="105"/>
        <v>583874.36800000002</v>
      </c>
      <c r="BJ38" s="80">
        <f t="shared" si="29"/>
        <v>196</v>
      </c>
      <c r="BK38" s="132">
        <f t="shared" si="67"/>
        <v>3.3265306122448979</v>
      </c>
      <c r="BL38" s="183">
        <f t="shared" si="106"/>
        <v>1942275.9588571428</v>
      </c>
      <c r="BM38" s="58">
        <v>1828823</v>
      </c>
      <c r="BN38" s="80">
        <f t="shared" si="31"/>
        <v>224</v>
      </c>
      <c r="BO38" s="132">
        <f t="shared" si="68"/>
        <v>2.2723214285714284</v>
      </c>
      <c r="BP38" s="183">
        <f t="shared" si="107"/>
        <v>4155673.6919642854</v>
      </c>
      <c r="BQ38" s="58">
        <v>517353</v>
      </c>
      <c r="BR38" s="58"/>
      <c r="BS38" s="58">
        <f t="shared" si="108"/>
        <v>517353</v>
      </c>
      <c r="BT38" s="80">
        <f t="shared" si="34"/>
        <v>172</v>
      </c>
      <c r="BU38" s="132">
        <f t="shared" si="69"/>
        <v>2.0639534883720931</v>
      </c>
      <c r="BV38" s="183">
        <f t="shared" si="109"/>
        <v>1067792.5290697676</v>
      </c>
      <c r="BW38" s="195">
        <v>359957</v>
      </c>
      <c r="BX38" s="80">
        <f t="shared" si="36"/>
        <v>261</v>
      </c>
      <c r="BY38" s="132">
        <f t="shared" si="70"/>
        <v>2.7969348659003832</v>
      </c>
      <c r="BZ38" s="212">
        <f t="shared" si="110"/>
        <v>1006776.2835249043</v>
      </c>
      <c r="CA38" s="195">
        <v>0</v>
      </c>
      <c r="CB38" s="195"/>
      <c r="CD38" s="212">
        <v>0</v>
      </c>
      <c r="CE38" s="58">
        <v>68933</v>
      </c>
      <c r="CF38" s="58">
        <v>0</v>
      </c>
      <c r="CG38" s="58">
        <f t="shared" si="112"/>
        <v>68933</v>
      </c>
      <c r="CH38" s="194">
        <f t="shared" si="113"/>
        <v>20679.899999999998</v>
      </c>
      <c r="CI38" s="58">
        <v>23069</v>
      </c>
      <c r="CJ38" s="58">
        <v>0</v>
      </c>
      <c r="CK38" s="58">
        <f t="shared" si="114"/>
        <v>23069</v>
      </c>
      <c r="CL38" s="80">
        <f t="shared" si="43"/>
        <v>225</v>
      </c>
      <c r="CM38" s="135">
        <f t="shared" si="72"/>
        <v>2.3111111111111109</v>
      </c>
      <c r="CN38" s="183">
        <f t="shared" si="44"/>
        <v>53315.022222222215</v>
      </c>
      <c r="CO38" s="58">
        <v>5435268</v>
      </c>
      <c r="CP38" s="58">
        <v>0</v>
      </c>
      <c r="CQ38" s="58">
        <v>0</v>
      </c>
      <c r="CR38" s="195">
        <f t="shared" si="115"/>
        <v>5435268</v>
      </c>
      <c r="CS38" s="80">
        <f t="shared" si="46"/>
        <v>237</v>
      </c>
      <c r="CT38" s="327">
        <f t="shared" si="73"/>
        <v>2.9156118143459917</v>
      </c>
      <c r="CU38" s="183">
        <f t="shared" si="47"/>
        <v>15847131.59493671</v>
      </c>
      <c r="CV38" s="195">
        <v>116056</v>
      </c>
      <c r="CW38" s="80">
        <f t="shared" si="48"/>
        <v>225</v>
      </c>
      <c r="CX38" s="135">
        <f t="shared" si="74"/>
        <v>2.3111111111111109</v>
      </c>
      <c r="CY38" s="183">
        <f t="shared" si="116"/>
        <v>268218.31111111108</v>
      </c>
      <c r="CZ38" s="58">
        <v>3080714</v>
      </c>
      <c r="DA38" s="80">
        <f t="shared" si="50"/>
        <v>223</v>
      </c>
      <c r="DB38" s="327">
        <f t="shared" si="75"/>
        <v>2.9147982062780269</v>
      </c>
      <c r="DC38" s="183">
        <f t="shared" si="117"/>
        <v>8979659.641255606</v>
      </c>
      <c r="DD38" s="58">
        <v>168853</v>
      </c>
      <c r="DE38" s="58">
        <v>168853</v>
      </c>
      <c r="DF38" s="58">
        <v>0</v>
      </c>
      <c r="DG38" s="58">
        <f t="shared" si="118"/>
        <v>168853</v>
      </c>
      <c r="DH38" s="58">
        <f t="shared" si="121"/>
        <v>84426.5</v>
      </c>
      <c r="DI38" s="80">
        <f t="shared" si="54"/>
        <v>242</v>
      </c>
      <c r="DJ38" s="332">
        <f t="shared" si="76"/>
        <v>3.5867768595041323</v>
      </c>
      <c r="DK38" s="183">
        <f t="shared" si="55"/>
        <v>302819.01652892563</v>
      </c>
    </row>
    <row r="39" spans="1:115">
      <c r="A39" s="213">
        <v>1980</v>
      </c>
      <c r="B39" s="58">
        <v>140611</v>
      </c>
      <c r="C39" s="58">
        <v>0</v>
      </c>
      <c r="D39" s="58">
        <f t="shared" si="90"/>
        <v>140611</v>
      </c>
      <c r="E39" s="194">
        <f t="shared" si="91"/>
        <v>98427.7</v>
      </c>
      <c r="F39" s="58">
        <v>5044</v>
      </c>
      <c r="G39" s="58">
        <v>0</v>
      </c>
      <c r="H39" s="209">
        <f t="shared" si="92"/>
        <v>5044</v>
      </c>
      <c r="I39" s="214">
        <v>210</v>
      </c>
      <c r="J39" s="132">
        <f t="shared" si="56"/>
        <v>2.4761904761904763</v>
      </c>
      <c r="K39" s="183">
        <f t="shared" si="93"/>
        <v>12489.904761904761</v>
      </c>
      <c r="L39" s="58">
        <v>762669</v>
      </c>
      <c r="M39" s="58">
        <v>0</v>
      </c>
      <c r="N39" s="58">
        <v>0</v>
      </c>
      <c r="O39" s="58">
        <f t="shared" si="94"/>
        <v>762669</v>
      </c>
      <c r="P39" s="80">
        <f t="shared" si="5"/>
        <v>211</v>
      </c>
      <c r="Q39" s="132">
        <f t="shared" si="57"/>
        <v>2.8199052132701423</v>
      </c>
      <c r="R39" s="193">
        <f t="shared" si="6"/>
        <v>2150654.2890995261</v>
      </c>
      <c r="S39" s="58">
        <v>966034</v>
      </c>
      <c r="T39" s="58">
        <v>0</v>
      </c>
      <c r="U39" s="58">
        <v>0</v>
      </c>
      <c r="V39" s="58">
        <f t="shared" si="95"/>
        <v>966034</v>
      </c>
      <c r="W39" s="80">
        <f t="shared" si="8"/>
        <v>220</v>
      </c>
      <c r="X39" s="132">
        <f t="shared" si="58"/>
        <v>2.7727272727272729</v>
      </c>
      <c r="Y39" s="183">
        <f t="shared" si="96"/>
        <v>2678548.8181818184</v>
      </c>
      <c r="Z39" s="58">
        <v>0</v>
      </c>
      <c r="AA39" s="80">
        <f t="shared" si="10"/>
        <v>205</v>
      </c>
      <c r="AB39" s="132">
        <f t="shared" si="59"/>
        <v>2.6731707317073172</v>
      </c>
      <c r="AC39" s="183">
        <f t="shared" si="11"/>
        <v>0</v>
      </c>
      <c r="AD39" s="58">
        <v>0</v>
      </c>
      <c r="AE39" s="80">
        <f t="shared" si="12"/>
        <v>221</v>
      </c>
      <c r="AF39" s="132">
        <f t="shared" si="60"/>
        <v>3.751131221719457</v>
      </c>
      <c r="AG39" s="183">
        <f t="shared" si="97"/>
        <v>0</v>
      </c>
      <c r="AH39" s="58">
        <v>0</v>
      </c>
      <c r="AI39" s="209"/>
      <c r="AJ39" s="58">
        <f t="shared" si="120"/>
        <v>0</v>
      </c>
      <c r="AK39" s="80">
        <f t="shared" si="15"/>
        <v>184</v>
      </c>
      <c r="AL39" s="132">
        <f t="shared" si="61"/>
        <v>2.8532608695652173</v>
      </c>
      <c r="AM39" s="183">
        <f t="shared" si="98"/>
        <v>0</v>
      </c>
      <c r="AN39" s="58">
        <v>3623122</v>
      </c>
      <c r="AO39" s="80">
        <f t="shared" si="17"/>
        <v>220</v>
      </c>
      <c r="AP39" s="132">
        <f t="shared" si="62"/>
        <v>2.581818181818182</v>
      </c>
      <c r="AQ39" s="183">
        <f t="shared" si="99"/>
        <v>9354242.2545454558</v>
      </c>
      <c r="AR39" s="58">
        <v>2247702</v>
      </c>
      <c r="AS39" s="80">
        <f t="shared" si="19"/>
        <v>221</v>
      </c>
      <c r="AT39" s="132">
        <f t="shared" si="63"/>
        <v>3.0950226244343892</v>
      </c>
      <c r="AU39" s="183">
        <f t="shared" si="100"/>
        <v>6956688.5429864256</v>
      </c>
      <c r="AV39" s="58">
        <v>375227</v>
      </c>
      <c r="AW39" s="80">
        <f t="shared" si="21"/>
        <v>198</v>
      </c>
      <c r="AX39" s="132">
        <f t="shared" si="64"/>
        <v>2.6565656565656566</v>
      </c>
      <c r="AY39" s="183">
        <f t="shared" si="101"/>
        <v>996815.16161616158</v>
      </c>
      <c r="AZ39" s="58">
        <v>669554</v>
      </c>
      <c r="BA39" s="80">
        <f t="shared" si="23"/>
        <v>224</v>
      </c>
      <c r="BB39" s="132">
        <f t="shared" si="65"/>
        <v>2.7410714285714284</v>
      </c>
      <c r="BC39" s="183">
        <f t="shared" si="102"/>
        <v>1835295.3392857141</v>
      </c>
      <c r="BD39" s="209">
        <v>2764401</v>
      </c>
      <c r="BE39" s="58">
        <f t="shared" si="103"/>
        <v>2277866.4239999996</v>
      </c>
      <c r="BF39" s="80">
        <f t="shared" si="26"/>
        <v>170</v>
      </c>
      <c r="BG39" s="132">
        <f t="shared" si="66"/>
        <v>3.6</v>
      </c>
      <c r="BH39" s="183">
        <f t="shared" si="104"/>
        <v>8200319.1263999986</v>
      </c>
      <c r="BI39" s="58">
        <f t="shared" si="105"/>
        <v>486534.57599999994</v>
      </c>
      <c r="BJ39" s="80">
        <f t="shared" si="29"/>
        <v>167</v>
      </c>
      <c r="BK39" s="132">
        <f t="shared" si="67"/>
        <v>3.9041916167664672</v>
      </c>
      <c r="BL39" s="183">
        <f t="shared" si="106"/>
        <v>1899524.2128862273</v>
      </c>
      <c r="BM39" s="58">
        <v>1796858</v>
      </c>
      <c r="BN39" s="80">
        <f t="shared" si="31"/>
        <v>207</v>
      </c>
      <c r="BO39" s="132">
        <f t="shared" si="68"/>
        <v>2.4589371980676327</v>
      </c>
      <c r="BP39" s="183">
        <f t="shared" si="107"/>
        <v>4418360.9758454105</v>
      </c>
      <c r="BQ39" s="58">
        <v>385771</v>
      </c>
      <c r="BR39" s="58"/>
      <c r="BS39" s="58">
        <f t="shared" si="108"/>
        <v>385771</v>
      </c>
      <c r="BT39" s="80">
        <f t="shared" si="34"/>
        <v>154</v>
      </c>
      <c r="BU39" s="132">
        <f t="shared" si="69"/>
        <v>2.3051948051948052</v>
      </c>
      <c r="BV39" s="183">
        <f t="shared" si="109"/>
        <v>889277.30519480526</v>
      </c>
      <c r="BW39" s="195">
        <v>333437</v>
      </c>
      <c r="BX39" s="80">
        <f t="shared" si="36"/>
        <v>245</v>
      </c>
      <c r="BY39" s="132">
        <f t="shared" si="70"/>
        <v>2.9795918367346941</v>
      </c>
      <c r="BZ39" s="212">
        <f t="shared" si="110"/>
        <v>993506.16326530615</v>
      </c>
      <c r="CA39" s="195">
        <v>0</v>
      </c>
      <c r="CB39" s="195"/>
      <c r="CD39" s="212">
        <v>0</v>
      </c>
      <c r="CE39" s="58">
        <v>140611</v>
      </c>
      <c r="CF39" s="58">
        <v>0</v>
      </c>
      <c r="CG39" s="58">
        <f t="shared" si="112"/>
        <v>140611</v>
      </c>
      <c r="CH39" s="194">
        <f t="shared" si="113"/>
        <v>42183.299999999996</v>
      </c>
      <c r="CI39" s="58">
        <v>108841</v>
      </c>
      <c r="CJ39" s="58">
        <v>0</v>
      </c>
      <c r="CK39" s="58">
        <f t="shared" si="114"/>
        <v>108841</v>
      </c>
      <c r="CL39" s="80">
        <f t="shared" si="43"/>
        <v>210</v>
      </c>
      <c r="CM39" s="135">
        <f t="shared" si="72"/>
        <v>2.4761904761904763</v>
      </c>
      <c r="CN39" s="183">
        <f t="shared" si="44"/>
        <v>269511.04761904763</v>
      </c>
      <c r="CO39" s="58">
        <v>3017757</v>
      </c>
      <c r="CP39" s="58">
        <v>0</v>
      </c>
      <c r="CQ39" s="58">
        <v>0</v>
      </c>
      <c r="CR39" s="195">
        <f t="shared" si="115"/>
        <v>3017757</v>
      </c>
      <c r="CS39" s="80">
        <f t="shared" si="46"/>
        <v>218</v>
      </c>
      <c r="CT39" s="327">
        <f t="shared" si="73"/>
        <v>3.169724770642202</v>
      </c>
      <c r="CU39" s="183">
        <f t="shared" si="47"/>
        <v>9565459.1146788988</v>
      </c>
      <c r="CV39" s="195">
        <v>836679</v>
      </c>
      <c r="CW39" s="80">
        <f t="shared" si="48"/>
        <v>210</v>
      </c>
      <c r="CX39" s="135">
        <f t="shared" si="74"/>
        <v>2.4761904761904763</v>
      </c>
      <c r="CY39" s="183">
        <f t="shared" si="116"/>
        <v>2071776.5714285716</v>
      </c>
      <c r="CZ39" s="58">
        <v>3419406</v>
      </c>
      <c r="DA39" s="80">
        <f t="shared" si="50"/>
        <v>204</v>
      </c>
      <c r="DB39" s="327">
        <f t="shared" si="75"/>
        <v>3.1862745098039214</v>
      </c>
      <c r="DC39" s="183">
        <f t="shared" si="117"/>
        <v>10895166.176470587</v>
      </c>
      <c r="DD39" s="58">
        <v>124591</v>
      </c>
      <c r="DE39" s="58">
        <v>124591</v>
      </c>
      <c r="DF39" s="58">
        <v>0</v>
      </c>
      <c r="DG39" s="58">
        <f t="shared" si="118"/>
        <v>124591</v>
      </c>
      <c r="DH39" s="58">
        <f t="shared" si="121"/>
        <v>62295.5</v>
      </c>
      <c r="DI39" s="80">
        <f t="shared" si="54"/>
        <v>216</v>
      </c>
      <c r="DJ39" s="332">
        <f t="shared" si="76"/>
        <v>4.0185185185185182</v>
      </c>
      <c r="DK39" s="183">
        <f t="shared" si="55"/>
        <v>250335.62037037034</v>
      </c>
    </row>
    <row r="40" spans="1:115">
      <c r="A40" s="213">
        <v>1979</v>
      </c>
      <c r="B40" s="58">
        <v>90724</v>
      </c>
      <c r="C40" s="58">
        <v>0</v>
      </c>
      <c r="D40" s="58">
        <f t="shared" si="90"/>
        <v>90724</v>
      </c>
      <c r="E40" s="194">
        <f t="shared" si="91"/>
        <v>63506.799999999996</v>
      </c>
      <c r="F40" s="58">
        <v>11826</v>
      </c>
      <c r="G40" s="58">
        <v>0</v>
      </c>
      <c r="H40" s="209">
        <f t="shared" si="92"/>
        <v>11826</v>
      </c>
      <c r="I40" s="214">
        <v>187</v>
      </c>
      <c r="J40" s="132">
        <f t="shared" si="56"/>
        <v>2.7807486631016043</v>
      </c>
      <c r="K40" s="183">
        <f t="shared" si="93"/>
        <v>32885.133689839575</v>
      </c>
      <c r="L40" s="58">
        <v>984183</v>
      </c>
      <c r="M40" s="58">
        <v>0</v>
      </c>
      <c r="N40" s="58">
        <v>0</v>
      </c>
      <c r="O40" s="58">
        <f t="shared" si="94"/>
        <v>984183</v>
      </c>
      <c r="P40" s="80">
        <f t="shared" si="5"/>
        <v>189</v>
      </c>
      <c r="Q40" s="132">
        <f t="shared" si="57"/>
        <v>3.1481481481481484</v>
      </c>
      <c r="R40" s="193">
        <f t="shared" si="6"/>
        <v>3098353.888888889</v>
      </c>
      <c r="S40" s="58">
        <v>696371</v>
      </c>
      <c r="T40" s="58">
        <v>0</v>
      </c>
      <c r="U40" s="58">
        <v>0</v>
      </c>
      <c r="V40" s="58">
        <f t="shared" si="95"/>
        <v>696371</v>
      </c>
      <c r="W40" s="80">
        <f t="shared" si="8"/>
        <v>193</v>
      </c>
      <c r="X40" s="132">
        <f t="shared" si="58"/>
        <v>3.1606217616580312</v>
      </c>
      <c r="Y40" s="183">
        <f t="shared" si="96"/>
        <v>2200965.3367875647</v>
      </c>
      <c r="Z40" s="58">
        <v>0</v>
      </c>
      <c r="AA40" s="80">
        <f t="shared" si="10"/>
        <v>185</v>
      </c>
      <c r="AB40" s="132">
        <f t="shared" si="59"/>
        <v>2.9621621621621621</v>
      </c>
      <c r="AC40" s="183">
        <f t="shared" si="11"/>
        <v>0</v>
      </c>
      <c r="AD40" s="58">
        <v>0</v>
      </c>
      <c r="AE40" s="80">
        <f t="shared" si="12"/>
        <v>189</v>
      </c>
      <c r="AF40" s="132">
        <f t="shared" si="60"/>
        <v>4.3862433862433861</v>
      </c>
      <c r="AG40" s="183">
        <f t="shared" si="97"/>
        <v>0</v>
      </c>
      <c r="AH40" s="58">
        <v>0</v>
      </c>
      <c r="AI40" s="209"/>
      <c r="AJ40" s="58">
        <f t="shared" si="120"/>
        <v>0</v>
      </c>
      <c r="AK40" s="80">
        <f t="shared" si="15"/>
        <v>166</v>
      </c>
      <c r="AL40" s="132">
        <f t="shared" si="61"/>
        <v>3.1626506024096384</v>
      </c>
      <c r="AM40" s="183">
        <f t="shared" si="98"/>
        <v>0</v>
      </c>
      <c r="AN40" s="58">
        <v>4295578</v>
      </c>
      <c r="AO40" s="80">
        <f t="shared" si="17"/>
        <v>197</v>
      </c>
      <c r="AP40" s="132">
        <f t="shared" si="62"/>
        <v>2.8832487309644672</v>
      </c>
      <c r="AQ40" s="183">
        <f t="shared" si="99"/>
        <v>12385219.817258883</v>
      </c>
      <c r="AR40" s="58">
        <v>2518517</v>
      </c>
      <c r="AS40" s="80">
        <f t="shared" si="19"/>
        <v>196</v>
      </c>
      <c r="AT40" s="132">
        <f t="shared" si="63"/>
        <v>3.489795918367347</v>
      </c>
      <c r="AU40" s="183">
        <f t="shared" si="100"/>
        <v>8789110.3469387759</v>
      </c>
      <c r="AV40" s="58">
        <v>388767</v>
      </c>
      <c r="AW40" s="80">
        <f t="shared" si="21"/>
        <v>180</v>
      </c>
      <c r="AX40" s="132">
        <f t="shared" si="64"/>
        <v>2.9222222222222221</v>
      </c>
      <c r="AY40" s="183">
        <f t="shared" si="101"/>
        <v>1136063.5666666667</v>
      </c>
      <c r="AZ40" s="58">
        <v>0</v>
      </c>
      <c r="BA40" s="80">
        <f t="shared" si="23"/>
        <v>194</v>
      </c>
      <c r="BB40" s="132">
        <f t="shared" si="65"/>
        <v>3.1649484536082473</v>
      </c>
      <c r="BC40" s="183">
        <f t="shared" si="102"/>
        <v>0</v>
      </c>
      <c r="BD40" s="209">
        <v>3822527</v>
      </c>
      <c r="BE40" s="58">
        <f t="shared" si="103"/>
        <v>3149762.2479999997</v>
      </c>
      <c r="BF40" s="80">
        <f t="shared" si="26"/>
        <v>168</v>
      </c>
      <c r="BG40" s="132">
        <f t="shared" si="66"/>
        <v>3.6428571428571428</v>
      </c>
      <c r="BH40" s="183">
        <f t="shared" si="104"/>
        <v>11474133.903428569</v>
      </c>
      <c r="BI40" s="58">
        <f t="shared" si="105"/>
        <v>672764.75199999998</v>
      </c>
      <c r="BJ40" s="80">
        <f t="shared" si="29"/>
        <v>144</v>
      </c>
      <c r="BK40" s="132">
        <f t="shared" si="67"/>
        <v>4.5277777777777777</v>
      </c>
      <c r="BL40" s="183">
        <f t="shared" si="106"/>
        <v>3046129.2937777778</v>
      </c>
      <c r="BM40" s="58">
        <v>2150035</v>
      </c>
      <c r="BN40" s="80">
        <f t="shared" si="31"/>
        <v>181</v>
      </c>
      <c r="BO40" s="132">
        <f t="shared" si="68"/>
        <v>2.8121546961325965</v>
      </c>
      <c r="BP40" s="183">
        <f t="shared" si="107"/>
        <v>6046231.0220994474</v>
      </c>
      <c r="BQ40" s="58">
        <v>543349</v>
      </c>
      <c r="BR40" s="58"/>
      <c r="BS40" s="58">
        <f t="shared" si="108"/>
        <v>543349</v>
      </c>
      <c r="BT40" s="80">
        <f t="shared" si="34"/>
        <v>154</v>
      </c>
      <c r="BU40" s="132">
        <f t="shared" si="69"/>
        <v>2.3051948051948052</v>
      </c>
      <c r="BV40" s="183">
        <f t="shared" si="109"/>
        <v>1252525.2922077922</v>
      </c>
      <c r="BW40" s="195">
        <v>269172</v>
      </c>
      <c r="BX40" s="80">
        <f t="shared" si="36"/>
        <v>223</v>
      </c>
      <c r="BY40" s="132">
        <f t="shared" si="70"/>
        <v>3.2735426008968611</v>
      </c>
      <c r="BZ40" s="212">
        <f t="shared" si="110"/>
        <v>881146.00896860985</v>
      </c>
      <c r="CA40" s="195">
        <v>0</v>
      </c>
      <c r="CB40" s="195"/>
      <c r="CD40" s="212">
        <v>0</v>
      </c>
      <c r="CE40" s="58">
        <v>90724</v>
      </c>
      <c r="CF40" s="58">
        <v>0</v>
      </c>
      <c r="CG40" s="58">
        <f t="shared" si="112"/>
        <v>90724</v>
      </c>
      <c r="CH40" s="194">
        <f t="shared" si="113"/>
        <v>27217.200000000001</v>
      </c>
      <c r="CI40" s="58">
        <v>0</v>
      </c>
      <c r="CJ40" s="58">
        <v>0</v>
      </c>
      <c r="CK40" s="58">
        <f t="shared" si="114"/>
        <v>0</v>
      </c>
      <c r="CL40" s="80">
        <f t="shared" si="43"/>
        <v>187</v>
      </c>
      <c r="CM40" s="135">
        <f t="shared" si="72"/>
        <v>2.7807486631016043</v>
      </c>
      <c r="CN40" s="183">
        <f t="shared" si="44"/>
        <v>0</v>
      </c>
      <c r="CO40" s="58">
        <v>1364524</v>
      </c>
      <c r="CP40" s="58">
        <v>0</v>
      </c>
      <c r="CQ40" s="58">
        <v>0</v>
      </c>
      <c r="CR40" s="195">
        <f t="shared" si="115"/>
        <v>1364524</v>
      </c>
      <c r="CS40" s="80">
        <f t="shared" si="46"/>
        <v>197</v>
      </c>
      <c r="CT40" s="327">
        <f t="shared" si="73"/>
        <v>3.5076142131979697</v>
      </c>
      <c r="CU40" s="183">
        <f t="shared" si="47"/>
        <v>4786223.7766497461</v>
      </c>
      <c r="CV40" s="195">
        <v>154633</v>
      </c>
      <c r="CW40" s="80">
        <f t="shared" si="48"/>
        <v>187</v>
      </c>
      <c r="CX40" s="135">
        <f t="shared" si="74"/>
        <v>2.7807486631016043</v>
      </c>
      <c r="CY40" s="183">
        <f t="shared" si="116"/>
        <v>429995.50802139036</v>
      </c>
      <c r="CZ40" s="58">
        <v>2635887</v>
      </c>
      <c r="DA40" s="80">
        <f t="shared" si="50"/>
        <v>187</v>
      </c>
      <c r="DB40" s="327">
        <f t="shared" si="75"/>
        <v>3.4759358288770055</v>
      </c>
      <c r="DC40" s="183">
        <f t="shared" si="117"/>
        <v>9162174.0641711242</v>
      </c>
      <c r="DD40" s="58">
        <v>97088</v>
      </c>
      <c r="DE40" s="58">
        <v>97088</v>
      </c>
      <c r="DF40" s="58">
        <v>0</v>
      </c>
      <c r="DG40" s="58">
        <f t="shared" si="118"/>
        <v>97088</v>
      </c>
      <c r="DH40" s="58">
        <f t="shared" si="121"/>
        <v>48544</v>
      </c>
      <c r="DI40" s="80">
        <f t="shared" si="54"/>
        <v>195</v>
      </c>
      <c r="DJ40" s="332">
        <f t="shared" si="76"/>
        <v>4.4512820512820515</v>
      </c>
      <c r="DK40" s="183">
        <f t="shared" si="55"/>
        <v>216083.03589743591</v>
      </c>
    </row>
    <row r="41" spans="1:115">
      <c r="A41" s="213">
        <v>1978</v>
      </c>
      <c r="B41" s="58">
        <v>120463</v>
      </c>
      <c r="C41" s="58">
        <v>0</v>
      </c>
      <c r="D41" s="58">
        <f t="shared" si="90"/>
        <v>120463</v>
      </c>
      <c r="E41" s="194">
        <f t="shared" si="91"/>
        <v>84324.099999999991</v>
      </c>
      <c r="F41" s="58">
        <v>0</v>
      </c>
      <c r="G41" s="58">
        <v>0</v>
      </c>
      <c r="H41" s="209">
        <f t="shared" si="92"/>
        <v>0</v>
      </c>
      <c r="I41" s="214">
        <v>169</v>
      </c>
      <c r="J41" s="132">
        <f t="shared" si="56"/>
        <v>3.0769230769230771</v>
      </c>
      <c r="K41" s="183">
        <f t="shared" si="93"/>
        <v>0</v>
      </c>
      <c r="L41" s="58">
        <v>826902</v>
      </c>
      <c r="M41" s="58">
        <v>0</v>
      </c>
      <c r="N41" s="58">
        <v>0</v>
      </c>
      <c r="O41" s="58">
        <f t="shared" si="94"/>
        <v>826902</v>
      </c>
      <c r="P41" s="80">
        <f t="shared" ref="P41:P72" si="122">INDEX(HW_Data,MATCH(A41,HW_Year,0),$P$1)</f>
        <v>171</v>
      </c>
      <c r="Q41" s="132">
        <f t="shared" si="57"/>
        <v>3.4795321637426899</v>
      </c>
      <c r="R41" s="193">
        <f t="shared" si="6"/>
        <v>2877232.1052631577</v>
      </c>
      <c r="S41" s="58">
        <v>662225</v>
      </c>
      <c r="T41" s="58">
        <v>0</v>
      </c>
      <c r="U41" s="58">
        <v>0</v>
      </c>
      <c r="V41" s="58">
        <f t="shared" si="95"/>
        <v>662225</v>
      </c>
      <c r="W41" s="80">
        <f t="shared" ref="W41:W72" si="123">INDEX(HW_Data,MATCH(A41,HW_Year,0),$W$1)</f>
        <v>179</v>
      </c>
      <c r="X41" s="132">
        <f t="shared" si="58"/>
        <v>3.4078212290502794</v>
      </c>
      <c r="Y41" s="183">
        <f t="shared" si="96"/>
        <v>2256744.4134078212</v>
      </c>
      <c r="Z41" s="58">
        <v>42</v>
      </c>
      <c r="AA41" s="80">
        <f t="shared" ref="AA41:AA72" si="124">INDEX(HW_Data,MATCH(A41,HW_Year,0),$AA$1)</f>
        <v>170</v>
      </c>
      <c r="AB41" s="132">
        <f t="shared" si="59"/>
        <v>3.223529411764706</v>
      </c>
      <c r="AC41" s="183">
        <f t="shared" si="11"/>
        <v>135.38823529411766</v>
      </c>
      <c r="AD41" s="58">
        <v>0</v>
      </c>
      <c r="AE41" s="80">
        <f t="shared" ref="AE41:AE72" si="125">INDEX(HW_Data,MATCH(A41,HW_Year,0),$AE$1)</f>
        <v>160</v>
      </c>
      <c r="AF41" s="132">
        <f t="shared" si="60"/>
        <v>5.1812500000000004</v>
      </c>
      <c r="AG41" s="183">
        <f t="shared" si="97"/>
        <v>0</v>
      </c>
      <c r="AH41" s="58">
        <v>0</v>
      </c>
      <c r="AI41" s="209"/>
      <c r="AJ41" s="58">
        <f t="shared" si="120"/>
        <v>0</v>
      </c>
      <c r="AK41" s="80">
        <f t="shared" ref="AK41:AK67" si="126">INDEX(HW_Data,MATCH(A41,HW_Year,0),$AK$1)</f>
        <v>156</v>
      </c>
      <c r="AL41" s="132">
        <f t="shared" si="61"/>
        <v>3.3653846153846154</v>
      </c>
      <c r="AM41" s="183">
        <f t="shared" si="98"/>
        <v>0</v>
      </c>
      <c r="AN41" s="58">
        <v>3192666</v>
      </c>
      <c r="AO41" s="80">
        <f t="shared" ref="AO41:AO72" si="127">INDEX(HW_Data,MATCH(A41,HW_Year,0),$AO$1)</f>
        <v>175</v>
      </c>
      <c r="AP41" s="132">
        <f t="shared" si="62"/>
        <v>3.2457142857142856</v>
      </c>
      <c r="AQ41" s="183">
        <f t="shared" si="99"/>
        <v>10362481.645714285</v>
      </c>
      <c r="AR41" s="58">
        <v>1985067</v>
      </c>
      <c r="AS41" s="80">
        <f t="shared" ref="AS41:AS72" si="128">INDEX(HW_Data,MATCH(A41,HW_Year,0),$AS$1)</f>
        <v>181</v>
      </c>
      <c r="AT41" s="132">
        <f t="shared" si="63"/>
        <v>3.7790055248618786</v>
      </c>
      <c r="AU41" s="183">
        <f t="shared" si="100"/>
        <v>7501579.1602209946</v>
      </c>
      <c r="AV41" s="58">
        <v>335526</v>
      </c>
      <c r="AW41" s="80">
        <f t="shared" ref="AW41:AW72" si="129">INDEX(HW_Data,MATCH(A41,HW_Year,0),$AW$1)</f>
        <v>163</v>
      </c>
      <c r="AX41" s="132">
        <f t="shared" si="64"/>
        <v>3.2269938650306749</v>
      </c>
      <c r="AY41" s="183">
        <f t="shared" si="101"/>
        <v>1082740.3435582821</v>
      </c>
      <c r="AZ41" s="58">
        <v>0</v>
      </c>
      <c r="BA41" s="80">
        <f t="shared" ref="BA41:BA72" si="130">INDEX(HW_Data,MATCH(A41,HW_Year,0),$BA$1)</f>
        <v>160</v>
      </c>
      <c r="BB41" s="132">
        <f t="shared" si="65"/>
        <v>3.8374999999999999</v>
      </c>
      <c r="BC41" s="183">
        <f t="shared" si="102"/>
        <v>0</v>
      </c>
      <c r="BD41" s="209">
        <v>3419340</v>
      </c>
      <c r="BE41" s="58">
        <f t="shared" si="103"/>
        <v>2817536.1599999997</v>
      </c>
      <c r="BF41" s="80">
        <f t="shared" ref="BF41:BF72" si="131">INDEX(HW_Data,MATCH(A41,HW_Year,0),$BF$1)</f>
        <v>159</v>
      </c>
      <c r="BG41" s="132">
        <f t="shared" si="66"/>
        <v>3.8490566037735849</v>
      </c>
      <c r="BH41" s="183">
        <f t="shared" si="104"/>
        <v>10844856.163018867</v>
      </c>
      <c r="BI41" s="58">
        <f t="shared" si="105"/>
        <v>601803.84</v>
      </c>
      <c r="BJ41" s="80">
        <f t="shared" ref="BJ41:BJ76" si="132">INDEX(HW_Data,MATCH(A41,HW_Year,0),$BJ$1)</f>
        <v>135</v>
      </c>
      <c r="BK41" s="132">
        <f t="shared" si="67"/>
        <v>4.8296296296296299</v>
      </c>
      <c r="BL41" s="183">
        <f t="shared" si="106"/>
        <v>2906489.6568888891</v>
      </c>
      <c r="BM41" s="58">
        <v>1976995</v>
      </c>
      <c r="BN41" s="80">
        <f t="shared" ref="BN41:BN72" si="133">INDEX(HW_Data,MATCH(A41,HW_Year,0),$BN$1)</f>
        <v>165</v>
      </c>
      <c r="BO41" s="132">
        <f t="shared" si="68"/>
        <v>3.084848484848485</v>
      </c>
      <c r="BP41" s="183">
        <f t="shared" si="107"/>
        <v>6098730.0303030303</v>
      </c>
      <c r="BQ41" s="58">
        <v>550977</v>
      </c>
      <c r="BR41" s="58"/>
      <c r="BS41" s="58">
        <f t="shared" si="108"/>
        <v>550977</v>
      </c>
      <c r="BT41" s="80">
        <f t="shared" ref="BT41:BT72" si="134">INDEX(HW_Data,MATCH(A41,HW_Year,0),$BT$1)</f>
        <v>148</v>
      </c>
      <c r="BU41" s="132">
        <f t="shared" si="69"/>
        <v>2.3986486486486487</v>
      </c>
      <c r="BV41" s="183">
        <f t="shared" si="109"/>
        <v>1321600.2364864864</v>
      </c>
      <c r="BW41" s="195">
        <v>242252</v>
      </c>
      <c r="BX41" s="80">
        <f t="shared" ref="BX41:BX72" si="135">INDEX(HW_Data,MATCH(A41,HW_Year,0),$BX$1)</f>
        <v>193</v>
      </c>
      <c r="BY41" s="132">
        <f t="shared" si="70"/>
        <v>3.7823834196891193</v>
      </c>
      <c r="BZ41" s="212">
        <f t="shared" si="110"/>
        <v>916289.94818652852</v>
      </c>
      <c r="CA41" s="195">
        <v>0</v>
      </c>
      <c r="CB41" s="195"/>
      <c r="CD41" s="212">
        <v>0</v>
      </c>
      <c r="CE41" s="58">
        <v>120463</v>
      </c>
      <c r="CF41" s="58">
        <v>0</v>
      </c>
      <c r="CG41" s="58">
        <f t="shared" si="112"/>
        <v>120463</v>
      </c>
      <c r="CH41" s="194">
        <f t="shared" si="113"/>
        <v>36138.9</v>
      </c>
      <c r="CI41" s="58">
        <v>179060</v>
      </c>
      <c r="CJ41" s="58">
        <v>0</v>
      </c>
      <c r="CK41" s="58">
        <f t="shared" si="114"/>
        <v>179060</v>
      </c>
      <c r="CL41" s="80">
        <f t="shared" ref="CL41:CL72" si="136">INDEX(HW_Data,MATCH(A41,HW_Year,0),$CL$1)</f>
        <v>169</v>
      </c>
      <c r="CM41" s="135">
        <f t="shared" si="72"/>
        <v>3.0769230769230771</v>
      </c>
      <c r="CN41" s="183">
        <f t="shared" si="44"/>
        <v>550953.84615384613</v>
      </c>
      <c r="CO41" s="58">
        <v>4302405</v>
      </c>
      <c r="CP41" s="58">
        <v>0</v>
      </c>
      <c r="CQ41" s="58">
        <v>0</v>
      </c>
      <c r="CR41" s="195">
        <f t="shared" si="115"/>
        <v>4302405</v>
      </c>
      <c r="CS41" s="80">
        <f t="shared" ref="CS41:CS72" si="137">INDEX(HW_Data,MATCH(A41,HW_Year,0),$CS$1)</f>
        <v>182</v>
      </c>
      <c r="CT41" s="327">
        <f t="shared" si="73"/>
        <v>3.7967032967032965</v>
      </c>
      <c r="CU41" s="183">
        <f t="shared" si="47"/>
        <v>16334955.247252747</v>
      </c>
      <c r="CV41" s="195">
        <v>140592</v>
      </c>
      <c r="CW41" s="80">
        <f t="shared" ref="CW41:CW72" si="138">INDEX(HW_Data,MATCH(A41,HW_Year,0),$CW$1)</f>
        <v>169</v>
      </c>
      <c r="CX41" s="135">
        <f t="shared" si="74"/>
        <v>3.0769230769230771</v>
      </c>
      <c r="CY41" s="183">
        <f t="shared" si="116"/>
        <v>432590.76923076925</v>
      </c>
      <c r="CZ41" s="58">
        <v>2264233</v>
      </c>
      <c r="DA41" s="80">
        <f t="shared" ref="DA41:DA72" si="139">INDEX(HW_Data,MATCH(A41,HW_Year,0),$DA$1)</f>
        <v>175</v>
      </c>
      <c r="DB41" s="327">
        <f t="shared" si="75"/>
        <v>3.7142857142857144</v>
      </c>
      <c r="DC41" s="183">
        <f t="shared" si="117"/>
        <v>8410008.2857142854</v>
      </c>
      <c r="DD41" s="58">
        <v>24514</v>
      </c>
      <c r="DE41" s="58">
        <v>24514</v>
      </c>
      <c r="DF41" s="58">
        <v>0</v>
      </c>
      <c r="DG41" s="58">
        <f t="shared" si="118"/>
        <v>24514</v>
      </c>
      <c r="DH41" s="58">
        <f t="shared" si="121"/>
        <v>12257</v>
      </c>
      <c r="DI41" s="80">
        <f t="shared" ref="DI41:DI72" si="140">INDEX(HW_Data,MATCH(A41,HW_Year,0),$DI$1)</f>
        <v>179</v>
      </c>
      <c r="DJ41" s="332">
        <f t="shared" si="76"/>
        <v>4.8491620111731848</v>
      </c>
      <c r="DK41" s="183">
        <f t="shared" si="55"/>
        <v>59436.178770949729</v>
      </c>
    </row>
    <row r="42" spans="1:115">
      <c r="A42" s="213">
        <v>1977</v>
      </c>
      <c r="B42" s="58">
        <v>241681</v>
      </c>
      <c r="C42" s="58">
        <v>0</v>
      </c>
      <c r="D42" s="58">
        <f t="shared" si="90"/>
        <v>241681</v>
      </c>
      <c r="E42" s="194">
        <f t="shared" si="91"/>
        <v>169176.69999999998</v>
      </c>
      <c r="F42" s="58">
        <v>30841</v>
      </c>
      <c r="G42" s="58">
        <v>0</v>
      </c>
      <c r="H42" s="209">
        <f t="shared" si="92"/>
        <v>30841</v>
      </c>
      <c r="I42" s="214">
        <v>155</v>
      </c>
      <c r="J42" s="132">
        <f t="shared" si="56"/>
        <v>3.3548387096774195</v>
      </c>
      <c r="K42" s="183">
        <f t="shared" si="93"/>
        <v>103466.58064516129</v>
      </c>
      <c r="L42" s="58">
        <v>571982</v>
      </c>
      <c r="M42" s="58">
        <v>0</v>
      </c>
      <c r="N42" s="58">
        <v>0</v>
      </c>
      <c r="O42" s="58">
        <f t="shared" si="94"/>
        <v>571982</v>
      </c>
      <c r="P42" s="80">
        <f t="shared" si="122"/>
        <v>160</v>
      </c>
      <c r="Q42" s="132">
        <f t="shared" si="57"/>
        <v>3.71875</v>
      </c>
      <c r="R42" s="193">
        <f t="shared" si="6"/>
        <v>2127058.0625</v>
      </c>
      <c r="S42" s="58">
        <v>378594</v>
      </c>
      <c r="T42" s="58">
        <v>0</v>
      </c>
      <c r="U42" s="58">
        <v>0</v>
      </c>
      <c r="V42" s="58">
        <f t="shared" si="95"/>
        <v>378594</v>
      </c>
      <c r="W42" s="80">
        <f t="shared" si="123"/>
        <v>187</v>
      </c>
      <c r="X42" s="132">
        <f t="shared" si="58"/>
        <v>3.2620320855614975</v>
      </c>
      <c r="Y42" s="183">
        <f t="shared" si="96"/>
        <v>1234985.7754010695</v>
      </c>
      <c r="Z42" s="58">
        <v>0</v>
      </c>
      <c r="AA42" s="80">
        <f t="shared" si="124"/>
        <v>156</v>
      </c>
      <c r="AB42" s="132">
        <f t="shared" si="59"/>
        <v>3.5128205128205128</v>
      </c>
      <c r="AC42" s="183">
        <f t="shared" si="11"/>
        <v>0</v>
      </c>
      <c r="AD42" s="58">
        <v>0</v>
      </c>
      <c r="AE42" s="80">
        <f t="shared" si="125"/>
        <v>158</v>
      </c>
      <c r="AF42" s="132">
        <f t="shared" si="60"/>
        <v>5.2468354430379751</v>
      </c>
      <c r="AG42" s="183">
        <f t="shared" si="97"/>
        <v>0</v>
      </c>
      <c r="AH42" s="58">
        <v>0</v>
      </c>
      <c r="AI42" s="209"/>
      <c r="AJ42" s="58">
        <f t="shared" si="120"/>
        <v>0</v>
      </c>
      <c r="AK42" s="80">
        <f t="shared" si="126"/>
        <v>145</v>
      </c>
      <c r="AL42" s="132">
        <f t="shared" si="61"/>
        <v>3.6206896551724137</v>
      </c>
      <c r="AM42" s="183">
        <f t="shared" si="98"/>
        <v>0</v>
      </c>
      <c r="AN42" s="58">
        <v>2856836</v>
      </c>
      <c r="AO42" s="80">
        <f t="shared" si="127"/>
        <v>163</v>
      </c>
      <c r="AP42" s="132">
        <f t="shared" si="62"/>
        <v>3.4846625766871164</v>
      </c>
      <c r="AQ42" s="183">
        <f t="shared" si="99"/>
        <v>9955109.4969325159</v>
      </c>
      <c r="AR42" s="58">
        <v>1806243</v>
      </c>
      <c r="AS42" s="80">
        <f t="shared" si="128"/>
        <v>183</v>
      </c>
      <c r="AT42" s="132">
        <f t="shared" si="63"/>
        <v>3.737704918032787</v>
      </c>
      <c r="AU42" s="183">
        <f t="shared" si="100"/>
        <v>6751203.3442622954</v>
      </c>
      <c r="AV42" s="58">
        <v>364374</v>
      </c>
      <c r="AW42" s="80">
        <f t="shared" si="129"/>
        <v>150</v>
      </c>
      <c r="AX42" s="132">
        <f t="shared" si="64"/>
        <v>3.5066666666666668</v>
      </c>
      <c r="AY42" s="183">
        <f t="shared" si="101"/>
        <v>1277738.1600000001</v>
      </c>
      <c r="AZ42" s="58">
        <v>0</v>
      </c>
      <c r="BA42" s="80">
        <f t="shared" si="130"/>
        <v>150</v>
      </c>
      <c r="BB42" s="132">
        <f t="shared" si="65"/>
        <v>4.0933333333333337</v>
      </c>
      <c r="BC42" s="183">
        <f t="shared" si="102"/>
        <v>0</v>
      </c>
      <c r="BD42" s="209">
        <v>2834879</v>
      </c>
      <c r="BE42" s="58">
        <f t="shared" si="103"/>
        <v>2335940.2960000001</v>
      </c>
      <c r="BF42" s="80">
        <f t="shared" si="131"/>
        <v>148</v>
      </c>
      <c r="BG42" s="132">
        <f t="shared" si="66"/>
        <v>4.1351351351351351</v>
      </c>
      <c r="BH42" s="183">
        <f t="shared" si="104"/>
        <v>9659428.7915675677</v>
      </c>
      <c r="BI42" s="58">
        <f t="shared" si="105"/>
        <v>498938.70399999997</v>
      </c>
      <c r="BJ42" s="80">
        <f t="shared" si="132"/>
        <v>122</v>
      </c>
      <c r="BK42" s="132">
        <f t="shared" si="67"/>
        <v>5.3442622950819674</v>
      </c>
      <c r="BL42" s="183">
        <f t="shared" si="106"/>
        <v>2666459.3033442623</v>
      </c>
      <c r="BM42" s="58">
        <v>1830539</v>
      </c>
      <c r="BN42" s="80">
        <f t="shared" si="133"/>
        <v>152</v>
      </c>
      <c r="BO42" s="132">
        <f t="shared" si="68"/>
        <v>3.3486842105263159</v>
      </c>
      <c r="BP42" s="183">
        <f t="shared" si="107"/>
        <v>6129897.0460526319</v>
      </c>
      <c r="BQ42" s="58">
        <v>491591</v>
      </c>
      <c r="BR42" s="58"/>
      <c r="BS42" s="58">
        <f t="shared" si="108"/>
        <v>491591</v>
      </c>
      <c r="BT42" s="80">
        <f t="shared" si="134"/>
        <v>143</v>
      </c>
      <c r="BU42" s="132">
        <f t="shared" si="69"/>
        <v>2.4825174825174825</v>
      </c>
      <c r="BV42" s="183">
        <f t="shared" si="109"/>
        <v>1220383.2517482517</v>
      </c>
      <c r="BW42" s="195">
        <v>411778</v>
      </c>
      <c r="BX42" s="80">
        <f t="shared" si="135"/>
        <v>175</v>
      </c>
      <c r="BY42" s="132">
        <f t="shared" si="70"/>
        <v>4.1714285714285717</v>
      </c>
      <c r="BZ42" s="212">
        <f t="shared" si="110"/>
        <v>1717702.5142857144</v>
      </c>
      <c r="CA42" s="195">
        <v>0</v>
      </c>
      <c r="CB42" s="195"/>
      <c r="CD42" s="212">
        <v>0</v>
      </c>
      <c r="CE42" s="58">
        <v>241681</v>
      </c>
      <c r="CF42" s="58">
        <v>0</v>
      </c>
      <c r="CG42" s="58">
        <f t="shared" si="112"/>
        <v>241681</v>
      </c>
      <c r="CH42" s="194">
        <f t="shared" si="113"/>
        <v>72504.3</v>
      </c>
      <c r="CI42" s="58">
        <v>109761</v>
      </c>
      <c r="CJ42" s="58">
        <v>0</v>
      </c>
      <c r="CK42" s="58">
        <f t="shared" si="114"/>
        <v>109761</v>
      </c>
      <c r="CL42" s="80">
        <f t="shared" si="136"/>
        <v>155</v>
      </c>
      <c r="CM42" s="135">
        <f t="shared" si="72"/>
        <v>3.3548387096774195</v>
      </c>
      <c r="CN42" s="183">
        <f t="shared" si="44"/>
        <v>368230.45161290321</v>
      </c>
      <c r="CO42" s="58">
        <v>2024135</v>
      </c>
      <c r="CP42" s="58">
        <v>0</v>
      </c>
      <c r="CQ42" s="58">
        <v>0</v>
      </c>
      <c r="CR42" s="195">
        <f t="shared" si="115"/>
        <v>2024135</v>
      </c>
      <c r="CS42" s="80">
        <f t="shared" si="137"/>
        <v>170</v>
      </c>
      <c r="CT42" s="327">
        <f t="shared" si="73"/>
        <v>4.0647058823529409</v>
      </c>
      <c r="CU42" s="183">
        <f t="shared" si="47"/>
        <v>8227513.4411764704</v>
      </c>
      <c r="CV42" s="195">
        <v>84939</v>
      </c>
      <c r="CW42" s="80">
        <f t="shared" si="138"/>
        <v>155</v>
      </c>
      <c r="CX42" s="135">
        <f t="shared" si="74"/>
        <v>3.3548387096774195</v>
      </c>
      <c r="CY42" s="183">
        <f t="shared" si="116"/>
        <v>284956.64516129036</v>
      </c>
      <c r="CZ42" s="58">
        <v>1726615</v>
      </c>
      <c r="DA42" s="80">
        <f t="shared" si="139"/>
        <v>164</v>
      </c>
      <c r="DB42" s="327">
        <f t="shared" si="75"/>
        <v>3.9634146341463414</v>
      </c>
      <c r="DC42" s="183">
        <f t="shared" si="117"/>
        <v>6843291.158536585</v>
      </c>
      <c r="DD42" s="58">
        <v>67009</v>
      </c>
      <c r="DE42" s="58">
        <v>67009</v>
      </c>
      <c r="DF42" s="58">
        <v>0</v>
      </c>
      <c r="DG42" s="58">
        <f t="shared" si="118"/>
        <v>67009</v>
      </c>
      <c r="DH42" s="58">
        <f t="shared" si="121"/>
        <v>33504.5</v>
      </c>
      <c r="DI42" s="80">
        <f t="shared" si="140"/>
        <v>169</v>
      </c>
      <c r="DJ42" s="332">
        <f t="shared" si="76"/>
        <v>5.1360946745562126</v>
      </c>
      <c r="DK42" s="183">
        <f t="shared" si="55"/>
        <v>172082.28402366862</v>
      </c>
    </row>
    <row r="43" spans="1:115">
      <c r="A43" s="213">
        <v>1976</v>
      </c>
      <c r="B43" s="58">
        <v>145475</v>
      </c>
      <c r="C43" s="58">
        <v>0</v>
      </c>
      <c r="D43" s="58">
        <f t="shared" si="90"/>
        <v>145475</v>
      </c>
      <c r="E43" s="194">
        <f t="shared" si="91"/>
        <v>101832.5</v>
      </c>
      <c r="F43" s="58">
        <v>1665076</v>
      </c>
      <c r="G43" s="58">
        <v>0</v>
      </c>
      <c r="H43" s="209">
        <f t="shared" si="92"/>
        <v>1665076</v>
      </c>
      <c r="I43" s="214">
        <v>149</v>
      </c>
      <c r="J43" s="132">
        <f t="shared" si="56"/>
        <v>3.4899328859060401</v>
      </c>
      <c r="K43" s="183">
        <f t="shared" si="93"/>
        <v>5811003.4899328854</v>
      </c>
      <c r="L43" s="58">
        <v>1078684</v>
      </c>
      <c r="M43" s="58">
        <v>0</v>
      </c>
      <c r="N43" s="58">
        <v>0</v>
      </c>
      <c r="O43" s="58">
        <f t="shared" si="94"/>
        <v>1078684</v>
      </c>
      <c r="P43" s="80">
        <f t="shared" si="122"/>
        <v>150</v>
      </c>
      <c r="Q43" s="132">
        <f t="shared" si="57"/>
        <v>3.9666666666666668</v>
      </c>
      <c r="R43" s="193">
        <f t="shared" si="6"/>
        <v>4278779.8666666672</v>
      </c>
      <c r="S43" s="58">
        <v>684307</v>
      </c>
      <c r="T43" s="58">
        <v>0</v>
      </c>
      <c r="U43" s="58">
        <v>0</v>
      </c>
      <c r="V43" s="58">
        <f t="shared" si="95"/>
        <v>684307</v>
      </c>
      <c r="W43" s="80">
        <f t="shared" si="123"/>
        <v>172</v>
      </c>
      <c r="X43" s="132">
        <f t="shared" si="58"/>
        <v>3.5465116279069768</v>
      </c>
      <c r="Y43" s="183">
        <f t="shared" si="96"/>
        <v>2426902.7325581396</v>
      </c>
      <c r="Z43" s="58">
        <v>276899</v>
      </c>
      <c r="AA43" s="80">
        <f t="shared" si="124"/>
        <v>143</v>
      </c>
      <c r="AB43" s="132">
        <f t="shared" si="59"/>
        <v>3.8321678321678321</v>
      </c>
      <c r="AC43" s="183">
        <f t="shared" si="11"/>
        <v>1061123.4405594405</v>
      </c>
      <c r="AD43" s="58">
        <v>207807</v>
      </c>
      <c r="AE43" s="80">
        <f t="shared" si="125"/>
        <v>143</v>
      </c>
      <c r="AF43" s="132">
        <f t="shared" si="60"/>
        <v>5.7972027972027975</v>
      </c>
      <c r="AG43" s="183">
        <f t="shared" si="97"/>
        <v>1204699.3216783218</v>
      </c>
      <c r="AH43" s="58">
        <v>0</v>
      </c>
      <c r="AI43" s="209"/>
      <c r="AJ43" s="58">
        <f t="shared" si="120"/>
        <v>0</v>
      </c>
      <c r="AK43" s="80">
        <f t="shared" si="126"/>
        <v>137</v>
      </c>
      <c r="AL43" s="132">
        <f t="shared" si="61"/>
        <v>3.832116788321168</v>
      </c>
      <c r="AM43" s="183">
        <f t="shared" si="98"/>
        <v>0</v>
      </c>
      <c r="AN43" s="58">
        <v>2505708</v>
      </c>
      <c r="AO43" s="80">
        <f t="shared" si="127"/>
        <v>152</v>
      </c>
      <c r="AP43" s="132">
        <f t="shared" si="62"/>
        <v>3.736842105263158</v>
      </c>
      <c r="AQ43" s="183">
        <f t="shared" si="99"/>
        <v>9363435.1578947362</v>
      </c>
      <c r="AR43" s="58">
        <v>1612863</v>
      </c>
      <c r="AS43" s="80">
        <f t="shared" si="128"/>
        <v>166</v>
      </c>
      <c r="AT43" s="132">
        <f t="shared" si="63"/>
        <v>4.1204819277108431</v>
      </c>
      <c r="AU43" s="183">
        <f t="shared" si="100"/>
        <v>6645772.8433734933</v>
      </c>
      <c r="AV43" s="58">
        <v>194466</v>
      </c>
      <c r="AW43" s="80">
        <f t="shared" si="129"/>
        <v>138</v>
      </c>
      <c r="AX43" s="132">
        <f t="shared" si="64"/>
        <v>3.8115942028985508</v>
      </c>
      <c r="AY43" s="183">
        <f t="shared" si="101"/>
        <v>741225.47826086963</v>
      </c>
      <c r="AZ43" s="58">
        <v>118224</v>
      </c>
      <c r="BA43" s="80">
        <f t="shared" si="130"/>
        <v>138</v>
      </c>
      <c r="BB43" s="132">
        <f t="shared" si="65"/>
        <v>4.4492753623188408</v>
      </c>
      <c r="BC43" s="183">
        <f t="shared" si="102"/>
        <v>526011.13043478259</v>
      </c>
      <c r="BD43" s="209">
        <v>2394553</v>
      </c>
      <c r="BE43" s="58">
        <f t="shared" si="103"/>
        <v>1973111.6719999998</v>
      </c>
      <c r="BF43" s="80">
        <f t="shared" si="131"/>
        <v>136</v>
      </c>
      <c r="BG43" s="132">
        <f t="shared" si="66"/>
        <v>4.5</v>
      </c>
      <c r="BH43" s="183">
        <f t="shared" si="104"/>
        <v>8879002.5239999983</v>
      </c>
      <c r="BI43" s="58">
        <f t="shared" si="105"/>
        <v>421441.32799999998</v>
      </c>
      <c r="BJ43" s="80">
        <f t="shared" si="132"/>
        <v>109</v>
      </c>
      <c r="BK43" s="132">
        <f t="shared" si="67"/>
        <v>5.9816513761467887</v>
      </c>
      <c r="BL43" s="183">
        <f t="shared" si="106"/>
        <v>2520915.09959633</v>
      </c>
      <c r="BM43" s="58">
        <v>1520213</v>
      </c>
      <c r="BN43" s="80">
        <f t="shared" si="133"/>
        <v>136</v>
      </c>
      <c r="BO43" s="132">
        <f t="shared" si="68"/>
        <v>3.7426470588235294</v>
      </c>
      <c r="BP43" s="183">
        <f t="shared" si="107"/>
        <v>5689620.7132352944</v>
      </c>
      <c r="BQ43" s="58">
        <v>393953</v>
      </c>
      <c r="BR43" s="209"/>
      <c r="BS43" s="58">
        <f t="shared" si="108"/>
        <v>393953</v>
      </c>
      <c r="BT43" s="80">
        <f t="shared" si="134"/>
        <v>136</v>
      </c>
      <c r="BU43" s="132">
        <f t="shared" si="69"/>
        <v>2.6102941176470589</v>
      </c>
      <c r="BV43" s="183">
        <f t="shared" si="109"/>
        <v>1028333.1985294118</v>
      </c>
      <c r="BW43" s="195">
        <v>363137</v>
      </c>
      <c r="BX43" s="80">
        <f t="shared" si="135"/>
        <v>161</v>
      </c>
      <c r="BY43" s="132">
        <f t="shared" si="70"/>
        <v>4.5341614906832302</v>
      </c>
      <c r="BZ43" s="212">
        <f t="shared" si="110"/>
        <v>1646521.801242236</v>
      </c>
      <c r="CA43" s="195">
        <v>0</v>
      </c>
      <c r="CB43" s="195"/>
      <c r="CD43" s="212">
        <v>0</v>
      </c>
      <c r="CE43" s="58">
        <v>145475</v>
      </c>
      <c r="CF43" s="58">
        <v>0</v>
      </c>
      <c r="CG43" s="58">
        <f t="shared" si="112"/>
        <v>145475</v>
      </c>
      <c r="CH43" s="194">
        <f t="shared" si="113"/>
        <v>43642.5</v>
      </c>
      <c r="CI43" s="58">
        <v>96383</v>
      </c>
      <c r="CJ43" s="58">
        <v>0</v>
      </c>
      <c r="CK43" s="58">
        <f t="shared" si="114"/>
        <v>96383</v>
      </c>
      <c r="CL43" s="80">
        <f t="shared" si="136"/>
        <v>149</v>
      </c>
      <c r="CM43" s="135">
        <f t="shared" si="72"/>
        <v>3.4899328859060401</v>
      </c>
      <c r="CN43" s="183">
        <f t="shared" si="44"/>
        <v>336370.20134228189</v>
      </c>
      <c r="CO43" s="58">
        <v>2361158</v>
      </c>
      <c r="CP43" s="58">
        <v>0</v>
      </c>
      <c r="CQ43" s="58">
        <v>0</v>
      </c>
      <c r="CR43" s="195">
        <f t="shared" si="115"/>
        <v>2361158</v>
      </c>
      <c r="CS43" s="80">
        <f t="shared" si="137"/>
        <v>157</v>
      </c>
      <c r="CT43" s="327">
        <f t="shared" si="73"/>
        <v>4.4012738853503182</v>
      </c>
      <c r="CU43" s="183">
        <f t="shared" si="47"/>
        <v>10392103.044585986</v>
      </c>
      <c r="CV43" s="195">
        <v>357731</v>
      </c>
      <c r="CW43" s="80">
        <f t="shared" si="138"/>
        <v>149</v>
      </c>
      <c r="CX43" s="135">
        <f t="shared" si="74"/>
        <v>3.4899328859060401</v>
      </c>
      <c r="CY43" s="183">
        <f t="shared" si="116"/>
        <v>1248457.1812080536</v>
      </c>
      <c r="CZ43" s="58">
        <v>1647026</v>
      </c>
      <c r="DA43" s="80">
        <f t="shared" si="139"/>
        <v>150</v>
      </c>
      <c r="DB43" s="327">
        <f t="shared" si="75"/>
        <v>4.333333333333333</v>
      </c>
      <c r="DC43" s="183">
        <f t="shared" si="117"/>
        <v>7137112.666666666</v>
      </c>
      <c r="DD43" s="58">
        <v>9807</v>
      </c>
      <c r="DE43" s="58">
        <v>9807</v>
      </c>
      <c r="DF43" s="58">
        <v>0</v>
      </c>
      <c r="DG43" s="58">
        <f t="shared" si="118"/>
        <v>9807</v>
      </c>
      <c r="DH43" s="58">
        <f t="shared" si="121"/>
        <v>4903.5</v>
      </c>
      <c r="DI43" s="80">
        <f t="shared" si="140"/>
        <v>151</v>
      </c>
      <c r="DJ43" s="332">
        <f t="shared" si="76"/>
        <v>5.7483443708609272</v>
      </c>
      <c r="DK43" s="183">
        <f t="shared" si="55"/>
        <v>28187.006622516557</v>
      </c>
    </row>
    <row r="44" spans="1:115">
      <c r="A44" s="213">
        <v>1975</v>
      </c>
      <c r="B44" s="58">
        <v>246646</v>
      </c>
      <c r="C44" s="58">
        <v>0</v>
      </c>
      <c r="D44" s="58">
        <f t="shared" si="90"/>
        <v>246646</v>
      </c>
      <c r="E44" s="194">
        <f t="shared" si="91"/>
        <v>172652.19999999998</v>
      </c>
      <c r="F44" s="58">
        <v>304215</v>
      </c>
      <c r="G44" s="58">
        <v>0</v>
      </c>
      <c r="H44" s="209">
        <f t="shared" si="92"/>
        <v>304215</v>
      </c>
      <c r="I44" s="214">
        <v>145</v>
      </c>
      <c r="J44" s="132">
        <f t="shared" si="56"/>
        <v>3.5862068965517242</v>
      </c>
      <c r="K44" s="183">
        <f t="shared" si="93"/>
        <v>1090977.9310344828</v>
      </c>
      <c r="L44" s="58">
        <v>1407872</v>
      </c>
      <c r="M44" s="58">
        <v>0</v>
      </c>
      <c r="N44" s="58">
        <v>0</v>
      </c>
      <c r="O44" s="58">
        <f t="shared" si="94"/>
        <v>1407872</v>
      </c>
      <c r="P44" s="80">
        <f t="shared" si="122"/>
        <v>144</v>
      </c>
      <c r="Q44" s="132">
        <f t="shared" si="57"/>
        <v>4.1319444444444446</v>
      </c>
      <c r="R44" s="193">
        <f t="shared" si="6"/>
        <v>5817248.888888889</v>
      </c>
      <c r="S44" s="58">
        <v>1210086</v>
      </c>
      <c r="T44" s="58">
        <v>0</v>
      </c>
      <c r="U44" s="58">
        <v>0</v>
      </c>
      <c r="V44" s="58">
        <f t="shared" si="95"/>
        <v>1210086</v>
      </c>
      <c r="W44" s="80">
        <f t="shared" si="123"/>
        <v>146</v>
      </c>
      <c r="X44" s="132">
        <f t="shared" si="58"/>
        <v>4.1780821917808222</v>
      </c>
      <c r="Y44" s="183">
        <f t="shared" si="96"/>
        <v>5055838.7671232875</v>
      </c>
      <c r="Z44" s="58">
        <v>0</v>
      </c>
      <c r="AA44" s="80">
        <f t="shared" si="124"/>
        <v>128</v>
      </c>
      <c r="AB44" s="132">
        <f t="shared" si="59"/>
        <v>4.28125</v>
      </c>
      <c r="AC44" s="183">
        <f t="shared" si="11"/>
        <v>0</v>
      </c>
      <c r="AD44" s="58">
        <v>0</v>
      </c>
      <c r="AE44" s="80">
        <f t="shared" si="125"/>
        <v>137</v>
      </c>
      <c r="AF44" s="132">
        <f t="shared" si="60"/>
        <v>6.0510948905109485</v>
      </c>
      <c r="AG44" s="183">
        <f t="shared" si="97"/>
        <v>0</v>
      </c>
      <c r="AH44" s="58">
        <v>0</v>
      </c>
      <c r="AI44" s="209"/>
      <c r="AJ44" s="58">
        <f t="shared" si="120"/>
        <v>0</v>
      </c>
      <c r="AK44" s="80">
        <f t="shared" si="126"/>
        <v>125</v>
      </c>
      <c r="AL44" s="132">
        <f t="shared" si="61"/>
        <v>4.2</v>
      </c>
      <c r="AM44" s="183">
        <f t="shared" si="98"/>
        <v>0</v>
      </c>
      <c r="AN44" s="58">
        <v>2193873</v>
      </c>
      <c r="AO44" s="80">
        <f t="shared" si="127"/>
        <v>146</v>
      </c>
      <c r="AP44" s="132">
        <f t="shared" si="62"/>
        <v>3.8904109589041096</v>
      </c>
      <c r="AQ44" s="183">
        <f t="shared" si="99"/>
        <v>8535067.5616438352</v>
      </c>
      <c r="AR44" s="58">
        <v>1553659</v>
      </c>
      <c r="AS44" s="80">
        <f t="shared" si="128"/>
        <v>143</v>
      </c>
      <c r="AT44" s="132">
        <f t="shared" si="63"/>
        <v>4.7832167832167833</v>
      </c>
      <c r="AU44" s="183">
        <f t="shared" si="100"/>
        <v>7431487.8041958045</v>
      </c>
      <c r="AV44" s="58">
        <v>252125</v>
      </c>
      <c r="AW44" s="80">
        <f t="shared" si="129"/>
        <v>127</v>
      </c>
      <c r="AX44" s="132">
        <f t="shared" si="64"/>
        <v>4.1417322834645667</v>
      </c>
      <c r="AY44" s="183">
        <f t="shared" si="101"/>
        <v>1044234.2519685039</v>
      </c>
      <c r="AZ44" s="58">
        <v>41205</v>
      </c>
      <c r="BA44" s="80">
        <f t="shared" si="130"/>
        <v>129</v>
      </c>
      <c r="BB44" s="132">
        <f t="shared" si="65"/>
        <v>4.7596899224806197</v>
      </c>
      <c r="BC44" s="183">
        <f t="shared" si="102"/>
        <v>196123.02325581393</v>
      </c>
      <c r="BD44" s="209">
        <v>2340915</v>
      </c>
      <c r="BE44" s="58">
        <f t="shared" si="103"/>
        <v>1928913.96</v>
      </c>
      <c r="BF44" s="80">
        <f t="shared" si="131"/>
        <v>130</v>
      </c>
      <c r="BG44" s="132">
        <f t="shared" si="66"/>
        <v>4.7076923076923078</v>
      </c>
      <c r="BH44" s="183">
        <f t="shared" si="104"/>
        <v>9080733.4116923083</v>
      </c>
      <c r="BI44" s="58">
        <f t="shared" si="105"/>
        <v>412001.04</v>
      </c>
      <c r="BJ44" s="80">
        <f t="shared" si="132"/>
        <v>106</v>
      </c>
      <c r="BK44" s="132">
        <f t="shared" si="67"/>
        <v>6.1509433962264151</v>
      </c>
      <c r="BL44" s="183">
        <f t="shared" si="106"/>
        <v>2534195.0762264151</v>
      </c>
      <c r="BM44" s="58">
        <v>1243487</v>
      </c>
      <c r="BN44" s="80">
        <f t="shared" si="133"/>
        <v>121</v>
      </c>
      <c r="BO44" s="132">
        <f t="shared" si="68"/>
        <v>4.2066115702479339</v>
      </c>
      <c r="BP44" s="183">
        <f t="shared" si="107"/>
        <v>5230866.8016528925</v>
      </c>
      <c r="BQ44" s="58">
        <v>311893</v>
      </c>
      <c r="BR44" s="209"/>
      <c r="BS44" s="58">
        <f t="shared" si="108"/>
        <v>311893</v>
      </c>
      <c r="BT44" s="80">
        <f t="shared" si="134"/>
        <v>124</v>
      </c>
      <c r="BU44" s="132">
        <f t="shared" si="69"/>
        <v>2.8629032258064515</v>
      </c>
      <c r="BV44" s="183">
        <f t="shared" si="109"/>
        <v>892919.47580645164</v>
      </c>
      <c r="BW44" s="195">
        <v>245798</v>
      </c>
      <c r="BX44" s="80">
        <f t="shared" si="135"/>
        <v>149</v>
      </c>
      <c r="BY44" s="132">
        <f t="shared" si="70"/>
        <v>4.8993288590604029</v>
      </c>
      <c r="BZ44" s="212">
        <f t="shared" si="110"/>
        <v>1204245.234899329</v>
      </c>
      <c r="CA44" s="195">
        <v>0</v>
      </c>
      <c r="CB44" s="195"/>
      <c r="CD44" s="212">
        <v>0</v>
      </c>
      <c r="CE44" s="58">
        <v>246646</v>
      </c>
      <c r="CF44" s="58">
        <v>0</v>
      </c>
      <c r="CG44" s="58">
        <f t="shared" si="112"/>
        <v>246646</v>
      </c>
      <c r="CH44" s="194">
        <f t="shared" si="113"/>
        <v>73993.8</v>
      </c>
      <c r="CI44" s="58">
        <v>79373</v>
      </c>
      <c r="CJ44" s="58">
        <v>0</v>
      </c>
      <c r="CK44" s="58">
        <f t="shared" si="114"/>
        <v>79373</v>
      </c>
      <c r="CL44" s="80">
        <f t="shared" si="136"/>
        <v>145</v>
      </c>
      <c r="CM44" s="135">
        <f t="shared" si="72"/>
        <v>3.5862068965517242</v>
      </c>
      <c r="CN44" s="183">
        <f t="shared" ref="CN44:CN75" si="141">CK44*CM44</f>
        <v>284648</v>
      </c>
      <c r="CO44" s="58">
        <v>1195516</v>
      </c>
      <c r="CP44" s="58">
        <v>0</v>
      </c>
      <c r="CQ44" s="58">
        <v>0</v>
      </c>
      <c r="CR44" s="195">
        <f t="shared" si="115"/>
        <v>1195516</v>
      </c>
      <c r="CS44" s="80">
        <f t="shared" si="137"/>
        <v>148</v>
      </c>
      <c r="CT44" s="327">
        <f t="shared" si="73"/>
        <v>4.6689189189189193</v>
      </c>
      <c r="CU44" s="183">
        <f t="shared" ref="CU44:CU75" si="142">CR44*CT44</f>
        <v>5581767.2702702703</v>
      </c>
      <c r="CV44" s="195">
        <v>322752</v>
      </c>
      <c r="CW44" s="80">
        <f t="shared" si="138"/>
        <v>145</v>
      </c>
      <c r="CX44" s="135">
        <f t="shared" si="74"/>
        <v>3.5862068965517242</v>
      </c>
      <c r="CY44" s="183">
        <f t="shared" si="116"/>
        <v>1157455.448275862</v>
      </c>
      <c r="CZ44" s="58">
        <v>1869744</v>
      </c>
      <c r="DA44" s="80">
        <f t="shared" si="139"/>
        <v>142</v>
      </c>
      <c r="DB44" s="327">
        <f t="shared" si="75"/>
        <v>4.577464788732394</v>
      </c>
      <c r="DC44" s="183">
        <f t="shared" si="117"/>
        <v>8558687.3239436615</v>
      </c>
      <c r="DD44" s="58">
        <v>39269</v>
      </c>
      <c r="DE44" s="58">
        <v>39269</v>
      </c>
      <c r="DF44" s="58">
        <v>0</v>
      </c>
      <c r="DG44" s="58">
        <f t="shared" si="118"/>
        <v>39269</v>
      </c>
      <c r="DH44" s="58">
        <f t="shared" si="121"/>
        <v>19634.5</v>
      </c>
      <c r="DI44" s="80">
        <f t="shared" si="140"/>
        <v>135</v>
      </c>
      <c r="DJ44" s="332">
        <f t="shared" si="76"/>
        <v>6.4296296296296296</v>
      </c>
      <c r="DK44" s="183">
        <f t="shared" ref="DK44:DK75" si="143">DH44*DJ44</f>
        <v>126242.56296296297</v>
      </c>
    </row>
    <row r="45" spans="1:115">
      <c r="A45" s="213">
        <v>1974</v>
      </c>
      <c r="B45" s="58">
        <v>228460</v>
      </c>
      <c r="C45" s="58">
        <v>0</v>
      </c>
      <c r="D45" s="58">
        <f t="shared" si="90"/>
        <v>228460</v>
      </c>
      <c r="E45" s="194">
        <f t="shared" si="91"/>
        <v>159922</v>
      </c>
      <c r="F45" s="58">
        <v>0</v>
      </c>
      <c r="G45" s="58">
        <v>0</v>
      </c>
      <c r="H45" s="209">
        <f t="shared" si="92"/>
        <v>0</v>
      </c>
      <c r="I45" s="214">
        <v>123</v>
      </c>
      <c r="J45" s="132">
        <f t="shared" si="56"/>
        <v>4.2276422764227641</v>
      </c>
      <c r="K45" s="183">
        <f t="shared" si="93"/>
        <v>0</v>
      </c>
      <c r="L45" s="58">
        <v>844925</v>
      </c>
      <c r="M45" s="58">
        <v>0</v>
      </c>
      <c r="N45" s="58">
        <v>0</v>
      </c>
      <c r="O45" s="58">
        <f t="shared" si="94"/>
        <v>844925</v>
      </c>
      <c r="P45" s="80">
        <f t="shared" si="122"/>
        <v>126</v>
      </c>
      <c r="Q45" s="132">
        <f t="shared" si="57"/>
        <v>4.7222222222222223</v>
      </c>
      <c r="R45" s="193">
        <f t="shared" si="6"/>
        <v>3989923.611111111</v>
      </c>
      <c r="S45" s="58">
        <v>448074</v>
      </c>
      <c r="T45" s="58">
        <v>0</v>
      </c>
      <c r="U45" s="58">
        <v>0</v>
      </c>
      <c r="V45" s="58">
        <f t="shared" si="95"/>
        <v>448074</v>
      </c>
      <c r="W45" s="80">
        <f t="shared" si="123"/>
        <v>117</v>
      </c>
      <c r="X45" s="132">
        <f t="shared" si="58"/>
        <v>5.2136752136752138</v>
      </c>
      <c r="Y45" s="183">
        <f t="shared" si="96"/>
        <v>2336112.307692308</v>
      </c>
      <c r="Z45" s="58">
        <v>96421</v>
      </c>
      <c r="AA45" s="80">
        <f t="shared" si="124"/>
        <v>112</v>
      </c>
      <c r="AB45" s="132">
        <f t="shared" si="59"/>
        <v>4.8928571428571432</v>
      </c>
      <c r="AC45" s="183">
        <f t="shared" si="11"/>
        <v>471774.17857142858</v>
      </c>
      <c r="AD45" s="58">
        <v>250465</v>
      </c>
      <c r="AE45" s="80">
        <f t="shared" si="125"/>
        <v>134</v>
      </c>
      <c r="AF45" s="132">
        <f t="shared" si="60"/>
        <v>6.1865671641791042</v>
      </c>
      <c r="AG45" s="183">
        <f t="shared" si="97"/>
        <v>1549518.5447761193</v>
      </c>
      <c r="AH45" s="58">
        <v>0</v>
      </c>
      <c r="AI45" s="209"/>
      <c r="AJ45" s="58">
        <f t="shared" si="120"/>
        <v>0</v>
      </c>
      <c r="AK45" s="80">
        <f t="shared" si="126"/>
        <v>109</v>
      </c>
      <c r="AL45" s="132">
        <f t="shared" si="61"/>
        <v>4.8165137614678901</v>
      </c>
      <c r="AM45" s="183">
        <f t="shared" si="98"/>
        <v>0</v>
      </c>
      <c r="AN45" s="58">
        <v>1572058</v>
      </c>
      <c r="AO45" s="80">
        <f t="shared" si="127"/>
        <v>124</v>
      </c>
      <c r="AP45" s="132">
        <f t="shared" si="62"/>
        <v>4.580645161290323</v>
      </c>
      <c r="AQ45" s="183">
        <f t="shared" si="99"/>
        <v>7201039.8709677421</v>
      </c>
      <c r="AR45" s="58">
        <v>1222106</v>
      </c>
      <c r="AS45" s="80">
        <f t="shared" si="128"/>
        <v>115</v>
      </c>
      <c r="AT45" s="132">
        <f t="shared" si="63"/>
        <v>5.947826086956522</v>
      </c>
      <c r="AU45" s="183">
        <f t="shared" si="100"/>
        <v>7268873.9478260875</v>
      </c>
      <c r="AV45" s="58">
        <v>228080</v>
      </c>
      <c r="AW45" s="80">
        <f t="shared" si="129"/>
        <v>112</v>
      </c>
      <c r="AX45" s="132">
        <f t="shared" si="64"/>
        <v>4.6964285714285712</v>
      </c>
      <c r="AY45" s="183">
        <f t="shared" si="101"/>
        <v>1071161.4285714284</v>
      </c>
      <c r="AZ45" s="58">
        <v>0</v>
      </c>
      <c r="BA45" s="80">
        <f t="shared" si="130"/>
        <v>124</v>
      </c>
      <c r="BB45" s="132">
        <f t="shared" si="65"/>
        <v>4.9516129032258061</v>
      </c>
      <c r="BC45" s="183">
        <f t="shared" si="102"/>
        <v>0</v>
      </c>
      <c r="BD45" s="209">
        <v>1758259</v>
      </c>
      <c r="BE45" s="58">
        <f t="shared" si="103"/>
        <v>1448805.416</v>
      </c>
      <c r="BF45" s="80">
        <f t="shared" si="131"/>
        <v>109</v>
      </c>
      <c r="BG45" s="132">
        <f t="shared" si="66"/>
        <v>5.6146788990825689</v>
      </c>
      <c r="BH45" s="183">
        <f t="shared" si="104"/>
        <v>8134577.1980917435</v>
      </c>
      <c r="BI45" s="58">
        <f t="shared" si="105"/>
        <v>309453.58399999997</v>
      </c>
      <c r="BJ45" s="80">
        <f t="shared" si="132"/>
        <v>103</v>
      </c>
      <c r="BK45" s="132">
        <f t="shared" si="67"/>
        <v>6.3300970873786406</v>
      </c>
      <c r="BL45" s="183">
        <f t="shared" si="106"/>
        <v>1958871.2307572814</v>
      </c>
      <c r="BM45" s="58">
        <v>1069890</v>
      </c>
      <c r="BN45" s="80">
        <f t="shared" si="133"/>
        <v>108</v>
      </c>
      <c r="BO45" s="132">
        <f t="shared" si="68"/>
        <v>4.7129629629629628</v>
      </c>
      <c r="BP45" s="183">
        <f t="shared" si="107"/>
        <v>5042351.944444444</v>
      </c>
      <c r="BQ45" s="58">
        <v>294842</v>
      </c>
      <c r="BR45" s="209"/>
      <c r="BS45" s="58">
        <f t="shared" si="108"/>
        <v>294842</v>
      </c>
      <c r="BT45" s="80">
        <f t="shared" si="134"/>
        <v>107</v>
      </c>
      <c r="BU45" s="132">
        <f t="shared" si="69"/>
        <v>3.3177570093457942</v>
      </c>
      <c r="BV45" s="183">
        <f t="shared" si="109"/>
        <v>978214.11214953265</v>
      </c>
      <c r="BW45" s="195">
        <v>491410</v>
      </c>
      <c r="BX45" s="80">
        <f t="shared" si="135"/>
        <v>121</v>
      </c>
      <c r="BY45" s="132">
        <f t="shared" si="70"/>
        <v>6.0330578512396693</v>
      </c>
      <c r="BZ45" s="212">
        <f t="shared" si="110"/>
        <v>2964704.9586776858</v>
      </c>
      <c r="CA45" s="195">
        <v>0</v>
      </c>
      <c r="CB45" s="195"/>
      <c r="CD45" s="212">
        <v>0</v>
      </c>
      <c r="CE45" s="58">
        <v>228460</v>
      </c>
      <c r="CF45" s="58">
        <v>0</v>
      </c>
      <c r="CG45" s="58">
        <f t="shared" si="112"/>
        <v>228460</v>
      </c>
      <c r="CH45" s="194">
        <f t="shared" si="113"/>
        <v>68538</v>
      </c>
      <c r="CI45" s="58">
        <v>579</v>
      </c>
      <c r="CJ45" s="58">
        <v>0</v>
      </c>
      <c r="CK45" s="58">
        <f t="shared" si="114"/>
        <v>579</v>
      </c>
      <c r="CL45" s="80">
        <f t="shared" si="136"/>
        <v>123</v>
      </c>
      <c r="CM45" s="135">
        <f t="shared" si="72"/>
        <v>4.2276422764227641</v>
      </c>
      <c r="CN45" s="183">
        <f t="shared" si="141"/>
        <v>2447.8048780487802</v>
      </c>
      <c r="CO45" s="58">
        <v>519098</v>
      </c>
      <c r="CP45" s="58">
        <v>0</v>
      </c>
      <c r="CQ45" s="58">
        <v>0</v>
      </c>
      <c r="CR45" s="195">
        <f t="shared" si="115"/>
        <v>519098</v>
      </c>
      <c r="CS45" s="80">
        <f t="shared" si="137"/>
        <v>124</v>
      </c>
      <c r="CT45" s="327">
        <f t="shared" si="73"/>
        <v>5.57258064516129</v>
      </c>
      <c r="CU45" s="183">
        <f t="shared" si="142"/>
        <v>2892715.4677419355</v>
      </c>
      <c r="CV45" s="195">
        <v>84185</v>
      </c>
      <c r="CW45" s="80">
        <f t="shared" si="138"/>
        <v>123</v>
      </c>
      <c r="CX45" s="135">
        <f t="shared" si="74"/>
        <v>4.2276422764227641</v>
      </c>
      <c r="CY45" s="183">
        <f t="shared" si="116"/>
        <v>355904.06504065037</v>
      </c>
      <c r="CZ45" s="58">
        <v>940704</v>
      </c>
      <c r="DA45" s="80">
        <f t="shared" si="139"/>
        <v>123</v>
      </c>
      <c r="DB45" s="327">
        <f t="shared" si="75"/>
        <v>5.2845528455284549</v>
      </c>
      <c r="DC45" s="183">
        <f t="shared" si="117"/>
        <v>4971200</v>
      </c>
      <c r="DD45" s="58">
        <v>19574</v>
      </c>
      <c r="DE45" s="58">
        <v>19574</v>
      </c>
      <c r="DF45" s="58">
        <v>0</v>
      </c>
      <c r="DG45" s="58">
        <f t="shared" si="118"/>
        <v>19574</v>
      </c>
      <c r="DH45" s="58">
        <f t="shared" si="121"/>
        <v>9787</v>
      </c>
      <c r="DI45" s="80">
        <f t="shared" si="140"/>
        <v>116</v>
      </c>
      <c r="DJ45" s="332">
        <f t="shared" si="76"/>
        <v>7.4827586206896548</v>
      </c>
      <c r="DK45" s="183">
        <f t="shared" si="143"/>
        <v>73233.758620689652</v>
      </c>
    </row>
    <row r="46" spans="1:115">
      <c r="A46" s="213">
        <v>1973</v>
      </c>
      <c r="B46" s="58">
        <v>49824</v>
      </c>
      <c r="C46" s="58">
        <v>0</v>
      </c>
      <c r="D46" s="58">
        <f t="shared" si="90"/>
        <v>49824</v>
      </c>
      <c r="E46" s="194">
        <f t="shared" si="91"/>
        <v>34876.799999999996</v>
      </c>
      <c r="F46" s="58">
        <v>84599</v>
      </c>
      <c r="G46" s="58">
        <v>0</v>
      </c>
      <c r="H46" s="209">
        <f t="shared" si="92"/>
        <v>84599</v>
      </c>
      <c r="I46" s="214">
        <v>100</v>
      </c>
      <c r="J46" s="132">
        <f t="shared" si="56"/>
        <v>5.2</v>
      </c>
      <c r="K46" s="183">
        <f t="shared" si="93"/>
        <v>439914.8</v>
      </c>
      <c r="L46" s="58">
        <v>1152488</v>
      </c>
      <c r="M46" s="58">
        <v>0</v>
      </c>
      <c r="N46" s="58">
        <v>0</v>
      </c>
      <c r="O46" s="58">
        <f t="shared" si="94"/>
        <v>1152488</v>
      </c>
      <c r="P46" s="80">
        <f t="shared" si="122"/>
        <v>100</v>
      </c>
      <c r="Q46" s="132">
        <f t="shared" si="57"/>
        <v>5.95</v>
      </c>
      <c r="R46" s="193">
        <f t="shared" si="6"/>
        <v>6857303.6000000006</v>
      </c>
      <c r="S46" s="58">
        <v>478216</v>
      </c>
      <c r="T46" s="58">
        <v>0</v>
      </c>
      <c r="U46" s="58">
        <v>0</v>
      </c>
      <c r="V46" s="58">
        <f t="shared" si="95"/>
        <v>478216</v>
      </c>
      <c r="W46" s="80">
        <f t="shared" si="123"/>
        <v>100</v>
      </c>
      <c r="X46" s="132">
        <f t="shared" si="58"/>
        <v>6.1</v>
      </c>
      <c r="Y46" s="183">
        <f t="shared" si="96"/>
        <v>2917117.5999999996</v>
      </c>
      <c r="Z46" s="58">
        <v>0</v>
      </c>
      <c r="AA46" s="80">
        <f t="shared" si="124"/>
        <v>100</v>
      </c>
      <c r="AB46" s="132">
        <f t="shared" si="59"/>
        <v>5.48</v>
      </c>
      <c r="AC46" s="183">
        <v>0</v>
      </c>
      <c r="AD46" s="58">
        <v>0</v>
      </c>
      <c r="AE46" s="80">
        <f t="shared" si="125"/>
        <v>100</v>
      </c>
      <c r="AF46" s="132">
        <f t="shared" si="60"/>
        <v>8.2899999999999991</v>
      </c>
      <c r="AG46" s="183">
        <v>0</v>
      </c>
      <c r="AH46" s="58">
        <v>0</v>
      </c>
      <c r="AI46" s="209"/>
      <c r="AJ46" s="58">
        <f t="shared" si="120"/>
        <v>0</v>
      </c>
      <c r="AK46" s="80">
        <f t="shared" si="126"/>
        <v>100</v>
      </c>
      <c r="AL46" s="132">
        <f t="shared" si="61"/>
        <v>5.25</v>
      </c>
      <c r="AM46" s="183">
        <f t="shared" si="98"/>
        <v>0</v>
      </c>
      <c r="AN46" s="58">
        <v>2059480</v>
      </c>
      <c r="AO46" s="80">
        <f t="shared" si="127"/>
        <v>100</v>
      </c>
      <c r="AP46" s="132">
        <f t="shared" si="62"/>
        <v>5.68</v>
      </c>
      <c r="AQ46" s="183">
        <f t="shared" si="99"/>
        <v>11697846.399999999</v>
      </c>
      <c r="AR46" s="58">
        <v>1450559</v>
      </c>
      <c r="AS46" s="80">
        <f t="shared" si="128"/>
        <v>100</v>
      </c>
      <c r="AT46" s="132">
        <f t="shared" si="63"/>
        <v>6.84</v>
      </c>
      <c r="AU46" s="183">
        <f t="shared" si="100"/>
        <v>9921823.5600000005</v>
      </c>
      <c r="AV46" s="58">
        <v>189077</v>
      </c>
      <c r="AW46" s="80">
        <f t="shared" si="129"/>
        <v>100</v>
      </c>
      <c r="AX46" s="132">
        <f t="shared" si="64"/>
        <v>5.26</v>
      </c>
      <c r="AY46" s="183">
        <f t="shared" si="101"/>
        <v>994545.0199999999</v>
      </c>
      <c r="AZ46" s="58">
        <v>251603</v>
      </c>
      <c r="BA46" s="80">
        <f t="shared" si="130"/>
        <v>100</v>
      </c>
      <c r="BB46" s="132">
        <f t="shared" si="65"/>
        <v>6.14</v>
      </c>
      <c r="BC46" s="183">
        <f t="shared" si="102"/>
        <v>1544842.42</v>
      </c>
      <c r="BD46" s="209">
        <v>1685833</v>
      </c>
      <c r="BE46" s="58">
        <f t="shared" si="103"/>
        <v>1389126.392</v>
      </c>
      <c r="BF46" s="80">
        <f t="shared" si="131"/>
        <v>100</v>
      </c>
      <c r="BG46" s="132">
        <f t="shared" si="66"/>
        <v>6.12</v>
      </c>
      <c r="BH46" s="183">
        <f t="shared" si="104"/>
        <v>8501453.5190399997</v>
      </c>
      <c r="BI46" s="58">
        <f t="shared" si="105"/>
        <v>296706.60800000001</v>
      </c>
      <c r="BJ46" s="80">
        <f t="shared" si="132"/>
        <v>100</v>
      </c>
      <c r="BK46" s="132">
        <f t="shared" si="67"/>
        <v>6.52</v>
      </c>
      <c r="BL46" s="183">
        <f t="shared" si="106"/>
        <v>1934527.0841599999</v>
      </c>
      <c r="BM46" s="58">
        <v>650560</v>
      </c>
      <c r="BN46" s="80">
        <f t="shared" si="133"/>
        <v>100</v>
      </c>
      <c r="BO46" s="132">
        <f t="shared" si="68"/>
        <v>5.09</v>
      </c>
      <c r="BP46" s="183">
        <f t="shared" si="107"/>
        <v>3311350.4</v>
      </c>
      <c r="BQ46" s="58">
        <v>212653</v>
      </c>
      <c r="BR46" s="209"/>
      <c r="BS46" s="58">
        <f t="shared" si="108"/>
        <v>212653</v>
      </c>
      <c r="BT46" s="80">
        <f t="shared" si="134"/>
        <v>100</v>
      </c>
      <c r="BU46" s="132">
        <f t="shared" si="69"/>
        <v>3.55</v>
      </c>
      <c r="BV46" s="183">
        <f t="shared" si="109"/>
        <v>754918.14999999991</v>
      </c>
      <c r="BW46" s="195">
        <v>150377</v>
      </c>
      <c r="BX46" s="80">
        <f t="shared" si="135"/>
        <v>100</v>
      </c>
      <c r="BY46" s="132">
        <f t="shared" si="70"/>
        <v>7.3</v>
      </c>
      <c r="BZ46" s="212">
        <f t="shared" si="110"/>
        <v>1097752.0999999999</v>
      </c>
      <c r="CA46" s="195">
        <v>0</v>
      </c>
      <c r="CB46" s="195"/>
      <c r="CD46" s="212">
        <v>0</v>
      </c>
      <c r="CE46" s="58">
        <v>49824</v>
      </c>
      <c r="CF46" s="58">
        <v>0</v>
      </c>
      <c r="CG46" s="58">
        <f t="shared" si="112"/>
        <v>49824</v>
      </c>
      <c r="CH46" s="194">
        <f t="shared" si="113"/>
        <v>14947.199999999999</v>
      </c>
      <c r="CI46" s="58">
        <v>60354</v>
      </c>
      <c r="CJ46" s="58">
        <v>0</v>
      </c>
      <c r="CK46" s="58">
        <f t="shared" si="114"/>
        <v>60354</v>
      </c>
      <c r="CL46" s="80">
        <f t="shared" si="136"/>
        <v>100</v>
      </c>
      <c r="CM46" s="135">
        <f t="shared" si="72"/>
        <v>5.2</v>
      </c>
      <c r="CN46" s="183">
        <f t="shared" si="141"/>
        <v>313840.8</v>
      </c>
      <c r="CO46" s="58">
        <v>1842246</v>
      </c>
      <c r="CP46" s="58">
        <v>0</v>
      </c>
      <c r="CQ46" s="58">
        <v>0</v>
      </c>
      <c r="CR46" s="195">
        <f t="shared" si="115"/>
        <v>1842246</v>
      </c>
      <c r="CS46" s="80">
        <f t="shared" si="137"/>
        <v>100</v>
      </c>
      <c r="CT46" s="327">
        <f t="shared" si="73"/>
        <v>6.91</v>
      </c>
      <c r="CU46" s="183">
        <f t="shared" si="142"/>
        <v>12729919.859999999</v>
      </c>
      <c r="CV46" s="195">
        <v>49108</v>
      </c>
      <c r="CW46" s="80">
        <f t="shared" si="138"/>
        <v>100</v>
      </c>
      <c r="CX46" s="135">
        <f t="shared" si="74"/>
        <v>5.2</v>
      </c>
      <c r="CY46" s="183">
        <f t="shared" si="116"/>
        <v>255361.6</v>
      </c>
      <c r="CZ46" s="58">
        <v>483708</v>
      </c>
      <c r="DA46" s="80">
        <f t="shared" si="139"/>
        <v>100</v>
      </c>
      <c r="DB46" s="327">
        <f t="shared" si="75"/>
        <v>6.5</v>
      </c>
      <c r="DC46" s="183">
        <f t="shared" si="117"/>
        <v>3144102</v>
      </c>
      <c r="DD46" s="58">
        <v>27751</v>
      </c>
      <c r="DE46" s="58">
        <v>27751</v>
      </c>
      <c r="DF46" s="58">
        <v>0</v>
      </c>
      <c r="DG46" s="58">
        <f t="shared" si="118"/>
        <v>27751</v>
      </c>
      <c r="DH46" s="58">
        <f t="shared" si="121"/>
        <v>13875.5</v>
      </c>
      <c r="DI46" s="80">
        <f t="shared" si="140"/>
        <v>100</v>
      </c>
      <c r="DJ46" s="332">
        <f t="shared" si="76"/>
        <v>8.68</v>
      </c>
      <c r="DK46" s="183">
        <f t="shared" si="143"/>
        <v>120439.34</v>
      </c>
    </row>
    <row r="47" spans="1:115">
      <c r="A47" s="213">
        <v>1972</v>
      </c>
      <c r="B47" s="58">
        <v>114898</v>
      </c>
      <c r="C47" s="58">
        <v>0</v>
      </c>
      <c r="D47" s="58">
        <f t="shared" si="90"/>
        <v>114898</v>
      </c>
      <c r="E47" s="194">
        <f t="shared" si="91"/>
        <v>80428.599999999991</v>
      </c>
      <c r="F47" s="58">
        <v>716</v>
      </c>
      <c r="G47" s="58">
        <v>0</v>
      </c>
      <c r="H47" s="209">
        <f t="shared" si="92"/>
        <v>716</v>
      </c>
      <c r="I47" s="214">
        <v>92</v>
      </c>
      <c r="J47" s="132">
        <f t="shared" si="56"/>
        <v>5.6521739130434785</v>
      </c>
      <c r="K47" s="183">
        <f t="shared" si="93"/>
        <v>4046.9565217391305</v>
      </c>
      <c r="L47" s="58">
        <v>331441</v>
      </c>
      <c r="M47" s="58">
        <v>0</v>
      </c>
      <c r="N47" s="58">
        <v>0</v>
      </c>
      <c r="O47" s="58">
        <f t="shared" si="94"/>
        <v>331441</v>
      </c>
      <c r="P47" s="80">
        <f t="shared" si="122"/>
        <v>87</v>
      </c>
      <c r="Q47" s="132">
        <f t="shared" si="57"/>
        <v>6.8390804597701154</v>
      </c>
      <c r="R47" s="193">
        <f t="shared" si="6"/>
        <v>2266751.666666667</v>
      </c>
      <c r="S47" s="58">
        <v>219750</v>
      </c>
      <c r="T47" s="58">
        <v>0</v>
      </c>
      <c r="U47" s="58">
        <v>0</v>
      </c>
      <c r="V47" s="58">
        <f t="shared" si="95"/>
        <v>219750</v>
      </c>
      <c r="W47" s="80">
        <f t="shared" si="123"/>
        <v>99</v>
      </c>
      <c r="X47" s="132">
        <f t="shared" si="58"/>
        <v>6.1616161616161618</v>
      </c>
      <c r="Y47" s="183">
        <f t="shared" si="96"/>
        <v>1354015.1515151516</v>
      </c>
      <c r="Z47" s="58">
        <v>0</v>
      </c>
      <c r="AA47" s="80">
        <f t="shared" si="124"/>
        <v>97</v>
      </c>
      <c r="AB47" s="132">
        <f t="shared" si="59"/>
        <v>5.6494845360824746</v>
      </c>
      <c r="AC47" s="183">
        <v>0</v>
      </c>
      <c r="AD47" s="58">
        <v>0</v>
      </c>
      <c r="AE47" s="80">
        <f t="shared" si="125"/>
        <v>92</v>
      </c>
      <c r="AF47" s="132">
        <f t="shared" si="60"/>
        <v>9.0108695652173907</v>
      </c>
      <c r="AG47" s="183">
        <v>0</v>
      </c>
      <c r="AH47" s="58">
        <v>4984</v>
      </c>
      <c r="AI47" s="209"/>
      <c r="AJ47" s="58">
        <f t="shared" si="120"/>
        <v>4984</v>
      </c>
      <c r="AK47" s="80">
        <f t="shared" si="126"/>
        <v>95</v>
      </c>
      <c r="AL47" s="132">
        <f t="shared" si="61"/>
        <v>5.5263157894736841</v>
      </c>
      <c r="AM47" s="183">
        <f t="shared" si="98"/>
        <v>27543.15789473684</v>
      </c>
      <c r="AN47" s="58">
        <v>1304421</v>
      </c>
      <c r="AO47" s="80">
        <f t="shared" si="127"/>
        <v>88</v>
      </c>
      <c r="AP47" s="132">
        <f t="shared" si="62"/>
        <v>6.4545454545454541</v>
      </c>
      <c r="AQ47" s="183">
        <f t="shared" si="99"/>
        <v>8419444.6363636367</v>
      </c>
      <c r="AR47" s="58">
        <v>795646</v>
      </c>
      <c r="AS47" s="80">
        <f t="shared" si="128"/>
        <v>98</v>
      </c>
      <c r="AT47" s="132">
        <f t="shared" si="63"/>
        <v>6.9795918367346941</v>
      </c>
      <c r="AU47" s="183">
        <f t="shared" si="100"/>
        <v>5553284.3265306121</v>
      </c>
      <c r="AV47" s="58">
        <v>75585</v>
      </c>
      <c r="AW47" s="80">
        <f t="shared" si="129"/>
        <v>95</v>
      </c>
      <c r="AX47" s="132">
        <f t="shared" si="64"/>
        <v>5.5368421052631582</v>
      </c>
      <c r="AY47" s="183">
        <f t="shared" si="101"/>
        <v>418502.21052631579</v>
      </c>
      <c r="AZ47" s="58">
        <v>0</v>
      </c>
      <c r="BA47" s="80">
        <f t="shared" si="130"/>
        <v>99</v>
      </c>
      <c r="BB47" s="132">
        <f t="shared" si="65"/>
        <v>6.2020202020202024</v>
      </c>
      <c r="BC47" s="183">
        <f t="shared" si="102"/>
        <v>0</v>
      </c>
      <c r="BD47" s="209">
        <v>1271668</v>
      </c>
      <c r="BE47" s="58">
        <f t="shared" si="103"/>
        <v>1047854.4319999999</v>
      </c>
      <c r="BF47" s="80">
        <f t="shared" si="131"/>
        <v>99</v>
      </c>
      <c r="BG47" s="132">
        <f t="shared" si="66"/>
        <v>6.1818181818181817</v>
      </c>
      <c r="BH47" s="183">
        <f t="shared" si="104"/>
        <v>6477645.5796363633</v>
      </c>
      <c r="BI47" s="58">
        <f t="shared" si="105"/>
        <v>223813.568</v>
      </c>
      <c r="BJ47" s="80">
        <f t="shared" si="132"/>
        <v>99</v>
      </c>
      <c r="BK47" s="132">
        <f t="shared" si="67"/>
        <v>6.5858585858585856</v>
      </c>
      <c r="BL47" s="183">
        <f t="shared" si="106"/>
        <v>1474004.5084444443</v>
      </c>
      <c r="BM47" s="58">
        <v>607254</v>
      </c>
      <c r="BN47" s="80">
        <f t="shared" si="133"/>
        <v>97</v>
      </c>
      <c r="BO47" s="132">
        <f t="shared" si="68"/>
        <v>5.2474226804123711</v>
      </c>
      <c r="BP47" s="183">
        <f t="shared" si="107"/>
        <v>3186518.4123711339</v>
      </c>
      <c r="BQ47" s="58">
        <v>231688</v>
      </c>
      <c r="BR47" s="209"/>
      <c r="BS47" s="58">
        <f t="shared" si="108"/>
        <v>231688</v>
      </c>
      <c r="BT47" s="80">
        <f t="shared" si="134"/>
        <v>100</v>
      </c>
      <c r="BU47" s="132">
        <f t="shared" si="69"/>
        <v>3.55</v>
      </c>
      <c r="BV47" s="183">
        <f t="shared" si="109"/>
        <v>822492.39999999991</v>
      </c>
      <c r="BW47" s="195">
        <v>287684</v>
      </c>
      <c r="BX47" s="80">
        <f t="shared" si="135"/>
        <v>97</v>
      </c>
      <c r="BY47" s="132">
        <f t="shared" si="70"/>
        <v>7.5257731958762886</v>
      </c>
      <c r="BZ47" s="212">
        <f t="shared" si="110"/>
        <v>2165044.536082474</v>
      </c>
      <c r="CA47" s="195">
        <v>0</v>
      </c>
      <c r="CB47" s="195"/>
      <c r="CD47" s="212">
        <v>0</v>
      </c>
      <c r="CE47" s="58">
        <v>114898</v>
      </c>
      <c r="CF47" s="58">
        <v>0</v>
      </c>
      <c r="CG47" s="58">
        <f t="shared" si="112"/>
        <v>114898</v>
      </c>
      <c r="CH47" s="194">
        <f t="shared" si="113"/>
        <v>34469.4</v>
      </c>
      <c r="CI47" s="58">
        <v>72519</v>
      </c>
      <c r="CJ47" s="58">
        <v>0</v>
      </c>
      <c r="CK47" s="58">
        <f t="shared" si="114"/>
        <v>72519</v>
      </c>
      <c r="CL47" s="80">
        <f t="shared" si="136"/>
        <v>92</v>
      </c>
      <c r="CM47" s="135">
        <f t="shared" si="72"/>
        <v>5.6521739130434785</v>
      </c>
      <c r="CN47" s="183">
        <f t="shared" si="141"/>
        <v>409890</v>
      </c>
      <c r="CO47" s="58">
        <v>1405803</v>
      </c>
      <c r="CP47" s="58">
        <v>0</v>
      </c>
      <c r="CQ47" s="58">
        <v>0</v>
      </c>
      <c r="CR47" s="195">
        <f t="shared" si="115"/>
        <v>1405803</v>
      </c>
      <c r="CS47" s="80">
        <f t="shared" si="137"/>
        <v>94</v>
      </c>
      <c r="CT47" s="327">
        <f t="shared" si="73"/>
        <v>7.3510638297872344</v>
      </c>
      <c r="CU47" s="183">
        <f t="shared" si="142"/>
        <v>10334147.585106384</v>
      </c>
      <c r="CV47" s="195">
        <v>52419</v>
      </c>
      <c r="CW47" s="80">
        <f t="shared" si="138"/>
        <v>92</v>
      </c>
      <c r="CX47" s="135">
        <f t="shared" si="74"/>
        <v>5.6521739130434785</v>
      </c>
      <c r="CY47" s="183">
        <f t="shared" si="116"/>
        <v>296281.30434782611</v>
      </c>
      <c r="CZ47" s="58">
        <v>510086</v>
      </c>
      <c r="DA47" s="80">
        <f t="shared" si="139"/>
        <v>93</v>
      </c>
      <c r="DB47" s="327">
        <f t="shared" si="75"/>
        <v>6.989247311827957</v>
      </c>
      <c r="DC47" s="183">
        <f t="shared" si="117"/>
        <v>3565117.2043010751</v>
      </c>
      <c r="DD47" s="58">
        <v>33680</v>
      </c>
      <c r="DE47" s="58">
        <v>33680</v>
      </c>
      <c r="DF47" s="58">
        <v>0</v>
      </c>
      <c r="DG47" s="58">
        <f t="shared" si="118"/>
        <v>33680</v>
      </c>
      <c r="DH47" s="58">
        <f t="shared" si="121"/>
        <v>16840</v>
      </c>
      <c r="DI47" s="80">
        <f t="shared" si="140"/>
        <v>96</v>
      </c>
      <c r="DJ47" s="332">
        <f t="shared" si="76"/>
        <v>9.0416666666666661</v>
      </c>
      <c r="DK47" s="183">
        <f t="shared" si="143"/>
        <v>152261.66666666666</v>
      </c>
    </row>
    <row r="48" spans="1:115">
      <c r="A48" s="213">
        <v>1971</v>
      </c>
      <c r="B48" s="58">
        <v>113555</v>
      </c>
      <c r="C48" s="209"/>
      <c r="D48" s="58">
        <f t="shared" si="90"/>
        <v>113555</v>
      </c>
      <c r="E48" s="194">
        <f t="shared" si="91"/>
        <v>79488.5</v>
      </c>
      <c r="F48" s="58">
        <v>105739</v>
      </c>
      <c r="G48" s="209"/>
      <c r="H48" s="209">
        <f t="shared" si="92"/>
        <v>105739</v>
      </c>
      <c r="I48" s="214">
        <v>87</v>
      </c>
      <c r="J48" s="132">
        <f t="shared" si="56"/>
        <v>5.9770114942528734</v>
      </c>
      <c r="K48" s="183">
        <f t="shared" si="93"/>
        <v>632003.2183908046</v>
      </c>
      <c r="L48" s="58">
        <v>265031</v>
      </c>
      <c r="M48" s="209"/>
      <c r="N48" s="92"/>
      <c r="O48" s="58">
        <f t="shared" si="94"/>
        <v>265031</v>
      </c>
      <c r="P48" s="80">
        <f t="shared" si="122"/>
        <v>81</v>
      </c>
      <c r="Q48" s="132">
        <f t="shared" si="57"/>
        <v>7.3456790123456788</v>
      </c>
      <c r="R48" s="193">
        <f t="shared" si="6"/>
        <v>1946832.6543209876</v>
      </c>
      <c r="S48" s="58">
        <v>245642</v>
      </c>
      <c r="T48" s="209"/>
      <c r="U48" s="209"/>
      <c r="V48" s="58">
        <f t="shared" si="95"/>
        <v>245642</v>
      </c>
      <c r="W48" s="80">
        <f t="shared" si="123"/>
        <v>98</v>
      </c>
      <c r="X48" s="132">
        <f t="shared" si="58"/>
        <v>6.2244897959183669</v>
      </c>
      <c r="Y48" s="183">
        <f t="shared" si="96"/>
        <v>1528996.1224489794</v>
      </c>
      <c r="Z48" s="58">
        <v>0</v>
      </c>
      <c r="AA48" s="80">
        <f t="shared" si="124"/>
        <v>89</v>
      </c>
      <c r="AB48" s="132">
        <f t="shared" si="59"/>
        <v>6.1573033707865168</v>
      </c>
      <c r="AC48" s="183">
        <v>0</v>
      </c>
      <c r="AD48" s="58">
        <v>0</v>
      </c>
      <c r="AE48" s="80">
        <f t="shared" si="125"/>
        <v>82</v>
      </c>
      <c r="AF48" s="132">
        <f t="shared" si="60"/>
        <v>10.109756097560975</v>
      </c>
      <c r="AG48" s="183">
        <v>0</v>
      </c>
      <c r="AH48" s="58">
        <v>0</v>
      </c>
      <c r="AI48" s="209"/>
      <c r="AJ48" s="58">
        <f t="shared" si="120"/>
        <v>0</v>
      </c>
      <c r="AK48" s="80">
        <f t="shared" si="126"/>
        <v>86</v>
      </c>
      <c r="AL48" s="132">
        <f t="shared" si="61"/>
        <v>6.1046511627906979</v>
      </c>
      <c r="AM48" s="183">
        <f t="shared" si="98"/>
        <v>0</v>
      </c>
      <c r="AN48" s="58">
        <v>1422029</v>
      </c>
      <c r="AO48" s="80">
        <f t="shared" si="127"/>
        <v>82</v>
      </c>
      <c r="AP48" s="132">
        <f t="shared" si="62"/>
        <v>6.9268292682926829</v>
      </c>
      <c r="AQ48" s="183">
        <f t="shared" si="99"/>
        <v>9850152.0975609757</v>
      </c>
      <c r="AR48" s="58">
        <v>910073</v>
      </c>
      <c r="AS48" s="80">
        <f t="shared" si="128"/>
        <v>95</v>
      </c>
      <c r="AT48" s="132">
        <f t="shared" si="63"/>
        <v>7.2</v>
      </c>
      <c r="AU48" s="183">
        <f t="shared" si="100"/>
        <v>6552525.6000000006</v>
      </c>
      <c r="AV48" s="58">
        <v>85772</v>
      </c>
      <c r="AW48" s="80">
        <f t="shared" si="129"/>
        <v>87</v>
      </c>
      <c r="AX48" s="132">
        <f t="shared" si="64"/>
        <v>6.0459770114942533</v>
      </c>
      <c r="AY48" s="183">
        <f t="shared" si="101"/>
        <v>518575.54022988508</v>
      </c>
      <c r="AZ48" s="58">
        <v>76775</v>
      </c>
      <c r="BA48" s="80">
        <f t="shared" si="130"/>
        <v>86</v>
      </c>
      <c r="BB48" s="132">
        <f t="shared" si="65"/>
        <v>7.1395348837209305</v>
      </c>
      <c r="BC48" s="183">
        <f t="shared" si="102"/>
        <v>548137.79069767438</v>
      </c>
      <c r="BD48" s="209">
        <v>1087396</v>
      </c>
      <c r="BE48" s="58">
        <f t="shared" si="103"/>
        <v>896014.304</v>
      </c>
      <c r="BF48" s="80">
        <f t="shared" si="131"/>
        <v>101</v>
      </c>
      <c r="BG48" s="132">
        <f t="shared" si="66"/>
        <v>6.0594059405940595</v>
      </c>
      <c r="BH48" s="183">
        <f t="shared" si="104"/>
        <v>5429314.3965148516</v>
      </c>
      <c r="BI48" s="58">
        <f t="shared" si="105"/>
        <v>191381.696</v>
      </c>
      <c r="BJ48" s="80">
        <f t="shared" si="132"/>
        <v>97</v>
      </c>
      <c r="BK48" s="132">
        <f t="shared" si="67"/>
        <v>6.7216494845360826</v>
      </c>
      <c r="BL48" s="183">
        <f t="shared" si="106"/>
        <v>1286400.6782680412</v>
      </c>
      <c r="BM48" s="58">
        <v>499830</v>
      </c>
      <c r="BN48" s="80">
        <f t="shared" si="133"/>
        <v>91</v>
      </c>
      <c r="BO48" s="132">
        <f t="shared" si="68"/>
        <v>5.5934065934065931</v>
      </c>
      <c r="BP48" s="183">
        <f t="shared" si="107"/>
        <v>2795752.4175824174</v>
      </c>
      <c r="BQ48" s="58">
        <v>196061</v>
      </c>
      <c r="BR48" s="209"/>
      <c r="BS48" s="58">
        <f t="shared" si="108"/>
        <v>196061</v>
      </c>
      <c r="BT48" s="80">
        <f t="shared" si="134"/>
        <v>98</v>
      </c>
      <c r="BU48" s="132">
        <f t="shared" si="69"/>
        <v>3.6224489795918369</v>
      </c>
      <c r="BV48" s="183">
        <f t="shared" si="109"/>
        <v>710220.96938775515</v>
      </c>
      <c r="BW48" s="195">
        <v>322085</v>
      </c>
      <c r="BX48" s="80">
        <f t="shared" si="135"/>
        <v>92</v>
      </c>
      <c r="BY48" s="132">
        <f t="shared" si="70"/>
        <v>7.9347826086956523</v>
      </c>
      <c r="BZ48" s="212">
        <f t="shared" si="110"/>
        <v>2555674.4565217393</v>
      </c>
      <c r="CA48" s="195">
        <v>0</v>
      </c>
      <c r="CB48" s="195"/>
      <c r="CD48" s="212">
        <v>0</v>
      </c>
      <c r="CE48" s="58">
        <v>113555</v>
      </c>
      <c r="CF48" s="209"/>
      <c r="CG48" s="58">
        <f t="shared" si="112"/>
        <v>113555</v>
      </c>
      <c r="CH48" s="194">
        <f t="shared" si="113"/>
        <v>34066.5</v>
      </c>
      <c r="CI48" s="58">
        <v>3648</v>
      </c>
      <c r="CJ48" s="209"/>
      <c r="CK48" s="58">
        <f t="shared" si="114"/>
        <v>3648</v>
      </c>
      <c r="CL48" s="80">
        <f t="shared" si="136"/>
        <v>87</v>
      </c>
      <c r="CM48" s="135">
        <f t="shared" si="72"/>
        <v>5.9770114942528734</v>
      </c>
      <c r="CN48" s="183">
        <f t="shared" si="141"/>
        <v>21804.137931034482</v>
      </c>
      <c r="CO48" s="58">
        <v>422680</v>
      </c>
      <c r="CP48" s="58"/>
      <c r="CQ48" s="58"/>
      <c r="CR48" s="195">
        <f t="shared" si="115"/>
        <v>422680</v>
      </c>
      <c r="CS48" s="80">
        <f t="shared" si="137"/>
        <v>91</v>
      </c>
      <c r="CT48" s="327">
        <f t="shared" si="73"/>
        <v>7.5934065934065931</v>
      </c>
      <c r="CU48" s="183">
        <f t="shared" si="142"/>
        <v>3209581.0989010986</v>
      </c>
      <c r="CV48" s="195">
        <v>30450</v>
      </c>
      <c r="CW48" s="80">
        <f t="shared" si="138"/>
        <v>87</v>
      </c>
      <c r="CX48" s="135">
        <f t="shared" si="74"/>
        <v>5.9770114942528734</v>
      </c>
      <c r="CY48" s="183">
        <f t="shared" si="116"/>
        <v>182000</v>
      </c>
      <c r="CZ48" s="58">
        <v>258554</v>
      </c>
      <c r="DA48" s="80">
        <f t="shared" si="139"/>
        <v>90</v>
      </c>
      <c r="DB48" s="327">
        <f t="shared" si="75"/>
        <v>7.2222222222222223</v>
      </c>
      <c r="DC48" s="183">
        <f t="shared" si="117"/>
        <v>1867334.4444444445</v>
      </c>
      <c r="DD48" s="58">
        <v>23945</v>
      </c>
      <c r="DE48" s="58">
        <v>23945</v>
      </c>
      <c r="DF48" s="58"/>
      <c r="DG48" s="58">
        <f t="shared" si="118"/>
        <v>23945</v>
      </c>
      <c r="DH48" s="58">
        <f t="shared" si="121"/>
        <v>11972.5</v>
      </c>
      <c r="DI48" s="80">
        <f t="shared" si="140"/>
        <v>90</v>
      </c>
      <c r="DJ48" s="332">
        <f t="shared" si="76"/>
        <v>9.6444444444444439</v>
      </c>
      <c r="DK48" s="183">
        <f t="shared" si="143"/>
        <v>115468.11111111111</v>
      </c>
    </row>
    <row r="49" spans="1:115">
      <c r="A49" s="213">
        <v>1970</v>
      </c>
      <c r="B49" s="58">
        <v>30817</v>
      </c>
      <c r="C49" s="209"/>
      <c r="D49" s="58">
        <f t="shared" si="90"/>
        <v>30817</v>
      </c>
      <c r="E49" s="194">
        <f t="shared" si="91"/>
        <v>21571.899999999998</v>
      </c>
      <c r="F49" s="58">
        <v>396</v>
      </c>
      <c r="G49" s="209"/>
      <c r="H49" s="209">
        <f t="shared" si="92"/>
        <v>396</v>
      </c>
      <c r="I49" s="214">
        <v>82</v>
      </c>
      <c r="J49" s="132">
        <f t="shared" si="56"/>
        <v>6.3414634146341466</v>
      </c>
      <c r="K49" s="183">
        <f t="shared" si="93"/>
        <v>2511.2195121951222</v>
      </c>
      <c r="L49" s="58">
        <v>191536</v>
      </c>
      <c r="M49" s="209"/>
      <c r="N49" s="58" t="s">
        <v>28</v>
      </c>
      <c r="O49" s="58">
        <v>199021</v>
      </c>
      <c r="P49" s="80">
        <f t="shared" si="122"/>
        <v>76</v>
      </c>
      <c r="Q49" s="132">
        <f t="shared" si="57"/>
        <v>7.8289473684210522</v>
      </c>
      <c r="R49" s="193">
        <f t="shared" si="6"/>
        <v>1558124.9342105263</v>
      </c>
      <c r="S49" s="58">
        <v>158454</v>
      </c>
      <c r="T49" s="209"/>
      <c r="U49" s="58" t="s">
        <v>29</v>
      </c>
      <c r="V49" s="58">
        <v>162257</v>
      </c>
      <c r="W49" s="80">
        <f t="shared" si="123"/>
        <v>89</v>
      </c>
      <c r="X49" s="132">
        <f t="shared" si="58"/>
        <v>6.8539325842696632</v>
      </c>
      <c r="Y49" s="183">
        <f t="shared" si="96"/>
        <v>1112098.5393258426</v>
      </c>
      <c r="Z49" s="58">
        <v>0</v>
      </c>
      <c r="AA49" s="80">
        <f t="shared" si="124"/>
        <v>82</v>
      </c>
      <c r="AB49" s="132">
        <f t="shared" si="59"/>
        <v>6.6829268292682924</v>
      </c>
      <c r="AC49" s="183">
        <v>0</v>
      </c>
      <c r="AD49" s="58">
        <v>0</v>
      </c>
      <c r="AE49" s="80">
        <f t="shared" si="125"/>
        <v>82</v>
      </c>
      <c r="AF49" s="132">
        <f t="shared" si="60"/>
        <v>10.109756097560975</v>
      </c>
      <c r="AG49" s="183">
        <v>0</v>
      </c>
      <c r="AH49" s="58">
        <v>0</v>
      </c>
      <c r="AI49" s="209"/>
      <c r="AJ49" s="58">
        <f t="shared" si="120"/>
        <v>0</v>
      </c>
      <c r="AK49" s="80">
        <f t="shared" si="126"/>
        <v>79</v>
      </c>
      <c r="AL49" s="132">
        <f t="shared" si="61"/>
        <v>6.6455696202531644</v>
      </c>
      <c r="AM49" s="183">
        <f t="shared" si="98"/>
        <v>0</v>
      </c>
      <c r="AN49" s="58">
        <v>1067466</v>
      </c>
      <c r="AO49" s="80">
        <f t="shared" si="127"/>
        <v>76</v>
      </c>
      <c r="AP49" s="132">
        <f t="shared" si="62"/>
        <v>7.4736842105263159</v>
      </c>
      <c r="AQ49" s="183">
        <f t="shared" si="99"/>
        <v>7977903.7894736845</v>
      </c>
      <c r="AR49" s="58">
        <v>837700</v>
      </c>
      <c r="AS49" s="80">
        <f t="shared" si="128"/>
        <v>87</v>
      </c>
      <c r="AT49" s="132">
        <f t="shared" si="63"/>
        <v>7.8620689655172411</v>
      </c>
      <c r="AU49" s="183">
        <f t="shared" si="100"/>
        <v>6586055.1724137925</v>
      </c>
      <c r="AV49" s="58">
        <v>26277</v>
      </c>
      <c r="AW49" s="80">
        <f t="shared" si="129"/>
        <v>81</v>
      </c>
      <c r="AX49" s="132">
        <f t="shared" si="64"/>
        <v>6.4938271604938276</v>
      </c>
      <c r="AY49" s="183">
        <f t="shared" si="101"/>
        <v>170638.29629629632</v>
      </c>
      <c r="AZ49" s="58">
        <v>0</v>
      </c>
      <c r="BA49" s="80">
        <f t="shared" si="130"/>
        <v>86</v>
      </c>
      <c r="BB49" s="132">
        <f t="shared" si="65"/>
        <v>7.1395348837209305</v>
      </c>
      <c r="BC49" s="183">
        <f t="shared" si="102"/>
        <v>0</v>
      </c>
      <c r="BD49" s="209">
        <v>602462</v>
      </c>
      <c r="BE49" s="58">
        <f t="shared" si="103"/>
        <v>496428.68799999997</v>
      </c>
      <c r="BF49" s="80">
        <f t="shared" si="131"/>
        <v>102</v>
      </c>
      <c r="BG49" s="132">
        <f t="shared" si="66"/>
        <v>6</v>
      </c>
      <c r="BH49" s="183">
        <f t="shared" si="104"/>
        <v>2978572.1279999996</v>
      </c>
      <c r="BI49" s="58">
        <f t="shared" si="105"/>
        <v>106033.31199999999</v>
      </c>
      <c r="BJ49" s="80">
        <f t="shared" si="132"/>
        <v>95</v>
      </c>
      <c r="BK49" s="132">
        <f t="shared" si="67"/>
        <v>6.8631578947368421</v>
      </c>
      <c r="BL49" s="183">
        <f t="shared" si="106"/>
        <v>727723.36235789466</v>
      </c>
      <c r="BM49" s="58">
        <v>369394</v>
      </c>
      <c r="BN49" s="80">
        <f t="shared" si="133"/>
        <v>84</v>
      </c>
      <c r="BO49" s="132">
        <f t="shared" si="68"/>
        <v>6.0595238095238093</v>
      </c>
      <c r="BP49" s="183">
        <f t="shared" si="107"/>
        <v>2238351.7380952379</v>
      </c>
      <c r="BQ49" s="58">
        <v>119713</v>
      </c>
      <c r="BR49" s="209"/>
      <c r="BS49" s="58">
        <f t="shared" si="108"/>
        <v>119713</v>
      </c>
      <c r="BT49" s="80">
        <f t="shared" si="134"/>
        <v>94</v>
      </c>
      <c r="BU49" s="132">
        <f t="shared" si="69"/>
        <v>3.7765957446808511</v>
      </c>
      <c r="BV49" s="183">
        <f t="shared" si="109"/>
        <v>452107.60638297873</v>
      </c>
      <c r="BW49" s="195">
        <v>157383</v>
      </c>
      <c r="BX49" s="80">
        <f t="shared" si="135"/>
        <v>88</v>
      </c>
      <c r="BY49" s="132">
        <f t="shared" si="70"/>
        <v>8.295454545454545</v>
      </c>
      <c r="BZ49" s="212">
        <f t="shared" si="110"/>
        <v>1305563.5227272727</v>
      </c>
      <c r="CA49" s="195">
        <v>0</v>
      </c>
      <c r="CB49" s="195"/>
      <c r="CD49" s="212">
        <v>0</v>
      </c>
      <c r="CE49" s="58">
        <v>30817</v>
      </c>
      <c r="CF49" s="209"/>
      <c r="CG49" s="58">
        <f t="shared" si="112"/>
        <v>30817</v>
      </c>
      <c r="CH49" s="194">
        <f t="shared" si="113"/>
        <v>9245.1</v>
      </c>
      <c r="CI49" s="58">
        <v>9477</v>
      </c>
      <c r="CJ49" s="209"/>
      <c r="CK49" s="58">
        <f t="shared" si="114"/>
        <v>9477</v>
      </c>
      <c r="CL49" s="80">
        <f t="shared" si="136"/>
        <v>82</v>
      </c>
      <c r="CM49" s="135">
        <f t="shared" si="72"/>
        <v>6.3414634146341466</v>
      </c>
      <c r="CN49" s="183">
        <f t="shared" si="141"/>
        <v>60098.048780487807</v>
      </c>
      <c r="CO49" s="58">
        <v>344607</v>
      </c>
      <c r="CP49" s="58"/>
      <c r="CQ49" s="58" t="s">
        <v>30</v>
      </c>
      <c r="CR49" s="58">
        <v>354134</v>
      </c>
      <c r="CS49" s="80">
        <f t="shared" si="137"/>
        <v>89</v>
      </c>
      <c r="CT49" s="327">
        <f t="shared" si="73"/>
        <v>7.7640449438202248</v>
      </c>
      <c r="CU49" s="183">
        <f t="shared" si="142"/>
        <v>2749512.2921348317</v>
      </c>
      <c r="CV49" s="195">
        <v>29475</v>
      </c>
      <c r="CW49" s="80">
        <f t="shared" si="138"/>
        <v>82</v>
      </c>
      <c r="CX49" s="135">
        <f t="shared" si="74"/>
        <v>6.3414634146341466</v>
      </c>
      <c r="CY49" s="183">
        <f t="shared" si="116"/>
        <v>186914.63414634147</v>
      </c>
      <c r="CZ49" s="58">
        <v>540779</v>
      </c>
      <c r="DA49" s="80">
        <f t="shared" si="139"/>
        <v>90</v>
      </c>
      <c r="DB49" s="327">
        <f t="shared" si="75"/>
        <v>7.2222222222222223</v>
      </c>
      <c r="DC49" s="183">
        <f t="shared" si="117"/>
        <v>3905626.111111111</v>
      </c>
      <c r="DD49" s="58">
        <v>3462</v>
      </c>
      <c r="DE49" s="58">
        <v>3462</v>
      </c>
      <c r="DF49" s="58"/>
      <c r="DG49" s="58">
        <f t="shared" si="118"/>
        <v>3462</v>
      </c>
      <c r="DH49" s="58">
        <f t="shared" si="121"/>
        <v>1731</v>
      </c>
      <c r="DI49" s="80">
        <f t="shared" si="140"/>
        <v>85</v>
      </c>
      <c r="DJ49" s="332">
        <f t="shared" si="76"/>
        <v>10.211764705882352</v>
      </c>
      <c r="DK49" s="183">
        <f t="shared" si="143"/>
        <v>17676.564705882352</v>
      </c>
    </row>
    <row r="50" spans="1:115">
      <c r="A50" s="213">
        <v>1969</v>
      </c>
      <c r="B50" s="58">
        <v>53830</v>
      </c>
      <c r="C50" s="209"/>
      <c r="D50" s="58">
        <f t="shared" si="90"/>
        <v>53830</v>
      </c>
      <c r="E50" s="194">
        <f t="shared" si="91"/>
        <v>37681</v>
      </c>
      <c r="F50" s="58">
        <v>3398</v>
      </c>
      <c r="G50" s="209"/>
      <c r="H50" s="209">
        <f t="shared" si="92"/>
        <v>3398</v>
      </c>
      <c r="I50" s="214">
        <v>78</v>
      </c>
      <c r="J50" s="132">
        <f t="shared" si="56"/>
        <v>6.666666666666667</v>
      </c>
      <c r="K50" s="183">
        <f t="shared" si="93"/>
        <v>22653.333333333336</v>
      </c>
      <c r="L50" s="58">
        <v>239885</v>
      </c>
      <c r="M50" s="209"/>
      <c r="N50" s="58" t="s">
        <v>31</v>
      </c>
      <c r="O50" s="58">
        <v>241771</v>
      </c>
      <c r="P50" s="80">
        <f t="shared" si="122"/>
        <v>69</v>
      </c>
      <c r="Q50" s="132">
        <f t="shared" si="57"/>
        <v>8.6231884057971016</v>
      </c>
      <c r="R50" s="193">
        <f t="shared" si="6"/>
        <v>2084836.884057971</v>
      </c>
      <c r="S50" s="58">
        <v>157735</v>
      </c>
      <c r="T50" s="209"/>
      <c r="U50" s="58" t="s">
        <v>32</v>
      </c>
      <c r="V50" s="58">
        <v>158403</v>
      </c>
      <c r="W50" s="80">
        <f t="shared" si="123"/>
        <v>80</v>
      </c>
      <c r="X50" s="132">
        <f t="shared" si="58"/>
        <v>7.625</v>
      </c>
      <c r="Y50" s="183">
        <f t="shared" si="96"/>
        <v>1207822.875</v>
      </c>
      <c r="Z50" s="58">
        <v>0</v>
      </c>
      <c r="AA50" s="80">
        <f t="shared" si="124"/>
        <v>79</v>
      </c>
      <c r="AB50" s="132">
        <f t="shared" si="59"/>
        <v>6.9367088607594933</v>
      </c>
      <c r="AC50" s="183">
        <v>0</v>
      </c>
      <c r="AD50" s="58">
        <v>0</v>
      </c>
      <c r="AE50" s="80">
        <f t="shared" si="125"/>
        <v>79</v>
      </c>
      <c r="AF50" s="132">
        <f t="shared" si="60"/>
        <v>10.49367088607595</v>
      </c>
      <c r="AG50" s="183">
        <v>0</v>
      </c>
      <c r="AH50" s="58">
        <v>0</v>
      </c>
      <c r="AI50" s="209"/>
      <c r="AJ50" s="58">
        <f t="shared" si="120"/>
        <v>0</v>
      </c>
      <c r="AK50" s="80">
        <f t="shared" si="126"/>
        <v>73</v>
      </c>
      <c r="AL50" s="132">
        <f t="shared" si="61"/>
        <v>7.1917808219178081</v>
      </c>
      <c r="AM50" s="183">
        <f t="shared" si="98"/>
        <v>0</v>
      </c>
      <c r="AN50" s="58">
        <v>885288</v>
      </c>
      <c r="AO50" s="80">
        <f t="shared" si="127"/>
        <v>69</v>
      </c>
      <c r="AP50" s="132">
        <f t="shared" si="62"/>
        <v>8.2318840579710137</v>
      </c>
      <c r="AQ50" s="183">
        <f t="shared" si="99"/>
        <v>7287588.173913043</v>
      </c>
      <c r="AR50" s="58">
        <v>434511</v>
      </c>
      <c r="AS50" s="80">
        <f t="shared" si="128"/>
        <v>78</v>
      </c>
      <c r="AT50" s="132">
        <f t="shared" si="63"/>
        <v>8.7692307692307701</v>
      </c>
      <c r="AU50" s="183">
        <f t="shared" si="100"/>
        <v>3810327.230769231</v>
      </c>
      <c r="AV50" s="58">
        <v>30025</v>
      </c>
      <c r="AW50" s="80">
        <f t="shared" si="129"/>
        <v>76</v>
      </c>
      <c r="AX50" s="132">
        <f t="shared" si="64"/>
        <v>6.9210526315789478</v>
      </c>
      <c r="AY50" s="183">
        <f t="shared" si="101"/>
        <v>207804.60526315789</v>
      </c>
      <c r="AZ50" s="58">
        <v>0</v>
      </c>
      <c r="BA50" s="80">
        <f t="shared" si="130"/>
        <v>83</v>
      </c>
      <c r="BB50" s="132">
        <f t="shared" si="65"/>
        <v>7.3975903614457827</v>
      </c>
      <c r="BC50" s="183">
        <f t="shared" si="102"/>
        <v>0</v>
      </c>
      <c r="BD50" s="209">
        <v>598944</v>
      </c>
      <c r="BE50" s="58">
        <f t="shared" si="103"/>
        <v>493529.85599999997</v>
      </c>
      <c r="BF50" s="80">
        <f t="shared" si="131"/>
        <v>102</v>
      </c>
      <c r="BG50" s="132">
        <f t="shared" si="66"/>
        <v>6</v>
      </c>
      <c r="BH50" s="183">
        <f t="shared" si="104"/>
        <v>2961179.1359999999</v>
      </c>
      <c r="BI50" s="58">
        <f t="shared" si="105"/>
        <v>105414.144</v>
      </c>
      <c r="BJ50" s="80">
        <f t="shared" si="132"/>
        <v>96</v>
      </c>
      <c r="BK50" s="132">
        <f t="shared" si="67"/>
        <v>6.791666666666667</v>
      </c>
      <c r="BL50" s="183">
        <f t="shared" si="106"/>
        <v>715937.728</v>
      </c>
      <c r="BM50" s="58">
        <v>346459</v>
      </c>
      <c r="BN50" s="80">
        <f t="shared" si="133"/>
        <v>74</v>
      </c>
      <c r="BO50" s="132">
        <f t="shared" si="68"/>
        <v>6.8783783783783781</v>
      </c>
      <c r="BP50" s="183">
        <f t="shared" si="107"/>
        <v>2383076.0945945946</v>
      </c>
      <c r="BQ50" s="58">
        <v>147939</v>
      </c>
      <c r="BR50" s="209"/>
      <c r="BS50" s="58">
        <f t="shared" si="108"/>
        <v>147939</v>
      </c>
      <c r="BT50" s="80">
        <f t="shared" si="134"/>
        <v>91</v>
      </c>
      <c r="BU50" s="132">
        <f t="shared" si="69"/>
        <v>3.901098901098901</v>
      </c>
      <c r="BV50" s="183">
        <f t="shared" si="109"/>
        <v>577124.67032967031</v>
      </c>
      <c r="BW50" s="195">
        <v>103148</v>
      </c>
      <c r="BX50" s="80">
        <f t="shared" si="135"/>
        <v>81</v>
      </c>
      <c r="BY50" s="132">
        <f t="shared" si="70"/>
        <v>9.0123456790123448</v>
      </c>
      <c r="BZ50" s="212">
        <f t="shared" si="110"/>
        <v>929605.43209876539</v>
      </c>
      <c r="CA50" s="195">
        <v>0</v>
      </c>
      <c r="CB50" s="195"/>
      <c r="CD50" s="212">
        <v>0</v>
      </c>
      <c r="CE50" s="58">
        <v>53830</v>
      </c>
      <c r="CF50" s="209"/>
      <c r="CG50" s="58">
        <f t="shared" si="112"/>
        <v>53830</v>
      </c>
      <c r="CH50" s="194">
        <f t="shared" si="113"/>
        <v>16149</v>
      </c>
      <c r="CI50" s="58">
        <v>5148</v>
      </c>
      <c r="CJ50" s="209"/>
      <c r="CK50" s="58">
        <f t="shared" si="114"/>
        <v>5148</v>
      </c>
      <c r="CL50" s="80">
        <f t="shared" si="136"/>
        <v>78</v>
      </c>
      <c r="CM50" s="135">
        <f t="shared" si="72"/>
        <v>6.666666666666667</v>
      </c>
      <c r="CN50" s="183">
        <f t="shared" si="141"/>
        <v>34320</v>
      </c>
      <c r="CO50" s="58">
        <v>201348</v>
      </c>
      <c r="CP50" s="58"/>
      <c r="CQ50" s="58" t="s">
        <v>33</v>
      </c>
      <c r="CR50" s="58">
        <v>294443</v>
      </c>
      <c r="CS50" s="80">
        <f t="shared" si="137"/>
        <v>85</v>
      </c>
      <c r="CT50" s="327">
        <f t="shared" si="73"/>
        <v>8.1294117647058819</v>
      </c>
      <c r="CU50" s="183">
        <f t="shared" si="142"/>
        <v>2393648.3882352938</v>
      </c>
      <c r="CV50" s="195">
        <v>15091</v>
      </c>
      <c r="CW50" s="80">
        <f t="shared" si="138"/>
        <v>78</v>
      </c>
      <c r="CX50" s="135">
        <f t="shared" si="74"/>
        <v>6.666666666666667</v>
      </c>
      <c r="CY50" s="183">
        <f t="shared" si="116"/>
        <v>100606.66666666667</v>
      </c>
      <c r="CZ50" s="58">
        <v>283268</v>
      </c>
      <c r="DA50" s="80">
        <f t="shared" si="139"/>
        <v>87</v>
      </c>
      <c r="DB50" s="327">
        <f t="shared" si="75"/>
        <v>7.4712643678160919</v>
      </c>
      <c r="DC50" s="183">
        <f t="shared" si="117"/>
        <v>2116370.1149425288</v>
      </c>
      <c r="DD50" s="58">
        <v>17943</v>
      </c>
      <c r="DE50" s="58">
        <v>17943</v>
      </c>
      <c r="DF50" s="58"/>
      <c r="DG50" s="58">
        <f t="shared" si="118"/>
        <v>17943</v>
      </c>
      <c r="DH50" s="58">
        <f t="shared" si="121"/>
        <v>8971.5</v>
      </c>
      <c r="DI50" s="80">
        <f t="shared" si="140"/>
        <v>80</v>
      </c>
      <c r="DJ50" s="332">
        <f t="shared" si="76"/>
        <v>10.85</v>
      </c>
      <c r="DK50" s="183">
        <f t="shared" si="143"/>
        <v>97340.774999999994</v>
      </c>
    </row>
    <row r="51" spans="1:115">
      <c r="A51" s="213">
        <v>1968</v>
      </c>
      <c r="B51" s="58">
        <v>74984</v>
      </c>
      <c r="C51" s="209"/>
      <c r="D51" s="58">
        <f t="shared" ref="D51:D82" si="144">B51-C51</f>
        <v>74984</v>
      </c>
      <c r="E51" s="194">
        <f t="shared" ref="E51:E82" si="145">D51*0.7</f>
        <v>52488.799999999996</v>
      </c>
      <c r="F51" s="58">
        <v>0</v>
      </c>
      <c r="G51" s="209"/>
      <c r="H51" s="209">
        <f t="shared" ref="H51:H82" si="146">F51-G51</f>
        <v>0</v>
      </c>
      <c r="I51" s="214">
        <v>74</v>
      </c>
      <c r="J51" s="132">
        <f t="shared" si="56"/>
        <v>7.0270270270270272</v>
      </c>
      <c r="K51" s="183">
        <f t="shared" ref="K51:K82" si="147">J51*H51</f>
        <v>0</v>
      </c>
      <c r="L51" s="58">
        <v>314880</v>
      </c>
      <c r="M51" s="209"/>
      <c r="N51" s="209"/>
      <c r="O51" s="58">
        <f t="shared" ref="O51:O82" si="148">L51-M51+N51</f>
        <v>314880</v>
      </c>
      <c r="P51" s="80">
        <f t="shared" si="122"/>
        <v>65</v>
      </c>
      <c r="Q51" s="132">
        <f t="shared" si="57"/>
        <v>9.1538461538461533</v>
      </c>
      <c r="R51" s="193">
        <f t="shared" si="6"/>
        <v>2882363.0769230765</v>
      </c>
      <c r="S51" s="58">
        <v>404495</v>
      </c>
      <c r="T51" s="209"/>
      <c r="U51" s="209" t="s">
        <v>0</v>
      </c>
      <c r="V51" s="58">
        <v>409707</v>
      </c>
      <c r="W51" s="80">
        <f t="shared" si="123"/>
        <v>73</v>
      </c>
      <c r="X51" s="132">
        <f t="shared" si="58"/>
        <v>8.3561643835616444</v>
      </c>
      <c r="Y51" s="183">
        <f t="shared" ref="Y51:Y82" si="149">V51*X51</f>
        <v>3423579.0410958906</v>
      </c>
      <c r="Z51" s="58">
        <v>0</v>
      </c>
      <c r="AA51" s="80">
        <f t="shared" si="124"/>
        <v>75</v>
      </c>
      <c r="AB51" s="132">
        <f t="shared" si="59"/>
        <v>7.3066666666666666</v>
      </c>
      <c r="AC51" s="183">
        <v>0</v>
      </c>
      <c r="AD51" s="58">
        <v>0</v>
      </c>
      <c r="AE51" s="80">
        <f t="shared" si="125"/>
        <v>73</v>
      </c>
      <c r="AF51" s="132">
        <f t="shared" si="60"/>
        <v>11.356164383561644</v>
      </c>
      <c r="AG51" s="183">
        <v>0</v>
      </c>
      <c r="AH51" s="58">
        <v>0</v>
      </c>
      <c r="AI51" s="209"/>
      <c r="AJ51" s="58">
        <f t="shared" si="120"/>
        <v>0</v>
      </c>
      <c r="AK51" s="80">
        <f t="shared" si="126"/>
        <v>68</v>
      </c>
      <c r="AL51" s="132">
        <f t="shared" si="61"/>
        <v>7.7205882352941178</v>
      </c>
      <c r="AM51" s="183">
        <f t="shared" si="98"/>
        <v>0</v>
      </c>
      <c r="AN51" s="58">
        <v>675933</v>
      </c>
      <c r="AO51" s="80">
        <f t="shared" si="127"/>
        <v>65</v>
      </c>
      <c r="AP51" s="132">
        <f t="shared" si="62"/>
        <v>8.7384615384615376</v>
      </c>
      <c r="AQ51" s="183">
        <f t="shared" ref="AQ51:AQ80" si="150">AP51*AN51</f>
        <v>5906614.5230769226</v>
      </c>
      <c r="AR51" s="58">
        <v>449811</v>
      </c>
      <c r="AS51" s="80">
        <f t="shared" si="128"/>
        <v>71</v>
      </c>
      <c r="AT51" s="132">
        <f t="shared" si="63"/>
        <v>9.6338028169014081</v>
      </c>
      <c r="AU51" s="183">
        <f t="shared" ref="AU51:AU82" si="151">AT51*AR51</f>
        <v>4333390.4788732389</v>
      </c>
      <c r="AV51" s="58">
        <v>0</v>
      </c>
      <c r="AW51" s="80">
        <f t="shared" si="129"/>
        <v>72</v>
      </c>
      <c r="AX51" s="132">
        <f t="shared" si="64"/>
        <v>7.3055555555555554</v>
      </c>
      <c r="AY51" s="183">
        <f t="shared" ref="AY51:AY82" si="152">AX51*AV51</f>
        <v>0</v>
      </c>
      <c r="AZ51" s="58">
        <v>18185</v>
      </c>
      <c r="BA51" s="80">
        <f t="shared" si="130"/>
        <v>76</v>
      </c>
      <c r="BB51" s="132">
        <f t="shared" si="65"/>
        <v>8.0789473684210531</v>
      </c>
      <c r="BC51" s="183">
        <f t="shared" ref="BC51:BC82" si="153">BB51*AZ51</f>
        <v>146915.65789473685</v>
      </c>
      <c r="BD51" s="209">
        <v>421570</v>
      </c>
      <c r="BE51" s="58">
        <f t="shared" ref="BE51:BE82" si="154">BD51*0.824</f>
        <v>347373.68</v>
      </c>
      <c r="BF51" s="80">
        <f t="shared" si="131"/>
        <v>103</v>
      </c>
      <c r="BG51" s="132">
        <f t="shared" si="66"/>
        <v>5.941747572815534</v>
      </c>
      <c r="BH51" s="183">
        <f t="shared" ref="BH51:BH76" si="155">BG51*BE51</f>
        <v>2064006.72</v>
      </c>
      <c r="BI51" s="58">
        <f t="shared" ref="BI51:BI82" si="156">BD51*0.176</f>
        <v>74196.319999999992</v>
      </c>
      <c r="BJ51" s="80">
        <f t="shared" si="132"/>
        <v>99</v>
      </c>
      <c r="BK51" s="132">
        <f t="shared" si="67"/>
        <v>6.5858585858585856</v>
      </c>
      <c r="BL51" s="183">
        <f t="shared" ref="BL51:BL76" si="157">BK51*BI51</f>
        <v>488646.47111111105</v>
      </c>
      <c r="BM51" s="58">
        <v>287306</v>
      </c>
      <c r="BN51" s="80">
        <f t="shared" si="133"/>
        <v>67</v>
      </c>
      <c r="BO51" s="132">
        <f t="shared" si="68"/>
        <v>7.5970149253731343</v>
      </c>
      <c r="BP51" s="183">
        <f t="shared" ref="BP51:BP79" si="158">BO51*BM51</f>
        <v>2182667.9701492535</v>
      </c>
      <c r="BQ51" s="58">
        <v>111645</v>
      </c>
      <c r="BR51" s="209"/>
      <c r="BS51" s="58">
        <f t="shared" ref="BS51:BS82" si="159">BQ51-BR51</f>
        <v>111645</v>
      </c>
      <c r="BT51" s="80">
        <f t="shared" si="134"/>
        <v>87</v>
      </c>
      <c r="BU51" s="132">
        <f t="shared" si="69"/>
        <v>4.0804597701149428</v>
      </c>
      <c r="BV51" s="183">
        <f t="shared" ref="BV51:BV82" si="160">BU51*BS51</f>
        <v>455562.93103448278</v>
      </c>
      <c r="BW51" s="195">
        <v>176374</v>
      </c>
      <c r="BX51" s="80">
        <f t="shared" si="135"/>
        <v>76</v>
      </c>
      <c r="BY51" s="132">
        <f t="shared" si="70"/>
        <v>9.6052631578947363</v>
      </c>
      <c r="BZ51" s="212">
        <f t="shared" si="110"/>
        <v>1694118.6842105263</v>
      </c>
      <c r="CA51" s="195">
        <v>0</v>
      </c>
      <c r="CB51" s="195"/>
      <c r="CD51" s="212">
        <v>0</v>
      </c>
      <c r="CE51" s="58">
        <v>74984</v>
      </c>
      <c r="CF51" s="209"/>
      <c r="CG51" s="58">
        <f t="shared" ref="CG51:CG82" si="161">CE51-CF51</f>
        <v>74984</v>
      </c>
      <c r="CH51" s="194">
        <f t="shared" ref="CH51:CH82" si="162">CG51*0.3</f>
        <v>22495.200000000001</v>
      </c>
      <c r="CI51" s="58">
        <v>65130</v>
      </c>
      <c r="CJ51" s="209"/>
      <c r="CK51" s="58">
        <f t="shared" ref="CK51:CK82" si="163">CI51-CJ51</f>
        <v>65130</v>
      </c>
      <c r="CL51" s="80">
        <f t="shared" si="136"/>
        <v>74</v>
      </c>
      <c r="CM51" s="135">
        <f t="shared" si="72"/>
        <v>7.0270270270270272</v>
      </c>
      <c r="CN51" s="183">
        <f t="shared" si="141"/>
        <v>457670.2702702703</v>
      </c>
      <c r="CO51" s="58">
        <v>606472</v>
      </c>
      <c r="CP51" s="58"/>
      <c r="CQ51" s="58" t="s">
        <v>34</v>
      </c>
      <c r="CR51" s="58">
        <v>641307</v>
      </c>
      <c r="CS51" s="80">
        <f t="shared" si="137"/>
        <v>83</v>
      </c>
      <c r="CT51" s="327">
        <f t="shared" si="73"/>
        <v>8.3253012048192776</v>
      </c>
      <c r="CU51" s="183">
        <f t="shared" si="142"/>
        <v>5339073.9397590365</v>
      </c>
      <c r="CV51" s="195">
        <v>37085</v>
      </c>
      <c r="CW51" s="80">
        <f t="shared" si="138"/>
        <v>74</v>
      </c>
      <c r="CX51" s="135">
        <f t="shared" si="74"/>
        <v>7.0270270270270272</v>
      </c>
      <c r="CY51" s="183">
        <f t="shared" ref="CY51:CY82" si="164">CX51*CV51</f>
        <v>260597.29729729731</v>
      </c>
      <c r="CZ51" s="58">
        <v>516197</v>
      </c>
      <c r="DA51" s="80">
        <f t="shared" si="139"/>
        <v>84</v>
      </c>
      <c r="DB51" s="327">
        <f t="shared" si="75"/>
        <v>7.7380952380952381</v>
      </c>
      <c r="DC51" s="183">
        <f t="shared" ref="DC51:DC82" si="165">DB51*CZ51</f>
        <v>3994381.5476190476</v>
      </c>
      <c r="DD51" s="58">
        <v>23383</v>
      </c>
      <c r="DE51" s="58">
        <v>23383</v>
      </c>
      <c r="DF51" s="58"/>
      <c r="DG51" s="58">
        <f t="shared" ref="DG51:DG82" si="166">DD51-DF51</f>
        <v>23383</v>
      </c>
      <c r="DH51" s="58">
        <f t="shared" si="121"/>
        <v>11691.5</v>
      </c>
      <c r="DI51" s="80">
        <f t="shared" si="140"/>
        <v>77</v>
      </c>
      <c r="DJ51" s="332">
        <f t="shared" si="76"/>
        <v>11.272727272727273</v>
      </c>
      <c r="DK51" s="183">
        <f t="shared" si="143"/>
        <v>131795.09090909091</v>
      </c>
    </row>
    <row r="52" spans="1:115">
      <c r="A52" s="213">
        <v>1967</v>
      </c>
      <c r="B52" s="58">
        <v>4950</v>
      </c>
      <c r="C52" s="209"/>
      <c r="D52" s="58">
        <f t="shared" si="144"/>
        <v>4950</v>
      </c>
      <c r="E52" s="194">
        <f t="shared" si="145"/>
        <v>3465</v>
      </c>
      <c r="F52" s="58">
        <v>0</v>
      </c>
      <c r="G52" s="209"/>
      <c r="H52" s="209">
        <f t="shared" si="146"/>
        <v>0</v>
      </c>
      <c r="I52" s="214">
        <v>71</v>
      </c>
      <c r="J52" s="132">
        <f t="shared" si="56"/>
        <v>7.323943661971831</v>
      </c>
      <c r="K52" s="183">
        <f t="shared" si="147"/>
        <v>0</v>
      </c>
      <c r="L52" s="58">
        <v>165067</v>
      </c>
      <c r="M52" s="209"/>
      <c r="N52" s="209"/>
      <c r="O52" s="58">
        <f t="shared" si="148"/>
        <v>165067</v>
      </c>
      <c r="P52" s="80">
        <f t="shared" si="122"/>
        <v>63</v>
      </c>
      <c r="Q52" s="132">
        <f t="shared" si="57"/>
        <v>9.4444444444444446</v>
      </c>
      <c r="R52" s="193">
        <f t="shared" si="6"/>
        <v>1558966.1111111112</v>
      </c>
      <c r="S52" s="58">
        <v>105001</v>
      </c>
      <c r="T52" s="209"/>
      <c r="U52" s="209"/>
      <c r="V52" s="58">
        <f t="shared" ref="V52:V83" si="167">S52-T52+U52</f>
        <v>105001</v>
      </c>
      <c r="W52" s="80">
        <f t="shared" si="123"/>
        <v>73</v>
      </c>
      <c r="X52" s="132">
        <f t="shared" si="58"/>
        <v>8.3561643835616444</v>
      </c>
      <c r="Y52" s="183">
        <f t="shared" si="149"/>
        <v>877405.61643835623</v>
      </c>
      <c r="Z52" s="58">
        <v>0</v>
      </c>
      <c r="AA52" s="80">
        <f t="shared" si="124"/>
        <v>73</v>
      </c>
      <c r="AB52" s="132">
        <f t="shared" si="59"/>
        <v>7.506849315068493</v>
      </c>
      <c r="AC52" s="183">
        <v>0</v>
      </c>
      <c r="AD52" s="58">
        <v>0</v>
      </c>
      <c r="AE52" s="80">
        <f t="shared" si="125"/>
        <v>75</v>
      </c>
      <c r="AF52" s="132">
        <f t="shared" si="60"/>
        <v>11.053333333333333</v>
      </c>
      <c r="AG52" s="183">
        <v>0</v>
      </c>
      <c r="AH52" s="58">
        <v>0</v>
      </c>
      <c r="AI52" s="209"/>
      <c r="AJ52" s="58">
        <f t="shared" si="120"/>
        <v>0</v>
      </c>
      <c r="AK52" s="80">
        <f t="shared" si="126"/>
        <v>65</v>
      </c>
      <c r="AL52" s="132">
        <f t="shared" si="61"/>
        <v>8.0769230769230766</v>
      </c>
      <c r="AM52" s="183">
        <f t="shared" si="98"/>
        <v>0</v>
      </c>
      <c r="AN52" s="58">
        <v>716397</v>
      </c>
      <c r="AO52" s="80">
        <f t="shared" si="127"/>
        <v>63</v>
      </c>
      <c r="AP52" s="132">
        <f t="shared" si="62"/>
        <v>9.0158730158730158</v>
      </c>
      <c r="AQ52" s="183">
        <f t="shared" si="150"/>
        <v>6458944.3809523806</v>
      </c>
      <c r="AR52" s="58">
        <v>369548</v>
      </c>
      <c r="AS52" s="80">
        <f t="shared" si="128"/>
        <v>67</v>
      </c>
      <c r="AT52" s="132">
        <f t="shared" si="63"/>
        <v>10.208955223880597</v>
      </c>
      <c r="AU52" s="183">
        <f t="shared" si="151"/>
        <v>3772698.9850746267</v>
      </c>
      <c r="AV52" s="58">
        <v>7603</v>
      </c>
      <c r="AW52" s="80">
        <f t="shared" si="129"/>
        <v>69</v>
      </c>
      <c r="AX52" s="132">
        <f t="shared" si="64"/>
        <v>7.6231884057971016</v>
      </c>
      <c r="AY52" s="183">
        <f t="shared" si="152"/>
        <v>57959.10144927536</v>
      </c>
      <c r="AZ52" s="58">
        <v>109075</v>
      </c>
      <c r="BA52" s="80">
        <f t="shared" si="130"/>
        <v>79</v>
      </c>
      <c r="BB52" s="132">
        <f t="shared" si="65"/>
        <v>7.7721518987341769</v>
      </c>
      <c r="BC52" s="183">
        <f t="shared" si="153"/>
        <v>847747.4683544304</v>
      </c>
      <c r="BD52" s="209">
        <v>477632</v>
      </c>
      <c r="BE52" s="58">
        <f t="shared" si="154"/>
        <v>393568.76799999998</v>
      </c>
      <c r="BF52" s="80">
        <f t="shared" si="131"/>
        <v>100</v>
      </c>
      <c r="BG52" s="132">
        <f t="shared" si="66"/>
        <v>6.12</v>
      </c>
      <c r="BH52" s="183">
        <f t="shared" si="155"/>
        <v>2408640.8601600002</v>
      </c>
      <c r="BI52" s="58">
        <f t="shared" si="156"/>
        <v>84063.231999999989</v>
      </c>
      <c r="BJ52" s="80">
        <f t="shared" si="132"/>
        <v>96</v>
      </c>
      <c r="BK52" s="132">
        <f t="shared" si="67"/>
        <v>6.791666666666667</v>
      </c>
      <c r="BL52" s="183">
        <f t="shared" si="157"/>
        <v>570929.45066666661</v>
      </c>
      <c r="BM52" s="58">
        <v>294764</v>
      </c>
      <c r="BN52" s="80">
        <f t="shared" si="133"/>
        <v>63</v>
      </c>
      <c r="BO52" s="132">
        <f t="shared" si="68"/>
        <v>8.0793650793650791</v>
      </c>
      <c r="BP52" s="183">
        <f t="shared" si="158"/>
        <v>2381505.9682539683</v>
      </c>
      <c r="BQ52" s="58">
        <v>96107</v>
      </c>
      <c r="BR52" s="209"/>
      <c r="BS52" s="58">
        <f t="shared" si="159"/>
        <v>96107</v>
      </c>
      <c r="BT52" s="80">
        <f t="shared" si="134"/>
        <v>84</v>
      </c>
      <c r="BU52" s="132">
        <f t="shared" si="69"/>
        <v>4.2261904761904763</v>
      </c>
      <c r="BV52" s="183">
        <f t="shared" si="160"/>
        <v>406166.48809523811</v>
      </c>
      <c r="BW52" s="195">
        <v>118426</v>
      </c>
      <c r="BX52" s="80">
        <f t="shared" si="135"/>
        <v>74</v>
      </c>
      <c r="BY52" s="132">
        <f t="shared" si="70"/>
        <v>9.8648648648648649</v>
      </c>
      <c r="BZ52" s="212">
        <f t="shared" si="110"/>
        <v>1168256.4864864864</v>
      </c>
      <c r="CA52" s="195">
        <v>0</v>
      </c>
      <c r="CB52" s="195"/>
      <c r="CD52" s="212">
        <v>0</v>
      </c>
      <c r="CE52" s="58">
        <v>4950</v>
      </c>
      <c r="CF52" s="209"/>
      <c r="CG52" s="58">
        <f t="shared" si="161"/>
        <v>4950</v>
      </c>
      <c r="CH52" s="194">
        <f t="shared" si="162"/>
        <v>1485</v>
      </c>
      <c r="CI52" s="58">
        <v>1667</v>
      </c>
      <c r="CJ52" s="209"/>
      <c r="CK52" s="58">
        <f t="shared" si="163"/>
        <v>1667</v>
      </c>
      <c r="CL52" s="80">
        <f t="shared" si="136"/>
        <v>71</v>
      </c>
      <c r="CM52" s="135">
        <f t="shared" si="72"/>
        <v>7.323943661971831</v>
      </c>
      <c r="CN52" s="183">
        <f t="shared" si="141"/>
        <v>12209.014084507042</v>
      </c>
      <c r="CO52" s="58">
        <v>157954</v>
      </c>
      <c r="CP52" s="58"/>
      <c r="CQ52" s="58" t="s">
        <v>35</v>
      </c>
      <c r="CR52" s="58">
        <v>157954</v>
      </c>
      <c r="CS52" s="80">
        <f t="shared" si="137"/>
        <v>79</v>
      </c>
      <c r="CT52" s="327">
        <f t="shared" si="73"/>
        <v>8.7468354430379751</v>
      </c>
      <c r="CU52" s="183">
        <f t="shared" si="142"/>
        <v>1381597.6455696204</v>
      </c>
      <c r="CV52" s="195">
        <v>31519</v>
      </c>
      <c r="CW52" s="80">
        <f t="shared" si="138"/>
        <v>71</v>
      </c>
      <c r="CX52" s="135">
        <f t="shared" si="74"/>
        <v>7.323943661971831</v>
      </c>
      <c r="CY52" s="183">
        <f t="shared" si="164"/>
        <v>230843.38028169013</v>
      </c>
      <c r="CZ52" s="58">
        <v>394160</v>
      </c>
      <c r="DA52" s="80">
        <f t="shared" si="139"/>
        <v>81</v>
      </c>
      <c r="DB52" s="327">
        <f t="shared" si="75"/>
        <v>8.0246913580246915</v>
      </c>
      <c r="DC52" s="183">
        <f t="shared" si="165"/>
        <v>3163012.3456790126</v>
      </c>
      <c r="DD52" s="58">
        <v>10372</v>
      </c>
      <c r="DE52" s="58">
        <v>10372</v>
      </c>
      <c r="DF52" s="209"/>
      <c r="DG52" s="58">
        <f t="shared" si="166"/>
        <v>10372</v>
      </c>
      <c r="DH52" s="58">
        <f t="shared" si="121"/>
        <v>5186</v>
      </c>
      <c r="DI52" s="80">
        <f t="shared" si="140"/>
        <v>73</v>
      </c>
      <c r="DJ52" s="332">
        <f t="shared" si="76"/>
        <v>11.890410958904109</v>
      </c>
      <c r="DK52" s="183">
        <f t="shared" si="143"/>
        <v>61663.67123287671</v>
      </c>
    </row>
    <row r="53" spans="1:115">
      <c r="A53" s="213">
        <v>1966</v>
      </c>
      <c r="B53" s="58">
        <v>121573</v>
      </c>
      <c r="C53" s="209"/>
      <c r="D53" s="58">
        <f t="shared" si="144"/>
        <v>121573</v>
      </c>
      <c r="E53" s="194">
        <f t="shared" si="145"/>
        <v>85101.099999999991</v>
      </c>
      <c r="F53" s="58">
        <v>0</v>
      </c>
      <c r="G53" s="209"/>
      <c r="H53" s="209">
        <f t="shared" si="146"/>
        <v>0</v>
      </c>
      <c r="I53" s="214">
        <v>67</v>
      </c>
      <c r="J53" s="132">
        <f t="shared" si="56"/>
        <v>7.7611940298507465</v>
      </c>
      <c r="K53" s="183">
        <f t="shared" si="147"/>
        <v>0</v>
      </c>
      <c r="L53" s="58">
        <v>457172</v>
      </c>
      <c r="M53" s="209"/>
      <c r="N53" s="209"/>
      <c r="O53" s="58">
        <f t="shared" si="148"/>
        <v>457172</v>
      </c>
      <c r="P53" s="80">
        <f t="shared" si="122"/>
        <v>61</v>
      </c>
      <c r="Q53" s="132">
        <f t="shared" si="57"/>
        <v>9.7540983606557372</v>
      </c>
      <c r="R53" s="193">
        <f t="shared" si="6"/>
        <v>4459300.6557377046</v>
      </c>
      <c r="S53" s="58">
        <v>446470</v>
      </c>
      <c r="T53" s="209"/>
      <c r="U53" s="209"/>
      <c r="V53" s="58">
        <f t="shared" si="167"/>
        <v>446470</v>
      </c>
      <c r="W53" s="80">
        <f t="shared" si="123"/>
        <v>70</v>
      </c>
      <c r="X53" s="132">
        <f t="shared" si="58"/>
        <v>8.7142857142857135</v>
      </c>
      <c r="Y53" s="183">
        <f t="shared" si="149"/>
        <v>3890667.1428571427</v>
      </c>
      <c r="Z53" s="58">
        <v>0</v>
      </c>
      <c r="AA53" s="80">
        <f t="shared" si="124"/>
        <v>70</v>
      </c>
      <c r="AB53" s="132">
        <f t="shared" si="59"/>
        <v>7.8285714285714283</v>
      </c>
      <c r="AC53" s="183">
        <v>0</v>
      </c>
      <c r="AD53" s="58">
        <v>0</v>
      </c>
      <c r="AE53" s="80">
        <f t="shared" si="125"/>
        <v>73</v>
      </c>
      <c r="AF53" s="132">
        <f t="shared" si="60"/>
        <v>11.356164383561644</v>
      </c>
      <c r="AG53" s="183">
        <v>0</v>
      </c>
      <c r="AH53" s="58">
        <v>0</v>
      </c>
      <c r="AI53" s="209"/>
      <c r="AJ53" s="58">
        <f t="shared" si="120"/>
        <v>0</v>
      </c>
      <c r="AK53" s="80">
        <f t="shared" si="126"/>
        <v>61</v>
      </c>
      <c r="AL53" s="132">
        <f t="shared" si="61"/>
        <v>8.6065573770491799</v>
      </c>
      <c r="AM53" s="183">
        <f t="shared" si="98"/>
        <v>0</v>
      </c>
      <c r="AN53" s="58">
        <v>554314</v>
      </c>
      <c r="AO53" s="80">
        <f t="shared" si="127"/>
        <v>61</v>
      </c>
      <c r="AP53" s="132">
        <f t="shared" si="62"/>
        <v>9.3114754098360653</v>
      </c>
      <c r="AQ53" s="183">
        <f t="shared" si="150"/>
        <v>5161481.180327869</v>
      </c>
      <c r="AR53" s="58">
        <v>370531</v>
      </c>
      <c r="AS53" s="80">
        <f t="shared" si="128"/>
        <v>63</v>
      </c>
      <c r="AT53" s="132">
        <f t="shared" si="63"/>
        <v>10.857142857142858</v>
      </c>
      <c r="AU53" s="183">
        <f t="shared" si="151"/>
        <v>4022908</v>
      </c>
      <c r="AV53" s="58">
        <v>23584</v>
      </c>
      <c r="AW53" s="80">
        <f t="shared" si="129"/>
        <v>67</v>
      </c>
      <c r="AX53" s="132">
        <f t="shared" si="64"/>
        <v>7.8507462686567164</v>
      </c>
      <c r="AY53" s="183">
        <f t="shared" si="152"/>
        <v>185152</v>
      </c>
      <c r="AZ53" s="58">
        <v>47364</v>
      </c>
      <c r="BA53" s="80">
        <f t="shared" si="130"/>
        <v>77</v>
      </c>
      <c r="BB53" s="132">
        <f t="shared" si="65"/>
        <v>7.9740259740259738</v>
      </c>
      <c r="BC53" s="183">
        <f t="shared" si="153"/>
        <v>377681.76623376622</v>
      </c>
      <c r="BD53" s="209">
        <v>376566</v>
      </c>
      <c r="BE53" s="58">
        <f t="shared" si="154"/>
        <v>310290.38399999996</v>
      </c>
      <c r="BF53" s="80">
        <f t="shared" si="131"/>
        <v>97</v>
      </c>
      <c r="BG53" s="132">
        <f t="shared" si="66"/>
        <v>6.3092783505154637</v>
      </c>
      <c r="BH53" s="183">
        <f t="shared" si="155"/>
        <v>1957708.4021443296</v>
      </c>
      <c r="BI53" s="58">
        <f t="shared" si="156"/>
        <v>66275.615999999995</v>
      </c>
      <c r="BJ53" s="80">
        <f t="shared" si="132"/>
        <v>93</v>
      </c>
      <c r="BK53" s="132">
        <f t="shared" si="67"/>
        <v>7.010752688172043</v>
      </c>
      <c r="BL53" s="183">
        <f t="shared" si="157"/>
        <v>464641.95303225802</v>
      </c>
      <c r="BM53" s="58">
        <v>310376</v>
      </c>
      <c r="BN53" s="80">
        <f t="shared" si="133"/>
        <v>59</v>
      </c>
      <c r="BO53" s="132">
        <f t="shared" si="68"/>
        <v>8.6271186440677958</v>
      </c>
      <c r="BP53" s="183">
        <f t="shared" si="158"/>
        <v>2677650.5762711861</v>
      </c>
      <c r="BQ53" s="58">
        <v>118966</v>
      </c>
      <c r="BR53" s="209"/>
      <c r="BS53" s="58">
        <f t="shared" si="159"/>
        <v>118966</v>
      </c>
      <c r="BT53" s="80">
        <f t="shared" si="134"/>
        <v>83</v>
      </c>
      <c r="BU53" s="132">
        <f t="shared" si="69"/>
        <v>4.2771084337349397</v>
      </c>
      <c r="BV53" s="183">
        <f t="shared" si="160"/>
        <v>508830.48192771082</v>
      </c>
      <c r="BW53" s="195">
        <v>43465</v>
      </c>
      <c r="BX53" s="80">
        <f t="shared" si="135"/>
        <v>70</v>
      </c>
      <c r="BY53" s="132">
        <f t="shared" si="70"/>
        <v>10.428571428571429</v>
      </c>
      <c r="BZ53" s="212">
        <f t="shared" si="110"/>
        <v>453277.85714285716</v>
      </c>
      <c r="CA53" s="195">
        <v>0</v>
      </c>
      <c r="CB53" s="195"/>
      <c r="CD53" s="212">
        <v>0</v>
      </c>
      <c r="CE53" s="58">
        <v>121573</v>
      </c>
      <c r="CF53" s="209"/>
      <c r="CG53" s="58">
        <f t="shared" si="161"/>
        <v>121573</v>
      </c>
      <c r="CH53" s="194">
        <f t="shared" si="162"/>
        <v>36471.9</v>
      </c>
      <c r="CI53" s="58">
        <v>16641</v>
      </c>
      <c r="CJ53" s="209"/>
      <c r="CK53" s="58">
        <f t="shared" si="163"/>
        <v>16641</v>
      </c>
      <c r="CL53" s="80">
        <f t="shared" si="136"/>
        <v>67</v>
      </c>
      <c r="CM53" s="135">
        <f t="shared" si="72"/>
        <v>7.7611940298507465</v>
      </c>
      <c r="CN53" s="183">
        <f t="shared" si="141"/>
        <v>129154.02985074627</v>
      </c>
      <c r="CO53" s="58">
        <v>321606</v>
      </c>
      <c r="CP53" s="58"/>
      <c r="CQ53" s="58" t="s">
        <v>36</v>
      </c>
      <c r="CR53" s="58">
        <v>321606</v>
      </c>
      <c r="CS53" s="80">
        <f t="shared" si="137"/>
        <v>75</v>
      </c>
      <c r="CT53" s="327">
        <f t="shared" si="73"/>
        <v>9.2133333333333329</v>
      </c>
      <c r="CU53" s="183">
        <f t="shared" si="142"/>
        <v>2963063.28</v>
      </c>
      <c r="CV53" s="195">
        <v>29488</v>
      </c>
      <c r="CW53" s="80">
        <f t="shared" si="138"/>
        <v>67</v>
      </c>
      <c r="CX53" s="135">
        <f t="shared" si="74"/>
        <v>7.7611940298507465</v>
      </c>
      <c r="CY53" s="183">
        <f t="shared" si="164"/>
        <v>228862.08955223882</v>
      </c>
      <c r="CZ53" s="58">
        <v>166574</v>
      </c>
      <c r="DA53" s="80">
        <f t="shared" si="139"/>
        <v>77</v>
      </c>
      <c r="DB53" s="327">
        <f t="shared" si="75"/>
        <v>8.4415584415584419</v>
      </c>
      <c r="DC53" s="183">
        <f t="shared" si="165"/>
        <v>1406144.1558441559</v>
      </c>
      <c r="DD53" s="58">
        <v>30340</v>
      </c>
      <c r="DE53" s="58">
        <v>30340</v>
      </c>
      <c r="DF53" s="209"/>
      <c r="DG53" s="58">
        <f t="shared" si="166"/>
        <v>30340</v>
      </c>
      <c r="DH53" s="58">
        <f t="shared" si="121"/>
        <v>15170</v>
      </c>
      <c r="DI53" s="80">
        <f t="shared" si="140"/>
        <v>68</v>
      </c>
      <c r="DJ53" s="332">
        <f t="shared" si="76"/>
        <v>12.764705882352942</v>
      </c>
      <c r="DK53" s="183">
        <f t="shared" si="143"/>
        <v>193640.58823529413</v>
      </c>
    </row>
    <row r="54" spans="1:115">
      <c r="A54" s="213">
        <v>1965</v>
      </c>
      <c r="B54" s="58">
        <v>219202</v>
      </c>
      <c r="C54" s="209"/>
      <c r="D54" s="58">
        <f t="shared" si="144"/>
        <v>219202</v>
      </c>
      <c r="E54" s="194">
        <f t="shared" si="145"/>
        <v>153441.4</v>
      </c>
      <c r="F54" s="58">
        <v>0</v>
      </c>
      <c r="G54" s="209"/>
      <c r="H54" s="209">
        <f t="shared" si="146"/>
        <v>0</v>
      </c>
      <c r="I54" s="214">
        <v>63</v>
      </c>
      <c r="J54" s="132">
        <f t="shared" si="56"/>
        <v>8.2539682539682548</v>
      </c>
      <c r="K54" s="183">
        <f t="shared" si="147"/>
        <v>0</v>
      </c>
      <c r="L54" s="58">
        <v>1058391</v>
      </c>
      <c r="M54" s="209"/>
      <c r="N54" s="209"/>
      <c r="O54" s="58">
        <f t="shared" si="148"/>
        <v>1058391</v>
      </c>
      <c r="P54" s="80">
        <f t="shared" si="122"/>
        <v>58</v>
      </c>
      <c r="Q54" s="132">
        <f t="shared" si="57"/>
        <v>10.258620689655173</v>
      </c>
      <c r="R54" s="193">
        <f t="shared" si="6"/>
        <v>10857631.810344828</v>
      </c>
      <c r="S54" s="58">
        <v>1855393</v>
      </c>
      <c r="T54" s="209"/>
      <c r="U54" s="209"/>
      <c r="V54" s="58">
        <f t="shared" si="167"/>
        <v>1855393</v>
      </c>
      <c r="W54" s="80">
        <f t="shared" si="123"/>
        <v>67</v>
      </c>
      <c r="X54" s="132">
        <f t="shared" si="58"/>
        <v>9.1044776119402986</v>
      </c>
      <c r="Y54" s="183">
        <f t="shared" si="149"/>
        <v>16892384.029850747</v>
      </c>
      <c r="Z54" s="58">
        <v>0</v>
      </c>
      <c r="AA54" s="80">
        <f t="shared" si="124"/>
        <v>67</v>
      </c>
      <c r="AB54" s="132">
        <f t="shared" si="59"/>
        <v>8.1791044776119399</v>
      </c>
      <c r="AC54" s="183">
        <v>0</v>
      </c>
      <c r="AD54" s="58">
        <v>0</v>
      </c>
      <c r="AE54" s="80">
        <f t="shared" si="125"/>
        <v>72</v>
      </c>
      <c r="AF54" s="132">
        <f t="shared" si="60"/>
        <v>11.513888888888889</v>
      </c>
      <c r="AG54" s="183">
        <v>0</v>
      </c>
      <c r="AH54" s="58">
        <v>0</v>
      </c>
      <c r="AI54" s="209"/>
      <c r="AJ54" s="58">
        <f t="shared" si="120"/>
        <v>0</v>
      </c>
      <c r="AK54" s="80">
        <f t="shared" si="126"/>
        <v>58</v>
      </c>
      <c r="AL54" s="132">
        <f t="shared" si="61"/>
        <v>9.0517241379310338</v>
      </c>
      <c r="AM54" s="183">
        <f t="shared" si="98"/>
        <v>0</v>
      </c>
      <c r="AN54" s="58">
        <v>680007</v>
      </c>
      <c r="AO54" s="80">
        <f t="shared" si="127"/>
        <v>58</v>
      </c>
      <c r="AP54" s="132">
        <f t="shared" si="62"/>
        <v>9.7931034482758612</v>
      </c>
      <c r="AQ54" s="183">
        <f t="shared" si="150"/>
        <v>6659378.8965517236</v>
      </c>
      <c r="AR54" s="58">
        <v>461137</v>
      </c>
      <c r="AS54" s="80">
        <f t="shared" si="128"/>
        <v>60</v>
      </c>
      <c r="AT54" s="132">
        <f t="shared" si="63"/>
        <v>11.4</v>
      </c>
      <c r="AU54" s="183">
        <f t="shared" si="151"/>
        <v>5256961.8</v>
      </c>
      <c r="AV54" s="58">
        <v>17556</v>
      </c>
      <c r="AW54" s="80">
        <f t="shared" si="129"/>
        <v>66</v>
      </c>
      <c r="AX54" s="132">
        <f t="shared" si="64"/>
        <v>7.9696969696969697</v>
      </c>
      <c r="AY54" s="183">
        <f t="shared" si="152"/>
        <v>139916</v>
      </c>
      <c r="AZ54" s="58">
        <v>7197</v>
      </c>
      <c r="BA54" s="80">
        <f t="shared" si="130"/>
        <v>75</v>
      </c>
      <c r="BB54" s="132">
        <f t="shared" si="65"/>
        <v>8.1866666666666674</v>
      </c>
      <c r="BC54" s="183">
        <f t="shared" si="153"/>
        <v>58919.44</v>
      </c>
      <c r="BD54" s="209">
        <v>292318</v>
      </c>
      <c r="BE54" s="58">
        <f t="shared" si="154"/>
        <v>240870.03199999998</v>
      </c>
      <c r="BF54" s="80">
        <f t="shared" si="131"/>
        <v>96</v>
      </c>
      <c r="BG54" s="132">
        <f t="shared" si="66"/>
        <v>6.375</v>
      </c>
      <c r="BH54" s="183">
        <f t="shared" si="155"/>
        <v>1535546.4539999999</v>
      </c>
      <c r="BI54" s="58">
        <f t="shared" si="156"/>
        <v>51447.967999999993</v>
      </c>
      <c r="BJ54" s="80">
        <f t="shared" si="132"/>
        <v>91</v>
      </c>
      <c r="BK54" s="132">
        <f t="shared" si="67"/>
        <v>7.1648351648351651</v>
      </c>
      <c r="BL54" s="183">
        <f t="shared" si="157"/>
        <v>368616.21028571425</v>
      </c>
      <c r="BM54" s="58">
        <v>260649</v>
      </c>
      <c r="BN54" s="80">
        <f t="shared" si="133"/>
        <v>56</v>
      </c>
      <c r="BO54" s="132">
        <f t="shared" si="68"/>
        <v>9.0892857142857135</v>
      </c>
      <c r="BP54" s="183">
        <f t="shared" si="158"/>
        <v>2369113.2321428568</v>
      </c>
      <c r="BQ54" s="58">
        <v>93227</v>
      </c>
      <c r="BR54" s="209"/>
      <c r="BS54" s="58">
        <f t="shared" si="159"/>
        <v>93227</v>
      </c>
      <c r="BT54" s="80">
        <f t="shared" si="134"/>
        <v>82</v>
      </c>
      <c r="BU54" s="132">
        <f t="shared" si="69"/>
        <v>4.3292682926829267</v>
      </c>
      <c r="BV54" s="183">
        <f t="shared" si="160"/>
        <v>403604.69512195123</v>
      </c>
      <c r="BW54" s="195">
        <v>176205</v>
      </c>
      <c r="BX54" s="80">
        <f t="shared" si="135"/>
        <v>68</v>
      </c>
      <c r="BY54" s="132">
        <f t="shared" si="70"/>
        <v>10.735294117647058</v>
      </c>
      <c r="BZ54" s="212">
        <f t="shared" si="110"/>
        <v>1891612.4999999998</v>
      </c>
      <c r="CA54" s="195">
        <v>0</v>
      </c>
      <c r="CB54" s="195"/>
      <c r="CD54" s="212">
        <v>0</v>
      </c>
      <c r="CE54" s="58">
        <v>219202</v>
      </c>
      <c r="CF54" s="209"/>
      <c r="CG54" s="58">
        <f t="shared" si="161"/>
        <v>219202</v>
      </c>
      <c r="CH54" s="194">
        <f t="shared" si="162"/>
        <v>65760.599999999991</v>
      </c>
      <c r="CI54" s="58">
        <v>0</v>
      </c>
      <c r="CJ54" s="209"/>
      <c r="CK54" s="58">
        <f t="shared" si="163"/>
        <v>0</v>
      </c>
      <c r="CL54" s="80">
        <f t="shared" si="136"/>
        <v>63</v>
      </c>
      <c r="CM54" s="135">
        <f t="shared" si="72"/>
        <v>8.2539682539682548</v>
      </c>
      <c r="CN54" s="183">
        <f t="shared" si="141"/>
        <v>0</v>
      </c>
      <c r="CO54" s="58">
        <v>262942</v>
      </c>
      <c r="CP54" s="58"/>
      <c r="CQ54" s="58" t="s">
        <v>37</v>
      </c>
      <c r="CR54" s="58">
        <v>304030</v>
      </c>
      <c r="CS54" s="80">
        <f t="shared" si="137"/>
        <v>73</v>
      </c>
      <c r="CT54" s="327">
        <f t="shared" si="73"/>
        <v>9.4657534246575334</v>
      </c>
      <c r="CU54" s="183">
        <f t="shared" si="142"/>
        <v>2877873.01369863</v>
      </c>
      <c r="CV54" s="195">
        <v>20054</v>
      </c>
      <c r="CW54" s="80">
        <f t="shared" si="138"/>
        <v>63</v>
      </c>
      <c r="CX54" s="135">
        <f t="shared" si="74"/>
        <v>8.2539682539682548</v>
      </c>
      <c r="CY54" s="183">
        <f t="shared" si="164"/>
        <v>165525.07936507938</v>
      </c>
      <c r="CZ54" s="58">
        <v>320682</v>
      </c>
      <c r="DA54" s="80">
        <f t="shared" si="139"/>
        <v>75</v>
      </c>
      <c r="DB54" s="327">
        <f t="shared" si="75"/>
        <v>8.6666666666666661</v>
      </c>
      <c r="DC54" s="183">
        <f t="shared" si="165"/>
        <v>2779244</v>
      </c>
      <c r="DD54" s="58">
        <v>0</v>
      </c>
      <c r="DE54" s="58">
        <v>0</v>
      </c>
      <c r="DF54" s="209"/>
      <c r="DG54" s="58">
        <f t="shared" si="166"/>
        <v>0</v>
      </c>
      <c r="DH54" s="58">
        <f t="shared" si="121"/>
        <v>0</v>
      </c>
      <c r="DI54" s="80">
        <f t="shared" si="140"/>
        <v>66</v>
      </c>
      <c r="DJ54" s="332">
        <f t="shared" si="76"/>
        <v>13.151515151515152</v>
      </c>
      <c r="DK54" s="183">
        <f t="shared" si="143"/>
        <v>0</v>
      </c>
    </row>
    <row r="55" spans="1:115">
      <c r="A55" s="213">
        <v>1964</v>
      </c>
      <c r="B55" s="58">
        <v>3020</v>
      </c>
      <c r="C55" s="209"/>
      <c r="D55" s="58">
        <f t="shared" si="144"/>
        <v>3020</v>
      </c>
      <c r="E55" s="194">
        <f t="shared" si="145"/>
        <v>2114</v>
      </c>
      <c r="F55" s="58">
        <v>0</v>
      </c>
      <c r="G55" s="209"/>
      <c r="H55" s="209">
        <f t="shared" si="146"/>
        <v>0</v>
      </c>
      <c r="I55" s="214">
        <v>61</v>
      </c>
      <c r="J55" s="132">
        <f t="shared" si="56"/>
        <v>8.5245901639344268</v>
      </c>
      <c r="K55" s="183">
        <f t="shared" si="147"/>
        <v>0</v>
      </c>
      <c r="L55" s="58">
        <v>118207</v>
      </c>
      <c r="M55" s="209"/>
      <c r="N55" s="209"/>
      <c r="O55" s="58">
        <f t="shared" si="148"/>
        <v>118207</v>
      </c>
      <c r="P55" s="80">
        <f t="shared" si="122"/>
        <v>56</v>
      </c>
      <c r="Q55" s="132">
        <f t="shared" si="57"/>
        <v>10.625</v>
      </c>
      <c r="R55" s="193">
        <f t="shared" si="6"/>
        <v>1255949.375</v>
      </c>
      <c r="S55" s="58">
        <v>104438</v>
      </c>
      <c r="T55" s="209"/>
      <c r="U55" s="209"/>
      <c r="V55" s="58">
        <f t="shared" si="167"/>
        <v>104438</v>
      </c>
      <c r="W55" s="80">
        <f t="shared" si="123"/>
        <v>64</v>
      </c>
      <c r="X55" s="132">
        <f t="shared" si="58"/>
        <v>9.53125</v>
      </c>
      <c r="Y55" s="183">
        <f t="shared" si="149"/>
        <v>995424.6875</v>
      </c>
      <c r="Z55" s="58">
        <v>0</v>
      </c>
      <c r="AA55" s="80">
        <f t="shared" si="124"/>
        <v>65</v>
      </c>
      <c r="AB55" s="132">
        <f t="shared" si="59"/>
        <v>8.430769230769231</v>
      </c>
      <c r="AC55" s="183">
        <v>0</v>
      </c>
      <c r="AD55" s="58">
        <v>0</v>
      </c>
      <c r="AE55" s="80">
        <f t="shared" si="125"/>
        <v>66</v>
      </c>
      <c r="AF55" s="132">
        <f t="shared" si="60"/>
        <v>12.560606060606061</v>
      </c>
      <c r="AG55" s="183">
        <v>0</v>
      </c>
      <c r="AH55" s="58">
        <v>0</v>
      </c>
      <c r="AI55" s="209"/>
      <c r="AJ55" s="58">
        <f t="shared" si="120"/>
        <v>0</v>
      </c>
      <c r="AK55" s="80">
        <f t="shared" si="126"/>
        <v>55</v>
      </c>
      <c r="AL55" s="132">
        <f t="shared" si="61"/>
        <v>9.545454545454545</v>
      </c>
      <c r="AM55" s="183">
        <f t="shared" si="98"/>
        <v>0</v>
      </c>
      <c r="AN55" s="58">
        <v>452672</v>
      </c>
      <c r="AO55" s="80">
        <f t="shared" si="127"/>
        <v>56</v>
      </c>
      <c r="AP55" s="132">
        <f t="shared" si="62"/>
        <v>10.142857142857142</v>
      </c>
      <c r="AQ55" s="183">
        <f t="shared" si="150"/>
        <v>4591387.4285714282</v>
      </c>
      <c r="AR55" s="58">
        <v>279075</v>
      </c>
      <c r="AS55" s="80">
        <f t="shared" si="128"/>
        <v>57</v>
      </c>
      <c r="AT55" s="132">
        <f t="shared" si="63"/>
        <v>12</v>
      </c>
      <c r="AU55" s="183">
        <f t="shared" si="151"/>
        <v>3348900</v>
      </c>
      <c r="AV55" s="58">
        <v>22041</v>
      </c>
      <c r="AW55" s="80">
        <f t="shared" si="129"/>
        <v>64</v>
      </c>
      <c r="AX55" s="132">
        <f t="shared" si="64"/>
        <v>8.21875</v>
      </c>
      <c r="AY55" s="183">
        <f t="shared" si="152"/>
        <v>181149.46875</v>
      </c>
      <c r="AZ55" s="58">
        <v>13495</v>
      </c>
      <c r="BA55" s="80">
        <f t="shared" si="130"/>
        <v>69</v>
      </c>
      <c r="BB55" s="132">
        <f t="shared" si="65"/>
        <v>8.8985507246376816</v>
      </c>
      <c r="BC55" s="183">
        <f t="shared" si="153"/>
        <v>120085.94202898552</v>
      </c>
      <c r="BD55" s="209">
        <v>286355</v>
      </c>
      <c r="BE55" s="58">
        <f t="shared" si="154"/>
        <v>235956.52</v>
      </c>
      <c r="BF55" s="80">
        <f t="shared" si="131"/>
        <v>94</v>
      </c>
      <c r="BG55" s="132">
        <f t="shared" si="66"/>
        <v>6.5106382978723403</v>
      </c>
      <c r="BH55" s="183">
        <f t="shared" si="155"/>
        <v>1536227.5557446808</v>
      </c>
      <c r="BI55" s="58">
        <f t="shared" si="156"/>
        <v>50398.479999999996</v>
      </c>
      <c r="BJ55" s="80">
        <f t="shared" si="132"/>
        <v>91</v>
      </c>
      <c r="BK55" s="132">
        <f t="shared" si="67"/>
        <v>7.1648351648351651</v>
      </c>
      <c r="BL55" s="183">
        <f t="shared" si="157"/>
        <v>361096.80175824172</v>
      </c>
      <c r="BM55" s="58">
        <v>261297</v>
      </c>
      <c r="BN55" s="80">
        <f t="shared" si="133"/>
        <v>53</v>
      </c>
      <c r="BO55" s="132">
        <f t="shared" si="68"/>
        <v>9.6037735849056602</v>
      </c>
      <c r="BP55" s="183">
        <f t="shared" si="158"/>
        <v>2509437.2264150945</v>
      </c>
      <c r="BQ55" s="58">
        <v>78030</v>
      </c>
      <c r="BR55" s="209"/>
      <c r="BS55" s="58">
        <f t="shared" si="159"/>
        <v>78030</v>
      </c>
      <c r="BT55" s="80">
        <f t="shared" si="134"/>
        <v>83</v>
      </c>
      <c r="BU55" s="132">
        <f t="shared" si="69"/>
        <v>4.2771084337349397</v>
      </c>
      <c r="BV55" s="183">
        <f t="shared" si="160"/>
        <v>333742.77108433732</v>
      </c>
      <c r="BW55" s="195">
        <v>6144</v>
      </c>
      <c r="BX55" s="80">
        <f t="shared" si="135"/>
        <v>67</v>
      </c>
      <c r="BY55" s="132">
        <f t="shared" si="70"/>
        <v>10.895522388059701</v>
      </c>
      <c r="BZ55" s="212">
        <f t="shared" si="110"/>
        <v>66942.089552238802</v>
      </c>
      <c r="CA55" s="195">
        <v>0</v>
      </c>
      <c r="CB55" s="195"/>
      <c r="CD55" s="212">
        <v>0</v>
      </c>
      <c r="CE55" s="58">
        <v>3020</v>
      </c>
      <c r="CF55" s="209"/>
      <c r="CG55" s="58">
        <f t="shared" si="161"/>
        <v>3020</v>
      </c>
      <c r="CH55" s="194">
        <f t="shared" si="162"/>
        <v>906</v>
      </c>
      <c r="CI55" s="58">
        <v>295</v>
      </c>
      <c r="CJ55" s="209"/>
      <c r="CK55" s="58">
        <f t="shared" si="163"/>
        <v>295</v>
      </c>
      <c r="CL55" s="80">
        <f t="shared" si="136"/>
        <v>61</v>
      </c>
      <c r="CM55" s="135">
        <f t="shared" si="72"/>
        <v>8.5245901639344268</v>
      </c>
      <c r="CN55" s="183">
        <f t="shared" si="141"/>
        <v>2514.7540983606559</v>
      </c>
      <c r="CO55" s="58">
        <v>230373</v>
      </c>
      <c r="CP55" s="58"/>
      <c r="CQ55" s="58"/>
      <c r="CR55" s="195">
        <f>CO55-CP55+CQ55</f>
        <v>230373</v>
      </c>
      <c r="CS55" s="80">
        <f t="shared" si="137"/>
        <v>69</v>
      </c>
      <c r="CT55" s="327">
        <f t="shared" si="73"/>
        <v>10.014492753623188</v>
      </c>
      <c r="CU55" s="183">
        <f t="shared" si="142"/>
        <v>2307068.7391304346</v>
      </c>
      <c r="CV55" s="195">
        <v>1473</v>
      </c>
      <c r="CW55" s="80">
        <f t="shared" si="138"/>
        <v>61</v>
      </c>
      <c r="CX55" s="135">
        <f t="shared" si="74"/>
        <v>8.5245901639344268</v>
      </c>
      <c r="CY55" s="183">
        <f t="shared" si="164"/>
        <v>12556.72131147541</v>
      </c>
      <c r="CZ55" s="58">
        <v>68423</v>
      </c>
      <c r="DA55" s="80">
        <f t="shared" si="139"/>
        <v>73</v>
      </c>
      <c r="DB55" s="327">
        <f t="shared" si="75"/>
        <v>8.9041095890410951</v>
      </c>
      <c r="DC55" s="183">
        <f t="shared" si="165"/>
        <v>609245.89041095879</v>
      </c>
      <c r="DD55" s="58">
        <v>0</v>
      </c>
      <c r="DE55" s="58">
        <v>0</v>
      </c>
      <c r="DF55" s="209"/>
      <c r="DG55" s="58">
        <f t="shared" si="166"/>
        <v>0</v>
      </c>
      <c r="DH55" s="58">
        <f t="shared" si="121"/>
        <v>0</v>
      </c>
      <c r="DI55" s="80">
        <f t="shared" si="140"/>
        <v>62</v>
      </c>
      <c r="DJ55" s="332">
        <f t="shared" si="76"/>
        <v>14</v>
      </c>
      <c r="DK55" s="183">
        <f t="shared" si="143"/>
        <v>0</v>
      </c>
    </row>
    <row r="56" spans="1:115">
      <c r="A56" s="213">
        <v>1963</v>
      </c>
      <c r="B56" s="58">
        <v>97660</v>
      </c>
      <c r="C56" s="209"/>
      <c r="D56" s="58">
        <f t="shared" si="144"/>
        <v>97660</v>
      </c>
      <c r="E56" s="194">
        <f t="shared" si="145"/>
        <v>68362</v>
      </c>
      <c r="F56" s="58">
        <v>12424</v>
      </c>
      <c r="G56" s="209"/>
      <c r="H56" s="209">
        <f t="shared" si="146"/>
        <v>12424</v>
      </c>
      <c r="I56" s="214">
        <v>59</v>
      </c>
      <c r="J56" s="132">
        <f t="shared" si="56"/>
        <v>8.8135593220338979</v>
      </c>
      <c r="K56" s="183">
        <f t="shared" si="147"/>
        <v>109499.66101694915</v>
      </c>
      <c r="L56" s="58">
        <v>699766</v>
      </c>
      <c r="M56" s="209"/>
      <c r="N56" s="209"/>
      <c r="O56" s="58">
        <f t="shared" si="148"/>
        <v>699766</v>
      </c>
      <c r="P56" s="80">
        <f t="shared" si="122"/>
        <v>55</v>
      </c>
      <c r="Q56" s="132">
        <f t="shared" si="57"/>
        <v>10.818181818181818</v>
      </c>
      <c r="R56" s="193">
        <f t="shared" si="6"/>
        <v>7570195.8181818184</v>
      </c>
      <c r="S56" s="58">
        <v>801575</v>
      </c>
      <c r="T56" s="209"/>
      <c r="U56" s="209"/>
      <c r="V56" s="58">
        <f t="shared" si="167"/>
        <v>801575</v>
      </c>
      <c r="W56" s="80">
        <f t="shared" si="123"/>
        <v>61</v>
      </c>
      <c r="X56" s="132">
        <f t="shared" si="58"/>
        <v>10</v>
      </c>
      <c r="Y56" s="183">
        <f t="shared" si="149"/>
        <v>8015750</v>
      </c>
      <c r="Z56" s="58">
        <v>0</v>
      </c>
      <c r="AA56" s="80">
        <f t="shared" si="124"/>
        <v>63</v>
      </c>
      <c r="AB56" s="132">
        <f t="shared" si="59"/>
        <v>8.6984126984126977</v>
      </c>
      <c r="AC56" s="183">
        <v>0</v>
      </c>
      <c r="AD56" s="58">
        <v>0</v>
      </c>
      <c r="AE56" s="80">
        <f t="shared" si="125"/>
        <v>61</v>
      </c>
      <c r="AF56" s="132">
        <f t="shared" si="60"/>
        <v>13.590163934426229</v>
      </c>
      <c r="AG56" s="183">
        <v>0</v>
      </c>
      <c r="AH56" s="58">
        <v>0</v>
      </c>
      <c r="AI56" s="209"/>
      <c r="AJ56" s="58">
        <f t="shared" si="120"/>
        <v>0</v>
      </c>
      <c r="AK56" s="80">
        <f t="shared" si="126"/>
        <v>53</v>
      </c>
      <c r="AL56" s="132">
        <f t="shared" si="61"/>
        <v>9.9056603773584904</v>
      </c>
      <c r="AM56" s="183">
        <f t="shared" si="98"/>
        <v>0</v>
      </c>
      <c r="AN56" s="58">
        <v>488400</v>
      </c>
      <c r="AO56" s="80">
        <f t="shared" si="127"/>
        <v>55</v>
      </c>
      <c r="AP56" s="132">
        <f t="shared" si="62"/>
        <v>10.327272727272728</v>
      </c>
      <c r="AQ56" s="183">
        <f t="shared" si="150"/>
        <v>5043840</v>
      </c>
      <c r="AR56" s="58">
        <v>343852</v>
      </c>
      <c r="AS56" s="80">
        <f t="shared" si="128"/>
        <v>55</v>
      </c>
      <c r="AT56" s="132">
        <f t="shared" si="63"/>
        <v>12.436363636363636</v>
      </c>
      <c r="AU56" s="183">
        <f t="shared" si="151"/>
        <v>4276268.5090909088</v>
      </c>
      <c r="AV56" s="58">
        <v>23768</v>
      </c>
      <c r="AW56" s="80">
        <f t="shared" si="129"/>
        <v>62</v>
      </c>
      <c r="AX56" s="132">
        <f t="shared" si="64"/>
        <v>8.4838709677419359</v>
      </c>
      <c r="AY56" s="183">
        <f t="shared" si="152"/>
        <v>201644.64516129033</v>
      </c>
      <c r="AZ56" s="58">
        <v>0</v>
      </c>
      <c r="BA56" s="80">
        <f t="shared" si="130"/>
        <v>64</v>
      </c>
      <c r="BB56" s="132">
        <f t="shared" si="65"/>
        <v>9.59375</v>
      </c>
      <c r="BC56" s="183">
        <f t="shared" si="153"/>
        <v>0</v>
      </c>
      <c r="BD56" s="209">
        <v>283459</v>
      </c>
      <c r="BE56" s="58">
        <f t="shared" si="154"/>
        <v>233570.21599999999</v>
      </c>
      <c r="BF56" s="80">
        <f t="shared" si="131"/>
        <v>94</v>
      </c>
      <c r="BG56" s="132">
        <f t="shared" si="66"/>
        <v>6.5106382978723403</v>
      </c>
      <c r="BH56" s="183">
        <f t="shared" si="155"/>
        <v>1520691.1935319148</v>
      </c>
      <c r="BI56" s="58">
        <f t="shared" si="156"/>
        <v>49888.784</v>
      </c>
      <c r="BJ56" s="80">
        <f t="shared" si="132"/>
        <v>95</v>
      </c>
      <c r="BK56" s="132">
        <f t="shared" si="67"/>
        <v>6.8631578947368421</v>
      </c>
      <c r="BL56" s="183">
        <f t="shared" si="157"/>
        <v>342394.60176842107</v>
      </c>
      <c r="BM56" s="58">
        <v>229532</v>
      </c>
      <c r="BN56" s="80">
        <f t="shared" si="133"/>
        <v>51</v>
      </c>
      <c r="BO56" s="132">
        <f t="shared" si="68"/>
        <v>9.9803921568627452</v>
      </c>
      <c r="BP56" s="183">
        <f t="shared" si="158"/>
        <v>2290819.3725490198</v>
      </c>
      <c r="BQ56" s="58">
        <v>91516</v>
      </c>
      <c r="BR56" s="209"/>
      <c r="BS56" s="58">
        <f t="shared" si="159"/>
        <v>91516</v>
      </c>
      <c r="BT56" s="80">
        <f t="shared" si="134"/>
        <v>83</v>
      </c>
      <c r="BU56" s="132">
        <f t="shared" si="69"/>
        <v>4.2771084337349397</v>
      </c>
      <c r="BV56" s="183">
        <f t="shared" si="160"/>
        <v>391423.85542168672</v>
      </c>
      <c r="BW56" s="195">
        <v>0</v>
      </c>
      <c r="BX56" s="80">
        <f t="shared" si="135"/>
        <v>65</v>
      </c>
      <c r="BY56" s="132">
        <f t="shared" si="70"/>
        <v>11.23076923076923</v>
      </c>
      <c r="BZ56" s="212">
        <v>0</v>
      </c>
      <c r="CA56" s="195">
        <v>0</v>
      </c>
      <c r="CB56" s="195"/>
      <c r="CD56" s="212">
        <v>0</v>
      </c>
      <c r="CE56" s="58">
        <v>97660</v>
      </c>
      <c r="CF56" s="209"/>
      <c r="CG56" s="58">
        <f t="shared" si="161"/>
        <v>97660</v>
      </c>
      <c r="CH56" s="194">
        <f t="shared" si="162"/>
        <v>29298</v>
      </c>
      <c r="CI56" s="58">
        <v>10739</v>
      </c>
      <c r="CJ56" s="209"/>
      <c r="CK56" s="58">
        <f t="shared" si="163"/>
        <v>10739</v>
      </c>
      <c r="CL56" s="80">
        <f t="shared" si="136"/>
        <v>59</v>
      </c>
      <c r="CM56" s="135">
        <f t="shared" si="72"/>
        <v>8.8135593220338979</v>
      </c>
      <c r="CN56" s="183">
        <f t="shared" si="141"/>
        <v>94648.813559322036</v>
      </c>
      <c r="CO56" s="58">
        <v>158661</v>
      </c>
      <c r="CP56" s="58"/>
      <c r="CQ56" s="58"/>
      <c r="CR56" s="195">
        <f>CO56-CP56+CQ56</f>
        <v>158661</v>
      </c>
      <c r="CS56" s="80">
        <f t="shared" si="137"/>
        <v>65</v>
      </c>
      <c r="CT56" s="327">
        <f t="shared" si="73"/>
        <v>10.63076923076923</v>
      </c>
      <c r="CU56" s="183">
        <f t="shared" si="142"/>
        <v>1686688.4769230769</v>
      </c>
      <c r="CV56" s="195">
        <v>6538</v>
      </c>
      <c r="CW56" s="80">
        <f t="shared" si="138"/>
        <v>59</v>
      </c>
      <c r="CX56" s="135">
        <f t="shared" si="74"/>
        <v>8.8135593220338979</v>
      </c>
      <c r="CY56" s="183">
        <f t="shared" si="164"/>
        <v>57623.050847457627</v>
      </c>
      <c r="CZ56" s="58">
        <v>200541</v>
      </c>
      <c r="DA56" s="80">
        <f t="shared" si="139"/>
        <v>70</v>
      </c>
      <c r="DB56" s="327">
        <f t="shared" si="75"/>
        <v>9.2857142857142865</v>
      </c>
      <c r="DC56" s="183">
        <f t="shared" si="165"/>
        <v>1862166.4285714286</v>
      </c>
      <c r="DD56" s="58">
        <v>0</v>
      </c>
      <c r="DE56" s="58">
        <v>0</v>
      </c>
      <c r="DF56" s="209"/>
      <c r="DG56" s="58">
        <f t="shared" si="166"/>
        <v>0</v>
      </c>
      <c r="DH56" s="58">
        <f t="shared" si="121"/>
        <v>0</v>
      </c>
      <c r="DI56" s="80">
        <f t="shared" si="140"/>
        <v>59</v>
      </c>
      <c r="DJ56" s="332">
        <f t="shared" si="76"/>
        <v>14.711864406779661</v>
      </c>
      <c r="DK56" s="183">
        <f t="shared" si="143"/>
        <v>0</v>
      </c>
    </row>
    <row r="57" spans="1:115">
      <c r="A57" s="213">
        <v>1962</v>
      </c>
      <c r="B57" s="58">
        <v>95862</v>
      </c>
      <c r="C57" s="209"/>
      <c r="D57" s="58">
        <f t="shared" si="144"/>
        <v>95862</v>
      </c>
      <c r="E57" s="194">
        <f t="shared" si="145"/>
        <v>67103.399999999994</v>
      </c>
      <c r="F57" s="58">
        <v>25900</v>
      </c>
      <c r="G57" s="209"/>
      <c r="H57" s="209">
        <f t="shared" si="146"/>
        <v>25900</v>
      </c>
      <c r="I57" s="214">
        <v>57</v>
      </c>
      <c r="J57" s="132">
        <f t="shared" si="56"/>
        <v>9.1228070175438596</v>
      </c>
      <c r="K57" s="183">
        <f t="shared" si="147"/>
        <v>236280.70175438595</v>
      </c>
      <c r="L57" s="58">
        <v>487562</v>
      </c>
      <c r="M57" s="209"/>
      <c r="N57" s="209"/>
      <c r="O57" s="58">
        <f t="shared" si="148"/>
        <v>487562</v>
      </c>
      <c r="P57" s="80">
        <f t="shared" si="122"/>
        <v>54</v>
      </c>
      <c r="Q57" s="132">
        <f t="shared" si="57"/>
        <v>11.018518518518519</v>
      </c>
      <c r="R57" s="193">
        <f t="shared" si="6"/>
        <v>5372210.9259259263</v>
      </c>
      <c r="S57" s="58">
        <v>596976</v>
      </c>
      <c r="T57" s="209"/>
      <c r="U57" s="209"/>
      <c r="V57" s="58">
        <f t="shared" si="167"/>
        <v>596976</v>
      </c>
      <c r="W57" s="80">
        <f t="shared" si="123"/>
        <v>65</v>
      </c>
      <c r="X57" s="132">
        <f t="shared" si="58"/>
        <v>9.384615384615385</v>
      </c>
      <c r="Y57" s="183">
        <f t="shared" si="149"/>
        <v>5602390.153846154</v>
      </c>
      <c r="Z57" s="58">
        <v>0</v>
      </c>
      <c r="AA57" s="80">
        <f t="shared" si="124"/>
        <v>62</v>
      </c>
      <c r="AB57" s="132">
        <f t="shared" si="59"/>
        <v>8.8387096774193541</v>
      </c>
      <c r="AC57" s="183">
        <v>0</v>
      </c>
      <c r="AD57" s="58">
        <v>0</v>
      </c>
      <c r="AE57" s="80">
        <f t="shared" si="125"/>
        <v>61</v>
      </c>
      <c r="AF57" s="132">
        <f t="shared" si="60"/>
        <v>13.590163934426229</v>
      </c>
      <c r="AG57" s="183">
        <v>0</v>
      </c>
      <c r="AH57" s="58">
        <v>0</v>
      </c>
      <c r="AI57" s="209"/>
      <c r="AJ57" s="58">
        <f t="shared" si="120"/>
        <v>0</v>
      </c>
      <c r="AK57" s="80">
        <f t="shared" si="126"/>
        <v>51</v>
      </c>
      <c r="AL57" s="132">
        <f t="shared" si="61"/>
        <v>10.294117647058824</v>
      </c>
      <c r="AM57" s="183">
        <f t="shared" si="98"/>
        <v>0</v>
      </c>
      <c r="AN57" s="58">
        <v>490502</v>
      </c>
      <c r="AO57" s="80">
        <f t="shared" si="127"/>
        <v>54</v>
      </c>
      <c r="AP57" s="132">
        <f t="shared" si="62"/>
        <v>10.518518518518519</v>
      </c>
      <c r="AQ57" s="183">
        <f t="shared" si="150"/>
        <v>5159354.3703703703</v>
      </c>
      <c r="AR57" s="58">
        <v>302964</v>
      </c>
      <c r="AS57" s="80">
        <f t="shared" si="128"/>
        <v>53</v>
      </c>
      <c r="AT57" s="132">
        <f t="shared" si="63"/>
        <v>12.90566037735849</v>
      </c>
      <c r="AU57" s="183">
        <f t="shared" si="151"/>
        <v>3909950.4905660376</v>
      </c>
      <c r="AV57" s="58">
        <v>31</v>
      </c>
      <c r="AW57" s="80">
        <f t="shared" si="129"/>
        <v>61</v>
      </c>
      <c r="AX57" s="132">
        <f t="shared" si="64"/>
        <v>8.6229508196721305</v>
      </c>
      <c r="AY57" s="183">
        <f t="shared" si="152"/>
        <v>267.31147540983602</v>
      </c>
      <c r="AZ57" s="58">
        <v>0</v>
      </c>
      <c r="BA57" s="80">
        <f t="shared" si="130"/>
        <v>64</v>
      </c>
      <c r="BB57" s="132">
        <f t="shared" si="65"/>
        <v>9.59375</v>
      </c>
      <c r="BC57" s="183">
        <f t="shared" si="153"/>
        <v>0</v>
      </c>
      <c r="BD57" s="209">
        <v>281113</v>
      </c>
      <c r="BE57" s="58">
        <f t="shared" si="154"/>
        <v>231637.11199999999</v>
      </c>
      <c r="BF57" s="80">
        <f t="shared" si="131"/>
        <v>99</v>
      </c>
      <c r="BG57" s="132">
        <f t="shared" si="66"/>
        <v>6.1818181818181817</v>
      </c>
      <c r="BH57" s="183">
        <f t="shared" si="155"/>
        <v>1431938.5105454545</v>
      </c>
      <c r="BI57" s="58">
        <f t="shared" si="156"/>
        <v>49475.887999999999</v>
      </c>
      <c r="BJ57" s="80">
        <f t="shared" si="132"/>
        <v>94</v>
      </c>
      <c r="BK57" s="132">
        <f t="shared" si="67"/>
        <v>6.9361702127659575</v>
      </c>
      <c r="BL57" s="183">
        <f t="shared" si="157"/>
        <v>343173.18059574469</v>
      </c>
      <c r="BM57" s="58">
        <v>228843</v>
      </c>
      <c r="BN57" s="80">
        <f t="shared" si="133"/>
        <v>49</v>
      </c>
      <c r="BO57" s="132">
        <f t="shared" si="68"/>
        <v>10.387755102040817</v>
      </c>
      <c r="BP57" s="183">
        <f t="shared" si="158"/>
        <v>2377165.0408163266</v>
      </c>
      <c r="BQ57" s="58">
        <v>100080</v>
      </c>
      <c r="BR57" s="209"/>
      <c r="BS57" s="58">
        <f t="shared" si="159"/>
        <v>100080</v>
      </c>
      <c r="BT57" s="80">
        <f t="shared" si="134"/>
        <v>83</v>
      </c>
      <c r="BU57" s="132">
        <f t="shared" si="69"/>
        <v>4.2771084337349397</v>
      </c>
      <c r="BV57" s="183">
        <f t="shared" si="160"/>
        <v>428053.01204819279</v>
      </c>
      <c r="BW57" s="195">
        <v>0</v>
      </c>
      <c r="BX57" s="80">
        <f t="shared" si="135"/>
        <v>64</v>
      </c>
      <c r="BY57" s="132">
        <f t="shared" si="70"/>
        <v>11.40625</v>
      </c>
      <c r="BZ57" s="212">
        <v>0</v>
      </c>
      <c r="CA57" s="195">
        <v>0</v>
      </c>
      <c r="CB57" s="195"/>
      <c r="CD57" s="212">
        <v>0</v>
      </c>
      <c r="CE57" s="58">
        <v>95862</v>
      </c>
      <c r="CF57" s="209"/>
      <c r="CG57" s="58">
        <f t="shared" si="161"/>
        <v>95862</v>
      </c>
      <c r="CH57" s="194">
        <f t="shared" si="162"/>
        <v>28758.6</v>
      </c>
      <c r="CI57" s="58">
        <v>3557</v>
      </c>
      <c r="CJ57" s="209"/>
      <c r="CK57" s="58">
        <f t="shared" si="163"/>
        <v>3557</v>
      </c>
      <c r="CL57" s="80">
        <f t="shared" si="136"/>
        <v>57</v>
      </c>
      <c r="CM57" s="135">
        <f t="shared" si="72"/>
        <v>9.1228070175438596</v>
      </c>
      <c r="CN57" s="183">
        <f t="shared" si="141"/>
        <v>32449.824561403508</v>
      </c>
      <c r="CO57" s="58">
        <v>214370</v>
      </c>
      <c r="CP57" s="58"/>
      <c r="CQ57" s="58"/>
      <c r="CR57" s="195">
        <f>CO57-CP57+CQ57</f>
        <v>214370</v>
      </c>
      <c r="CS57" s="80">
        <f t="shared" si="137"/>
        <v>69</v>
      </c>
      <c r="CT57" s="327">
        <f t="shared" si="73"/>
        <v>10.014492753623188</v>
      </c>
      <c r="CU57" s="183">
        <f t="shared" si="142"/>
        <v>2146806.8115942026</v>
      </c>
      <c r="CV57" s="195">
        <v>16889</v>
      </c>
      <c r="CW57" s="80">
        <f t="shared" si="138"/>
        <v>57</v>
      </c>
      <c r="CX57" s="135">
        <f t="shared" si="74"/>
        <v>9.1228070175438596</v>
      </c>
      <c r="CY57" s="183">
        <f t="shared" si="164"/>
        <v>154075.08771929826</v>
      </c>
      <c r="CZ57" s="58">
        <v>100655</v>
      </c>
      <c r="DA57" s="80">
        <f t="shared" si="139"/>
        <v>71</v>
      </c>
      <c r="DB57" s="327">
        <f t="shared" si="75"/>
        <v>9.1549295774647881</v>
      </c>
      <c r="DC57" s="183">
        <f t="shared" si="165"/>
        <v>921489.43661971821</v>
      </c>
      <c r="DD57" s="58">
        <v>0</v>
      </c>
      <c r="DE57" s="58">
        <v>0</v>
      </c>
      <c r="DF57" s="209"/>
      <c r="DG57" s="58">
        <f t="shared" si="166"/>
        <v>0</v>
      </c>
      <c r="DH57" s="58">
        <f t="shared" si="121"/>
        <v>0</v>
      </c>
      <c r="DI57" s="80">
        <f t="shared" si="140"/>
        <v>59</v>
      </c>
      <c r="DJ57" s="332">
        <f t="shared" si="76"/>
        <v>14.711864406779661</v>
      </c>
      <c r="DK57" s="183">
        <f t="shared" si="143"/>
        <v>0</v>
      </c>
    </row>
    <row r="58" spans="1:115">
      <c r="A58" s="213">
        <v>1961</v>
      </c>
      <c r="B58" s="58">
        <v>3773</v>
      </c>
      <c r="C58" s="209"/>
      <c r="D58" s="58">
        <f t="shared" si="144"/>
        <v>3773</v>
      </c>
      <c r="E58" s="194">
        <f t="shared" si="145"/>
        <v>2641.1</v>
      </c>
      <c r="F58" s="58">
        <v>0</v>
      </c>
      <c r="G58" s="209"/>
      <c r="H58" s="209">
        <f t="shared" si="146"/>
        <v>0</v>
      </c>
      <c r="I58" s="214">
        <v>57</v>
      </c>
      <c r="J58" s="132">
        <f t="shared" si="56"/>
        <v>9.1228070175438596</v>
      </c>
      <c r="K58" s="183">
        <f t="shared" si="147"/>
        <v>0</v>
      </c>
      <c r="L58" s="58">
        <v>55777</v>
      </c>
      <c r="M58" s="209"/>
      <c r="N58" s="209"/>
      <c r="O58" s="58">
        <f t="shared" si="148"/>
        <v>55777</v>
      </c>
      <c r="P58" s="80">
        <f t="shared" si="122"/>
        <v>53</v>
      </c>
      <c r="Q58" s="132">
        <f t="shared" si="57"/>
        <v>11.226415094339623</v>
      </c>
      <c r="R58" s="193">
        <f t="shared" si="6"/>
        <v>626175.7547169812</v>
      </c>
      <c r="S58" s="58">
        <v>16039</v>
      </c>
      <c r="T58" s="209"/>
      <c r="U58" s="209"/>
      <c r="V58" s="58">
        <f t="shared" si="167"/>
        <v>16039</v>
      </c>
      <c r="W58" s="80">
        <f t="shared" si="123"/>
        <v>63</v>
      </c>
      <c r="X58" s="132">
        <f t="shared" si="58"/>
        <v>9.6825396825396819</v>
      </c>
      <c r="Y58" s="183">
        <f t="shared" si="149"/>
        <v>155298.25396825396</v>
      </c>
      <c r="Z58" s="58">
        <v>0</v>
      </c>
      <c r="AA58" s="80">
        <f t="shared" si="124"/>
        <v>61</v>
      </c>
      <c r="AB58" s="132">
        <f t="shared" si="59"/>
        <v>8.9836065573770494</v>
      </c>
      <c r="AC58" s="183">
        <v>0</v>
      </c>
      <c r="AD58" s="58">
        <v>0</v>
      </c>
      <c r="AE58" s="80">
        <f t="shared" si="125"/>
        <v>61</v>
      </c>
      <c r="AF58" s="132">
        <f t="shared" si="60"/>
        <v>13.590163934426229</v>
      </c>
      <c r="AG58" s="183">
        <v>0</v>
      </c>
      <c r="AH58" s="58">
        <v>0</v>
      </c>
      <c r="AI58" s="209"/>
      <c r="AJ58" s="58">
        <f t="shared" ref="AJ58:AJ89" si="168">AH58-AI58</f>
        <v>0</v>
      </c>
      <c r="AK58" s="80">
        <f t="shared" si="126"/>
        <v>49</v>
      </c>
      <c r="AL58" s="132">
        <f t="shared" si="61"/>
        <v>10.714285714285714</v>
      </c>
      <c r="AM58" s="183">
        <f t="shared" si="98"/>
        <v>0</v>
      </c>
      <c r="AN58" s="58">
        <v>756310</v>
      </c>
      <c r="AO58" s="80">
        <f t="shared" si="127"/>
        <v>53</v>
      </c>
      <c r="AP58" s="132">
        <f t="shared" si="62"/>
        <v>10.716981132075471</v>
      </c>
      <c r="AQ58" s="183">
        <f t="shared" si="150"/>
        <v>8105360</v>
      </c>
      <c r="AR58" s="58">
        <v>571703</v>
      </c>
      <c r="AS58" s="80">
        <f t="shared" si="128"/>
        <v>53</v>
      </c>
      <c r="AT58" s="132">
        <f t="shared" si="63"/>
        <v>12.90566037735849</v>
      </c>
      <c r="AU58" s="183">
        <f t="shared" si="151"/>
        <v>7378204.7547169812</v>
      </c>
      <c r="AV58" s="58">
        <v>23953</v>
      </c>
      <c r="AW58" s="80">
        <f t="shared" si="129"/>
        <v>59</v>
      </c>
      <c r="AX58" s="132">
        <f t="shared" si="64"/>
        <v>8.9152542372881349</v>
      </c>
      <c r="AY58" s="183">
        <f t="shared" si="152"/>
        <v>213547.0847457627</v>
      </c>
      <c r="AZ58" s="58">
        <v>0</v>
      </c>
      <c r="BA58" s="80">
        <f t="shared" si="130"/>
        <v>64</v>
      </c>
      <c r="BB58" s="132">
        <f t="shared" si="65"/>
        <v>9.59375</v>
      </c>
      <c r="BC58" s="183">
        <f t="shared" si="153"/>
        <v>0</v>
      </c>
      <c r="BD58" s="209">
        <v>321815</v>
      </c>
      <c r="BE58" s="58">
        <f t="shared" si="154"/>
        <v>265175.56</v>
      </c>
      <c r="BF58" s="80">
        <f t="shared" si="131"/>
        <v>109</v>
      </c>
      <c r="BG58" s="132">
        <f t="shared" si="66"/>
        <v>5.6146788990825689</v>
      </c>
      <c r="BH58" s="183">
        <f t="shared" si="155"/>
        <v>1488875.6212844036</v>
      </c>
      <c r="BI58" s="58">
        <f t="shared" si="156"/>
        <v>56639.439999999995</v>
      </c>
      <c r="BJ58" s="80">
        <f t="shared" si="132"/>
        <v>95</v>
      </c>
      <c r="BK58" s="132">
        <f t="shared" si="67"/>
        <v>6.8631578947368421</v>
      </c>
      <c r="BL58" s="183">
        <f t="shared" si="157"/>
        <v>388725.41978947364</v>
      </c>
      <c r="BM58" s="58">
        <v>236768</v>
      </c>
      <c r="BN58" s="80">
        <f t="shared" si="133"/>
        <v>49</v>
      </c>
      <c r="BO58" s="132">
        <f t="shared" si="68"/>
        <v>10.387755102040817</v>
      </c>
      <c r="BP58" s="183">
        <f t="shared" si="158"/>
        <v>2459488</v>
      </c>
      <c r="BQ58" s="58">
        <v>95090</v>
      </c>
      <c r="BR58" s="209"/>
      <c r="BS58" s="58">
        <f t="shared" si="159"/>
        <v>95090</v>
      </c>
      <c r="BT58" s="80">
        <f t="shared" si="134"/>
        <v>83</v>
      </c>
      <c r="BU58" s="132">
        <f t="shared" si="69"/>
        <v>4.2771084337349397</v>
      </c>
      <c r="BV58" s="183">
        <f t="shared" si="160"/>
        <v>406710.24096385541</v>
      </c>
      <c r="BW58" s="195">
        <v>0</v>
      </c>
      <c r="BX58" s="80">
        <f t="shared" si="135"/>
        <v>64</v>
      </c>
      <c r="BY58" s="132">
        <f t="shared" si="70"/>
        <v>11.40625</v>
      </c>
      <c r="BZ58" s="212">
        <v>0</v>
      </c>
      <c r="CA58" s="195">
        <v>0</v>
      </c>
      <c r="CB58" s="195"/>
      <c r="CD58" s="212">
        <v>0</v>
      </c>
      <c r="CE58" s="58">
        <v>3773</v>
      </c>
      <c r="CF58" s="209"/>
      <c r="CG58" s="58">
        <f t="shared" si="161"/>
        <v>3773</v>
      </c>
      <c r="CH58" s="194">
        <f t="shared" si="162"/>
        <v>1131.8999999999999</v>
      </c>
      <c r="CI58" s="58">
        <v>80</v>
      </c>
      <c r="CJ58" s="209"/>
      <c r="CK58" s="58">
        <f t="shared" si="163"/>
        <v>80</v>
      </c>
      <c r="CL58" s="80">
        <f t="shared" si="136"/>
        <v>57</v>
      </c>
      <c r="CM58" s="135">
        <f t="shared" si="72"/>
        <v>9.1228070175438596</v>
      </c>
      <c r="CN58" s="183">
        <f t="shared" si="141"/>
        <v>729.82456140350882</v>
      </c>
      <c r="CO58" s="58">
        <v>41425</v>
      </c>
      <c r="CP58" s="58"/>
      <c r="CQ58" s="58"/>
      <c r="CR58" s="195">
        <f>CO58-CP58+CQ58</f>
        <v>41425</v>
      </c>
      <c r="CS58" s="80">
        <f t="shared" si="137"/>
        <v>70</v>
      </c>
      <c r="CT58" s="327">
        <f t="shared" si="73"/>
        <v>9.8714285714285719</v>
      </c>
      <c r="CU58" s="183">
        <f t="shared" si="142"/>
        <v>408923.92857142858</v>
      </c>
      <c r="CV58" s="195">
        <v>1130</v>
      </c>
      <c r="CW58" s="80">
        <f t="shared" si="138"/>
        <v>57</v>
      </c>
      <c r="CX58" s="135">
        <f t="shared" si="74"/>
        <v>9.1228070175438596</v>
      </c>
      <c r="CY58" s="183">
        <f t="shared" si="164"/>
        <v>10308.771929824561</v>
      </c>
      <c r="CZ58" s="58">
        <v>0</v>
      </c>
      <c r="DA58" s="80">
        <f t="shared" si="139"/>
        <v>71</v>
      </c>
      <c r="DB58" s="327">
        <f t="shared" si="75"/>
        <v>9.1549295774647881</v>
      </c>
      <c r="DC58" s="183">
        <f t="shared" si="165"/>
        <v>0</v>
      </c>
      <c r="DD58" s="58">
        <v>0</v>
      </c>
      <c r="DE58" s="58">
        <v>0</v>
      </c>
      <c r="DF58" s="209"/>
      <c r="DG58" s="58">
        <f t="shared" si="166"/>
        <v>0</v>
      </c>
      <c r="DH58" s="58">
        <f t="shared" si="121"/>
        <v>0</v>
      </c>
      <c r="DI58" s="80">
        <f t="shared" si="140"/>
        <v>59</v>
      </c>
      <c r="DJ58" s="332">
        <f t="shared" si="76"/>
        <v>14.711864406779661</v>
      </c>
      <c r="DK58" s="183">
        <f t="shared" si="143"/>
        <v>0</v>
      </c>
    </row>
    <row r="59" spans="1:115">
      <c r="A59" s="213">
        <v>1960</v>
      </c>
      <c r="B59" s="58">
        <v>109455</v>
      </c>
      <c r="C59" s="209"/>
      <c r="D59" s="58">
        <f t="shared" si="144"/>
        <v>109455</v>
      </c>
      <c r="E59" s="194">
        <f t="shared" si="145"/>
        <v>76618.5</v>
      </c>
      <c r="F59" s="58">
        <v>24247</v>
      </c>
      <c r="G59" s="209"/>
      <c r="H59" s="209">
        <f t="shared" si="146"/>
        <v>24247</v>
      </c>
      <c r="I59" s="214">
        <v>55</v>
      </c>
      <c r="J59" s="132">
        <f t="shared" si="56"/>
        <v>9.454545454545455</v>
      </c>
      <c r="K59" s="183">
        <f t="shared" si="147"/>
        <v>229244.36363636365</v>
      </c>
      <c r="L59" s="58">
        <v>517443</v>
      </c>
      <c r="M59" s="209"/>
      <c r="N59" s="209"/>
      <c r="O59" s="58">
        <f t="shared" si="148"/>
        <v>517443</v>
      </c>
      <c r="P59" s="80">
        <f t="shared" si="122"/>
        <v>52</v>
      </c>
      <c r="Q59" s="132">
        <f t="shared" si="57"/>
        <v>11.442307692307692</v>
      </c>
      <c r="R59" s="193">
        <f t="shared" si="6"/>
        <v>5920742.019230769</v>
      </c>
      <c r="S59" s="58">
        <v>1013807</v>
      </c>
      <c r="T59" s="209"/>
      <c r="U59" s="209"/>
      <c r="V59" s="58">
        <f t="shared" si="167"/>
        <v>1013807</v>
      </c>
      <c r="W59" s="80">
        <f t="shared" si="123"/>
        <v>63</v>
      </c>
      <c r="X59" s="132">
        <f t="shared" si="58"/>
        <v>9.6825396825396819</v>
      </c>
      <c r="Y59" s="183">
        <f t="shared" si="149"/>
        <v>9816226.5079365075</v>
      </c>
      <c r="Z59" s="58">
        <v>0</v>
      </c>
      <c r="AA59" s="80">
        <f t="shared" si="124"/>
        <v>59</v>
      </c>
      <c r="AB59" s="132">
        <f t="shared" si="59"/>
        <v>9.2881355932203391</v>
      </c>
      <c r="AC59" s="183">
        <v>0</v>
      </c>
      <c r="AD59" s="58">
        <v>0</v>
      </c>
      <c r="AE59" s="80">
        <f t="shared" si="125"/>
        <v>61</v>
      </c>
      <c r="AF59" s="132">
        <f t="shared" si="60"/>
        <v>13.590163934426229</v>
      </c>
      <c r="AG59" s="183">
        <v>0</v>
      </c>
      <c r="AH59" s="58">
        <v>114</v>
      </c>
      <c r="AI59" s="209"/>
      <c r="AJ59" s="58">
        <f t="shared" si="168"/>
        <v>114</v>
      </c>
      <c r="AK59" s="80">
        <f t="shared" si="126"/>
        <v>47</v>
      </c>
      <c r="AL59" s="132">
        <f t="shared" si="61"/>
        <v>11.170212765957446</v>
      </c>
      <c r="AM59" s="183">
        <f t="shared" si="98"/>
        <v>1273.4042553191489</v>
      </c>
      <c r="AN59" s="58">
        <v>356275</v>
      </c>
      <c r="AO59" s="80">
        <f t="shared" si="127"/>
        <v>52</v>
      </c>
      <c r="AP59" s="132">
        <f t="shared" si="62"/>
        <v>10.923076923076923</v>
      </c>
      <c r="AQ59" s="183">
        <f t="shared" si="150"/>
        <v>3891619.230769231</v>
      </c>
      <c r="AR59" s="58">
        <v>251158</v>
      </c>
      <c r="AS59" s="80">
        <f t="shared" si="128"/>
        <v>52</v>
      </c>
      <c r="AT59" s="132">
        <f t="shared" si="63"/>
        <v>13.153846153846153</v>
      </c>
      <c r="AU59" s="183">
        <f t="shared" si="151"/>
        <v>3303693.692307692</v>
      </c>
      <c r="AV59" s="58">
        <v>5025</v>
      </c>
      <c r="AW59" s="80">
        <f t="shared" si="129"/>
        <v>58</v>
      </c>
      <c r="AX59" s="132">
        <f t="shared" si="64"/>
        <v>9.068965517241379</v>
      </c>
      <c r="AY59" s="183">
        <f t="shared" si="152"/>
        <v>45571.551724137928</v>
      </c>
      <c r="AZ59" s="58">
        <v>195</v>
      </c>
      <c r="BA59" s="80">
        <f t="shared" si="130"/>
        <v>65</v>
      </c>
      <c r="BB59" s="132">
        <f t="shared" si="65"/>
        <v>9.4461538461538463</v>
      </c>
      <c r="BC59" s="183">
        <f t="shared" si="153"/>
        <v>1842</v>
      </c>
      <c r="BD59" s="209">
        <v>401828</v>
      </c>
      <c r="BE59" s="58">
        <f t="shared" si="154"/>
        <v>331106.272</v>
      </c>
      <c r="BF59" s="80">
        <f t="shared" si="131"/>
        <v>113</v>
      </c>
      <c r="BG59" s="132">
        <f t="shared" si="66"/>
        <v>5.4159292035398234</v>
      </c>
      <c r="BH59" s="183">
        <f t="shared" si="155"/>
        <v>1793248.128</v>
      </c>
      <c r="BI59" s="58">
        <f t="shared" si="156"/>
        <v>70721.728000000003</v>
      </c>
      <c r="BJ59" s="80">
        <f t="shared" si="132"/>
        <v>100</v>
      </c>
      <c r="BK59" s="132">
        <f t="shared" si="67"/>
        <v>6.52</v>
      </c>
      <c r="BL59" s="183">
        <f t="shared" si="157"/>
        <v>461105.66655999998</v>
      </c>
      <c r="BM59" s="58">
        <v>158028</v>
      </c>
      <c r="BN59" s="80">
        <f t="shared" si="133"/>
        <v>48</v>
      </c>
      <c r="BO59" s="132">
        <f t="shared" si="68"/>
        <v>10.604166666666666</v>
      </c>
      <c r="BP59" s="183">
        <f t="shared" si="158"/>
        <v>1675755.25</v>
      </c>
      <c r="BQ59" s="58">
        <v>102652</v>
      </c>
      <c r="BR59" s="209"/>
      <c r="BS59" s="58">
        <f t="shared" si="159"/>
        <v>102652</v>
      </c>
      <c r="BT59" s="80">
        <f t="shared" si="134"/>
        <v>84</v>
      </c>
      <c r="BU59" s="132">
        <f t="shared" si="69"/>
        <v>4.2261904761904763</v>
      </c>
      <c r="BV59" s="183">
        <f t="shared" si="160"/>
        <v>433826.90476190479</v>
      </c>
      <c r="BW59" s="195">
        <v>0</v>
      </c>
      <c r="BX59" s="80">
        <f t="shared" si="135"/>
        <v>65</v>
      </c>
      <c r="BY59" s="132">
        <f t="shared" si="70"/>
        <v>11.23076923076923</v>
      </c>
      <c r="BZ59" s="212">
        <v>0</v>
      </c>
      <c r="CA59" s="195">
        <v>0</v>
      </c>
      <c r="CB59" s="195"/>
      <c r="CD59" s="212">
        <v>0</v>
      </c>
      <c r="CE59" s="58">
        <v>109455</v>
      </c>
      <c r="CF59" s="209"/>
      <c r="CG59" s="58">
        <f t="shared" si="161"/>
        <v>109455</v>
      </c>
      <c r="CH59" s="194">
        <f t="shared" si="162"/>
        <v>32836.5</v>
      </c>
      <c r="CI59" s="58">
        <v>1109</v>
      </c>
      <c r="CJ59" s="209"/>
      <c r="CK59" s="58">
        <f t="shared" si="163"/>
        <v>1109</v>
      </c>
      <c r="CL59" s="80">
        <f t="shared" si="136"/>
        <v>55</v>
      </c>
      <c r="CM59" s="135">
        <f t="shared" si="72"/>
        <v>9.454545454545455</v>
      </c>
      <c r="CN59" s="183">
        <f t="shared" si="141"/>
        <v>10485.09090909091</v>
      </c>
      <c r="CO59" s="58">
        <v>1073933</v>
      </c>
      <c r="CP59" s="58"/>
      <c r="CQ59" s="58"/>
      <c r="CR59" s="195">
        <f>CO59-CP59+CQ59</f>
        <v>1073933</v>
      </c>
      <c r="CS59" s="80">
        <f t="shared" si="137"/>
        <v>77</v>
      </c>
      <c r="CT59" s="327">
        <f t="shared" si="73"/>
        <v>8.9740259740259738</v>
      </c>
      <c r="CU59" s="183">
        <f t="shared" si="142"/>
        <v>9637502.6363636367</v>
      </c>
      <c r="CV59" s="195">
        <v>9250</v>
      </c>
      <c r="CW59" s="80">
        <f t="shared" si="138"/>
        <v>55</v>
      </c>
      <c r="CX59" s="135">
        <f t="shared" si="74"/>
        <v>9.454545454545455</v>
      </c>
      <c r="CY59" s="183">
        <f t="shared" si="164"/>
        <v>87454.545454545456</v>
      </c>
      <c r="CZ59" s="58">
        <v>199598</v>
      </c>
      <c r="DA59" s="80">
        <f t="shared" si="139"/>
        <v>76</v>
      </c>
      <c r="DB59" s="327">
        <f t="shared" si="75"/>
        <v>8.5526315789473681</v>
      </c>
      <c r="DC59" s="183">
        <f t="shared" si="165"/>
        <v>1707088.1578947369</v>
      </c>
      <c r="DD59" s="58">
        <v>0</v>
      </c>
      <c r="DE59" s="58">
        <v>0</v>
      </c>
      <c r="DF59" s="209"/>
      <c r="DG59" s="58">
        <f t="shared" si="166"/>
        <v>0</v>
      </c>
      <c r="DH59" s="58">
        <f t="shared" si="121"/>
        <v>0</v>
      </c>
      <c r="DI59" s="80">
        <f t="shared" si="140"/>
        <v>67</v>
      </c>
      <c r="DJ59" s="332">
        <f t="shared" si="76"/>
        <v>12.955223880597014</v>
      </c>
      <c r="DK59" s="183">
        <f t="shared" si="143"/>
        <v>0</v>
      </c>
    </row>
    <row r="60" spans="1:115">
      <c r="A60" s="213">
        <v>1959</v>
      </c>
      <c r="B60" s="58">
        <v>229772</v>
      </c>
      <c r="C60" s="209"/>
      <c r="D60" s="58">
        <f t="shared" si="144"/>
        <v>229772</v>
      </c>
      <c r="E60" s="194">
        <f t="shared" si="145"/>
        <v>160840.4</v>
      </c>
      <c r="F60" s="58">
        <v>93535</v>
      </c>
      <c r="G60" s="209"/>
      <c r="H60" s="209">
        <f t="shared" si="146"/>
        <v>93535</v>
      </c>
      <c r="I60" s="214">
        <v>53</v>
      </c>
      <c r="J60" s="132">
        <f t="shared" si="56"/>
        <v>9.8113207547169807</v>
      </c>
      <c r="K60" s="183">
        <f t="shared" si="147"/>
        <v>917701.88679245277</v>
      </c>
      <c r="L60" s="58">
        <v>499329</v>
      </c>
      <c r="M60" s="209"/>
      <c r="N60" s="209"/>
      <c r="O60" s="58">
        <f t="shared" si="148"/>
        <v>499329</v>
      </c>
      <c r="P60" s="80">
        <f t="shared" si="122"/>
        <v>50</v>
      </c>
      <c r="Q60" s="132">
        <f t="shared" si="57"/>
        <v>11.9</v>
      </c>
      <c r="R60" s="193">
        <f t="shared" si="6"/>
        <v>5942015.1000000006</v>
      </c>
      <c r="S60" s="58">
        <v>1485405</v>
      </c>
      <c r="T60" s="209"/>
      <c r="U60" s="209"/>
      <c r="V60" s="58">
        <f t="shared" si="167"/>
        <v>1485405</v>
      </c>
      <c r="W60" s="80">
        <f t="shared" si="123"/>
        <v>62</v>
      </c>
      <c r="X60" s="132">
        <f t="shared" si="58"/>
        <v>9.8387096774193541</v>
      </c>
      <c r="Y60" s="183">
        <f t="shared" si="149"/>
        <v>14614468.548387095</v>
      </c>
      <c r="Z60" s="58">
        <v>0</v>
      </c>
      <c r="AA60" s="80">
        <f t="shared" si="124"/>
        <v>57</v>
      </c>
      <c r="AB60" s="132">
        <f t="shared" si="59"/>
        <v>9.6140350877192979</v>
      </c>
      <c r="AC60" s="183">
        <v>0</v>
      </c>
      <c r="AD60" s="58">
        <v>0</v>
      </c>
      <c r="AE60" s="80">
        <f t="shared" si="125"/>
        <v>60</v>
      </c>
      <c r="AF60" s="132">
        <f t="shared" si="60"/>
        <v>13.816666666666666</v>
      </c>
      <c r="AG60" s="183">
        <v>0</v>
      </c>
      <c r="AH60" s="58">
        <v>0</v>
      </c>
      <c r="AI60" s="209"/>
      <c r="AJ60" s="58">
        <f t="shared" si="168"/>
        <v>0</v>
      </c>
      <c r="AK60" s="80" t="str">
        <f t="shared" si="126"/>
        <v xml:space="preserve"> </v>
      </c>
      <c r="AL60" s="173"/>
      <c r="AM60" s="183">
        <v>0</v>
      </c>
      <c r="AN60" s="58">
        <v>450484</v>
      </c>
      <c r="AO60" s="80">
        <f t="shared" si="127"/>
        <v>50</v>
      </c>
      <c r="AP60" s="132">
        <f t="shared" si="62"/>
        <v>11.36</v>
      </c>
      <c r="AQ60" s="183">
        <f t="shared" si="150"/>
        <v>5117498.2399999993</v>
      </c>
      <c r="AR60" s="58">
        <v>313939</v>
      </c>
      <c r="AS60" s="80">
        <f t="shared" si="128"/>
        <v>50</v>
      </c>
      <c r="AT60" s="132">
        <f t="shared" si="63"/>
        <v>13.68</v>
      </c>
      <c r="AU60" s="183">
        <f t="shared" si="151"/>
        <v>4294685.5199999996</v>
      </c>
      <c r="AV60" s="58">
        <v>3137</v>
      </c>
      <c r="AW60" s="80">
        <f t="shared" si="129"/>
        <v>55</v>
      </c>
      <c r="AX60" s="132">
        <f t="shared" si="64"/>
        <v>9.5636363636363644</v>
      </c>
      <c r="AY60" s="183">
        <f t="shared" si="152"/>
        <v>30001.127272727274</v>
      </c>
      <c r="AZ60" s="58">
        <v>3606</v>
      </c>
      <c r="BA60" s="80">
        <f t="shared" si="130"/>
        <v>63</v>
      </c>
      <c r="BB60" s="132">
        <f t="shared" si="65"/>
        <v>9.7460317460317452</v>
      </c>
      <c r="BC60" s="183">
        <f t="shared" si="153"/>
        <v>35144.190476190473</v>
      </c>
      <c r="BD60" s="209">
        <v>518711</v>
      </c>
      <c r="BE60" s="58">
        <f t="shared" si="154"/>
        <v>427417.864</v>
      </c>
      <c r="BF60" s="80">
        <f t="shared" si="131"/>
        <v>115</v>
      </c>
      <c r="BG60" s="132">
        <f t="shared" si="66"/>
        <v>5.321739130434783</v>
      </c>
      <c r="BH60" s="183">
        <f t="shared" si="155"/>
        <v>2274606.3718956523</v>
      </c>
      <c r="BI60" s="58">
        <f t="shared" si="156"/>
        <v>91293.135999999999</v>
      </c>
      <c r="BJ60" s="80">
        <f t="shared" si="132"/>
        <v>102</v>
      </c>
      <c r="BK60" s="132">
        <f t="shared" si="67"/>
        <v>6.3921568627450984</v>
      </c>
      <c r="BL60" s="183">
        <f t="shared" si="157"/>
        <v>583560.04580392165</v>
      </c>
      <c r="BM60" s="58">
        <v>271272</v>
      </c>
      <c r="BN60" s="80">
        <f t="shared" si="133"/>
        <v>46</v>
      </c>
      <c r="BO60" s="132">
        <f t="shared" si="68"/>
        <v>11.065217391304348</v>
      </c>
      <c r="BP60" s="183">
        <f t="shared" si="158"/>
        <v>3001683.6521739131</v>
      </c>
      <c r="BQ60" s="58">
        <v>101571</v>
      </c>
      <c r="BR60" s="209"/>
      <c r="BS60" s="58">
        <f t="shared" si="159"/>
        <v>101571</v>
      </c>
      <c r="BT60" s="80">
        <f t="shared" si="134"/>
        <v>83</v>
      </c>
      <c r="BU60" s="132">
        <f t="shared" si="69"/>
        <v>4.2771084337349397</v>
      </c>
      <c r="BV60" s="183">
        <f t="shared" si="160"/>
        <v>434430.18072289153</v>
      </c>
      <c r="BW60" s="195">
        <v>0</v>
      </c>
      <c r="BX60" s="80">
        <f t="shared" si="135"/>
        <v>64</v>
      </c>
      <c r="BY60" s="132">
        <f t="shared" si="70"/>
        <v>11.40625</v>
      </c>
      <c r="BZ60" s="212">
        <v>0</v>
      </c>
      <c r="CA60" s="195">
        <v>0</v>
      </c>
      <c r="CB60" s="195"/>
      <c r="CD60" s="212">
        <v>0</v>
      </c>
      <c r="CE60" s="58">
        <v>229772</v>
      </c>
      <c r="CF60" s="209"/>
      <c r="CG60" s="58">
        <f t="shared" si="161"/>
        <v>229772</v>
      </c>
      <c r="CH60" s="194">
        <f t="shared" si="162"/>
        <v>68931.599999999991</v>
      </c>
      <c r="CI60" s="58">
        <v>120349</v>
      </c>
      <c r="CJ60" s="209"/>
      <c r="CK60" s="58">
        <f t="shared" si="163"/>
        <v>120349</v>
      </c>
      <c r="CL60" s="80">
        <f t="shared" si="136"/>
        <v>53</v>
      </c>
      <c r="CM60" s="135">
        <f t="shared" si="72"/>
        <v>9.8113207547169807</v>
      </c>
      <c r="CN60" s="183">
        <f t="shared" si="141"/>
        <v>1180782.641509434</v>
      </c>
      <c r="CO60" s="58">
        <v>2818950</v>
      </c>
      <c r="CP60" s="58" t="s">
        <v>0</v>
      </c>
      <c r="CQ60" s="58"/>
      <c r="CR60" s="195">
        <f>CO60</f>
        <v>2818950</v>
      </c>
      <c r="CS60" s="80">
        <f t="shared" si="137"/>
        <v>83</v>
      </c>
      <c r="CT60" s="327">
        <f t="shared" si="73"/>
        <v>8.3253012048192776</v>
      </c>
      <c r="CU60" s="183">
        <f t="shared" si="142"/>
        <v>23468607.831325304</v>
      </c>
      <c r="CV60" s="195">
        <v>3646</v>
      </c>
      <c r="CW60" s="80">
        <f t="shared" si="138"/>
        <v>53</v>
      </c>
      <c r="CX60" s="135">
        <f t="shared" si="74"/>
        <v>9.8113207547169807</v>
      </c>
      <c r="CY60" s="183">
        <f t="shared" si="164"/>
        <v>35772.07547169811</v>
      </c>
      <c r="CZ60" s="58">
        <v>226555</v>
      </c>
      <c r="DA60" s="80">
        <f t="shared" si="139"/>
        <v>77</v>
      </c>
      <c r="DB60" s="327">
        <f t="shared" si="75"/>
        <v>8.4415584415584419</v>
      </c>
      <c r="DC60" s="183">
        <f t="shared" si="165"/>
        <v>1912477.2727272727</v>
      </c>
      <c r="DD60" s="58">
        <v>0</v>
      </c>
      <c r="DE60" s="58">
        <v>0</v>
      </c>
      <c r="DF60" s="209"/>
      <c r="DG60" s="58">
        <f t="shared" si="166"/>
        <v>0</v>
      </c>
      <c r="DH60" s="58">
        <f t="shared" si="121"/>
        <v>0</v>
      </c>
      <c r="DI60" s="80">
        <f t="shared" si="140"/>
        <v>71</v>
      </c>
      <c r="DJ60" s="332">
        <f t="shared" si="76"/>
        <v>12.225352112676056</v>
      </c>
      <c r="DK60" s="183">
        <f t="shared" si="143"/>
        <v>0</v>
      </c>
    </row>
    <row r="61" spans="1:115">
      <c r="A61" s="213">
        <v>1958</v>
      </c>
      <c r="B61" s="58">
        <v>55476</v>
      </c>
      <c r="C61" s="209"/>
      <c r="D61" s="58">
        <f t="shared" si="144"/>
        <v>55476</v>
      </c>
      <c r="E61" s="194">
        <f t="shared" si="145"/>
        <v>38833.199999999997</v>
      </c>
      <c r="F61" s="58">
        <v>0</v>
      </c>
      <c r="G61" s="209"/>
      <c r="H61" s="209">
        <f t="shared" si="146"/>
        <v>0</v>
      </c>
      <c r="I61" s="214">
        <v>51</v>
      </c>
      <c r="J61" s="132">
        <f t="shared" si="56"/>
        <v>10.196078431372548</v>
      </c>
      <c r="K61" s="183">
        <f t="shared" si="147"/>
        <v>0</v>
      </c>
      <c r="L61" s="58">
        <v>82088</v>
      </c>
      <c r="M61" s="209"/>
      <c r="N61" s="209"/>
      <c r="O61" s="58">
        <f t="shared" si="148"/>
        <v>82088</v>
      </c>
      <c r="P61" s="80">
        <f t="shared" si="122"/>
        <v>49</v>
      </c>
      <c r="Q61" s="132">
        <f t="shared" si="57"/>
        <v>12.142857142857142</v>
      </c>
      <c r="R61" s="193">
        <f t="shared" si="6"/>
        <v>996782.85714285704</v>
      </c>
      <c r="S61" s="58">
        <v>108281</v>
      </c>
      <c r="T61" s="209"/>
      <c r="U61" s="209"/>
      <c r="V61" s="58">
        <f t="shared" si="167"/>
        <v>108281</v>
      </c>
      <c r="W61" s="80">
        <f t="shared" si="123"/>
        <v>63</v>
      </c>
      <c r="X61" s="132">
        <f t="shared" si="58"/>
        <v>9.6825396825396819</v>
      </c>
      <c r="Y61" s="183">
        <f t="shared" si="149"/>
        <v>1048435.0793650793</v>
      </c>
      <c r="Z61" s="58">
        <v>0</v>
      </c>
      <c r="AA61" s="80">
        <f t="shared" si="124"/>
        <v>55</v>
      </c>
      <c r="AB61" s="132">
        <f t="shared" si="59"/>
        <v>9.963636363636363</v>
      </c>
      <c r="AC61" s="183">
        <v>0</v>
      </c>
      <c r="AD61" s="58">
        <v>0</v>
      </c>
      <c r="AE61" s="80">
        <f t="shared" si="125"/>
        <v>57</v>
      </c>
      <c r="AF61" s="132">
        <f t="shared" si="60"/>
        <v>14.543859649122806</v>
      </c>
      <c r="AG61" s="183">
        <v>0</v>
      </c>
      <c r="AH61" s="58">
        <v>0</v>
      </c>
      <c r="AI61" s="209"/>
      <c r="AJ61" s="58">
        <f t="shared" si="168"/>
        <v>0</v>
      </c>
      <c r="AK61" s="80" t="str">
        <f t="shared" si="126"/>
        <v xml:space="preserve"> </v>
      </c>
      <c r="AL61" s="173"/>
      <c r="AM61" s="183">
        <v>0</v>
      </c>
      <c r="AN61" s="58">
        <v>418104</v>
      </c>
      <c r="AO61" s="80">
        <f t="shared" si="127"/>
        <v>48</v>
      </c>
      <c r="AP61" s="132">
        <f t="shared" si="62"/>
        <v>11.833333333333334</v>
      </c>
      <c r="AQ61" s="183">
        <f t="shared" si="150"/>
        <v>4947564</v>
      </c>
      <c r="AR61" s="58">
        <v>403260</v>
      </c>
      <c r="AS61" s="80">
        <f t="shared" si="128"/>
        <v>48</v>
      </c>
      <c r="AT61" s="132">
        <f t="shared" si="63"/>
        <v>14.25</v>
      </c>
      <c r="AU61" s="183">
        <f t="shared" si="151"/>
        <v>5746455</v>
      </c>
      <c r="AV61" s="58">
        <v>10167</v>
      </c>
      <c r="AW61" s="80">
        <f t="shared" si="129"/>
        <v>53</v>
      </c>
      <c r="AX61" s="132">
        <f t="shared" si="64"/>
        <v>9.9245283018867916</v>
      </c>
      <c r="AY61" s="183">
        <f t="shared" si="152"/>
        <v>100902.67924528301</v>
      </c>
      <c r="AZ61" s="58">
        <v>0</v>
      </c>
      <c r="BA61" s="80">
        <f t="shared" si="130"/>
        <v>60</v>
      </c>
      <c r="BB61" s="132">
        <f t="shared" si="65"/>
        <v>10.233333333333333</v>
      </c>
      <c r="BC61" s="183">
        <f t="shared" si="153"/>
        <v>0</v>
      </c>
      <c r="BD61" s="209">
        <v>402011</v>
      </c>
      <c r="BE61" s="58">
        <f t="shared" si="154"/>
        <v>331257.06399999995</v>
      </c>
      <c r="BF61" s="80">
        <f t="shared" si="131"/>
        <v>118</v>
      </c>
      <c r="BG61" s="132">
        <f t="shared" si="66"/>
        <v>5.1864406779661021</v>
      </c>
      <c r="BH61" s="183">
        <f t="shared" si="155"/>
        <v>1718045.1115932202</v>
      </c>
      <c r="BI61" s="58">
        <f t="shared" si="156"/>
        <v>70753.936000000002</v>
      </c>
      <c r="BJ61" s="80">
        <f t="shared" si="132"/>
        <v>102</v>
      </c>
      <c r="BK61" s="132">
        <f t="shared" si="67"/>
        <v>6.3921568627450984</v>
      </c>
      <c r="BL61" s="183">
        <f t="shared" si="157"/>
        <v>452270.25756862748</v>
      </c>
      <c r="BM61" s="58">
        <v>183607</v>
      </c>
      <c r="BN61" s="80">
        <f t="shared" si="133"/>
        <v>43</v>
      </c>
      <c r="BO61" s="132">
        <f t="shared" si="68"/>
        <v>11.837209302325581</v>
      </c>
      <c r="BP61" s="183">
        <f t="shared" si="158"/>
        <v>2173394.4883720931</v>
      </c>
      <c r="BQ61" s="58">
        <v>41252</v>
      </c>
      <c r="BR61" s="209"/>
      <c r="BS61" s="58">
        <f t="shared" si="159"/>
        <v>41252</v>
      </c>
      <c r="BT61" s="80">
        <f t="shared" si="134"/>
        <v>80</v>
      </c>
      <c r="BU61" s="132">
        <f t="shared" si="69"/>
        <v>4.4375</v>
      </c>
      <c r="BV61" s="183">
        <f t="shared" si="160"/>
        <v>183055.75</v>
      </c>
      <c r="BW61" s="195">
        <v>0</v>
      </c>
      <c r="BX61" s="80">
        <f t="shared" si="135"/>
        <v>64</v>
      </c>
      <c r="BY61" s="132">
        <f t="shared" si="70"/>
        <v>11.40625</v>
      </c>
      <c r="BZ61" s="212">
        <v>0</v>
      </c>
      <c r="CA61" s="195">
        <v>0</v>
      </c>
      <c r="CB61" s="195"/>
      <c r="CD61" s="212">
        <v>0</v>
      </c>
      <c r="CE61" s="58">
        <v>55476</v>
      </c>
      <c r="CF61" s="209"/>
      <c r="CG61" s="58">
        <f t="shared" si="161"/>
        <v>55476</v>
      </c>
      <c r="CH61" s="194">
        <f t="shared" si="162"/>
        <v>16642.8</v>
      </c>
      <c r="CI61" s="58">
        <v>2646</v>
      </c>
      <c r="CJ61" s="209"/>
      <c r="CK61" s="58">
        <f t="shared" si="163"/>
        <v>2646</v>
      </c>
      <c r="CL61" s="80">
        <f t="shared" si="136"/>
        <v>51</v>
      </c>
      <c r="CM61" s="135">
        <f t="shared" si="72"/>
        <v>10.196078431372548</v>
      </c>
      <c r="CN61" s="183">
        <f t="shared" si="141"/>
        <v>26978.823529411762</v>
      </c>
      <c r="CO61" s="58">
        <v>541693</v>
      </c>
      <c r="CP61" s="58"/>
      <c r="CQ61" s="58"/>
      <c r="CR61" s="195">
        <f t="shared" ref="CR61:CR92" si="169">CO61-CP61+CQ61</f>
        <v>541693</v>
      </c>
      <c r="CS61" s="80">
        <f t="shared" si="137"/>
        <v>84</v>
      </c>
      <c r="CT61" s="327">
        <f t="shared" si="73"/>
        <v>8.2261904761904763</v>
      </c>
      <c r="CU61" s="183">
        <f t="shared" si="142"/>
        <v>4456069.7976190476</v>
      </c>
      <c r="CV61" s="195">
        <v>37209</v>
      </c>
      <c r="CW61" s="80">
        <f t="shared" si="138"/>
        <v>51</v>
      </c>
      <c r="CX61" s="135">
        <f t="shared" si="74"/>
        <v>10.196078431372548</v>
      </c>
      <c r="CY61" s="183">
        <f t="shared" si="164"/>
        <v>379385.88235294115</v>
      </c>
      <c r="CZ61" s="58">
        <v>86064</v>
      </c>
      <c r="DA61" s="80">
        <f t="shared" si="139"/>
        <v>76</v>
      </c>
      <c r="DB61" s="327">
        <f t="shared" si="75"/>
        <v>8.5526315789473681</v>
      </c>
      <c r="DC61" s="183">
        <f t="shared" si="165"/>
        <v>736073.68421052629</v>
      </c>
      <c r="DD61" s="58">
        <v>0</v>
      </c>
      <c r="DE61" s="58">
        <v>0</v>
      </c>
      <c r="DF61" s="209"/>
      <c r="DG61" s="58">
        <f t="shared" si="166"/>
        <v>0</v>
      </c>
      <c r="DH61" s="58">
        <f t="shared" si="121"/>
        <v>0</v>
      </c>
      <c r="DI61" s="80">
        <f t="shared" si="140"/>
        <v>70</v>
      </c>
      <c r="DJ61" s="332">
        <f t="shared" si="76"/>
        <v>12.4</v>
      </c>
      <c r="DK61" s="183">
        <f t="shared" si="143"/>
        <v>0</v>
      </c>
    </row>
    <row r="62" spans="1:115">
      <c r="A62" s="213">
        <v>1957</v>
      </c>
      <c r="B62" s="58">
        <v>429014</v>
      </c>
      <c r="C62" s="209"/>
      <c r="D62" s="58">
        <f t="shared" si="144"/>
        <v>429014</v>
      </c>
      <c r="E62" s="194">
        <f t="shared" si="145"/>
        <v>300309.8</v>
      </c>
      <c r="F62" s="58">
        <v>58127</v>
      </c>
      <c r="G62" s="209"/>
      <c r="H62" s="209">
        <f t="shared" si="146"/>
        <v>58127</v>
      </c>
      <c r="I62" s="214">
        <v>48</v>
      </c>
      <c r="J62" s="132">
        <f t="shared" si="56"/>
        <v>10.833333333333334</v>
      </c>
      <c r="K62" s="183">
        <f t="shared" si="147"/>
        <v>629709.16666666674</v>
      </c>
      <c r="L62" s="58">
        <v>523576</v>
      </c>
      <c r="M62" s="209"/>
      <c r="N62" s="209"/>
      <c r="O62" s="58">
        <f t="shared" si="148"/>
        <v>523576</v>
      </c>
      <c r="P62" s="80">
        <f t="shared" si="122"/>
        <v>47</v>
      </c>
      <c r="Q62" s="132">
        <f t="shared" si="57"/>
        <v>12.659574468085106</v>
      </c>
      <c r="R62" s="193">
        <f t="shared" si="6"/>
        <v>6628249.3617021274</v>
      </c>
      <c r="S62" s="58">
        <v>1625571</v>
      </c>
      <c r="T62" s="209"/>
      <c r="U62" s="209"/>
      <c r="V62" s="58">
        <f t="shared" si="167"/>
        <v>1625571</v>
      </c>
      <c r="W62" s="80">
        <f t="shared" si="123"/>
        <v>63</v>
      </c>
      <c r="X62" s="132">
        <f t="shared" si="58"/>
        <v>9.6825396825396819</v>
      </c>
      <c r="Y62" s="183">
        <f t="shared" si="149"/>
        <v>15739655.714285713</v>
      </c>
      <c r="Z62" s="58">
        <v>0</v>
      </c>
      <c r="AA62" s="80">
        <f t="shared" si="124"/>
        <v>52</v>
      </c>
      <c r="AB62" s="132">
        <f t="shared" si="59"/>
        <v>10.538461538461538</v>
      </c>
      <c r="AC62" s="183">
        <v>0</v>
      </c>
      <c r="AD62" s="58">
        <v>0</v>
      </c>
      <c r="AE62" s="80">
        <f t="shared" si="125"/>
        <v>57</v>
      </c>
      <c r="AF62" s="132">
        <f t="shared" si="60"/>
        <v>14.543859649122806</v>
      </c>
      <c r="AG62" s="183">
        <v>0</v>
      </c>
      <c r="AH62" s="58">
        <v>0</v>
      </c>
      <c r="AI62" s="209"/>
      <c r="AJ62" s="58">
        <f t="shared" si="168"/>
        <v>0</v>
      </c>
      <c r="AK62" s="80" t="str">
        <f t="shared" si="126"/>
        <v xml:space="preserve"> </v>
      </c>
      <c r="AL62" s="173"/>
      <c r="AM62" s="183">
        <v>0</v>
      </c>
      <c r="AN62" s="58">
        <v>506933</v>
      </c>
      <c r="AO62" s="80">
        <f t="shared" si="127"/>
        <v>47</v>
      </c>
      <c r="AP62" s="132">
        <f t="shared" si="62"/>
        <v>12.085106382978724</v>
      </c>
      <c r="AQ62" s="183">
        <f t="shared" si="150"/>
        <v>6126339.2340425532</v>
      </c>
      <c r="AR62" s="58">
        <v>489405</v>
      </c>
      <c r="AS62" s="80">
        <f t="shared" si="128"/>
        <v>47</v>
      </c>
      <c r="AT62" s="132">
        <f t="shared" si="63"/>
        <v>14.553191489361701</v>
      </c>
      <c r="AU62" s="183">
        <f t="shared" si="151"/>
        <v>7122404.6808510637</v>
      </c>
      <c r="AV62" s="58">
        <v>2408</v>
      </c>
      <c r="AW62" s="80">
        <f t="shared" si="129"/>
        <v>50</v>
      </c>
      <c r="AX62" s="132">
        <f t="shared" si="64"/>
        <v>10.52</v>
      </c>
      <c r="AY62" s="183">
        <f t="shared" si="152"/>
        <v>25332.16</v>
      </c>
      <c r="AZ62" s="58">
        <v>11179</v>
      </c>
      <c r="BA62" s="80">
        <f t="shared" si="130"/>
        <v>60</v>
      </c>
      <c r="BB62" s="132">
        <f t="shared" si="65"/>
        <v>10.233333333333333</v>
      </c>
      <c r="BC62" s="183">
        <f t="shared" si="153"/>
        <v>114398.43333333332</v>
      </c>
      <c r="BD62" s="209">
        <v>550670</v>
      </c>
      <c r="BE62" s="58">
        <f t="shared" si="154"/>
        <v>453752.07999999996</v>
      </c>
      <c r="BF62" s="80">
        <f t="shared" si="131"/>
        <v>122</v>
      </c>
      <c r="BG62" s="132">
        <f t="shared" si="66"/>
        <v>5.0163934426229506</v>
      </c>
      <c r="BH62" s="183">
        <f t="shared" si="155"/>
        <v>2276198.9586885241</v>
      </c>
      <c r="BI62" s="58">
        <f t="shared" si="156"/>
        <v>96917.92</v>
      </c>
      <c r="BJ62" s="80">
        <f t="shared" si="132"/>
        <v>102</v>
      </c>
      <c r="BK62" s="132">
        <f t="shared" si="67"/>
        <v>6.3921568627450984</v>
      </c>
      <c r="BL62" s="183">
        <f t="shared" si="157"/>
        <v>619514.5474509804</v>
      </c>
      <c r="BM62" s="58">
        <v>253856</v>
      </c>
      <c r="BN62" s="80">
        <f t="shared" si="133"/>
        <v>43</v>
      </c>
      <c r="BO62" s="132">
        <f t="shared" si="68"/>
        <v>11.837209302325581</v>
      </c>
      <c r="BP62" s="183">
        <f t="shared" si="158"/>
        <v>3004946.6046511629</v>
      </c>
      <c r="BQ62" s="58">
        <v>60536</v>
      </c>
      <c r="BR62" s="209"/>
      <c r="BS62" s="58">
        <f t="shared" si="159"/>
        <v>60536</v>
      </c>
      <c r="BT62" s="80">
        <f t="shared" si="134"/>
        <v>78</v>
      </c>
      <c r="BU62" s="132">
        <f t="shared" si="69"/>
        <v>4.5512820512820511</v>
      </c>
      <c r="BV62" s="183">
        <f t="shared" si="160"/>
        <v>275516.41025641025</v>
      </c>
      <c r="BW62" s="195">
        <v>0</v>
      </c>
      <c r="BX62" s="80">
        <f t="shared" si="135"/>
        <v>60</v>
      </c>
      <c r="BY62" s="132">
        <f t="shared" si="70"/>
        <v>12.166666666666666</v>
      </c>
      <c r="BZ62" s="212">
        <v>0</v>
      </c>
      <c r="CA62" s="195">
        <v>0</v>
      </c>
      <c r="CB62" s="195"/>
      <c r="CD62" s="212">
        <v>0</v>
      </c>
      <c r="CE62" s="58">
        <v>429014</v>
      </c>
      <c r="CF62" s="209"/>
      <c r="CG62" s="58">
        <f t="shared" si="161"/>
        <v>429014</v>
      </c>
      <c r="CH62" s="194">
        <f t="shared" si="162"/>
        <v>128704.2</v>
      </c>
      <c r="CI62" s="58">
        <v>23743</v>
      </c>
      <c r="CJ62" s="209"/>
      <c r="CK62" s="58">
        <f t="shared" si="163"/>
        <v>23743</v>
      </c>
      <c r="CL62" s="80">
        <f t="shared" si="136"/>
        <v>48</v>
      </c>
      <c r="CM62" s="135">
        <f t="shared" si="72"/>
        <v>10.833333333333334</v>
      </c>
      <c r="CN62" s="183">
        <f t="shared" si="141"/>
        <v>257215.83333333334</v>
      </c>
      <c r="CO62" s="58">
        <v>835071</v>
      </c>
      <c r="CP62" s="58"/>
      <c r="CQ62" s="58"/>
      <c r="CR62" s="195">
        <f t="shared" si="169"/>
        <v>835071</v>
      </c>
      <c r="CS62" s="80">
        <f t="shared" si="137"/>
        <v>81</v>
      </c>
      <c r="CT62" s="327">
        <f t="shared" si="73"/>
        <v>8.5308641975308639</v>
      </c>
      <c r="CU62" s="183">
        <f t="shared" si="142"/>
        <v>7123877.2962962957</v>
      </c>
      <c r="CV62" s="195">
        <v>21649</v>
      </c>
      <c r="CW62" s="80">
        <f t="shared" si="138"/>
        <v>48</v>
      </c>
      <c r="CX62" s="135">
        <f t="shared" si="74"/>
        <v>10.833333333333334</v>
      </c>
      <c r="CY62" s="183">
        <f t="shared" si="164"/>
        <v>234530.83333333334</v>
      </c>
      <c r="CZ62" s="58">
        <v>549555</v>
      </c>
      <c r="DA62" s="80">
        <f t="shared" si="139"/>
        <v>73</v>
      </c>
      <c r="DB62" s="327">
        <f t="shared" si="75"/>
        <v>8.9041095890410951</v>
      </c>
      <c r="DC62" s="183">
        <f t="shared" si="165"/>
        <v>4893297.9452054789</v>
      </c>
      <c r="DD62" s="58">
        <v>0</v>
      </c>
      <c r="DE62" s="58">
        <v>0</v>
      </c>
      <c r="DF62" s="209"/>
      <c r="DG62" s="58">
        <f t="shared" si="166"/>
        <v>0</v>
      </c>
      <c r="DH62" s="58">
        <f t="shared" ref="DH62:DH93" si="170">DG62/2</f>
        <v>0</v>
      </c>
      <c r="DI62" s="80">
        <f t="shared" si="140"/>
        <v>68</v>
      </c>
      <c r="DJ62" s="332">
        <f t="shared" si="76"/>
        <v>12.764705882352942</v>
      </c>
      <c r="DK62" s="183">
        <f t="shared" si="143"/>
        <v>0</v>
      </c>
    </row>
    <row r="63" spans="1:115">
      <c r="A63" s="213">
        <v>1956</v>
      </c>
      <c r="B63" s="58">
        <v>3381</v>
      </c>
      <c r="C63" s="209"/>
      <c r="D63" s="58">
        <f t="shared" si="144"/>
        <v>3381</v>
      </c>
      <c r="E63" s="194">
        <f t="shared" si="145"/>
        <v>2366.6999999999998</v>
      </c>
      <c r="F63" s="58">
        <v>178</v>
      </c>
      <c r="G63" s="209"/>
      <c r="H63" s="209">
        <f t="shared" si="146"/>
        <v>178</v>
      </c>
      <c r="I63" s="214">
        <v>46</v>
      </c>
      <c r="J63" s="132">
        <f t="shared" si="56"/>
        <v>11.304347826086957</v>
      </c>
      <c r="K63" s="183">
        <f t="shared" si="147"/>
        <v>2012.1739130434783</v>
      </c>
      <c r="L63" s="58">
        <v>41670.769999999997</v>
      </c>
      <c r="M63" s="209"/>
      <c r="N63" s="209"/>
      <c r="O63" s="58">
        <f t="shared" si="148"/>
        <v>41670.769999999997</v>
      </c>
      <c r="P63" s="80">
        <f t="shared" si="122"/>
        <v>44</v>
      </c>
      <c r="Q63" s="132">
        <f t="shared" si="57"/>
        <v>13.522727272727273</v>
      </c>
      <c r="R63" s="193">
        <f t="shared" si="6"/>
        <v>563502.45795454539</v>
      </c>
      <c r="S63" s="58">
        <v>45504</v>
      </c>
      <c r="T63" s="209"/>
      <c r="U63" s="209"/>
      <c r="V63" s="58">
        <f t="shared" si="167"/>
        <v>45504</v>
      </c>
      <c r="W63" s="80">
        <f t="shared" si="123"/>
        <v>61</v>
      </c>
      <c r="X63" s="132">
        <f t="shared" si="58"/>
        <v>10</v>
      </c>
      <c r="Y63" s="183">
        <f t="shared" si="149"/>
        <v>455040</v>
      </c>
      <c r="Z63" s="58">
        <v>0</v>
      </c>
      <c r="AA63" s="80">
        <f t="shared" si="124"/>
        <v>50</v>
      </c>
      <c r="AB63" s="132">
        <f t="shared" si="59"/>
        <v>10.96</v>
      </c>
      <c r="AC63" s="183">
        <v>0</v>
      </c>
      <c r="AD63" s="58">
        <v>0</v>
      </c>
      <c r="AE63" s="80">
        <f t="shared" si="125"/>
        <v>65</v>
      </c>
      <c r="AF63" s="132">
        <f t="shared" si="60"/>
        <v>12.753846153846155</v>
      </c>
      <c r="AG63" s="183">
        <v>0</v>
      </c>
      <c r="AH63" s="58">
        <v>0</v>
      </c>
      <c r="AI63" s="209"/>
      <c r="AJ63" s="58">
        <f t="shared" si="168"/>
        <v>0</v>
      </c>
      <c r="AK63" s="80" t="str">
        <f t="shared" si="126"/>
        <v xml:space="preserve"> </v>
      </c>
      <c r="AL63" s="173"/>
      <c r="AM63" s="183">
        <v>0</v>
      </c>
      <c r="AN63" s="58">
        <v>597100</v>
      </c>
      <c r="AO63" s="80">
        <f t="shared" si="127"/>
        <v>45</v>
      </c>
      <c r="AP63" s="132">
        <f t="shared" si="62"/>
        <v>12.622222222222222</v>
      </c>
      <c r="AQ63" s="183">
        <f t="shared" si="150"/>
        <v>7536728.888888889</v>
      </c>
      <c r="AR63" s="58">
        <v>806726</v>
      </c>
      <c r="AS63" s="80">
        <f t="shared" si="128"/>
        <v>48</v>
      </c>
      <c r="AT63" s="132">
        <f t="shared" si="63"/>
        <v>14.25</v>
      </c>
      <c r="AU63" s="183">
        <f t="shared" si="151"/>
        <v>11495845.5</v>
      </c>
      <c r="AV63" s="58">
        <v>7058</v>
      </c>
      <c r="AW63" s="80">
        <f t="shared" si="129"/>
        <v>48</v>
      </c>
      <c r="AX63" s="132">
        <f t="shared" si="64"/>
        <v>10.958333333333334</v>
      </c>
      <c r="AY63" s="183">
        <f t="shared" si="152"/>
        <v>77343.916666666672</v>
      </c>
      <c r="AZ63" s="58">
        <v>26336</v>
      </c>
      <c r="BA63" s="80">
        <f t="shared" si="130"/>
        <v>68</v>
      </c>
      <c r="BB63" s="132">
        <f t="shared" si="65"/>
        <v>9.0294117647058822</v>
      </c>
      <c r="BC63" s="183">
        <f t="shared" si="153"/>
        <v>237798.58823529413</v>
      </c>
      <c r="BD63" s="209">
        <v>574357</v>
      </c>
      <c r="BE63" s="58">
        <f t="shared" si="154"/>
        <v>473270.16799999995</v>
      </c>
      <c r="BF63" s="80">
        <f t="shared" si="131"/>
        <v>115</v>
      </c>
      <c r="BG63" s="132">
        <f t="shared" si="66"/>
        <v>5.321739130434783</v>
      </c>
      <c r="BH63" s="183">
        <f t="shared" si="155"/>
        <v>2518620.3723130436</v>
      </c>
      <c r="BI63" s="58">
        <f t="shared" si="156"/>
        <v>101086.83199999999</v>
      </c>
      <c r="BJ63" s="80">
        <f t="shared" si="132"/>
        <v>102</v>
      </c>
      <c r="BK63" s="132">
        <f t="shared" si="67"/>
        <v>6.3921568627450984</v>
      </c>
      <c r="BL63" s="183">
        <f t="shared" si="157"/>
        <v>646162.88690196082</v>
      </c>
      <c r="BM63" s="58">
        <v>280170</v>
      </c>
      <c r="BN63" s="80">
        <f t="shared" si="133"/>
        <v>44</v>
      </c>
      <c r="BO63" s="132">
        <f t="shared" si="68"/>
        <v>11.568181818181818</v>
      </c>
      <c r="BP63" s="183">
        <f t="shared" si="158"/>
        <v>3241057.5</v>
      </c>
      <c r="BQ63" s="58">
        <v>81114</v>
      </c>
      <c r="BR63" s="209"/>
      <c r="BS63" s="58">
        <f t="shared" si="159"/>
        <v>81114</v>
      </c>
      <c r="BT63" s="80">
        <f t="shared" si="134"/>
        <v>74</v>
      </c>
      <c r="BU63" s="132">
        <f t="shared" si="69"/>
        <v>4.7972972972972974</v>
      </c>
      <c r="BV63" s="183">
        <f t="shared" si="160"/>
        <v>389127.97297297296</v>
      </c>
      <c r="BW63" s="195">
        <v>0</v>
      </c>
      <c r="BX63" s="80">
        <f t="shared" si="135"/>
        <v>56</v>
      </c>
      <c r="BY63" s="132">
        <f t="shared" si="70"/>
        <v>13.035714285714286</v>
      </c>
      <c r="BZ63" s="212">
        <v>0</v>
      </c>
      <c r="CA63" s="195">
        <v>0</v>
      </c>
      <c r="CB63" s="195"/>
      <c r="CD63" s="212">
        <v>0</v>
      </c>
      <c r="CE63" s="58">
        <v>3381</v>
      </c>
      <c r="CF63" s="209"/>
      <c r="CG63" s="58">
        <f t="shared" si="161"/>
        <v>3381</v>
      </c>
      <c r="CH63" s="194">
        <f t="shared" si="162"/>
        <v>1014.3</v>
      </c>
      <c r="CI63" s="58">
        <v>6835</v>
      </c>
      <c r="CJ63" s="209"/>
      <c r="CK63" s="58">
        <f t="shared" si="163"/>
        <v>6835</v>
      </c>
      <c r="CL63" s="80">
        <f t="shared" si="136"/>
        <v>46</v>
      </c>
      <c r="CM63" s="135">
        <f t="shared" si="72"/>
        <v>11.304347826086957</v>
      </c>
      <c r="CN63" s="183">
        <f t="shared" si="141"/>
        <v>77265.217391304352</v>
      </c>
      <c r="CO63" s="58">
        <v>79776</v>
      </c>
      <c r="CP63" s="58"/>
      <c r="CQ63" s="58"/>
      <c r="CR63" s="195">
        <f t="shared" si="169"/>
        <v>79776</v>
      </c>
      <c r="CS63" s="80">
        <f t="shared" si="137"/>
        <v>77</v>
      </c>
      <c r="CT63" s="327">
        <f t="shared" si="73"/>
        <v>8.9740259740259738</v>
      </c>
      <c r="CU63" s="183">
        <f t="shared" si="142"/>
        <v>715911.89610389608</v>
      </c>
      <c r="CV63" s="195">
        <v>7327</v>
      </c>
      <c r="CW63" s="80">
        <f t="shared" si="138"/>
        <v>46</v>
      </c>
      <c r="CX63" s="135">
        <f t="shared" si="74"/>
        <v>11.304347826086957</v>
      </c>
      <c r="CY63" s="183">
        <f t="shared" si="164"/>
        <v>82826.956521739135</v>
      </c>
      <c r="CZ63" s="58">
        <v>0</v>
      </c>
      <c r="DA63" s="80">
        <f t="shared" si="139"/>
        <v>69</v>
      </c>
      <c r="DB63" s="327">
        <f t="shared" si="75"/>
        <v>9.420289855072463</v>
      </c>
      <c r="DC63" s="183">
        <f t="shared" si="165"/>
        <v>0</v>
      </c>
      <c r="DD63" s="58">
        <v>0</v>
      </c>
      <c r="DE63" s="58">
        <v>0</v>
      </c>
      <c r="DF63" s="209"/>
      <c r="DG63" s="58">
        <f t="shared" si="166"/>
        <v>0</v>
      </c>
      <c r="DH63" s="58">
        <f t="shared" si="170"/>
        <v>0</v>
      </c>
      <c r="DI63" s="80">
        <f t="shared" si="140"/>
        <v>63</v>
      </c>
      <c r="DJ63" s="332">
        <f t="shared" si="76"/>
        <v>13.777777777777779</v>
      </c>
      <c r="DK63" s="183">
        <f t="shared" si="143"/>
        <v>0</v>
      </c>
    </row>
    <row r="64" spans="1:115">
      <c r="A64" s="213">
        <v>1955</v>
      </c>
      <c r="B64" s="58">
        <v>39766</v>
      </c>
      <c r="C64" s="209"/>
      <c r="D64" s="58">
        <f t="shared" si="144"/>
        <v>39766</v>
      </c>
      <c r="E64" s="194">
        <f t="shared" si="145"/>
        <v>27836.199999999997</v>
      </c>
      <c r="F64" s="58">
        <v>40778</v>
      </c>
      <c r="G64" s="209"/>
      <c r="H64" s="209">
        <f t="shared" si="146"/>
        <v>40778</v>
      </c>
      <c r="I64" s="214">
        <v>43</v>
      </c>
      <c r="J64" s="132">
        <f t="shared" si="56"/>
        <v>12.093023255813954</v>
      </c>
      <c r="K64" s="183">
        <f t="shared" si="147"/>
        <v>493129.30232558138</v>
      </c>
      <c r="L64" s="58">
        <v>90867</v>
      </c>
      <c r="M64" s="209"/>
      <c r="N64" s="209"/>
      <c r="O64" s="58">
        <f t="shared" si="148"/>
        <v>90867</v>
      </c>
      <c r="P64" s="80">
        <f t="shared" si="122"/>
        <v>42</v>
      </c>
      <c r="Q64" s="132">
        <f t="shared" si="57"/>
        <v>14.166666666666666</v>
      </c>
      <c r="R64" s="193">
        <f t="shared" si="6"/>
        <v>1287282.5</v>
      </c>
      <c r="S64" s="58">
        <v>87002</v>
      </c>
      <c r="T64" s="209"/>
      <c r="U64" s="209"/>
      <c r="V64" s="58">
        <f t="shared" si="167"/>
        <v>87002</v>
      </c>
      <c r="W64" s="80">
        <f t="shared" si="123"/>
        <v>55</v>
      </c>
      <c r="X64" s="132">
        <f t="shared" si="58"/>
        <v>11.090909090909092</v>
      </c>
      <c r="Y64" s="183">
        <f t="shared" si="149"/>
        <v>964931.27272727282</v>
      </c>
      <c r="Z64" s="58">
        <v>0</v>
      </c>
      <c r="AA64" s="80">
        <f t="shared" si="124"/>
        <v>47</v>
      </c>
      <c r="AB64" s="132">
        <f t="shared" si="59"/>
        <v>11.659574468085106</v>
      </c>
      <c r="AC64" s="183">
        <v>0</v>
      </c>
      <c r="AD64" s="58">
        <v>0</v>
      </c>
      <c r="AE64" s="80">
        <f t="shared" si="125"/>
        <v>66</v>
      </c>
      <c r="AF64" s="132">
        <f t="shared" si="60"/>
        <v>12.560606060606061</v>
      </c>
      <c r="AG64" s="183">
        <v>0</v>
      </c>
      <c r="AH64" s="58">
        <v>0</v>
      </c>
      <c r="AI64" s="209"/>
      <c r="AJ64" s="58">
        <f t="shared" si="168"/>
        <v>0</v>
      </c>
      <c r="AK64" s="80" t="str">
        <f t="shared" si="126"/>
        <v xml:space="preserve"> </v>
      </c>
      <c r="AL64" s="173"/>
      <c r="AM64" s="183">
        <v>0</v>
      </c>
      <c r="AN64" s="58">
        <v>475083</v>
      </c>
      <c r="AO64" s="80">
        <f t="shared" si="127"/>
        <v>42</v>
      </c>
      <c r="AP64" s="132">
        <f t="shared" si="62"/>
        <v>13.523809523809524</v>
      </c>
      <c r="AQ64" s="183">
        <f t="shared" si="150"/>
        <v>6424932</v>
      </c>
      <c r="AR64" s="58">
        <v>439260</v>
      </c>
      <c r="AS64" s="80">
        <f t="shared" si="128"/>
        <v>44</v>
      </c>
      <c r="AT64" s="132">
        <f t="shared" si="63"/>
        <v>15.545454545454545</v>
      </c>
      <c r="AU64" s="183">
        <f t="shared" si="151"/>
        <v>6828496.3636363633</v>
      </c>
      <c r="AV64" s="58">
        <v>27900</v>
      </c>
      <c r="AW64" s="80">
        <f t="shared" si="129"/>
        <v>46</v>
      </c>
      <c r="AX64" s="132">
        <f t="shared" si="64"/>
        <v>11.434782608695652</v>
      </c>
      <c r="AY64" s="183">
        <f t="shared" si="152"/>
        <v>319030.4347826087</v>
      </c>
      <c r="AZ64" s="58">
        <v>9615</v>
      </c>
      <c r="BA64" s="80">
        <f t="shared" si="130"/>
        <v>69</v>
      </c>
      <c r="BB64" s="132">
        <f t="shared" si="65"/>
        <v>8.8985507246376816</v>
      </c>
      <c r="BC64" s="183">
        <f t="shared" si="153"/>
        <v>85559.565217391311</v>
      </c>
      <c r="BD64" s="209">
        <v>573942</v>
      </c>
      <c r="BE64" s="58">
        <f t="shared" si="154"/>
        <v>472928.20799999998</v>
      </c>
      <c r="BF64" s="80">
        <f t="shared" si="131"/>
        <v>112</v>
      </c>
      <c r="BG64" s="132">
        <f t="shared" si="66"/>
        <v>5.4642857142857144</v>
      </c>
      <c r="BH64" s="183">
        <f t="shared" si="155"/>
        <v>2584214.8508571428</v>
      </c>
      <c r="BI64" s="58">
        <f t="shared" si="156"/>
        <v>101013.792</v>
      </c>
      <c r="BJ64" s="80">
        <f t="shared" si="132"/>
        <v>102</v>
      </c>
      <c r="BK64" s="132">
        <f t="shared" si="67"/>
        <v>6.3921568627450984</v>
      </c>
      <c r="BL64" s="183">
        <f t="shared" si="157"/>
        <v>645696.00376470597</v>
      </c>
      <c r="BM64" s="58">
        <v>239505</v>
      </c>
      <c r="BN64" s="80">
        <f t="shared" si="133"/>
        <v>41</v>
      </c>
      <c r="BO64" s="132">
        <f t="shared" si="68"/>
        <v>12.414634146341463</v>
      </c>
      <c r="BP64" s="183">
        <f t="shared" si="158"/>
        <v>2973366.9512195121</v>
      </c>
      <c r="BQ64" s="58">
        <v>122941</v>
      </c>
      <c r="BR64" s="209"/>
      <c r="BS64" s="58">
        <f t="shared" si="159"/>
        <v>122941</v>
      </c>
      <c r="BT64" s="80">
        <f t="shared" si="134"/>
        <v>71</v>
      </c>
      <c r="BU64" s="132">
        <f t="shared" si="69"/>
        <v>5</v>
      </c>
      <c r="BV64" s="183">
        <f t="shared" si="160"/>
        <v>614705</v>
      </c>
      <c r="BW64" s="195">
        <v>0</v>
      </c>
      <c r="BX64" s="80">
        <f t="shared" si="135"/>
        <v>53</v>
      </c>
      <c r="BY64" s="132">
        <f t="shared" si="70"/>
        <v>13.773584905660377</v>
      </c>
      <c r="BZ64" s="212">
        <v>0</v>
      </c>
      <c r="CA64" s="195">
        <v>0</v>
      </c>
      <c r="CB64" s="195"/>
      <c r="CD64" s="212">
        <v>0</v>
      </c>
      <c r="CE64" s="58">
        <v>39766</v>
      </c>
      <c r="CF64" s="209"/>
      <c r="CG64" s="58">
        <f t="shared" si="161"/>
        <v>39766</v>
      </c>
      <c r="CH64" s="194">
        <f t="shared" si="162"/>
        <v>11929.8</v>
      </c>
      <c r="CI64" s="58">
        <v>4883</v>
      </c>
      <c r="CJ64" s="209"/>
      <c r="CK64" s="58">
        <f t="shared" si="163"/>
        <v>4883</v>
      </c>
      <c r="CL64" s="80">
        <f t="shared" si="136"/>
        <v>43</v>
      </c>
      <c r="CM64" s="135">
        <f t="shared" si="72"/>
        <v>12.093023255813954</v>
      </c>
      <c r="CN64" s="183">
        <f t="shared" si="141"/>
        <v>59050.232558139534</v>
      </c>
      <c r="CO64" s="58">
        <v>316381</v>
      </c>
      <c r="CP64" s="58"/>
      <c r="CQ64" s="58"/>
      <c r="CR64" s="195">
        <f t="shared" si="169"/>
        <v>316381</v>
      </c>
      <c r="CS64" s="80">
        <f t="shared" si="137"/>
        <v>70</v>
      </c>
      <c r="CT64" s="327">
        <f t="shared" si="73"/>
        <v>9.8714285714285719</v>
      </c>
      <c r="CU64" s="183">
        <f t="shared" si="142"/>
        <v>3123132.442857143</v>
      </c>
      <c r="CV64" s="195">
        <v>20861</v>
      </c>
      <c r="CW64" s="80">
        <f t="shared" si="138"/>
        <v>43</v>
      </c>
      <c r="CX64" s="135">
        <f t="shared" si="74"/>
        <v>12.093023255813954</v>
      </c>
      <c r="CY64" s="183">
        <f t="shared" si="164"/>
        <v>252272.5581395349</v>
      </c>
      <c r="CZ64" s="58">
        <v>14407</v>
      </c>
      <c r="DA64" s="80">
        <f t="shared" si="139"/>
        <v>63</v>
      </c>
      <c r="DB64" s="327">
        <f t="shared" si="75"/>
        <v>10.317460317460318</v>
      </c>
      <c r="DC64" s="183">
        <f t="shared" si="165"/>
        <v>148643.6507936508</v>
      </c>
      <c r="DD64" s="58">
        <v>0</v>
      </c>
      <c r="DE64" s="58">
        <v>0</v>
      </c>
      <c r="DF64" s="209"/>
      <c r="DG64" s="58">
        <f t="shared" si="166"/>
        <v>0</v>
      </c>
      <c r="DH64" s="58">
        <f t="shared" si="170"/>
        <v>0</v>
      </c>
      <c r="DI64" s="80">
        <f t="shared" si="140"/>
        <v>60</v>
      </c>
      <c r="DJ64" s="332">
        <f t="shared" si="76"/>
        <v>14.466666666666667</v>
      </c>
      <c r="DK64" s="183">
        <f t="shared" si="143"/>
        <v>0</v>
      </c>
    </row>
    <row r="65" spans="1:115">
      <c r="A65" s="213">
        <v>1954</v>
      </c>
      <c r="B65" s="58">
        <v>66487</v>
      </c>
      <c r="C65" s="209"/>
      <c r="D65" s="58">
        <f t="shared" si="144"/>
        <v>66487</v>
      </c>
      <c r="E65" s="194">
        <f t="shared" si="145"/>
        <v>46540.899999999994</v>
      </c>
      <c r="F65" s="58">
        <v>15259</v>
      </c>
      <c r="G65" s="209"/>
      <c r="H65" s="209">
        <f t="shared" si="146"/>
        <v>15259</v>
      </c>
      <c r="I65" s="214">
        <v>42</v>
      </c>
      <c r="J65" s="132">
        <f t="shared" si="56"/>
        <v>12.380952380952381</v>
      </c>
      <c r="K65" s="183">
        <f t="shared" si="147"/>
        <v>188920.9523809524</v>
      </c>
      <c r="L65" s="58">
        <v>154408</v>
      </c>
      <c r="M65" s="209"/>
      <c r="N65" s="209"/>
      <c r="O65" s="58">
        <f t="shared" si="148"/>
        <v>154408</v>
      </c>
      <c r="P65" s="80">
        <f t="shared" si="122"/>
        <v>40</v>
      </c>
      <c r="Q65" s="132">
        <f t="shared" si="57"/>
        <v>14.875</v>
      </c>
      <c r="R65" s="193">
        <f t="shared" si="6"/>
        <v>2296819</v>
      </c>
      <c r="S65" s="58">
        <v>219237</v>
      </c>
      <c r="T65" s="209"/>
      <c r="U65" s="209"/>
      <c r="V65" s="58">
        <f t="shared" si="167"/>
        <v>219237</v>
      </c>
      <c r="W65" s="80">
        <f t="shared" si="123"/>
        <v>52</v>
      </c>
      <c r="X65" s="132">
        <f t="shared" si="58"/>
        <v>11.73076923076923</v>
      </c>
      <c r="Y65" s="183">
        <f t="shared" si="149"/>
        <v>2571818.6538461535</v>
      </c>
      <c r="Z65" s="58">
        <v>0</v>
      </c>
      <c r="AA65" s="80">
        <f t="shared" si="124"/>
        <v>45</v>
      </c>
      <c r="AB65" s="132">
        <f t="shared" si="59"/>
        <v>12.177777777777777</v>
      </c>
      <c r="AC65" s="183">
        <v>0</v>
      </c>
      <c r="AD65" s="58">
        <v>0</v>
      </c>
      <c r="AE65" s="80">
        <f t="shared" si="125"/>
        <v>63</v>
      </c>
      <c r="AF65" s="132">
        <f t="shared" si="60"/>
        <v>13.158730158730158</v>
      </c>
      <c r="AG65" s="183">
        <v>0</v>
      </c>
      <c r="AH65" s="58">
        <v>0</v>
      </c>
      <c r="AI65" s="209"/>
      <c r="AJ65" s="58">
        <f t="shared" si="168"/>
        <v>0</v>
      </c>
      <c r="AK65" s="80" t="str">
        <f t="shared" si="126"/>
        <v xml:space="preserve"> </v>
      </c>
      <c r="AL65" s="173"/>
      <c r="AM65" s="183">
        <v>0</v>
      </c>
      <c r="AN65" s="58">
        <v>374306</v>
      </c>
      <c r="AO65" s="80">
        <f t="shared" si="127"/>
        <v>40</v>
      </c>
      <c r="AP65" s="132">
        <f t="shared" si="62"/>
        <v>14.2</v>
      </c>
      <c r="AQ65" s="183">
        <f t="shared" si="150"/>
        <v>5315145.2</v>
      </c>
      <c r="AR65" s="58">
        <v>288347</v>
      </c>
      <c r="AS65" s="80">
        <f t="shared" si="128"/>
        <v>40</v>
      </c>
      <c r="AT65" s="132">
        <f t="shared" si="63"/>
        <v>17.100000000000001</v>
      </c>
      <c r="AU65" s="183">
        <f t="shared" si="151"/>
        <v>4930733.7</v>
      </c>
      <c r="AV65" s="58">
        <v>11599</v>
      </c>
      <c r="AW65" s="80">
        <f t="shared" si="129"/>
        <v>44</v>
      </c>
      <c r="AX65" s="132">
        <f t="shared" si="64"/>
        <v>11.954545454545455</v>
      </c>
      <c r="AY65" s="183">
        <f t="shared" si="152"/>
        <v>138660.77272727274</v>
      </c>
      <c r="AZ65" s="58">
        <v>36527</v>
      </c>
      <c r="BA65" s="80">
        <f t="shared" si="130"/>
        <v>67</v>
      </c>
      <c r="BB65" s="132">
        <f t="shared" si="65"/>
        <v>9.1641791044776113</v>
      </c>
      <c r="BC65" s="183">
        <f t="shared" si="153"/>
        <v>334739.97014925373</v>
      </c>
      <c r="BD65" s="209">
        <v>419318</v>
      </c>
      <c r="BE65" s="58">
        <f t="shared" si="154"/>
        <v>345518.03200000001</v>
      </c>
      <c r="BF65" s="80">
        <f t="shared" si="131"/>
        <v>112</v>
      </c>
      <c r="BG65" s="132">
        <f t="shared" si="66"/>
        <v>5.4642857142857144</v>
      </c>
      <c r="BH65" s="183">
        <f t="shared" si="155"/>
        <v>1888009.2462857144</v>
      </c>
      <c r="BI65" s="58">
        <f t="shared" si="156"/>
        <v>73799.967999999993</v>
      </c>
      <c r="BJ65" s="80">
        <f t="shared" si="132"/>
        <v>102</v>
      </c>
      <c r="BK65" s="132">
        <f t="shared" si="67"/>
        <v>6.3921568627450984</v>
      </c>
      <c r="BL65" s="183">
        <f t="shared" si="157"/>
        <v>471740.97192156862</v>
      </c>
      <c r="BM65" s="58">
        <v>204689</v>
      </c>
      <c r="BN65" s="80">
        <f t="shared" si="133"/>
        <v>38</v>
      </c>
      <c r="BO65" s="132">
        <f t="shared" si="68"/>
        <v>13.394736842105264</v>
      </c>
      <c r="BP65" s="183">
        <f t="shared" si="158"/>
        <v>2741755.2894736845</v>
      </c>
      <c r="BQ65" s="58">
        <v>73921</v>
      </c>
      <c r="BR65" s="209"/>
      <c r="BS65" s="58">
        <f t="shared" si="159"/>
        <v>73921</v>
      </c>
      <c r="BT65" s="80">
        <f t="shared" si="134"/>
        <v>74</v>
      </c>
      <c r="BU65" s="132">
        <f t="shared" si="69"/>
        <v>4.7972972972972974</v>
      </c>
      <c r="BV65" s="183">
        <f t="shared" si="160"/>
        <v>354621.01351351349</v>
      </c>
      <c r="BW65" s="195">
        <v>0</v>
      </c>
      <c r="BX65" s="80">
        <f t="shared" si="135"/>
        <v>52</v>
      </c>
      <c r="BY65" s="132">
        <f t="shared" si="70"/>
        <v>14.038461538461538</v>
      </c>
      <c r="BZ65" s="212">
        <v>0</v>
      </c>
      <c r="CA65" s="195">
        <v>0</v>
      </c>
      <c r="CB65" s="195"/>
      <c r="CD65" s="212">
        <v>0</v>
      </c>
      <c r="CE65" s="58">
        <v>66487</v>
      </c>
      <c r="CF65" s="209"/>
      <c r="CG65" s="58">
        <f t="shared" si="161"/>
        <v>66487</v>
      </c>
      <c r="CH65" s="194">
        <f t="shared" si="162"/>
        <v>19946.099999999999</v>
      </c>
      <c r="CI65" s="58">
        <v>12072</v>
      </c>
      <c r="CJ65" s="209"/>
      <c r="CK65" s="58">
        <f t="shared" si="163"/>
        <v>12072</v>
      </c>
      <c r="CL65" s="80">
        <f t="shared" si="136"/>
        <v>42</v>
      </c>
      <c r="CM65" s="135">
        <f t="shared" si="72"/>
        <v>12.380952380952381</v>
      </c>
      <c r="CN65" s="183">
        <f t="shared" si="141"/>
        <v>149462.85714285716</v>
      </c>
      <c r="CO65" s="58">
        <v>21317</v>
      </c>
      <c r="CP65" s="58"/>
      <c r="CQ65" s="58"/>
      <c r="CR65" s="195">
        <f t="shared" si="169"/>
        <v>21317</v>
      </c>
      <c r="CS65" s="80">
        <f t="shared" si="137"/>
        <v>69</v>
      </c>
      <c r="CT65" s="327">
        <f t="shared" si="73"/>
        <v>10.014492753623188</v>
      </c>
      <c r="CU65" s="183">
        <f t="shared" si="142"/>
        <v>213478.94202898548</v>
      </c>
      <c r="CV65" s="195">
        <v>7035</v>
      </c>
      <c r="CW65" s="80">
        <f t="shared" si="138"/>
        <v>42</v>
      </c>
      <c r="CX65" s="135">
        <f t="shared" si="74"/>
        <v>12.380952380952381</v>
      </c>
      <c r="CY65" s="183">
        <f t="shared" si="164"/>
        <v>87100</v>
      </c>
      <c r="CZ65" s="58">
        <v>167426</v>
      </c>
      <c r="DA65" s="80">
        <f t="shared" si="139"/>
        <v>61</v>
      </c>
      <c r="DB65" s="327">
        <f t="shared" si="75"/>
        <v>10.655737704918034</v>
      </c>
      <c r="DC65" s="183">
        <f t="shared" si="165"/>
        <v>1784047.5409836066</v>
      </c>
      <c r="DD65" s="58">
        <v>0</v>
      </c>
      <c r="DE65" s="58">
        <v>0</v>
      </c>
      <c r="DF65" s="209"/>
      <c r="DG65" s="58">
        <f t="shared" si="166"/>
        <v>0</v>
      </c>
      <c r="DH65" s="58">
        <f t="shared" si="170"/>
        <v>0</v>
      </c>
      <c r="DI65" s="80">
        <f t="shared" si="140"/>
        <v>59</v>
      </c>
      <c r="DJ65" s="332">
        <f t="shared" si="76"/>
        <v>14.711864406779661</v>
      </c>
      <c r="DK65" s="183">
        <f t="shared" si="143"/>
        <v>0</v>
      </c>
    </row>
    <row r="66" spans="1:115">
      <c r="A66" s="213">
        <v>1953</v>
      </c>
      <c r="B66" s="58">
        <v>15486</v>
      </c>
      <c r="C66" s="209"/>
      <c r="D66" s="58">
        <f t="shared" si="144"/>
        <v>15486</v>
      </c>
      <c r="E66" s="194">
        <f t="shared" si="145"/>
        <v>10840.199999999999</v>
      </c>
      <c r="F66" s="58">
        <v>0</v>
      </c>
      <c r="G66" s="209"/>
      <c r="H66" s="209">
        <f t="shared" si="146"/>
        <v>0</v>
      </c>
      <c r="I66" s="214">
        <v>41</v>
      </c>
      <c r="J66" s="132">
        <f t="shared" si="56"/>
        <v>12.682926829268293</v>
      </c>
      <c r="K66" s="183">
        <f t="shared" si="147"/>
        <v>0</v>
      </c>
      <c r="L66" s="58">
        <v>58438</v>
      </c>
      <c r="M66" s="209"/>
      <c r="N66" s="209"/>
      <c r="O66" s="58">
        <f t="shared" si="148"/>
        <v>58438</v>
      </c>
      <c r="P66" s="80">
        <f t="shared" si="122"/>
        <v>39</v>
      </c>
      <c r="Q66" s="132">
        <f t="shared" si="57"/>
        <v>15.256410256410257</v>
      </c>
      <c r="R66" s="193">
        <f t="shared" si="6"/>
        <v>891554.10256410262</v>
      </c>
      <c r="S66" s="58">
        <v>106250</v>
      </c>
      <c r="T66" s="209"/>
      <c r="U66" s="209"/>
      <c r="V66" s="58">
        <f t="shared" si="167"/>
        <v>106250</v>
      </c>
      <c r="W66" s="80">
        <f t="shared" si="123"/>
        <v>51</v>
      </c>
      <c r="X66" s="132">
        <f t="shared" si="58"/>
        <v>11.96078431372549</v>
      </c>
      <c r="Y66" s="183">
        <f t="shared" si="149"/>
        <v>1270833.3333333333</v>
      </c>
      <c r="Z66" s="58">
        <v>0</v>
      </c>
      <c r="AA66" s="80">
        <f t="shared" si="124"/>
        <v>43</v>
      </c>
      <c r="AB66" s="132">
        <f t="shared" si="59"/>
        <v>12.744186046511627</v>
      </c>
      <c r="AC66" s="183">
        <v>0</v>
      </c>
      <c r="AD66" s="58">
        <v>0</v>
      </c>
      <c r="AE66" s="80">
        <f t="shared" si="125"/>
        <v>62</v>
      </c>
      <c r="AF66" s="132">
        <f t="shared" si="60"/>
        <v>13.370967741935484</v>
      </c>
      <c r="AG66" s="183">
        <v>0</v>
      </c>
      <c r="AH66" s="58">
        <v>97</v>
      </c>
      <c r="AI66" s="209"/>
      <c r="AJ66" s="58">
        <f t="shared" si="168"/>
        <v>97</v>
      </c>
      <c r="AK66" s="80">
        <f t="shared" si="126"/>
        <v>33</v>
      </c>
      <c r="AL66" s="132">
        <f t="shared" ref="AL66:AL67" si="171">$AK$4/AK66</f>
        <v>15.909090909090908</v>
      </c>
      <c r="AM66" s="183">
        <f>AL66*AJ66</f>
        <v>1543.181818181818</v>
      </c>
      <c r="AN66" s="58">
        <v>370937</v>
      </c>
      <c r="AO66" s="80">
        <f t="shared" si="127"/>
        <v>39</v>
      </c>
      <c r="AP66" s="132">
        <f t="shared" si="62"/>
        <v>14.564102564102564</v>
      </c>
      <c r="AQ66" s="183">
        <f t="shared" si="150"/>
        <v>5402364.512820513</v>
      </c>
      <c r="AR66" s="58">
        <v>424405</v>
      </c>
      <c r="AS66" s="80">
        <f t="shared" si="128"/>
        <v>40</v>
      </c>
      <c r="AT66" s="132">
        <f t="shared" si="63"/>
        <v>17.100000000000001</v>
      </c>
      <c r="AU66" s="183">
        <f t="shared" si="151"/>
        <v>7257325.5000000009</v>
      </c>
      <c r="AV66" s="58">
        <v>42515</v>
      </c>
      <c r="AW66" s="80">
        <f t="shared" si="129"/>
        <v>42</v>
      </c>
      <c r="AX66" s="132">
        <f t="shared" si="64"/>
        <v>12.523809523809524</v>
      </c>
      <c r="AY66" s="183">
        <f t="shared" si="152"/>
        <v>532449.76190476189</v>
      </c>
      <c r="AZ66" s="58">
        <v>62475</v>
      </c>
      <c r="BA66" s="80">
        <f t="shared" si="130"/>
        <v>65</v>
      </c>
      <c r="BB66" s="132">
        <f t="shared" si="65"/>
        <v>9.4461538461538463</v>
      </c>
      <c r="BC66" s="183">
        <f t="shared" si="153"/>
        <v>590148.4615384615</v>
      </c>
      <c r="BD66" s="209">
        <v>319271</v>
      </c>
      <c r="BE66" s="58">
        <f t="shared" si="154"/>
        <v>263079.304</v>
      </c>
      <c r="BF66" s="80">
        <f t="shared" si="131"/>
        <v>110</v>
      </c>
      <c r="BG66" s="132">
        <f t="shared" si="66"/>
        <v>5.5636363636363635</v>
      </c>
      <c r="BH66" s="183">
        <f t="shared" si="155"/>
        <v>1463677.5822545455</v>
      </c>
      <c r="BI66" s="58">
        <f t="shared" si="156"/>
        <v>56191.695999999996</v>
      </c>
      <c r="BJ66" s="80">
        <f t="shared" si="132"/>
        <v>102</v>
      </c>
      <c r="BK66" s="132">
        <f t="shared" si="67"/>
        <v>6.3921568627450984</v>
      </c>
      <c r="BL66" s="183">
        <f t="shared" si="157"/>
        <v>359186.13521568628</v>
      </c>
      <c r="BM66" s="58">
        <v>129229</v>
      </c>
      <c r="BN66" s="80">
        <f t="shared" si="133"/>
        <v>38</v>
      </c>
      <c r="BO66" s="132">
        <f t="shared" si="68"/>
        <v>13.394736842105264</v>
      </c>
      <c r="BP66" s="183">
        <f t="shared" si="158"/>
        <v>1730988.4473684211</v>
      </c>
      <c r="BQ66" s="58">
        <v>74858</v>
      </c>
      <c r="BR66" s="209"/>
      <c r="BS66" s="58">
        <f t="shared" si="159"/>
        <v>74858</v>
      </c>
      <c r="BT66" s="80">
        <f t="shared" si="134"/>
        <v>73</v>
      </c>
      <c r="BU66" s="132">
        <f t="shared" si="69"/>
        <v>4.8630136986301373</v>
      </c>
      <c r="BV66" s="183">
        <f t="shared" si="160"/>
        <v>364035.47945205483</v>
      </c>
      <c r="BW66" s="195">
        <v>0</v>
      </c>
      <c r="BX66" s="80">
        <f t="shared" si="135"/>
        <v>50</v>
      </c>
      <c r="BY66" s="132">
        <f t="shared" si="70"/>
        <v>14.6</v>
      </c>
      <c r="BZ66" s="212">
        <v>0</v>
      </c>
      <c r="CA66" s="195">
        <v>0</v>
      </c>
      <c r="CB66" s="195"/>
      <c r="CD66" s="212">
        <v>0</v>
      </c>
      <c r="CE66" s="58">
        <v>15486</v>
      </c>
      <c r="CF66" s="209"/>
      <c r="CG66" s="58">
        <f t="shared" si="161"/>
        <v>15486</v>
      </c>
      <c r="CH66" s="194">
        <f t="shared" si="162"/>
        <v>4645.8</v>
      </c>
      <c r="CI66" s="58">
        <v>2730</v>
      </c>
      <c r="CJ66" s="209"/>
      <c r="CK66" s="58">
        <f t="shared" si="163"/>
        <v>2730</v>
      </c>
      <c r="CL66" s="80">
        <f t="shared" si="136"/>
        <v>41</v>
      </c>
      <c r="CM66" s="135">
        <f t="shared" si="72"/>
        <v>12.682926829268293</v>
      </c>
      <c r="CN66" s="183">
        <f t="shared" si="141"/>
        <v>34624.390243902439</v>
      </c>
      <c r="CO66" s="58">
        <v>40660</v>
      </c>
      <c r="CP66" s="58"/>
      <c r="CQ66" s="58"/>
      <c r="CR66" s="195">
        <f t="shared" si="169"/>
        <v>40660</v>
      </c>
      <c r="CS66" s="80">
        <f t="shared" si="137"/>
        <v>68</v>
      </c>
      <c r="CT66" s="327">
        <f t="shared" si="73"/>
        <v>10.161764705882353</v>
      </c>
      <c r="CU66" s="183">
        <f t="shared" si="142"/>
        <v>413177.3529411765</v>
      </c>
      <c r="CV66" s="195">
        <v>15297</v>
      </c>
      <c r="CW66" s="80">
        <f t="shared" si="138"/>
        <v>41</v>
      </c>
      <c r="CX66" s="135">
        <f t="shared" si="74"/>
        <v>12.682926829268293</v>
      </c>
      <c r="CY66" s="183">
        <f t="shared" si="164"/>
        <v>194010.73170731709</v>
      </c>
      <c r="CZ66" s="58">
        <v>639108</v>
      </c>
      <c r="DA66" s="80">
        <f t="shared" si="139"/>
        <v>60</v>
      </c>
      <c r="DB66" s="327">
        <f t="shared" si="75"/>
        <v>10.833333333333334</v>
      </c>
      <c r="DC66" s="183">
        <f t="shared" si="165"/>
        <v>6923670</v>
      </c>
      <c r="DD66" s="58">
        <v>0</v>
      </c>
      <c r="DE66" s="58">
        <v>0</v>
      </c>
      <c r="DF66" s="209"/>
      <c r="DG66" s="58">
        <f t="shared" si="166"/>
        <v>0</v>
      </c>
      <c r="DH66" s="58">
        <f t="shared" si="170"/>
        <v>0</v>
      </c>
      <c r="DI66" s="80">
        <f t="shared" si="140"/>
        <v>58</v>
      </c>
      <c r="DJ66" s="332">
        <f t="shared" si="76"/>
        <v>14.96551724137931</v>
      </c>
      <c r="DK66" s="183">
        <f t="shared" si="143"/>
        <v>0</v>
      </c>
    </row>
    <row r="67" spans="1:115">
      <c r="A67" s="213">
        <v>1952</v>
      </c>
      <c r="B67" s="58">
        <v>125892</v>
      </c>
      <c r="C67" s="209"/>
      <c r="D67" s="58">
        <f t="shared" si="144"/>
        <v>125892</v>
      </c>
      <c r="E67" s="194">
        <f t="shared" si="145"/>
        <v>88124.4</v>
      </c>
      <c r="F67" s="58">
        <v>26123</v>
      </c>
      <c r="G67" s="209"/>
      <c r="H67" s="209">
        <f t="shared" si="146"/>
        <v>26123</v>
      </c>
      <c r="I67" s="214">
        <v>39</v>
      </c>
      <c r="J67" s="132">
        <f t="shared" si="56"/>
        <v>13.333333333333334</v>
      </c>
      <c r="K67" s="183">
        <f t="shared" si="147"/>
        <v>348306.66666666669</v>
      </c>
      <c r="L67" s="58">
        <v>297010</v>
      </c>
      <c r="M67" s="209"/>
      <c r="N67" s="209"/>
      <c r="O67" s="58">
        <f t="shared" si="148"/>
        <v>297010</v>
      </c>
      <c r="P67" s="80">
        <f t="shared" si="122"/>
        <v>37</v>
      </c>
      <c r="Q67" s="132">
        <f t="shared" si="57"/>
        <v>16.081081081081081</v>
      </c>
      <c r="R67" s="193">
        <f t="shared" si="6"/>
        <v>4776241.8918918921</v>
      </c>
      <c r="S67" s="58">
        <v>641903</v>
      </c>
      <c r="T67" s="209"/>
      <c r="U67" s="209"/>
      <c r="V67" s="58">
        <f t="shared" si="167"/>
        <v>641903</v>
      </c>
      <c r="W67" s="80">
        <f t="shared" si="123"/>
        <v>49</v>
      </c>
      <c r="X67" s="132">
        <f t="shared" si="58"/>
        <v>12.448979591836734</v>
      </c>
      <c r="Y67" s="183">
        <f t="shared" si="149"/>
        <v>7991037.3469387749</v>
      </c>
      <c r="Z67" s="58">
        <v>0</v>
      </c>
      <c r="AA67" s="80">
        <f t="shared" si="124"/>
        <v>41</v>
      </c>
      <c r="AB67" s="132">
        <f t="shared" si="59"/>
        <v>13.365853658536585</v>
      </c>
      <c r="AC67" s="183">
        <v>0</v>
      </c>
      <c r="AD67" s="58">
        <v>0</v>
      </c>
      <c r="AE67" s="80">
        <f t="shared" si="125"/>
        <v>63</v>
      </c>
      <c r="AF67" s="132">
        <f t="shared" si="60"/>
        <v>13.158730158730158</v>
      </c>
      <c r="AG67" s="183">
        <v>0</v>
      </c>
      <c r="AH67" s="58">
        <v>95</v>
      </c>
      <c r="AI67" s="209"/>
      <c r="AJ67" s="58">
        <f t="shared" si="168"/>
        <v>95</v>
      </c>
      <c r="AK67" s="80">
        <f t="shared" si="126"/>
        <v>31</v>
      </c>
      <c r="AL67" s="132">
        <f t="shared" si="171"/>
        <v>16.93548387096774</v>
      </c>
      <c r="AM67" s="183">
        <f>AL67*AJ67</f>
        <v>1608.8709677419354</v>
      </c>
      <c r="AN67" s="58">
        <v>330040</v>
      </c>
      <c r="AO67" s="80">
        <f t="shared" si="127"/>
        <v>37</v>
      </c>
      <c r="AP67" s="132">
        <f t="shared" si="62"/>
        <v>15.351351351351351</v>
      </c>
      <c r="AQ67" s="183">
        <f t="shared" si="150"/>
        <v>5066560</v>
      </c>
      <c r="AR67" s="58">
        <v>392457</v>
      </c>
      <c r="AS67" s="80">
        <f t="shared" si="128"/>
        <v>38</v>
      </c>
      <c r="AT67" s="132">
        <f t="shared" si="63"/>
        <v>18</v>
      </c>
      <c r="AU67" s="183">
        <f t="shared" si="151"/>
        <v>7064226</v>
      </c>
      <c r="AV67" s="58">
        <v>26054</v>
      </c>
      <c r="AW67" s="80">
        <f t="shared" si="129"/>
        <v>41</v>
      </c>
      <c r="AX67" s="132">
        <f t="shared" si="64"/>
        <v>12.829268292682928</v>
      </c>
      <c r="AY67" s="183">
        <f t="shared" si="152"/>
        <v>334253.75609756098</v>
      </c>
      <c r="AZ67" s="58">
        <v>73330</v>
      </c>
      <c r="BA67" s="80">
        <f t="shared" si="130"/>
        <v>66</v>
      </c>
      <c r="BB67" s="132">
        <f t="shared" si="65"/>
        <v>9.3030303030303028</v>
      </c>
      <c r="BC67" s="183">
        <f t="shared" si="153"/>
        <v>682191.21212121216</v>
      </c>
      <c r="BD67" s="209">
        <v>268312</v>
      </c>
      <c r="BE67" s="58">
        <f t="shared" si="154"/>
        <v>221089.08799999999</v>
      </c>
      <c r="BF67" s="80">
        <f t="shared" si="131"/>
        <v>103</v>
      </c>
      <c r="BG67" s="132">
        <f t="shared" si="66"/>
        <v>5.941747572815534</v>
      </c>
      <c r="BH67" s="183">
        <f t="shared" si="155"/>
        <v>1313655.5519999999</v>
      </c>
      <c r="BI67" s="58">
        <f t="shared" si="156"/>
        <v>47222.911999999997</v>
      </c>
      <c r="BJ67" s="80">
        <f t="shared" si="132"/>
        <v>102</v>
      </c>
      <c r="BK67" s="132">
        <f t="shared" si="67"/>
        <v>6.3921568627450984</v>
      </c>
      <c r="BL67" s="183">
        <f t="shared" si="157"/>
        <v>301856.26101960783</v>
      </c>
      <c r="BM67" s="58">
        <v>143250</v>
      </c>
      <c r="BN67" s="80">
        <f t="shared" si="133"/>
        <v>36</v>
      </c>
      <c r="BO67" s="132">
        <f t="shared" si="68"/>
        <v>14.138888888888889</v>
      </c>
      <c r="BP67" s="183">
        <f t="shared" si="158"/>
        <v>2025395.8333333335</v>
      </c>
      <c r="BQ67" s="58">
        <v>54002</v>
      </c>
      <c r="BR67" s="209"/>
      <c r="BS67" s="58">
        <f t="shared" si="159"/>
        <v>54002</v>
      </c>
      <c r="BT67" s="80">
        <f t="shared" si="134"/>
        <v>70</v>
      </c>
      <c r="BU67" s="132">
        <f t="shared" si="69"/>
        <v>5.0714285714285712</v>
      </c>
      <c r="BV67" s="183">
        <f t="shared" si="160"/>
        <v>273867.28571428568</v>
      </c>
      <c r="BW67" s="195">
        <v>0</v>
      </c>
      <c r="BX67" s="80">
        <f t="shared" si="135"/>
        <v>49</v>
      </c>
      <c r="BY67" s="132">
        <f t="shared" si="70"/>
        <v>14.897959183673469</v>
      </c>
      <c r="BZ67" s="212">
        <v>0</v>
      </c>
      <c r="CA67" s="195">
        <v>0</v>
      </c>
      <c r="CB67" s="195"/>
      <c r="CD67" s="212">
        <v>0</v>
      </c>
      <c r="CE67" s="58">
        <v>125892</v>
      </c>
      <c r="CF67" s="209"/>
      <c r="CG67" s="58">
        <f t="shared" si="161"/>
        <v>125892</v>
      </c>
      <c r="CH67" s="194">
        <f t="shared" si="162"/>
        <v>37767.599999999999</v>
      </c>
      <c r="CI67" s="58">
        <v>99221</v>
      </c>
      <c r="CJ67" s="209"/>
      <c r="CK67" s="58">
        <f t="shared" si="163"/>
        <v>99221</v>
      </c>
      <c r="CL67" s="80">
        <f t="shared" si="136"/>
        <v>39</v>
      </c>
      <c r="CM67" s="135">
        <f t="shared" si="72"/>
        <v>13.333333333333334</v>
      </c>
      <c r="CN67" s="183">
        <f t="shared" si="141"/>
        <v>1322946.6666666667</v>
      </c>
      <c r="CO67" s="58">
        <v>1516723</v>
      </c>
      <c r="CP67" s="58"/>
      <c r="CQ67" s="58"/>
      <c r="CR67" s="195">
        <f t="shared" si="169"/>
        <v>1516723</v>
      </c>
      <c r="CS67" s="80">
        <f t="shared" si="137"/>
        <v>64</v>
      </c>
      <c r="CT67" s="327">
        <f t="shared" si="73"/>
        <v>10.796875</v>
      </c>
      <c r="CU67" s="183">
        <f t="shared" si="142"/>
        <v>16375868.640625</v>
      </c>
      <c r="CV67" s="195">
        <v>6662</v>
      </c>
      <c r="CW67" s="80">
        <f t="shared" si="138"/>
        <v>39</v>
      </c>
      <c r="CX67" s="135">
        <f t="shared" si="74"/>
        <v>13.333333333333334</v>
      </c>
      <c r="CY67" s="183">
        <f t="shared" si="164"/>
        <v>88826.666666666672</v>
      </c>
      <c r="CZ67" s="58">
        <v>247753</v>
      </c>
      <c r="DA67" s="80">
        <f t="shared" si="139"/>
        <v>58</v>
      </c>
      <c r="DB67" s="327">
        <f t="shared" si="75"/>
        <v>11.206896551724139</v>
      </c>
      <c r="DC67" s="183">
        <f t="shared" si="165"/>
        <v>2776542.2413793104</v>
      </c>
      <c r="DD67" s="58">
        <v>0</v>
      </c>
      <c r="DE67" s="58">
        <v>0</v>
      </c>
      <c r="DF67" s="209"/>
      <c r="DG67" s="58">
        <f t="shared" si="166"/>
        <v>0</v>
      </c>
      <c r="DH67" s="58">
        <f t="shared" si="170"/>
        <v>0</v>
      </c>
      <c r="DI67" s="80">
        <f t="shared" si="140"/>
        <v>55</v>
      </c>
      <c r="DJ67" s="332">
        <f t="shared" si="76"/>
        <v>15.781818181818181</v>
      </c>
      <c r="DK67" s="183">
        <f t="shared" si="143"/>
        <v>0</v>
      </c>
    </row>
    <row r="68" spans="1:115">
      <c r="A68" s="213">
        <v>1951</v>
      </c>
      <c r="B68" s="58">
        <v>1459</v>
      </c>
      <c r="C68" s="209"/>
      <c r="D68" s="58">
        <f t="shared" si="144"/>
        <v>1459</v>
      </c>
      <c r="E68" s="194">
        <f t="shared" si="145"/>
        <v>1021.3</v>
      </c>
      <c r="F68" s="58">
        <v>0</v>
      </c>
      <c r="G68" s="209"/>
      <c r="H68" s="209">
        <f t="shared" si="146"/>
        <v>0</v>
      </c>
      <c r="I68" s="214">
        <v>37</v>
      </c>
      <c r="J68" s="132">
        <f t="shared" si="56"/>
        <v>14.054054054054054</v>
      </c>
      <c r="K68" s="183">
        <f t="shared" si="147"/>
        <v>0</v>
      </c>
      <c r="L68" s="58">
        <v>0</v>
      </c>
      <c r="M68" s="209"/>
      <c r="N68" s="209"/>
      <c r="O68" s="58">
        <f t="shared" si="148"/>
        <v>0</v>
      </c>
      <c r="P68" s="80">
        <f t="shared" si="122"/>
        <v>36</v>
      </c>
      <c r="Q68" s="132">
        <f t="shared" si="57"/>
        <v>16.527777777777779</v>
      </c>
      <c r="R68" s="193">
        <f t="shared" si="6"/>
        <v>0</v>
      </c>
      <c r="S68" s="58">
        <v>0</v>
      </c>
      <c r="T68" s="209"/>
      <c r="U68" s="209"/>
      <c r="V68" s="58">
        <f t="shared" si="167"/>
        <v>0</v>
      </c>
      <c r="W68" s="80">
        <f t="shared" si="123"/>
        <v>47</v>
      </c>
      <c r="X68" s="132">
        <f t="shared" si="58"/>
        <v>12.978723404255319</v>
      </c>
      <c r="Y68" s="183">
        <f t="shared" si="149"/>
        <v>0</v>
      </c>
      <c r="Z68" s="58">
        <v>0</v>
      </c>
      <c r="AA68" s="80">
        <f t="shared" si="124"/>
        <v>39</v>
      </c>
      <c r="AB68" s="132">
        <f t="shared" si="59"/>
        <v>14.051282051282051</v>
      </c>
      <c r="AC68" s="183">
        <v>0</v>
      </c>
      <c r="AD68" s="58">
        <v>0</v>
      </c>
      <c r="AE68" s="80">
        <f t="shared" si="125"/>
        <v>61</v>
      </c>
      <c r="AF68" s="132">
        <f t="shared" si="60"/>
        <v>13.590163934426229</v>
      </c>
      <c r="AG68" s="183">
        <v>0</v>
      </c>
      <c r="AH68" s="58">
        <v>0</v>
      </c>
      <c r="AI68" s="209"/>
      <c r="AJ68" s="58">
        <f t="shared" si="168"/>
        <v>0</v>
      </c>
      <c r="AL68" s="173"/>
      <c r="AM68" s="183">
        <v>0</v>
      </c>
      <c r="AN68" s="58">
        <v>313442</v>
      </c>
      <c r="AO68" s="80">
        <f t="shared" si="127"/>
        <v>35</v>
      </c>
      <c r="AP68" s="132">
        <f t="shared" si="62"/>
        <v>16.228571428571428</v>
      </c>
      <c r="AQ68" s="183">
        <f t="shared" si="150"/>
        <v>5086715.8857142851</v>
      </c>
      <c r="AR68" s="58">
        <v>372339</v>
      </c>
      <c r="AS68" s="80">
        <f t="shared" si="128"/>
        <v>37</v>
      </c>
      <c r="AT68" s="132">
        <f t="shared" si="63"/>
        <v>18.486486486486488</v>
      </c>
      <c r="AU68" s="183">
        <f t="shared" si="151"/>
        <v>6883239.8918918921</v>
      </c>
      <c r="AV68" s="58">
        <v>22793</v>
      </c>
      <c r="AW68" s="80">
        <f t="shared" si="129"/>
        <v>39</v>
      </c>
      <c r="AX68" s="132">
        <f t="shared" si="64"/>
        <v>13.487179487179487</v>
      </c>
      <c r="AY68" s="183">
        <f t="shared" si="152"/>
        <v>307413.28205128206</v>
      </c>
      <c r="AZ68" s="58">
        <v>9298</v>
      </c>
      <c r="BA68" s="80">
        <f t="shared" si="130"/>
        <v>64</v>
      </c>
      <c r="BB68" s="132">
        <f t="shared" si="65"/>
        <v>9.59375</v>
      </c>
      <c r="BC68" s="183">
        <f t="shared" si="153"/>
        <v>89202.6875</v>
      </c>
      <c r="BD68" s="209">
        <v>309329</v>
      </c>
      <c r="BE68" s="58">
        <f t="shared" si="154"/>
        <v>254887.09599999999</v>
      </c>
      <c r="BF68" s="80">
        <f t="shared" si="131"/>
        <v>103</v>
      </c>
      <c r="BG68" s="132">
        <f t="shared" si="66"/>
        <v>5.941747572815534</v>
      </c>
      <c r="BH68" s="183">
        <f t="shared" si="155"/>
        <v>1514474.784</v>
      </c>
      <c r="BI68" s="58">
        <f t="shared" si="156"/>
        <v>54441.903999999995</v>
      </c>
      <c r="BJ68" s="80">
        <f t="shared" si="132"/>
        <v>102</v>
      </c>
      <c r="BK68" s="132">
        <f t="shared" si="67"/>
        <v>6.3921568627450984</v>
      </c>
      <c r="BL68" s="183">
        <f t="shared" si="157"/>
        <v>348001.19027450978</v>
      </c>
      <c r="BM68" s="58">
        <v>88292</v>
      </c>
      <c r="BN68" s="80">
        <f t="shared" si="133"/>
        <v>35</v>
      </c>
      <c r="BO68" s="132">
        <f t="shared" si="68"/>
        <v>14.542857142857143</v>
      </c>
      <c r="BP68" s="183">
        <f t="shared" si="158"/>
        <v>1284017.9428571428</v>
      </c>
      <c r="BQ68" s="58">
        <v>70210</v>
      </c>
      <c r="BR68" s="209"/>
      <c r="BS68" s="58">
        <f t="shared" si="159"/>
        <v>70210</v>
      </c>
      <c r="BT68" s="80">
        <f t="shared" si="134"/>
        <v>71</v>
      </c>
      <c r="BU68" s="132">
        <f t="shared" si="69"/>
        <v>5</v>
      </c>
      <c r="BV68" s="183">
        <f t="shared" si="160"/>
        <v>351050</v>
      </c>
      <c r="BW68" s="195">
        <v>0</v>
      </c>
      <c r="BX68" s="80">
        <f t="shared" si="135"/>
        <v>48</v>
      </c>
      <c r="BY68" s="132">
        <f t="shared" si="70"/>
        <v>15.208333333333334</v>
      </c>
      <c r="BZ68" s="212">
        <v>0</v>
      </c>
      <c r="CA68" s="195">
        <v>0</v>
      </c>
      <c r="CB68" s="195"/>
      <c r="CD68" s="212">
        <v>0</v>
      </c>
      <c r="CE68" s="58">
        <v>1459</v>
      </c>
      <c r="CF68" s="209"/>
      <c r="CG68" s="58">
        <f t="shared" si="161"/>
        <v>1459</v>
      </c>
      <c r="CH68" s="194">
        <f t="shared" si="162"/>
        <v>437.7</v>
      </c>
      <c r="CI68" s="58">
        <v>3550</v>
      </c>
      <c r="CJ68" s="209"/>
      <c r="CK68" s="58">
        <f t="shared" si="163"/>
        <v>3550</v>
      </c>
      <c r="CL68" s="80">
        <f t="shared" si="136"/>
        <v>37</v>
      </c>
      <c r="CM68" s="135">
        <f t="shared" si="72"/>
        <v>14.054054054054054</v>
      </c>
      <c r="CN68" s="183">
        <f t="shared" si="141"/>
        <v>49891.891891891893</v>
      </c>
      <c r="CO68" s="58">
        <v>44634</v>
      </c>
      <c r="CP68" s="58"/>
      <c r="CQ68" s="58"/>
      <c r="CR68" s="195">
        <f t="shared" si="169"/>
        <v>44634</v>
      </c>
      <c r="CS68" s="80">
        <f t="shared" si="137"/>
        <v>63</v>
      </c>
      <c r="CT68" s="327">
        <f t="shared" si="73"/>
        <v>10.968253968253968</v>
      </c>
      <c r="CU68" s="183">
        <f t="shared" si="142"/>
        <v>489557.04761904763</v>
      </c>
      <c r="CV68" s="195">
        <v>16778</v>
      </c>
      <c r="CW68" s="80">
        <f t="shared" si="138"/>
        <v>37</v>
      </c>
      <c r="CX68" s="135">
        <f t="shared" si="74"/>
        <v>14.054054054054054</v>
      </c>
      <c r="CY68" s="183">
        <f t="shared" si="164"/>
        <v>235798.91891891893</v>
      </c>
      <c r="CZ68" s="58">
        <v>153857</v>
      </c>
      <c r="DA68" s="80">
        <f t="shared" si="139"/>
        <v>57</v>
      </c>
      <c r="DB68" s="327">
        <f t="shared" si="75"/>
        <v>11.403508771929825</v>
      </c>
      <c r="DC68" s="183">
        <f t="shared" si="165"/>
        <v>1754509.6491228072</v>
      </c>
      <c r="DD68" s="58">
        <v>0</v>
      </c>
      <c r="DE68" s="58">
        <v>0</v>
      </c>
      <c r="DF68" s="209"/>
      <c r="DG68" s="58">
        <f t="shared" si="166"/>
        <v>0</v>
      </c>
      <c r="DH68" s="58">
        <f t="shared" si="170"/>
        <v>0</v>
      </c>
      <c r="DI68" s="80">
        <f t="shared" si="140"/>
        <v>55</v>
      </c>
      <c r="DJ68" s="332">
        <f t="shared" si="76"/>
        <v>15.781818181818181</v>
      </c>
      <c r="DK68" s="183">
        <f t="shared" si="143"/>
        <v>0</v>
      </c>
    </row>
    <row r="69" spans="1:115">
      <c r="A69" s="213">
        <v>1950</v>
      </c>
      <c r="B69" s="58">
        <v>53927</v>
      </c>
      <c r="C69" s="209"/>
      <c r="D69" s="58">
        <f t="shared" si="144"/>
        <v>53927</v>
      </c>
      <c r="E69" s="194">
        <f t="shared" si="145"/>
        <v>37748.899999999994</v>
      </c>
      <c r="F69" s="58">
        <v>0</v>
      </c>
      <c r="G69" s="209"/>
      <c r="H69" s="209">
        <f t="shared" si="146"/>
        <v>0</v>
      </c>
      <c r="I69" s="214">
        <v>34</v>
      </c>
      <c r="J69" s="132">
        <f t="shared" si="56"/>
        <v>15.294117647058824</v>
      </c>
      <c r="K69" s="183">
        <f t="shared" si="147"/>
        <v>0</v>
      </c>
      <c r="L69" s="58">
        <v>85801</v>
      </c>
      <c r="M69" s="209"/>
      <c r="N69" s="209"/>
      <c r="O69" s="58">
        <f t="shared" si="148"/>
        <v>85801</v>
      </c>
      <c r="P69" s="80">
        <f t="shared" si="122"/>
        <v>33</v>
      </c>
      <c r="Q69" s="132">
        <f t="shared" si="57"/>
        <v>18.030303030303031</v>
      </c>
      <c r="R69" s="193">
        <f t="shared" si="6"/>
        <v>1547018.0303030303</v>
      </c>
      <c r="S69" s="58">
        <v>309331</v>
      </c>
      <c r="T69" s="209"/>
      <c r="U69" s="209"/>
      <c r="V69" s="58">
        <f t="shared" si="167"/>
        <v>309331</v>
      </c>
      <c r="W69" s="80">
        <f t="shared" si="123"/>
        <v>41</v>
      </c>
      <c r="X69" s="132">
        <f t="shared" si="58"/>
        <v>14.878048780487806</v>
      </c>
      <c r="Y69" s="183">
        <f t="shared" si="149"/>
        <v>4602241.7073170738</v>
      </c>
      <c r="Z69" s="58">
        <v>0</v>
      </c>
      <c r="AA69" s="80">
        <f t="shared" si="124"/>
        <v>37</v>
      </c>
      <c r="AB69" s="132">
        <f t="shared" si="59"/>
        <v>14.810810810810811</v>
      </c>
      <c r="AC69" s="183">
        <v>0</v>
      </c>
      <c r="AD69" s="58">
        <v>0</v>
      </c>
      <c r="AE69" s="80">
        <f t="shared" si="125"/>
        <v>49</v>
      </c>
      <c r="AF69" s="132">
        <f t="shared" si="60"/>
        <v>16.918367346938776</v>
      </c>
      <c r="AG69" s="183">
        <v>0</v>
      </c>
      <c r="AH69" s="58">
        <v>0</v>
      </c>
      <c r="AI69" s="209"/>
      <c r="AJ69" s="58">
        <f t="shared" si="168"/>
        <v>0</v>
      </c>
      <c r="AL69" s="173"/>
      <c r="AM69" s="183">
        <v>0</v>
      </c>
      <c r="AN69" s="58">
        <v>250372</v>
      </c>
      <c r="AO69" s="80">
        <f t="shared" si="127"/>
        <v>33</v>
      </c>
      <c r="AP69" s="132">
        <f t="shared" si="62"/>
        <v>17.212121212121211</v>
      </c>
      <c r="AQ69" s="183">
        <f t="shared" si="150"/>
        <v>4309433.2121212119</v>
      </c>
      <c r="AR69" s="58">
        <v>256859</v>
      </c>
      <c r="AS69" s="80">
        <f t="shared" si="128"/>
        <v>32</v>
      </c>
      <c r="AT69" s="132">
        <f t="shared" si="63"/>
        <v>21.375</v>
      </c>
      <c r="AU69" s="183">
        <f t="shared" si="151"/>
        <v>5490361.125</v>
      </c>
      <c r="AV69" s="58">
        <v>50729</v>
      </c>
      <c r="AW69" s="80">
        <f t="shared" si="129"/>
        <v>37</v>
      </c>
      <c r="AX69" s="132">
        <f t="shared" si="64"/>
        <v>14.216216216216216</v>
      </c>
      <c r="AY69" s="183">
        <f t="shared" si="152"/>
        <v>721174.43243243243</v>
      </c>
      <c r="AZ69" s="58">
        <v>39989</v>
      </c>
      <c r="BA69" s="80">
        <f t="shared" si="130"/>
        <v>52</v>
      </c>
      <c r="BB69" s="132">
        <f t="shared" si="65"/>
        <v>11.807692307692308</v>
      </c>
      <c r="BC69" s="183">
        <f t="shared" si="153"/>
        <v>472177.80769230775</v>
      </c>
      <c r="BD69" s="209">
        <v>353078</v>
      </c>
      <c r="BE69" s="58">
        <f t="shared" si="154"/>
        <v>290936.272</v>
      </c>
      <c r="BF69" s="80">
        <f t="shared" si="131"/>
        <v>91</v>
      </c>
      <c r="BG69" s="132">
        <f t="shared" si="66"/>
        <v>6.7252747252747254</v>
      </c>
      <c r="BH69" s="183">
        <f t="shared" si="155"/>
        <v>1956626.3567472529</v>
      </c>
      <c r="BI69" s="58">
        <f t="shared" si="156"/>
        <v>62141.727999999996</v>
      </c>
      <c r="BJ69" s="80">
        <f t="shared" si="132"/>
        <v>102</v>
      </c>
      <c r="BK69" s="132">
        <f t="shared" si="67"/>
        <v>6.3921568627450984</v>
      </c>
      <c r="BL69" s="183">
        <f t="shared" si="157"/>
        <v>397219.67309803923</v>
      </c>
      <c r="BM69" s="58">
        <v>57241</v>
      </c>
      <c r="BN69" s="80">
        <f t="shared" si="133"/>
        <v>31</v>
      </c>
      <c r="BO69" s="132">
        <f t="shared" si="68"/>
        <v>16.419354838709676</v>
      </c>
      <c r="BP69" s="183">
        <f t="shared" si="158"/>
        <v>939860.29032258061</v>
      </c>
      <c r="BQ69" s="58">
        <v>23235</v>
      </c>
      <c r="BR69" s="209"/>
      <c r="BS69" s="58">
        <f t="shared" si="159"/>
        <v>23235</v>
      </c>
      <c r="BT69" s="80">
        <f t="shared" si="134"/>
        <v>70</v>
      </c>
      <c r="BU69" s="132">
        <f t="shared" si="69"/>
        <v>5.0714285714285712</v>
      </c>
      <c r="BV69" s="183">
        <f t="shared" si="160"/>
        <v>117834.64285714286</v>
      </c>
      <c r="BW69" s="195">
        <v>0</v>
      </c>
      <c r="BX69" s="80">
        <f t="shared" si="135"/>
        <v>43</v>
      </c>
      <c r="BY69" s="132">
        <f t="shared" si="70"/>
        <v>16.976744186046513</v>
      </c>
      <c r="BZ69" s="212">
        <v>0</v>
      </c>
      <c r="CA69" s="195">
        <v>0</v>
      </c>
      <c r="CB69" s="195"/>
      <c r="CD69" s="212">
        <v>0</v>
      </c>
      <c r="CE69" s="58">
        <v>53927</v>
      </c>
      <c r="CF69" s="209"/>
      <c r="CG69" s="58">
        <f t="shared" si="161"/>
        <v>53927</v>
      </c>
      <c r="CH69" s="194">
        <f t="shared" si="162"/>
        <v>16178.099999999999</v>
      </c>
      <c r="CI69" s="58">
        <v>10345</v>
      </c>
      <c r="CJ69" s="209"/>
      <c r="CK69" s="58">
        <f t="shared" si="163"/>
        <v>10345</v>
      </c>
      <c r="CL69" s="80">
        <f t="shared" si="136"/>
        <v>34</v>
      </c>
      <c r="CM69" s="135">
        <f t="shared" si="72"/>
        <v>15.294117647058824</v>
      </c>
      <c r="CN69" s="183">
        <f t="shared" si="141"/>
        <v>158217.64705882352</v>
      </c>
      <c r="CO69" s="58">
        <v>198788</v>
      </c>
      <c r="CP69" s="58"/>
      <c r="CQ69" s="58"/>
      <c r="CR69" s="195">
        <f t="shared" si="169"/>
        <v>198788</v>
      </c>
      <c r="CS69" s="80">
        <f t="shared" si="137"/>
        <v>56</v>
      </c>
      <c r="CT69" s="327">
        <f t="shared" si="73"/>
        <v>12.339285714285714</v>
      </c>
      <c r="CU69" s="183">
        <f t="shared" si="142"/>
        <v>2452901.9285714286</v>
      </c>
      <c r="CV69" s="195">
        <v>0</v>
      </c>
      <c r="CW69" s="80">
        <f t="shared" si="138"/>
        <v>34</v>
      </c>
      <c r="CX69" s="135">
        <f t="shared" si="74"/>
        <v>15.294117647058824</v>
      </c>
      <c r="CY69" s="183">
        <f t="shared" si="164"/>
        <v>0</v>
      </c>
      <c r="CZ69" s="58">
        <v>619530</v>
      </c>
      <c r="DA69" s="80">
        <f t="shared" si="139"/>
        <v>50</v>
      </c>
      <c r="DB69" s="327">
        <f t="shared" si="75"/>
        <v>13</v>
      </c>
      <c r="DC69" s="183">
        <f t="shared" si="165"/>
        <v>8053890</v>
      </c>
      <c r="DD69" s="58">
        <v>0</v>
      </c>
      <c r="DE69" s="58">
        <v>0</v>
      </c>
      <c r="DF69" s="209"/>
      <c r="DG69" s="58">
        <f t="shared" si="166"/>
        <v>0</v>
      </c>
      <c r="DH69" s="58">
        <f t="shared" si="170"/>
        <v>0</v>
      </c>
      <c r="DI69" s="80">
        <f t="shared" si="140"/>
        <v>47</v>
      </c>
      <c r="DJ69" s="332">
        <f t="shared" si="76"/>
        <v>18.468085106382979</v>
      </c>
      <c r="DK69" s="183">
        <f t="shared" si="143"/>
        <v>0</v>
      </c>
    </row>
    <row r="70" spans="1:115">
      <c r="A70" s="213">
        <v>1949</v>
      </c>
      <c r="B70" s="58">
        <v>1780</v>
      </c>
      <c r="C70" s="209"/>
      <c r="D70" s="58">
        <f t="shared" si="144"/>
        <v>1780</v>
      </c>
      <c r="E70" s="194">
        <f t="shared" si="145"/>
        <v>1246</v>
      </c>
      <c r="F70" s="58">
        <v>0</v>
      </c>
      <c r="G70" s="209"/>
      <c r="H70" s="209">
        <f t="shared" si="146"/>
        <v>0</v>
      </c>
      <c r="I70" s="214">
        <v>32</v>
      </c>
      <c r="J70" s="132">
        <f t="shared" si="56"/>
        <v>16.25</v>
      </c>
      <c r="K70" s="183">
        <f t="shared" si="147"/>
        <v>0</v>
      </c>
      <c r="L70" s="58">
        <v>0</v>
      </c>
      <c r="M70" s="209"/>
      <c r="N70" s="209"/>
      <c r="O70" s="58">
        <f t="shared" si="148"/>
        <v>0</v>
      </c>
      <c r="P70" s="80">
        <f t="shared" si="122"/>
        <v>32</v>
      </c>
      <c r="Q70" s="132">
        <f t="shared" si="57"/>
        <v>18.59375</v>
      </c>
      <c r="R70" s="193">
        <f t="shared" si="6"/>
        <v>0</v>
      </c>
      <c r="S70" s="58">
        <v>17115</v>
      </c>
      <c r="T70" s="209"/>
      <c r="U70" s="209"/>
      <c r="V70" s="58">
        <f t="shared" si="167"/>
        <v>17115</v>
      </c>
      <c r="W70" s="80">
        <f t="shared" si="123"/>
        <v>39</v>
      </c>
      <c r="X70" s="132">
        <f t="shared" si="58"/>
        <v>15.641025641025641</v>
      </c>
      <c r="Y70" s="183">
        <f t="shared" si="149"/>
        <v>267696.15384615381</v>
      </c>
      <c r="Z70" s="58">
        <v>0</v>
      </c>
      <c r="AA70" s="80">
        <f t="shared" si="124"/>
        <v>35</v>
      </c>
      <c r="AB70" s="132">
        <f t="shared" si="59"/>
        <v>15.657142857142857</v>
      </c>
      <c r="AC70" s="183">
        <v>0</v>
      </c>
      <c r="AD70" s="58">
        <v>0</v>
      </c>
      <c r="AE70" s="80">
        <f t="shared" si="125"/>
        <v>46</v>
      </c>
      <c r="AF70" s="132">
        <f t="shared" si="60"/>
        <v>18.021739130434781</v>
      </c>
      <c r="AG70" s="183">
        <v>0</v>
      </c>
      <c r="AH70" s="58">
        <v>0</v>
      </c>
      <c r="AI70" s="209"/>
      <c r="AJ70" s="58">
        <f t="shared" si="168"/>
        <v>0</v>
      </c>
      <c r="AL70" s="173"/>
      <c r="AM70" s="183">
        <v>0</v>
      </c>
      <c r="AN70" s="58">
        <v>317882</v>
      </c>
      <c r="AO70" s="80">
        <f t="shared" si="127"/>
        <v>32</v>
      </c>
      <c r="AP70" s="132">
        <f t="shared" si="62"/>
        <v>17.75</v>
      </c>
      <c r="AQ70" s="183">
        <f t="shared" si="150"/>
        <v>5642405.5</v>
      </c>
      <c r="AR70" s="58">
        <v>379555</v>
      </c>
      <c r="AS70" s="80">
        <f t="shared" si="128"/>
        <v>30</v>
      </c>
      <c r="AT70" s="132">
        <f t="shared" si="63"/>
        <v>22.8</v>
      </c>
      <c r="AU70" s="183">
        <f t="shared" si="151"/>
        <v>8653854</v>
      </c>
      <c r="AV70" s="58">
        <v>15916</v>
      </c>
      <c r="AW70" s="80">
        <f t="shared" si="129"/>
        <v>36</v>
      </c>
      <c r="AX70" s="132">
        <f t="shared" si="64"/>
        <v>14.611111111111111</v>
      </c>
      <c r="AY70" s="183">
        <f t="shared" si="152"/>
        <v>232550.44444444444</v>
      </c>
      <c r="AZ70" s="58">
        <v>12557</v>
      </c>
      <c r="BA70" s="80">
        <f t="shared" si="130"/>
        <v>49</v>
      </c>
      <c r="BB70" s="132">
        <f t="shared" si="65"/>
        <v>12.530612244897959</v>
      </c>
      <c r="BC70" s="183">
        <f t="shared" si="153"/>
        <v>157346.89795918367</v>
      </c>
      <c r="BD70" s="209">
        <v>155291</v>
      </c>
      <c r="BE70" s="58">
        <f t="shared" si="154"/>
        <v>127959.784</v>
      </c>
      <c r="BF70" s="80">
        <f t="shared" si="131"/>
        <v>87</v>
      </c>
      <c r="BG70" s="132">
        <f t="shared" si="66"/>
        <v>7.0344827586206895</v>
      </c>
      <c r="BH70" s="183">
        <f t="shared" si="155"/>
        <v>900130.89434482751</v>
      </c>
      <c r="BI70" s="58">
        <f t="shared" si="156"/>
        <v>27331.215999999997</v>
      </c>
      <c r="BJ70" s="80">
        <f t="shared" si="132"/>
        <v>102</v>
      </c>
      <c r="BK70" s="132">
        <f t="shared" si="67"/>
        <v>6.3921568627450984</v>
      </c>
      <c r="BL70" s="183">
        <f t="shared" si="157"/>
        <v>174705.41992156862</v>
      </c>
      <c r="BM70" s="58">
        <v>80114</v>
      </c>
      <c r="BN70" s="80">
        <f t="shared" si="133"/>
        <v>29</v>
      </c>
      <c r="BO70" s="132">
        <f t="shared" si="68"/>
        <v>17.551724137931036</v>
      </c>
      <c r="BP70" s="183">
        <f t="shared" si="158"/>
        <v>1406138.8275862071</v>
      </c>
      <c r="BQ70" s="58">
        <v>13158</v>
      </c>
      <c r="BR70" s="209"/>
      <c r="BS70" s="58">
        <f t="shared" si="159"/>
        <v>13158</v>
      </c>
      <c r="BT70" s="80">
        <f t="shared" si="134"/>
        <v>70</v>
      </c>
      <c r="BU70" s="132">
        <f t="shared" si="69"/>
        <v>5.0714285714285712</v>
      </c>
      <c r="BV70" s="183">
        <f t="shared" si="160"/>
        <v>66729.857142857145</v>
      </c>
      <c r="BW70" s="195">
        <v>0</v>
      </c>
      <c r="BX70" s="80">
        <f t="shared" si="135"/>
        <v>41</v>
      </c>
      <c r="BY70" s="132">
        <f t="shared" si="70"/>
        <v>17.804878048780488</v>
      </c>
      <c r="BZ70" s="212">
        <v>0</v>
      </c>
      <c r="CA70" s="195">
        <v>0</v>
      </c>
      <c r="CB70" s="195"/>
      <c r="CD70" s="212">
        <v>0</v>
      </c>
      <c r="CE70" s="58">
        <v>1780</v>
      </c>
      <c r="CF70" s="209"/>
      <c r="CG70" s="58">
        <f t="shared" si="161"/>
        <v>1780</v>
      </c>
      <c r="CH70" s="194">
        <f t="shared" si="162"/>
        <v>534</v>
      </c>
      <c r="CI70" s="58">
        <v>4293</v>
      </c>
      <c r="CJ70" s="209"/>
      <c r="CK70" s="58">
        <f t="shared" si="163"/>
        <v>4293</v>
      </c>
      <c r="CL70" s="80">
        <f t="shared" si="136"/>
        <v>32</v>
      </c>
      <c r="CM70" s="135">
        <f t="shared" si="72"/>
        <v>16.25</v>
      </c>
      <c r="CN70" s="183">
        <f t="shared" si="141"/>
        <v>69761.25</v>
      </c>
      <c r="CO70" s="58">
        <v>0</v>
      </c>
      <c r="CP70" s="58"/>
      <c r="CQ70" s="58"/>
      <c r="CR70" s="195">
        <f t="shared" si="169"/>
        <v>0</v>
      </c>
      <c r="CS70" s="80">
        <f t="shared" si="137"/>
        <v>52</v>
      </c>
      <c r="CT70" s="327">
        <f t="shared" si="73"/>
        <v>13.288461538461538</v>
      </c>
      <c r="CU70" s="183">
        <f t="shared" si="142"/>
        <v>0</v>
      </c>
      <c r="CV70" s="195">
        <v>9342</v>
      </c>
      <c r="CW70" s="80">
        <f t="shared" si="138"/>
        <v>32</v>
      </c>
      <c r="CX70" s="135">
        <f t="shared" si="74"/>
        <v>16.25</v>
      </c>
      <c r="CY70" s="183">
        <f t="shared" si="164"/>
        <v>151807.5</v>
      </c>
      <c r="CZ70" s="58">
        <v>461632</v>
      </c>
      <c r="DA70" s="80">
        <f t="shared" si="139"/>
        <v>48</v>
      </c>
      <c r="DB70" s="327">
        <f t="shared" si="75"/>
        <v>13.541666666666666</v>
      </c>
      <c r="DC70" s="183">
        <f t="shared" si="165"/>
        <v>6251266.666666666</v>
      </c>
      <c r="DD70" s="58">
        <v>0</v>
      </c>
      <c r="DE70" s="58">
        <v>0</v>
      </c>
      <c r="DF70" s="209"/>
      <c r="DG70" s="58">
        <f t="shared" si="166"/>
        <v>0</v>
      </c>
      <c r="DH70" s="58">
        <f t="shared" si="170"/>
        <v>0</v>
      </c>
      <c r="DI70" s="80">
        <f t="shared" si="140"/>
        <v>44</v>
      </c>
      <c r="DJ70" s="332">
        <f t="shared" si="76"/>
        <v>19.727272727272727</v>
      </c>
      <c r="DK70" s="183">
        <f t="shared" si="143"/>
        <v>0</v>
      </c>
    </row>
    <row r="71" spans="1:115">
      <c r="A71" s="213">
        <v>1948</v>
      </c>
      <c r="B71" s="58">
        <v>13475</v>
      </c>
      <c r="C71" s="209"/>
      <c r="D71" s="58">
        <f t="shared" si="144"/>
        <v>13475</v>
      </c>
      <c r="E71" s="194">
        <f t="shared" si="145"/>
        <v>9432.5</v>
      </c>
      <c r="F71" s="58">
        <v>0</v>
      </c>
      <c r="G71" s="209"/>
      <c r="H71" s="209">
        <f t="shared" si="146"/>
        <v>0</v>
      </c>
      <c r="I71" s="214">
        <v>31</v>
      </c>
      <c r="J71" s="132">
        <f t="shared" si="56"/>
        <v>16.774193548387096</v>
      </c>
      <c r="K71" s="183">
        <f t="shared" si="147"/>
        <v>0</v>
      </c>
      <c r="L71" s="58">
        <v>0</v>
      </c>
      <c r="M71" s="209"/>
      <c r="N71" s="209"/>
      <c r="O71" s="58">
        <f t="shared" si="148"/>
        <v>0</v>
      </c>
      <c r="P71" s="80">
        <f t="shared" si="122"/>
        <v>32</v>
      </c>
      <c r="Q71" s="132">
        <f t="shared" si="57"/>
        <v>18.59375</v>
      </c>
      <c r="R71" s="193">
        <f t="shared" si="6"/>
        <v>0</v>
      </c>
      <c r="S71" s="58">
        <v>8532</v>
      </c>
      <c r="T71" s="209"/>
      <c r="U71" s="209"/>
      <c r="V71" s="58">
        <f t="shared" si="167"/>
        <v>8532</v>
      </c>
      <c r="W71" s="80">
        <f t="shared" si="123"/>
        <v>39</v>
      </c>
      <c r="X71" s="132">
        <f t="shared" si="58"/>
        <v>15.641025641025641</v>
      </c>
      <c r="Y71" s="183">
        <f t="shared" si="149"/>
        <v>133449.23076923075</v>
      </c>
      <c r="Z71" s="58">
        <v>0</v>
      </c>
      <c r="AA71" s="80">
        <f t="shared" si="124"/>
        <v>35</v>
      </c>
      <c r="AB71" s="132">
        <f t="shared" si="59"/>
        <v>15.657142857142857</v>
      </c>
      <c r="AC71" s="183">
        <v>0</v>
      </c>
      <c r="AD71" s="58">
        <v>0</v>
      </c>
      <c r="AE71" s="80">
        <f t="shared" si="125"/>
        <v>42</v>
      </c>
      <c r="AF71" s="132">
        <f t="shared" si="60"/>
        <v>19.738095238095237</v>
      </c>
      <c r="AG71" s="183">
        <v>0</v>
      </c>
      <c r="AH71" s="58">
        <v>0</v>
      </c>
      <c r="AI71" s="209"/>
      <c r="AJ71" s="58">
        <f t="shared" si="168"/>
        <v>0</v>
      </c>
      <c r="AL71" s="173"/>
      <c r="AM71" s="183">
        <v>0</v>
      </c>
      <c r="AN71" s="58">
        <v>180901</v>
      </c>
      <c r="AO71" s="80">
        <f t="shared" si="127"/>
        <v>32</v>
      </c>
      <c r="AP71" s="132">
        <f t="shared" si="62"/>
        <v>17.75</v>
      </c>
      <c r="AQ71" s="183">
        <f t="shared" si="150"/>
        <v>3210992.75</v>
      </c>
      <c r="AR71" s="58">
        <v>297160</v>
      </c>
      <c r="AS71" s="80">
        <f t="shared" si="128"/>
        <v>30</v>
      </c>
      <c r="AT71" s="132">
        <f t="shared" si="63"/>
        <v>22.8</v>
      </c>
      <c r="AU71" s="183">
        <f t="shared" si="151"/>
        <v>6775248</v>
      </c>
      <c r="AV71" s="58">
        <v>25118</v>
      </c>
      <c r="AW71" s="80">
        <f t="shared" si="129"/>
        <v>34</v>
      </c>
      <c r="AX71" s="132">
        <f t="shared" si="64"/>
        <v>15.470588235294118</v>
      </c>
      <c r="AY71" s="183">
        <f t="shared" si="152"/>
        <v>388590.23529411765</v>
      </c>
      <c r="AZ71" s="58">
        <v>0</v>
      </c>
      <c r="BA71" s="80">
        <f t="shared" si="130"/>
        <v>44</v>
      </c>
      <c r="BB71" s="132">
        <f t="shared" si="65"/>
        <v>13.954545454545455</v>
      </c>
      <c r="BC71" s="183">
        <f t="shared" si="153"/>
        <v>0</v>
      </c>
      <c r="BD71" s="209">
        <v>328139</v>
      </c>
      <c r="BE71" s="58">
        <f t="shared" si="154"/>
        <v>270386.53599999996</v>
      </c>
      <c r="BF71" s="80">
        <f t="shared" si="131"/>
        <v>84</v>
      </c>
      <c r="BG71" s="132">
        <f t="shared" si="66"/>
        <v>7.2857142857142856</v>
      </c>
      <c r="BH71" s="183">
        <f t="shared" si="155"/>
        <v>1969959.0479999997</v>
      </c>
      <c r="BI71" s="58">
        <f t="shared" si="156"/>
        <v>57752.464</v>
      </c>
      <c r="BJ71" s="80">
        <f t="shared" si="132"/>
        <v>102</v>
      </c>
      <c r="BK71" s="132">
        <f t="shared" si="67"/>
        <v>6.3921568627450984</v>
      </c>
      <c r="BL71" s="183">
        <f t="shared" si="157"/>
        <v>369162.80909803923</v>
      </c>
      <c r="BM71" s="58">
        <v>71027</v>
      </c>
      <c r="BN71" s="80">
        <f t="shared" si="133"/>
        <v>29</v>
      </c>
      <c r="BO71" s="132">
        <f t="shared" si="68"/>
        <v>17.551724137931036</v>
      </c>
      <c r="BP71" s="183">
        <f t="shared" si="158"/>
        <v>1246646.3103448276</v>
      </c>
      <c r="BQ71" s="58">
        <v>52503</v>
      </c>
      <c r="BR71" s="209"/>
      <c r="BS71" s="58">
        <f t="shared" si="159"/>
        <v>52503</v>
      </c>
      <c r="BT71" s="80">
        <f t="shared" si="134"/>
        <v>65</v>
      </c>
      <c r="BU71" s="132">
        <f t="shared" si="69"/>
        <v>5.4615384615384617</v>
      </c>
      <c r="BV71" s="183">
        <f t="shared" si="160"/>
        <v>286747.15384615387</v>
      </c>
      <c r="BW71" s="195">
        <v>0</v>
      </c>
      <c r="BX71" s="80">
        <f t="shared" si="135"/>
        <v>38</v>
      </c>
      <c r="BY71" s="132">
        <f t="shared" si="70"/>
        <v>19.210526315789473</v>
      </c>
      <c r="BZ71" s="212">
        <v>0</v>
      </c>
      <c r="CA71" s="195">
        <v>0</v>
      </c>
      <c r="CB71" s="195"/>
      <c r="CD71" s="212">
        <v>0</v>
      </c>
      <c r="CE71" s="58">
        <v>13475</v>
      </c>
      <c r="CF71" s="209"/>
      <c r="CG71" s="58">
        <f t="shared" si="161"/>
        <v>13475</v>
      </c>
      <c r="CH71" s="194">
        <f t="shared" si="162"/>
        <v>4042.5</v>
      </c>
      <c r="CI71" s="58">
        <v>40042</v>
      </c>
      <c r="CJ71" s="209"/>
      <c r="CK71" s="58">
        <f t="shared" si="163"/>
        <v>40042</v>
      </c>
      <c r="CL71" s="80">
        <f t="shared" si="136"/>
        <v>31</v>
      </c>
      <c r="CM71" s="135">
        <f t="shared" si="72"/>
        <v>16.774193548387096</v>
      </c>
      <c r="CN71" s="183">
        <f t="shared" si="141"/>
        <v>671672.25806451612</v>
      </c>
      <c r="CO71" s="58">
        <v>18785</v>
      </c>
      <c r="CP71" s="58"/>
      <c r="CQ71" s="58"/>
      <c r="CR71" s="195">
        <f t="shared" si="169"/>
        <v>18785</v>
      </c>
      <c r="CS71" s="80">
        <f t="shared" si="137"/>
        <v>49</v>
      </c>
      <c r="CT71" s="327">
        <f t="shared" si="73"/>
        <v>14.102040816326531</v>
      </c>
      <c r="CU71" s="183">
        <f t="shared" si="142"/>
        <v>264906.83673469385</v>
      </c>
      <c r="CV71" s="195">
        <v>16160</v>
      </c>
      <c r="CW71" s="80">
        <f t="shared" si="138"/>
        <v>31</v>
      </c>
      <c r="CX71" s="135">
        <f t="shared" si="74"/>
        <v>16.774193548387096</v>
      </c>
      <c r="CY71" s="183">
        <f t="shared" si="164"/>
        <v>271070.96774193546</v>
      </c>
      <c r="CZ71" s="58">
        <v>176818</v>
      </c>
      <c r="DA71" s="80">
        <f t="shared" si="139"/>
        <v>46</v>
      </c>
      <c r="DB71" s="327">
        <f t="shared" si="75"/>
        <v>14.130434782608695</v>
      </c>
      <c r="DC71" s="183">
        <f t="shared" si="165"/>
        <v>2498515.2173913042</v>
      </c>
      <c r="DD71" s="58">
        <v>0</v>
      </c>
      <c r="DE71" s="58">
        <v>0</v>
      </c>
      <c r="DF71" s="209"/>
      <c r="DG71" s="58">
        <f t="shared" si="166"/>
        <v>0</v>
      </c>
      <c r="DH71" s="58">
        <f t="shared" si="170"/>
        <v>0</v>
      </c>
      <c r="DI71" s="80">
        <f t="shared" si="140"/>
        <v>43</v>
      </c>
      <c r="DJ71" s="332">
        <f t="shared" si="76"/>
        <v>20.186046511627907</v>
      </c>
      <c r="DK71" s="183">
        <f t="shared" si="143"/>
        <v>0</v>
      </c>
    </row>
    <row r="72" spans="1:115">
      <c r="A72" s="213">
        <v>1947</v>
      </c>
      <c r="B72" s="58">
        <v>26517</v>
      </c>
      <c r="C72" s="209"/>
      <c r="D72" s="58">
        <f t="shared" si="144"/>
        <v>26517</v>
      </c>
      <c r="E72" s="194">
        <f t="shared" si="145"/>
        <v>18561.899999999998</v>
      </c>
      <c r="F72" s="58">
        <v>0</v>
      </c>
      <c r="G72" s="209"/>
      <c r="H72" s="209">
        <f t="shared" si="146"/>
        <v>0</v>
      </c>
      <c r="I72" s="214">
        <v>28</v>
      </c>
      <c r="J72" s="132">
        <f t="shared" si="56"/>
        <v>18.571428571428573</v>
      </c>
      <c r="K72" s="183">
        <f t="shared" si="147"/>
        <v>0</v>
      </c>
      <c r="L72" s="58">
        <v>48179</v>
      </c>
      <c r="M72" s="209"/>
      <c r="N72" s="209"/>
      <c r="O72" s="58">
        <f t="shared" si="148"/>
        <v>48179</v>
      </c>
      <c r="P72" s="80">
        <f t="shared" si="122"/>
        <v>29</v>
      </c>
      <c r="Q72" s="132">
        <f t="shared" si="57"/>
        <v>20.517241379310345</v>
      </c>
      <c r="R72" s="193">
        <f t="shared" si="6"/>
        <v>988500.17241379316</v>
      </c>
      <c r="S72" s="58">
        <v>169470</v>
      </c>
      <c r="T72" s="209"/>
      <c r="U72" s="209"/>
      <c r="V72" s="58">
        <f t="shared" si="167"/>
        <v>169470</v>
      </c>
      <c r="W72" s="80">
        <f t="shared" si="123"/>
        <v>35</v>
      </c>
      <c r="X72" s="132">
        <f t="shared" si="58"/>
        <v>17.428571428571427</v>
      </c>
      <c r="Y72" s="183">
        <f t="shared" si="149"/>
        <v>2953619.9999999995</v>
      </c>
      <c r="Z72" s="58">
        <v>0</v>
      </c>
      <c r="AA72" s="80">
        <f t="shared" si="124"/>
        <v>31</v>
      </c>
      <c r="AB72" s="132">
        <f t="shared" si="59"/>
        <v>17.677419354838708</v>
      </c>
      <c r="AC72" s="183">
        <v>0</v>
      </c>
      <c r="AD72" s="58">
        <v>0</v>
      </c>
      <c r="AE72" s="80">
        <f t="shared" si="125"/>
        <v>35</v>
      </c>
      <c r="AF72" s="132">
        <f t="shared" si="60"/>
        <v>23.685714285714287</v>
      </c>
      <c r="AG72" s="183">
        <v>0</v>
      </c>
      <c r="AH72" s="58">
        <v>0</v>
      </c>
      <c r="AI72" s="209"/>
      <c r="AJ72" s="58">
        <f t="shared" si="168"/>
        <v>0</v>
      </c>
      <c r="AL72" s="173"/>
      <c r="AM72" s="183">
        <v>0</v>
      </c>
      <c r="AN72" s="58">
        <v>208340</v>
      </c>
      <c r="AO72" s="80">
        <f t="shared" si="127"/>
        <v>29</v>
      </c>
      <c r="AP72" s="132">
        <f t="shared" si="62"/>
        <v>19.586206896551722</v>
      </c>
      <c r="AQ72" s="183">
        <f t="shared" si="150"/>
        <v>4080590.3448275859</v>
      </c>
      <c r="AR72" s="58">
        <v>225863</v>
      </c>
      <c r="AS72" s="80">
        <f t="shared" si="128"/>
        <v>28</v>
      </c>
      <c r="AT72" s="132">
        <f t="shared" si="63"/>
        <v>24.428571428571427</v>
      </c>
      <c r="AU72" s="183">
        <f t="shared" si="151"/>
        <v>5517510.4285714282</v>
      </c>
      <c r="AV72" s="58">
        <v>7848</v>
      </c>
      <c r="AW72" s="80">
        <f t="shared" si="129"/>
        <v>31</v>
      </c>
      <c r="AX72" s="132">
        <f t="shared" si="64"/>
        <v>16.967741935483872</v>
      </c>
      <c r="AY72" s="183">
        <f t="shared" si="152"/>
        <v>133162.83870967742</v>
      </c>
      <c r="AZ72" s="58">
        <v>0</v>
      </c>
      <c r="BA72" s="80">
        <f t="shared" si="130"/>
        <v>37</v>
      </c>
      <c r="BB72" s="132">
        <f t="shared" si="65"/>
        <v>16.594594594594593</v>
      </c>
      <c r="BC72" s="183">
        <f t="shared" si="153"/>
        <v>0</v>
      </c>
      <c r="BD72" s="209">
        <v>453440</v>
      </c>
      <c r="BE72" s="58">
        <f t="shared" si="154"/>
        <v>373634.56</v>
      </c>
      <c r="BF72" s="80">
        <f t="shared" si="131"/>
        <v>82</v>
      </c>
      <c r="BG72" s="132">
        <f t="shared" si="66"/>
        <v>7.4634146341463419</v>
      </c>
      <c r="BH72" s="183">
        <f t="shared" si="155"/>
        <v>2788589.6429268294</v>
      </c>
      <c r="BI72" s="58">
        <f t="shared" si="156"/>
        <v>79805.440000000002</v>
      </c>
      <c r="BJ72" s="80">
        <f t="shared" si="132"/>
        <v>102</v>
      </c>
      <c r="BK72" s="132">
        <f t="shared" si="67"/>
        <v>6.3921568627450984</v>
      </c>
      <c r="BL72" s="183">
        <f t="shared" si="157"/>
        <v>510128.89098039223</v>
      </c>
      <c r="BM72" s="58">
        <v>97533</v>
      </c>
      <c r="BN72" s="80">
        <f t="shared" si="133"/>
        <v>26</v>
      </c>
      <c r="BO72" s="132">
        <f t="shared" si="68"/>
        <v>19.576923076923077</v>
      </c>
      <c r="BP72" s="183">
        <f t="shared" si="158"/>
        <v>1909396.0384615385</v>
      </c>
      <c r="BQ72" s="58">
        <v>13359</v>
      </c>
      <c r="BR72" s="209"/>
      <c r="BS72" s="58">
        <f t="shared" si="159"/>
        <v>13359</v>
      </c>
      <c r="BT72" s="80">
        <f t="shared" si="134"/>
        <v>61</v>
      </c>
      <c r="BU72" s="132">
        <f t="shared" si="69"/>
        <v>5.8196721311475406</v>
      </c>
      <c r="BV72" s="183">
        <f t="shared" si="160"/>
        <v>77745</v>
      </c>
      <c r="BW72" s="195">
        <v>0</v>
      </c>
      <c r="BX72" s="80">
        <f t="shared" si="135"/>
        <v>34</v>
      </c>
      <c r="BY72" s="132">
        <f t="shared" si="70"/>
        <v>21.470588235294116</v>
      </c>
      <c r="BZ72" s="212">
        <v>0</v>
      </c>
      <c r="CA72" s="195">
        <v>0</v>
      </c>
      <c r="CB72" s="195"/>
      <c r="CD72" s="212">
        <v>0</v>
      </c>
      <c r="CE72" s="58">
        <v>26517</v>
      </c>
      <c r="CF72" s="209"/>
      <c r="CG72" s="58">
        <f t="shared" si="161"/>
        <v>26517</v>
      </c>
      <c r="CH72" s="194">
        <f t="shared" si="162"/>
        <v>7955.0999999999995</v>
      </c>
      <c r="CI72" s="58">
        <v>191</v>
      </c>
      <c r="CJ72" s="209"/>
      <c r="CK72" s="58">
        <f t="shared" si="163"/>
        <v>191</v>
      </c>
      <c r="CL72" s="80">
        <f t="shared" si="136"/>
        <v>28</v>
      </c>
      <c r="CM72" s="135">
        <f t="shared" si="72"/>
        <v>18.571428571428573</v>
      </c>
      <c r="CN72" s="183">
        <f t="shared" si="141"/>
        <v>3547.1428571428573</v>
      </c>
      <c r="CO72" s="58">
        <f t="shared" ref="CO72:CO113" si="172">SUM(CO160)</f>
        <v>0</v>
      </c>
      <c r="CP72" s="58"/>
      <c r="CQ72" s="58"/>
      <c r="CR72" s="195">
        <f t="shared" si="169"/>
        <v>0</v>
      </c>
      <c r="CS72" s="80">
        <f t="shared" si="137"/>
        <v>47</v>
      </c>
      <c r="CT72" s="327">
        <f t="shared" si="73"/>
        <v>14.702127659574469</v>
      </c>
      <c r="CU72" s="183">
        <f t="shared" si="142"/>
        <v>0</v>
      </c>
      <c r="CV72" s="58">
        <v>1465</v>
      </c>
      <c r="CW72" s="80">
        <f t="shared" si="138"/>
        <v>28</v>
      </c>
      <c r="CX72" s="135">
        <f t="shared" si="74"/>
        <v>18.571428571428573</v>
      </c>
      <c r="CY72" s="183">
        <f t="shared" si="164"/>
        <v>27207.142857142859</v>
      </c>
      <c r="CZ72" s="58">
        <v>0</v>
      </c>
      <c r="DA72" s="80">
        <f t="shared" si="139"/>
        <v>42</v>
      </c>
      <c r="DB72" s="327">
        <f t="shared" si="75"/>
        <v>15.476190476190476</v>
      </c>
      <c r="DC72" s="183">
        <f t="shared" si="165"/>
        <v>0</v>
      </c>
      <c r="DD72" s="58">
        <v>0</v>
      </c>
      <c r="DE72" s="58">
        <v>0</v>
      </c>
      <c r="DF72" s="209"/>
      <c r="DG72" s="58">
        <f t="shared" si="166"/>
        <v>0</v>
      </c>
      <c r="DH72" s="58">
        <f t="shared" si="170"/>
        <v>0</v>
      </c>
      <c r="DI72" s="80">
        <f t="shared" si="140"/>
        <v>40</v>
      </c>
      <c r="DJ72" s="332">
        <f t="shared" si="76"/>
        <v>21.7</v>
      </c>
      <c r="DK72" s="183">
        <f t="shared" si="143"/>
        <v>0</v>
      </c>
    </row>
    <row r="73" spans="1:115">
      <c r="A73" s="213">
        <v>1946</v>
      </c>
      <c r="B73" s="58">
        <v>0</v>
      </c>
      <c r="C73" s="209"/>
      <c r="D73" s="58">
        <f t="shared" si="144"/>
        <v>0</v>
      </c>
      <c r="E73" s="194">
        <f t="shared" si="145"/>
        <v>0</v>
      </c>
      <c r="F73" s="58">
        <v>0</v>
      </c>
      <c r="G73" s="209"/>
      <c r="H73" s="209">
        <f t="shared" si="146"/>
        <v>0</v>
      </c>
      <c r="I73" s="214">
        <v>24</v>
      </c>
      <c r="J73" s="132">
        <f t="shared" si="56"/>
        <v>21.666666666666668</v>
      </c>
      <c r="K73" s="183">
        <f t="shared" si="147"/>
        <v>0</v>
      </c>
      <c r="L73" s="58">
        <v>49591</v>
      </c>
      <c r="M73" s="209"/>
      <c r="N73" s="209"/>
      <c r="O73" s="58">
        <f t="shared" si="148"/>
        <v>49591</v>
      </c>
      <c r="P73" s="80">
        <f t="shared" ref="P73:P107" si="173">INDEX(HW_Data,MATCH(A73,HW_Year,0),$P$1)</f>
        <v>24</v>
      </c>
      <c r="Q73" s="132">
        <f t="shared" si="57"/>
        <v>24.791666666666668</v>
      </c>
      <c r="R73" s="193">
        <f t="shared" ref="R73:R114" si="174">O73*Q73</f>
        <v>1229443.5416666667</v>
      </c>
      <c r="S73" s="58">
        <v>47759</v>
      </c>
      <c r="T73" s="209"/>
      <c r="U73" s="209"/>
      <c r="V73" s="58">
        <f t="shared" si="167"/>
        <v>47759</v>
      </c>
      <c r="W73" s="80">
        <f t="shared" ref="W73:W107" si="175">INDEX(HW_Data,MATCH(A73,HW_Year,0),$W$1)</f>
        <v>30</v>
      </c>
      <c r="X73" s="132">
        <f t="shared" si="58"/>
        <v>20.333333333333332</v>
      </c>
      <c r="Y73" s="183">
        <f t="shared" si="149"/>
        <v>971099.66666666663</v>
      </c>
      <c r="Z73" s="58">
        <v>0</v>
      </c>
      <c r="AA73" s="80">
        <f t="shared" ref="AA73:AA107" si="176">INDEX(HW_Data,MATCH(A73,HW_Year,0),$AA$1)</f>
        <v>27</v>
      </c>
      <c r="AB73" s="132">
        <f t="shared" si="59"/>
        <v>20.296296296296298</v>
      </c>
      <c r="AC73" s="183">
        <v>0</v>
      </c>
      <c r="AD73" s="58">
        <v>0</v>
      </c>
      <c r="AE73" s="80">
        <f t="shared" ref="AE73:AE107" si="177">INDEX(HW_Data,MATCH(A73,HW_Year,0),$AE$1)</f>
        <v>30</v>
      </c>
      <c r="AF73" s="132">
        <f t="shared" si="60"/>
        <v>27.633333333333333</v>
      </c>
      <c r="AG73" s="183">
        <v>0</v>
      </c>
      <c r="AH73" s="58">
        <v>0</v>
      </c>
      <c r="AI73" s="209"/>
      <c r="AJ73" s="58">
        <f t="shared" si="168"/>
        <v>0</v>
      </c>
      <c r="AL73" s="173"/>
      <c r="AM73" s="183">
        <v>0</v>
      </c>
      <c r="AN73" s="58">
        <v>190848</v>
      </c>
      <c r="AO73" s="80">
        <f t="shared" ref="AO73:AO107" si="178">INDEX(HW_Data,MATCH(A73,HW_Year,0),$AO$1)</f>
        <v>24</v>
      </c>
      <c r="AP73" s="132">
        <f t="shared" si="62"/>
        <v>23.666666666666668</v>
      </c>
      <c r="AQ73" s="183">
        <f t="shared" si="150"/>
        <v>4516736</v>
      </c>
      <c r="AR73" s="58">
        <v>198235</v>
      </c>
      <c r="AS73" s="80">
        <f t="shared" ref="AS73:AS107" si="179">INDEX(HW_Data,MATCH(A73,HW_Year,0),$AS$1)</f>
        <v>23</v>
      </c>
      <c r="AT73" s="132">
        <f t="shared" si="63"/>
        <v>29.739130434782609</v>
      </c>
      <c r="AU73" s="183">
        <f t="shared" si="151"/>
        <v>5895336.5217391308</v>
      </c>
      <c r="AV73" s="58">
        <v>413</v>
      </c>
      <c r="AW73" s="80">
        <f t="shared" ref="AW73:AW104" si="180">INDEX(HW_Data,MATCH(A73,HW_Year,0),$AW$1)</f>
        <v>27</v>
      </c>
      <c r="AX73" s="132">
        <f t="shared" si="64"/>
        <v>19.481481481481481</v>
      </c>
      <c r="AY73" s="183">
        <f t="shared" si="152"/>
        <v>8045.8518518518513</v>
      </c>
      <c r="AZ73" s="58">
        <v>0</v>
      </c>
      <c r="BA73" s="80">
        <f t="shared" ref="BA73:BA107" si="181">INDEX(HW_Data,MATCH(A73,HW_Year,0),$BA$1)</f>
        <v>31</v>
      </c>
      <c r="BB73" s="132">
        <f t="shared" si="65"/>
        <v>19.806451612903224</v>
      </c>
      <c r="BC73" s="183">
        <f t="shared" si="153"/>
        <v>0</v>
      </c>
      <c r="BD73" s="209">
        <v>32149</v>
      </c>
      <c r="BE73" s="58">
        <f t="shared" si="154"/>
        <v>26490.775999999998</v>
      </c>
      <c r="BF73" s="80">
        <f t="shared" ref="BF73:BF107" si="182">INDEX(HW_Data,MATCH(A73,HW_Year,0),$BF$1)</f>
        <v>66</v>
      </c>
      <c r="BG73" s="132">
        <f t="shared" si="66"/>
        <v>9.2727272727272734</v>
      </c>
      <c r="BH73" s="183">
        <f t="shared" si="155"/>
        <v>245641.74109090908</v>
      </c>
      <c r="BI73" s="58">
        <f t="shared" si="156"/>
        <v>5658.2239999999993</v>
      </c>
      <c r="BJ73" s="80">
        <f t="shared" si="132"/>
        <v>102</v>
      </c>
      <c r="BK73" s="132">
        <f t="shared" si="67"/>
        <v>6.3921568627450984</v>
      </c>
      <c r="BL73" s="183">
        <f t="shared" si="157"/>
        <v>36168.255372549014</v>
      </c>
      <c r="BM73" s="58">
        <v>53598</v>
      </c>
      <c r="BN73" s="80">
        <f t="shared" ref="BN73:BN107" si="183">INDEX(HW_Data,MATCH(A73,HW_Year,0),$BN$1)</f>
        <v>22</v>
      </c>
      <c r="BO73" s="132">
        <f t="shared" si="68"/>
        <v>23.136363636363637</v>
      </c>
      <c r="BP73" s="183">
        <f t="shared" si="158"/>
        <v>1240062.8181818181</v>
      </c>
      <c r="BQ73" s="58">
        <v>0</v>
      </c>
      <c r="BR73" s="209"/>
      <c r="BS73" s="58">
        <f t="shared" si="159"/>
        <v>0</v>
      </c>
      <c r="BT73" s="80">
        <f t="shared" ref="BT73:BT107" si="184">INDEX(HW_Data,MATCH(A73,HW_Year,0),$BT$1)</f>
        <v>53</v>
      </c>
      <c r="BU73" s="132">
        <f t="shared" si="69"/>
        <v>6.6981132075471699</v>
      </c>
      <c r="BV73" s="183">
        <f t="shared" si="160"/>
        <v>0</v>
      </c>
      <c r="BW73" s="195">
        <v>0</v>
      </c>
      <c r="BX73" s="80">
        <f t="shared" ref="BX73:BX95" si="185">INDEX(HW_Data,MATCH(A73,HW_Year,0),$BX$1)</f>
        <v>28</v>
      </c>
      <c r="BY73" s="132">
        <f t="shared" si="70"/>
        <v>26.071428571428573</v>
      </c>
      <c r="BZ73" s="212">
        <v>0</v>
      </c>
      <c r="CA73" s="195">
        <v>0</v>
      </c>
      <c r="CB73" s="195"/>
      <c r="CD73" s="212">
        <v>0</v>
      </c>
      <c r="CE73" s="58">
        <v>0</v>
      </c>
      <c r="CF73" s="209"/>
      <c r="CG73" s="58">
        <f t="shared" si="161"/>
        <v>0</v>
      </c>
      <c r="CH73" s="194">
        <f t="shared" si="162"/>
        <v>0</v>
      </c>
      <c r="CI73" s="58">
        <v>0</v>
      </c>
      <c r="CJ73" s="209"/>
      <c r="CK73" s="58">
        <f t="shared" si="163"/>
        <v>0</v>
      </c>
      <c r="CL73" s="80">
        <f t="shared" ref="CL73:CL109" si="186">INDEX(HW_Data,MATCH(A73,HW_Year,0),$CL$1)</f>
        <v>24</v>
      </c>
      <c r="CM73" s="135">
        <f t="shared" si="72"/>
        <v>21.666666666666668</v>
      </c>
      <c r="CN73" s="183">
        <f t="shared" si="141"/>
        <v>0</v>
      </c>
      <c r="CO73" s="58">
        <f t="shared" si="172"/>
        <v>0</v>
      </c>
      <c r="CP73" s="58"/>
      <c r="CQ73" s="58"/>
      <c r="CR73" s="195">
        <f t="shared" si="169"/>
        <v>0</v>
      </c>
      <c r="CS73" s="80">
        <f t="shared" ref="CS73:CS107" si="187">INDEX(HW_Data,MATCH(A73,HW_Year,0),$CS$1)</f>
        <v>39</v>
      </c>
      <c r="CT73" s="327">
        <f t="shared" si="73"/>
        <v>17.717948717948719</v>
      </c>
      <c r="CU73" s="183">
        <f t="shared" si="142"/>
        <v>0</v>
      </c>
      <c r="CV73" s="58">
        <v>3858</v>
      </c>
      <c r="CW73" s="80">
        <f t="shared" ref="CW73:CW109" si="188">INDEX(HW_Data,MATCH(A73,HW_Year,0),$CW$1)</f>
        <v>24</v>
      </c>
      <c r="CX73" s="135">
        <f t="shared" si="74"/>
        <v>21.666666666666668</v>
      </c>
      <c r="CY73" s="183">
        <f t="shared" si="164"/>
        <v>83590</v>
      </c>
      <c r="CZ73" s="58">
        <v>0</v>
      </c>
      <c r="DA73" s="80">
        <f t="shared" ref="DA73:DA109" si="189">INDEX(HW_Data,MATCH(A73,HW_Year,0),$DA$1)</f>
        <v>37</v>
      </c>
      <c r="DB73" s="327">
        <f t="shared" si="75"/>
        <v>17.567567567567568</v>
      </c>
      <c r="DC73" s="183">
        <f t="shared" si="165"/>
        <v>0</v>
      </c>
      <c r="DD73" s="58">
        <v>0</v>
      </c>
      <c r="DE73" s="58">
        <v>0</v>
      </c>
      <c r="DF73" s="209"/>
      <c r="DG73" s="58">
        <f t="shared" si="166"/>
        <v>0</v>
      </c>
      <c r="DH73" s="58">
        <f t="shared" si="170"/>
        <v>0</v>
      </c>
      <c r="DI73" s="80">
        <f t="shared" ref="DI73:DI107" si="190">INDEX(HW_Data,MATCH(A73,HW_Year,0),$DI$1)</f>
        <v>34</v>
      </c>
      <c r="DJ73" s="332">
        <f t="shared" si="76"/>
        <v>25.529411764705884</v>
      </c>
      <c r="DK73" s="183">
        <f t="shared" si="143"/>
        <v>0</v>
      </c>
    </row>
    <row r="74" spans="1:115">
      <c r="A74" s="213">
        <v>1945</v>
      </c>
      <c r="B74" s="58">
        <v>0</v>
      </c>
      <c r="C74" s="209"/>
      <c r="D74" s="58">
        <f t="shared" si="144"/>
        <v>0</v>
      </c>
      <c r="E74" s="194">
        <f t="shared" si="145"/>
        <v>0</v>
      </c>
      <c r="F74" s="58">
        <v>0</v>
      </c>
      <c r="G74" s="209"/>
      <c r="H74" s="209">
        <f t="shared" si="146"/>
        <v>0</v>
      </c>
      <c r="I74" s="214">
        <v>21</v>
      </c>
      <c r="J74" s="132">
        <f t="shared" si="56"/>
        <v>24.761904761904763</v>
      </c>
      <c r="K74" s="183">
        <f t="shared" si="147"/>
        <v>0</v>
      </c>
      <c r="L74" s="58">
        <v>0</v>
      </c>
      <c r="M74" s="209"/>
      <c r="N74" s="209"/>
      <c r="O74" s="58">
        <f t="shared" si="148"/>
        <v>0</v>
      </c>
      <c r="P74" s="80">
        <f t="shared" si="173"/>
        <v>22</v>
      </c>
      <c r="Q74" s="132">
        <f t="shared" si="57"/>
        <v>27.045454545454547</v>
      </c>
      <c r="R74" s="193">
        <f t="shared" si="174"/>
        <v>0</v>
      </c>
      <c r="S74" s="58">
        <v>0</v>
      </c>
      <c r="T74" s="209"/>
      <c r="U74" s="209"/>
      <c r="V74" s="58">
        <f t="shared" si="167"/>
        <v>0</v>
      </c>
      <c r="W74" s="80">
        <f t="shared" si="175"/>
        <v>26</v>
      </c>
      <c r="X74" s="132">
        <f t="shared" si="58"/>
        <v>23.46153846153846</v>
      </c>
      <c r="Y74" s="183">
        <f t="shared" si="149"/>
        <v>0</v>
      </c>
      <c r="Z74" s="58">
        <v>0</v>
      </c>
      <c r="AA74" s="80">
        <f t="shared" si="176"/>
        <v>24</v>
      </c>
      <c r="AB74" s="132">
        <f t="shared" si="59"/>
        <v>22.833333333333332</v>
      </c>
      <c r="AC74" s="183">
        <v>0</v>
      </c>
      <c r="AD74" s="58">
        <v>0</v>
      </c>
      <c r="AE74" s="80">
        <f t="shared" si="177"/>
        <v>25</v>
      </c>
      <c r="AF74" s="132">
        <f t="shared" si="60"/>
        <v>33.159999999999997</v>
      </c>
      <c r="AG74" s="183">
        <v>0</v>
      </c>
      <c r="AH74" s="58">
        <v>0</v>
      </c>
      <c r="AI74" s="209"/>
      <c r="AJ74" s="58">
        <f t="shared" si="168"/>
        <v>0</v>
      </c>
      <c r="AL74" s="173"/>
      <c r="AM74" s="183">
        <v>0</v>
      </c>
      <c r="AN74" s="58">
        <v>128467</v>
      </c>
      <c r="AO74" s="80">
        <f t="shared" si="178"/>
        <v>22</v>
      </c>
      <c r="AP74" s="132">
        <f t="shared" si="62"/>
        <v>25.818181818181817</v>
      </c>
      <c r="AQ74" s="183">
        <f t="shared" si="150"/>
        <v>3316784.3636363633</v>
      </c>
      <c r="AR74" s="58">
        <v>83393</v>
      </c>
      <c r="AS74" s="80">
        <f t="shared" si="179"/>
        <v>20</v>
      </c>
      <c r="AT74" s="132">
        <f t="shared" si="63"/>
        <v>34.200000000000003</v>
      </c>
      <c r="AU74" s="183">
        <f t="shared" si="151"/>
        <v>2852040.6</v>
      </c>
      <c r="AV74" s="58">
        <v>3395</v>
      </c>
      <c r="AW74" s="80">
        <f t="shared" si="180"/>
        <v>24</v>
      </c>
      <c r="AX74" s="132">
        <f t="shared" si="64"/>
        <v>21.916666666666668</v>
      </c>
      <c r="AY74" s="183">
        <f t="shared" si="152"/>
        <v>74407.083333333343</v>
      </c>
      <c r="AZ74" s="58">
        <v>0</v>
      </c>
      <c r="BA74" s="80">
        <f t="shared" si="181"/>
        <v>26</v>
      </c>
      <c r="BB74" s="132">
        <f t="shared" si="65"/>
        <v>23.615384615384617</v>
      </c>
      <c r="BC74" s="183">
        <f t="shared" si="153"/>
        <v>0</v>
      </c>
      <c r="BD74" s="209">
        <v>0</v>
      </c>
      <c r="BE74" s="58">
        <f t="shared" si="154"/>
        <v>0</v>
      </c>
      <c r="BF74" s="80">
        <f t="shared" si="182"/>
        <v>58</v>
      </c>
      <c r="BG74" s="132">
        <f t="shared" si="66"/>
        <v>10.551724137931034</v>
      </c>
      <c r="BH74" s="183">
        <f t="shared" si="155"/>
        <v>0</v>
      </c>
      <c r="BI74" s="58">
        <f t="shared" si="156"/>
        <v>0</v>
      </c>
      <c r="BJ74" s="80">
        <f t="shared" si="132"/>
        <v>102</v>
      </c>
      <c r="BK74" s="132">
        <f t="shared" si="67"/>
        <v>6.3921568627450984</v>
      </c>
      <c r="BL74" s="183">
        <f t="shared" si="157"/>
        <v>0</v>
      </c>
      <c r="BM74" s="58">
        <v>37015</v>
      </c>
      <c r="BN74" s="80">
        <f t="shared" si="183"/>
        <v>20</v>
      </c>
      <c r="BO74" s="132">
        <f t="shared" si="68"/>
        <v>25.45</v>
      </c>
      <c r="BP74" s="183">
        <f t="shared" si="158"/>
        <v>942031.75</v>
      </c>
      <c r="BQ74" s="58">
        <v>0</v>
      </c>
      <c r="BR74" s="209"/>
      <c r="BS74" s="58">
        <f t="shared" si="159"/>
        <v>0</v>
      </c>
      <c r="BT74" s="80">
        <f t="shared" si="184"/>
        <v>49</v>
      </c>
      <c r="BU74" s="132">
        <f t="shared" si="69"/>
        <v>7.2448979591836737</v>
      </c>
      <c r="BV74" s="183">
        <f t="shared" si="160"/>
        <v>0</v>
      </c>
      <c r="BW74" s="195">
        <v>0</v>
      </c>
      <c r="BX74" s="80">
        <f t="shared" si="185"/>
        <v>25</v>
      </c>
      <c r="BY74" s="132">
        <f t="shared" si="70"/>
        <v>29.2</v>
      </c>
      <c r="BZ74" s="212">
        <v>0</v>
      </c>
      <c r="CA74" s="195">
        <v>0</v>
      </c>
      <c r="CB74" s="195"/>
      <c r="CD74" s="212">
        <v>0</v>
      </c>
      <c r="CE74" s="58">
        <v>0</v>
      </c>
      <c r="CF74" s="209"/>
      <c r="CG74" s="58">
        <f t="shared" si="161"/>
        <v>0</v>
      </c>
      <c r="CH74" s="194">
        <f t="shared" si="162"/>
        <v>0</v>
      </c>
      <c r="CI74" s="58">
        <v>189</v>
      </c>
      <c r="CJ74" s="209"/>
      <c r="CK74" s="58">
        <f t="shared" si="163"/>
        <v>189</v>
      </c>
      <c r="CL74" s="80">
        <f t="shared" si="186"/>
        <v>21</v>
      </c>
      <c r="CM74" s="135">
        <f t="shared" si="72"/>
        <v>24.761904761904763</v>
      </c>
      <c r="CN74" s="183">
        <f t="shared" si="141"/>
        <v>4680</v>
      </c>
      <c r="CO74" s="58">
        <f t="shared" si="172"/>
        <v>0</v>
      </c>
      <c r="CP74" s="58"/>
      <c r="CQ74" s="58"/>
      <c r="CR74" s="195">
        <f t="shared" si="169"/>
        <v>0</v>
      </c>
      <c r="CS74" s="80">
        <f t="shared" si="187"/>
        <v>35</v>
      </c>
      <c r="CT74" s="327">
        <f t="shared" si="73"/>
        <v>19.742857142857144</v>
      </c>
      <c r="CU74" s="183">
        <f t="shared" si="142"/>
        <v>0</v>
      </c>
      <c r="CV74" s="58">
        <v>5696</v>
      </c>
      <c r="CW74" s="80">
        <f t="shared" si="188"/>
        <v>21</v>
      </c>
      <c r="CX74" s="135">
        <f t="shared" si="74"/>
        <v>24.761904761904763</v>
      </c>
      <c r="CY74" s="183">
        <f t="shared" si="164"/>
        <v>141043.80952380953</v>
      </c>
      <c r="CZ74" s="58">
        <v>0</v>
      </c>
      <c r="DA74" s="80">
        <f t="shared" si="189"/>
        <v>33</v>
      </c>
      <c r="DB74" s="327">
        <f t="shared" si="75"/>
        <v>19.696969696969695</v>
      </c>
      <c r="DC74" s="183">
        <f t="shared" si="165"/>
        <v>0</v>
      </c>
      <c r="DD74" s="58">
        <v>0</v>
      </c>
      <c r="DE74" s="58">
        <v>0</v>
      </c>
      <c r="DF74" s="209"/>
      <c r="DG74" s="58">
        <f t="shared" si="166"/>
        <v>0</v>
      </c>
      <c r="DH74" s="58">
        <f t="shared" si="170"/>
        <v>0</v>
      </c>
      <c r="DI74" s="80">
        <f t="shared" si="190"/>
        <v>30</v>
      </c>
      <c r="DJ74" s="332">
        <f t="shared" si="76"/>
        <v>28.933333333333334</v>
      </c>
      <c r="DK74" s="183">
        <f t="shared" si="143"/>
        <v>0</v>
      </c>
    </row>
    <row r="75" spans="1:115">
      <c r="A75" s="213">
        <v>1944</v>
      </c>
      <c r="B75" s="58">
        <v>0</v>
      </c>
      <c r="C75" s="209"/>
      <c r="D75" s="58">
        <f t="shared" si="144"/>
        <v>0</v>
      </c>
      <c r="E75" s="194">
        <f t="shared" si="145"/>
        <v>0</v>
      </c>
      <c r="F75" s="58">
        <v>0</v>
      </c>
      <c r="G75" s="209"/>
      <c r="H75" s="209">
        <f t="shared" si="146"/>
        <v>0</v>
      </c>
      <c r="I75" s="214">
        <v>21</v>
      </c>
      <c r="J75" s="132">
        <f t="shared" ref="J75:J109" si="191">$I$4/I75</f>
        <v>24.761904761904763</v>
      </c>
      <c r="K75" s="183">
        <f t="shared" si="147"/>
        <v>0</v>
      </c>
      <c r="L75" s="58">
        <v>672</v>
      </c>
      <c r="M75" s="209"/>
      <c r="N75" s="209"/>
      <c r="O75" s="58">
        <f t="shared" si="148"/>
        <v>672</v>
      </c>
      <c r="P75" s="80">
        <f t="shared" si="173"/>
        <v>21</v>
      </c>
      <c r="Q75" s="132">
        <f t="shared" ref="Q75:Q107" si="192">$P$4/P75</f>
        <v>28.333333333333332</v>
      </c>
      <c r="R75" s="193">
        <f t="shared" si="174"/>
        <v>19040</v>
      </c>
      <c r="S75" s="58">
        <v>0</v>
      </c>
      <c r="T75" s="209"/>
      <c r="U75" s="209"/>
      <c r="V75" s="58">
        <f t="shared" si="167"/>
        <v>0</v>
      </c>
      <c r="W75" s="80">
        <f t="shared" si="175"/>
        <v>26</v>
      </c>
      <c r="X75" s="132">
        <f t="shared" ref="X75:X107" si="193">$W$4/W75</f>
        <v>23.46153846153846</v>
      </c>
      <c r="Y75" s="183">
        <f t="shared" si="149"/>
        <v>0</v>
      </c>
      <c r="Z75" s="58">
        <v>0</v>
      </c>
      <c r="AA75" s="80">
        <f t="shared" si="176"/>
        <v>23</v>
      </c>
      <c r="AB75" s="132">
        <f t="shared" ref="AB75:AB107" si="194">$AA$4/AA75</f>
        <v>23.826086956521738</v>
      </c>
      <c r="AC75" s="183">
        <v>0</v>
      </c>
      <c r="AD75" s="58">
        <v>0</v>
      </c>
      <c r="AE75" s="80">
        <f t="shared" si="177"/>
        <v>25</v>
      </c>
      <c r="AF75" s="132">
        <f t="shared" ref="AF75:AF107" si="195">$AE$4/AE75</f>
        <v>33.159999999999997</v>
      </c>
      <c r="AG75" s="183">
        <v>0</v>
      </c>
      <c r="AH75" s="58">
        <v>0</v>
      </c>
      <c r="AI75" s="209"/>
      <c r="AJ75" s="58">
        <f t="shared" si="168"/>
        <v>0</v>
      </c>
      <c r="AL75" s="173"/>
      <c r="AM75" s="183">
        <v>0</v>
      </c>
      <c r="AN75" s="58">
        <v>133504</v>
      </c>
      <c r="AO75" s="80">
        <f t="shared" si="178"/>
        <v>21</v>
      </c>
      <c r="AP75" s="132">
        <f t="shared" ref="AP75:AP107" si="196">$AO$4/AO75</f>
        <v>27.047619047619047</v>
      </c>
      <c r="AQ75" s="183">
        <f t="shared" si="150"/>
        <v>3610965.3333333335</v>
      </c>
      <c r="AR75" s="58">
        <v>96426</v>
      </c>
      <c r="AS75" s="80">
        <f t="shared" si="179"/>
        <v>20</v>
      </c>
      <c r="AT75" s="132">
        <f t="shared" ref="AT75:AT107" si="197">$AS$4/AS75</f>
        <v>34.200000000000003</v>
      </c>
      <c r="AU75" s="183">
        <f t="shared" si="151"/>
        <v>3297769.2</v>
      </c>
      <c r="AV75" s="58">
        <v>12</v>
      </c>
      <c r="AW75" s="80">
        <f t="shared" si="180"/>
        <v>24</v>
      </c>
      <c r="AX75" s="132">
        <f t="shared" ref="AX75:AX113" si="198">$AW$4/AW75</f>
        <v>21.916666666666668</v>
      </c>
      <c r="AY75" s="183">
        <f t="shared" si="152"/>
        <v>263</v>
      </c>
      <c r="AZ75" s="58">
        <v>0</v>
      </c>
      <c r="BA75" s="80">
        <f t="shared" si="181"/>
        <v>26</v>
      </c>
      <c r="BB75" s="132">
        <f t="shared" ref="BB75:BB107" si="199">$BA$4/BA75</f>
        <v>23.615384615384617</v>
      </c>
      <c r="BC75" s="183">
        <f t="shared" si="153"/>
        <v>0</v>
      </c>
      <c r="BD75" s="209">
        <v>18994</v>
      </c>
      <c r="BE75" s="58">
        <f t="shared" si="154"/>
        <v>15651.055999999999</v>
      </c>
      <c r="BF75" s="80">
        <f t="shared" si="182"/>
        <v>58</v>
      </c>
      <c r="BG75" s="132">
        <f t="shared" ref="BG75:BG107" si="200">$BF$4/BF75</f>
        <v>10.551724137931034</v>
      </c>
      <c r="BH75" s="183">
        <f t="shared" si="155"/>
        <v>165145.62537931031</v>
      </c>
      <c r="BI75" s="58">
        <f t="shared" si="156"/>
        <v>3342.944</v>
      </c>
      <c r="BJ75" s="80">
        <f t="shared" si="132"/>
        <v>102</v>
      </c>
      <c r="BK75" s="132">
        <f t="shared" ref="BK75:BK76" si="201">$BJ$4/BJ75</f>
        <v>6.3921568627450984</v>
      </c>
      <c r="BL75" s="183">
        <f t="shared" si="157"/>
        <v>21368.622431372551</v>
      </c>
      <c r="BM75" s="58">
        <v>37365</v>
      </c>
      <c r="BN75" s="80">
        <f t="shared" si="183"/>
        <v>20</v>
      </c>
      <c r="BO75" s="132">
        <f t="shared" ref="BO75:BO107" si="202">$BN$4/BN75</f>
        <v>25.45</v>
      </c>
      <c r="BP75" s="183">
        <f t="shared" si="158"/>
        <v>950939.25</v>
      </c>
      <c r="BQ75" s="58">
        <v>0</v>
      </c>
      <c r="BR75" s="209"/>
      <c r="BS75" s="58">
        <f t="shared" si="159"/>
        <v>0</v>
      </c>
      <c r="BT75" s="80">
        <f t="shared" si="184"/>
        <v>49</v>
      </c>
      <c r="BU75" s="132">
        <f t="shared" ref="BU75:BU107" si="203">$BT$4/BT75</f>
        <v>7.2448979591836737</v>
      </c>
      <c r="BV75" s="183">
        <f t="shared" si="160"/>
        <v>0</v>
      </c>
      <c r="BW75" s="195">
        <v>0</v>
      </c>
      <c r="BX75" s="80">
        <f t="shared" si="185"/>
        <v>25</v>
      </c>
      <c r="BY75" s="132">
        <f t="shared" ref="BY75:BY95" si="204">$BX$4/BX75</f>
        <v>29.2</v>
      </c>
      <c r="BZ75" s="212">
        <v>0</v>
      </c>
      <c r="CA75" s="195">
        <v>0</v>
      </c>
      <c r="CB75" s="195"/>
      <c r="CD75" s="212">
        <v>0</v>
      </c>
      <c r="CE75" s="58">
        <v>0</v>
      </c>
      <c r="CF75" s="209"/>
      <c r="CG75" s="58">
        <f t="shared" si="161"/>
        <v>0</v>
      </c>
      <c r="CH75" s="194">
        <f t="shared" si="162"/>
        <v>0</v>
      </c>
      <c r="CI75" s="58">
        <v>0</v>
      </c>
      <c r="CJ75" s="209"/>
      <c r="CK75" s="58">
        <f t="shared" si="163"/>
        <v>0</v>
      </c>
      <c r="CL75" s="80">
        <f t="shared" si="186"/>
        <v>21</v>
      </c>
      <c r="CM75" s="135">
        <f t="shared" ref="CM75:CM109" si="205">$CL$4/CL75</f>
        <v>24.761904761904763</v>
      </c>
      <c r="CN75" s="183">
        <f t="shared" si="141"/>
        <v>0</v>
      </c>
      <c r="CO75" s="58">
        <f t="shared" si="172"/>
        <v>0</v>
      </c>
      <c r="CP75" s="58"/>
      <c r="CQ75" s="58"/>
      <c r="CR75" s="195">
        <f t="shared" si="169"/>
        <v>0</v>
      </c>
      <c r="CS75" s="80">
        <f t="shared" si="187"/>
        <v>35</v>
      </c>
      <c r="CT75" s="327">
        <f t="shared" ref="CT75:CT107" si="206">$CS$4/CS75</f>
        <v>19.742857142857144</v>
      </c>
      <c r="CU75" s="183">
        <f t="shared" si="142"/>
        <v>0</v>
      </c>
      <c r="CV75" s="58">
        <v>2160</v>
      </c>
      <c r="CW75" s="80">
        <f t="shared" si="188"/>
        <v>21</v>
      </c>
      <c r="CX75" s="135">
        <f t="shared" ref="CX75:CX109" si="207">$CW$4/CW75</f>
        <v>24.761904761904763</v>
      </c>
      <c r="CY75" s="183">
        <f t="shared" si="164"/>
        <v>53485.71428571429</v>
      </c>
      <c r="CZ75" s="58">
        <v>0</v>
      </c>
      <c r="DA75" s="80">
        <f t="shared" si="189"/>
        <v>34</v>
      </c>
      <c r="DB75" s="327">
        <f t="shared" ref="DB75:DB109" si="208">$DA$4/DA75</f>
        <v>19.117647058823529</v>
      </c>
      <c r="DC75" s="183">
        <f t="shared" si="165"/>
        <v>0</v>
      </c>
      <c r="DD75" s="58">
        <v>0</v>
      </c>
      <c r="DE75" s="58">
        <v>0</v>
      </c>
      <c r="DF75" s="209"/>
      <c r="DG75" s="58">
        <f t="shared" si="166"/>
        <v>0</v>
      </c>
      <c r="DH75" s="58">
        <f t="shared" si="170"/>
        <v>0</v>
      </c>
      <c r="DI75" s="80">
        <f t="shared" si="190"/>
        <v>31</v>
      </c>
      <c r="DJ75" s="332">
        <f t="shared" ref="DJ75:DJ107" si="209">$DI$4/DI75</f>
        <v>28</v>
      </c>
      <c r="DK75" s="183">
        <f t="shared" si="143"/>
        <v>0</v>
      </c>
    </row>
    <row r="76" spans="1:115">
      <c r="A76" s="213">
        <v>1943</v>
      </c>
      <c r="B76" s="58">
        <v>3113</v>
      </c>
      <c r="C76" s="209"/>
      <c r="D76" s="58">
        <f t="shared" si="144"/>
        <v>3113</v>
      </c>
      <c r="E76" s="194">
        <f t="shared" si="145"/>
        <v>2179.1</v>
      </c>
      <c r="F76" s="58">
        <v>0</v>
      </c>
      <c r="G76" s="209"/>
      <c r="H76" s="209">
        <f t="shared" si="146"/>
        <v>0</v>
      </c>
      <c r="I76" s="214">
        <v>20</v>
      </c>
      <c r="J76" s="132">
        <f t="shared" si="191"/>
        <v>26</v>
      </c>
      <c r="K76" s="183">
        <f t="shared" si="147"/>
        <v>0</v>
      </c>
      <c r="L76" s="58">
        <v>14876</v>
      </c>
      <c r="M76" s="209"/>
      <c r="N76" s="209"/>
      <c r="O76" s="58">
        <f t="shared" si="148"/>
        <v>14876</v>
      </c>
      <c r="P76" s="80">
        <f t="shared" si="173"/>
        <v>19</v>
      </c>
      <c r="Q76" s="132">
        <f t="shared" si="192"/>
        <v>31.315789473684209</v>
      </c>
      <c r="R76" s="193">
        <f t="shared" si="174"/>
        <v>465853.68421052629</v>
      </c>
      <c r="S76" s="58">
        <v>0</v>
      </c>
      <c r="T76" s="209"/>
      <c r="U76" s="209"/>
      <c r="V76" s="58">
        <f t="shared" si="167"/>
        <v>0</v>
      </c>
      <c r="W76" s="80">
        <f t="shared" si="175"/>
        <v>26</v>
      </c>
      <c r="X76" s="132">
        <f t="shared" si="193"/>
        <v>23.46153846153846</v>
      </c>
      <c r="Y76" s="183">
        <f t="shared" si="149"/>
        <v>0</v>
      </c>
      <c r="Z76" s="58">
        <v>0</v>
      </c>
      <c r="AA76" s="80">
        <f t="shared" si="176"/>
        <v>23</v>
      </c>
      <c r="AB76" s="132">
        <f t="shared" si="194"/>
        <v>23.826086956521738</v>
      </c>
      <c r="AC76" s="183">
        <v>0</v>
      </c>
      <c r="AD76" s="58">
        <v>0</v>
      </c>
      <c r="AE76" s="80">
        <f t="shared" si="177"/>
        <v>26</v>
      </c>
      <c r="AF76" s="132">
        <f t="shared" si="195"/>
        <v>31.884615384615383</v>
      </c>
      <c r="AG76" s="183">
        <v>0</v>
      </c>
      <c r="AH76" s="58">
        <v>0</v>
      </c>
      <c r="AI76" s="209"/>
      <c r="AJ76" s="58">
        <f t="shared" si="168"/>
        <v>0</v>
      </c>
      <c r="AL76" s="173"/>
      <c r="AM76" s="183">
        <v>0</v>
      </c>
      <c r="AN76" s="58">
        <v>85738</v>
      </c>
      <c r="AO76" s="80">
        <f t="shared" si="178"/>
        <v>19</v>
      </c>
      <c r="AP76" s="132">
        <f t="shared" si="196"/>
        <v>29.894736842105264</v>
      </c>
      <c r="AQ76" s="183">
        <f t="shared" si="150"/>
        <v>2563114.9473684211</v>
      </c>
      <c r="AR76" s="58">
        <v>59858</v>
      </c>
      <c r="AS76" s="80">
        <f t="shared" si="179"/>
        <v>20</v>
      </c>
      <c r="AT76" s="132">
        <f t="shared" si="197"/>
        <v>34.200000000000003</v>
      </c>
      <c r="AU76" s="183">
        <f t="shared" si="151"/>
        <v>2047143.6</v>
      </c>
      <c r="AV76" s="58">
        <v>0</v>
      </c>
      <c r="AW76" s="80">
        <f t="shared" si="180"/>
        <v>23</v>
      </c>
      <c r="AX76" s="132">
        <f t="shared" si="198"/>
        <v>22.869565217391305</v>
      </c>
      <c r="AY76" s="183">
        <f t="shared" si="152"/>
        <v>0</v>
      </c>
      <c r="AZ76" s="58">
        <v>0</v>
      </c>
      <c r="BA76" s="80">
        <f t="shared" si="181"/>
        <v>28</v>
      </c>
      <c r="BB76" s="132">
        <f t="shared" si="199"/>
        <v>21.928571428571427</v>
      </c>
      <c r="BC76" s="183">
        <f t="shared" si="153"/>
        <v>0</v>
      </c>
      <c r="BD76" s="209">
        <v>0</v>
      </c>
      <c r="BE76" s="58">
        <f t="shared" si="154"/>
        <v>0</v>
      </c>
      <c r="BF76" s="80">
        <f t="shared" si="182"/>
        <v>58</v>
      </c>
      <c r="BG76" s="132">
        <f t="shared" si="200"/>
        <v>10.551724137931034</v>
      </c>
      <c r="BH76" s="183">
        <f t="shared" si="155"/>
        <v>0</v>
      </c>
      <c r="BI76" s="58">
        <f t="shared" si="156"/>
        <v>0</v>
      </c>
      <c r="BJ76" s="80">
        <f t="shared" si="132"/>
        <v>102</v>
      </c>
      <c r="BK76" s="132">
        <f t="shared" si="201"/>
        <v>6.3921568627450984</v>
      </c>
      <c r="BL76" s="183">
        <f t="shared" si="157"/>
        <v>0</v>
      </c>
      <c r="BM76" s="58">
        <v>21956</v>
      </c>
      <c r="BN76" s="80">
        <f t="shared" si="183"/>
        <v>20</v>
      </c>
      <c r="BO76" s="132">
        <f t="shared" si="202"/>
        <v>25.45</v>
      </c>
      <c r="BP76" s="183">
        <f t="shared" si="158"/>
        <v>558780.19999999995</v>
      </c>
      <c r="BQ76" s="58">
        <v>0</v>
      </c>
      <c r="BR76" s="209"/>
      <c r="BS76" s="58">
        <f t="shared" si="159"/>
        <v>0</v>
      </c>
      <c r="BT76" s="80">
        <f t="shared" si="184"/>
        <v>49</v>
      </c>
      <c r="BU76" s="132">
        <f t="shared" si="203"/>
        <v>7.2448979591836737</v>
      </c>
      <c r="BV76" s="183">
        <f t="shared" si="160"/>
        <v>0</v>
      </c>
      <c r="BW76" s="195">
        <v>0</v>
      </c>
      <c r="BX76" s="80">
        <f t="shared" si="185"/>
        <v>25</v>
      </c>
      <c r="BY76" s="132">
        <f t="shared" si="204"/>
        <v>29.2</v>
      </c>
      <c r="BZ76" s="212">
        <v>0</v>
      </c>
      <c r="CA76" s="195">
        <v>0</v>
      </c>
      <c r="CB76" s="195"/>
      <c r="CD76" s="212">
        <v>0</v>
      </c>
      <c r="CE76" s="58">
        <v>3113</v>
      </c>
      <c r="CF76" s="209"/>
      <c r="CG76" s="58">
        <f t="shared" si="161"/>
        <v>3113</v>
      </c>
      <c r="CH76" s="194">
        <f t="shared" si="162"/>
        <v>933.9</v>
      </c>
      <c r="CI76" s="58">
        <v>0</v>
      </c>
      <c r="CJ76" s="209"/>
      <c r="CK76" s="58">
        <f t="shared" si="163"/>
        <v>0</v>
      </c>
      <c r="CL76" s="80">
        <f t="shared" si="186"/>
        <v>20</v>
      </c>
      <c r="CM76" s="135">
        <f t="shared" si="205"/>
        <v>26</v>
      </c>
      <c r="CN76" s="183">
        <f t="shared" ref="CN76:CN107" si="210">CK76*CM76</f>
        <v>0</v>
      </c>
      <c r="CO76" s="58">
        <f t="shared" si="172"/>
        <v>0</v>
      </c>
      <c r="CP76" s="58"/>
      <c r="CQ76" s="58"/>
      <c r="CR76" s="195">
        <f t="shared" si="169"/>
        <v>0</v>
      </c>
      <c r="CS76" s="80">
        <f t="shared" si="187"/>
        <v>36</v>
      </c>
      <c r="CT76" s="327">
        <f t="shared" si="206"/>
        <v>19.194444444444443</v>
      </c>
      <c r="CU76" s="183">
        <f t="shared" ref="CU76:CU107" si="211">CR76*CT76</f>
        <v>0</v>
      </c>
      <c r="CV76" s="58">
        <v>5995</v>
      </c>
      <c r="CW76" s="80">
        <f t="shared" si="188"/>
        <v>20</v>
      </c>
      <c r="CX76" s="135">
        <f t="shared" si="207"/>
        <v>26</v>
      </c>
      <c r="CY76" s="183">
        <f t="shared" si="164"/>
        <v>155870</v>
      </c>
      <c r="CZ76" s="58">
        <v>0</v>
      </c>
      <c r="DA76" s="80">
        <f t="shared" si="189"/>
        <v>35</v>
      </c>
      <c r="DB76" s="327">
        <f t="shared" si="208"/>
        <v>18.571428571428573</v>
      </c>
      <c r="DC76" s="183">
        <f t="shared" si="165"/>
        <v>0</v>
      </c>
      <c r="DD76" s="58">
        <v>0</v>
      </c>
      <c r="DE76" s="58">
        <v>0</v>
      </c>
      <c r="DF76" s="209"/>
      <c r="DG76" s="58">
        <f t="shared" si="166"/>
        <v>0</v>
      </c>
      <c r="DH76" s="58">
        <f t="shared" si="170"/>
        <v>0</v>
      </c>
      <c r="DI76" s="80">
        <f t="shared" si="190"/>
        <v>32</v>
      </c>
      <c r="DJ76" s="332">
        <f t="shared" si="209"/>
        <v>27.125</v>
      </c>
      <c r="DK76" s="183">
        <f t="shared" ref="DK76:DK107" si="212">DH76*DJ76</f>
        <v>0</v>
      </c>
    </row>
    <row r="77" spans="1:115">
      <c r="A77" s="213">
        <v>1942</v>
      </c>
      <c r="B77" s="58">
        <v>0</v>
      </c>
      <c r="C77" s="209"/>
      <c r="D77" s="58">
        <f t="shared" si="144"/>
        <v>0</v>
      </c>
      <c r="E77" s="194">
        <f t="shared" si="145"/>
        <v>0</v>
      </c>
      <c r="F77" s="58">
        <v>0</v>
      </c>
      <c r="G77" s="209"/>
      <c r="H77" s="209">
        <f t="shared" si="146"/>
        <v>0</v>
      </c>
      <c r="I77" s="214">
        <v>20</v>
      </c>
      <c r="J77" s="132">
        <f t="shared" si="191"/>
        <v>26</v>
      </c>
      <c r="K77" s="183">
        <f t="shared" si="147"/>
        <v>0</v>
      </c>
      <c r="L77" s="58">
        <v>73728</v>
      </c>
      <c r="M77" s="209"/>
      <c r="N77" s="209"/>
      <c r="O77" s="58">
        <f t="shared" si="148"/>
        <v>73728</v>
      </c>
      <c r="P77" s="80">
        <f t="shared" si="173"/>
        <v>18</v>
      </c>
      <c r="Q77" s="132">
        <f t="shared" si="192"/>
        <v>33.055555555555557</v>
      </c>
      <c r="R77" s="193">
        <f t="shared" si="174"/>
        <v>2437120</v>
      </c>
      <c r="S77" s="58">
        <v>114213</v>
      </c>
      <c r="T77" s="209"/>
      <c r="U77" s="209"/>
      <c r="V77" s="58">
        <f t="shared" si="167"/>
        <v>114213</v>
      </c>
      <c r="W77" s="80">
        <f t="shared" si="175"/>
        <v>25</v>
      </c>
      <c r="X77" s="132">
        <f t="shared" si="193"/>
        <v>24.4</v>
      </c>
      <c r="Y77" s="183">
        <f t="shared" si="149"/>
        <v>2786797.1999999997</v>
      </c>
      <c r="Z77" s="58">
        <v>0</v>
      </c>
      <c r="AA77" s="80">
        <f t="shared" si="176"/>
        <v>22</v>
      </c>
      <c r="AB77" s="132">
        <f t="shared" si="194"/>
        <v>24.90909090909091</v>
      </c>
      <c r="AC77" s="183">
        <v>0</v>
      </c>
      <c r="AD77" s="58">
        <v>0</v>
      </c>
      <c r="AE77" s="80">
        <f t="shared" si="177"/>
        <v>26</v>
      </c>
      <c r="AF77" s="132">
        <f t="shared" si="195"/>
        <v>31.884615384615383</v>
      </c>
      <c r="AG77" s="183">
        <v>0</v>
      </c>
      <c r="AH77" s="58">
        <v>0</v>
      </c>
      <c r="AI77" s="209"/>
      <c r="AJ77" s="58">
        <f t="shared" si="168"/>
        <v>0</v>
      </c>
      <c r="AL77" s="173"/>
      <c r="AM77" s="183">
        <v>0</v>
      </c>
      <c r="AN77" s="58">
        <v>184819</v>
      </c>
      <c r="AO77" s="80">
        <f t="shared" si="178"/>
        <v>18</v>
      </c>
      <c r="AP77" s="132">
        <f t="shared" si="196"/>
        <v>31.555555555555557</v>
      </c>
      <c r="AQ77" s="183">
        <f t="shared" si="150"/>
        <v>5832066.2222222229</v>
      </c>
      <c r="AR77" s="58">
        <v>113365</v>
      </c>
      <c r="AS77" s="80">
        <f t="shared" si="179"/>
        <v>20</v>
      </c>
      <c r="AT77" s="132">
        <f t="shared" si="197"/>
        <v>34.200000000000003</v>
      </c>
      <c r="AU77" s="183">
        <f t="shared" si="151"/>
        <v>3877083.0000000005</v>
      </c>
      <c r="AV77" s="58">
        <v>0</v>
      </c>
      <c r="AW77" s="80">
        <f t="shared" si="180"/>
        <v>23</v>
      </c>
      <c r="AX77" s="132">
        <f t="shared" si="198"/>
        <v>22.869565217391305</v>
      </c>
      <c r="AY77" s="183">
        <f t="shared" si="152"/>
        <v>0</v>
      </c>
      <c r="AZ77" s="58">
        <v>0</v>
      </c>
      <c r="BA77" s="80">
        <f t="shared" si="181"/>
        <v>28</v>
      </c>
      <c r="BB77" s="132">
        <f t="shared" si="199"/>
        <v>21.928571428571427</v>
      </c>
      <c r="BC77" s="183">
        <f t="shared" si="153"/>
        <v>0</v>
      </c>
      <c r="BD77" s="209">
        <v>0</v>
      </c>
      <c r="BE77" s="58">
        <f t="shared" si="154"/>
        <v>0</v>
      </c>
      <c r="BF77" s="80">
        <f t="shared" si="182"/>
        <v>63</v>
      </c>
      <c r="BG77" s="132">
        <f t="shared" si="200"/>
        <v>9.7142857142857135</v>
      </c>
      <c r="BH77" s="183">
        <v>0</v>
      </c>
      <c r="BI77" s="58">
        <f t="shared" si="156"/>
        <v>0</v>
      </c>
      <c r="BJ77" s="58"/>
      <c r="BK77" s="173"/>
      <c r="BL77" s="183">
        <v>0</v>
      </c>
      <c r="BM77" s="58">
        <v>24723</v>
      </c>
      <c r="BN77" s="80">
        <f t="shared" si="183"/>
        <v>19</v>
      </c>
      <c r="BO77" s="132">
        <f t="shared" si="202"/>
        <v>26.789473684210527</v>
      </c>
      <c r="BP77" s="183">
        <f t="shared" si="158"/>
        <v>662316.15789473685</v>
      </c>
      <c r="BQ77" s="58">
        <v>0</v>
      </c>
      <c r="BR77" s="209"/>
      <c r="BS77" s="58">
        <f t="shared" si="159"/>
        <v>0</v>
      </c>
      <c r="BT77" s="80">
        <f t="shared" si="184"/>
        <v>49</v>
      </c>
      <c r="BU77" s="132">
        <f t="shared" si="203"/>
        <v>7.2448979591836737</v>
      </c>
      <c r="BV77" s="183">
        <f t="shared" si="160"/>
        <v>0</v>
      </c>
      <c r="BW77" s="195">
        <v>0</v>
      </c>
      <c r="BX77" s="80">
        <f t="shared" si="185"/>
        <v>25</v>
      </c>
      <c r="BY77" s="132">
        <f t="shared" si="204"/>
        <v>29.2</v>
      </c>
      <c r="BZ77" s="212">
        <v>0</v>
      </c>
      <c r="CA77" s="195">
        <v>0</v>
      </c>
      <c r="CB77" s="195"/>
      <c r="CD77" s="212">
        <v>0</v>
      </c>
      <c r="CE77" s="58">
        <v>0</v>
      </c>
      <c r="CF77" s="209"/>
      <c r="CG77" s="58">
        <f t="shared" si="161"/>
        <v>0</v>
      </c>
      <c r="CH77" s="194">
        <f t="shared" si="162"/>
        <v>0</v>
      </c>
      <c r="CI77" s="58">
        <v>953</v>
      </c>
      <c r="CJ77" s="209"/>
      <c r="CK77" s="58">
        <f t="shared" si="163"/>
        <v>953</v>
      </c>
      <c r="CL77" s="80">
        <f t="shared" si="186"/>
        <v>20</v>
      </c>
      <c r="CM77" s="135">
        <f t="shared" si="205"/>
        <v>26</v>
      </c>
      <c r="CN77" s="183">
        <f t="shared" si="210"/>
        <v>24778</v>
      </c>
      <c r="CO77" s="58">
        <f t="shared" si="172"/>
        <v>0</v>
      </c>
      <c r="CP77" s="58"/>
      <c r="CQ77" s="58"/>
      <c r="CR77" s="195">
        <f t="shared" si="169"/>
        <v>0</v>
      </c>
      <c r="CS77" s="80">
        <f t="shared" si="187"/>
        <v>37</v>
      </c>
      <c r="CT77" s="327">
        <f t="shared" si="206"/>
        <v>18.675675675675677</v>
      </c>
      <c r="CU77" s="183">
        <f t="shared" si="211"/>
        <v>0</v>
      </c>
      <c r="CV77" s="58">
        <v>10077</v>
      </c>
      <c r="CW77" s="80">
        <f t="shared" si="188"/>
        <v>20</v>
      </c>
      <c r="CX77" s="135">
        <f t="shared" si="207"/>
        <v>26</v>
      </c>
      <c r="CY77" s="183">
        <f t="shared" si="164"/>
        <v>262002</v>
      </c>
      <c r="CZ77" s="58">
        <v>0</v>
      </c>
      <c r="DA77" s="80">
        <f t="shared" si="189"/>
        <v>35</v>
      </c>
      <c r="DB77" s="327">
        <f t="shared" si="208"/>
        <v>18.571428571428573</v>
      </c>
      <c r="DC77" s="183">
        <f t="shared" si="165"/>
        <v>0</v>
      </c>
      <c r="DD77" s="58">
        <v>0</v>
      </c>
      <c r="DE77" s="58">
        <v>0</v>
      </c>
      <c r="DF77" s="209"/>
      <c r="DG77" s="58">
        <f t="shared" si="166"/>
        <v>0</v>
      </c>
      <c r="DH77" s="58">
        <f t="shared" si="170"/>
        <v>0</v>
      </c>
      <c r="DI77" s="80">
        <f t="shared" si="190"/>
        <v>32</v>
      </c>
      <c r="DJ77" s="332">
        <f t="shared" si="209"/>
        <v>27.125</v>
      </c>
      <c r="DK77" s="183">
        <f t="shared" si="212"/>
        <v>0</v>
      </c>
    </row>
    <row r="78" spans="1:115">
      <c r="A78" s="213">
        <v>1941</v>
      </c>
      <c r="B78" s="58">
        <v>3074</v>
      </c>
      <c r="C78" s="209"/>
      <c r="D78" s="58">
        <f t="shared" si="144"/>
        <v>3074</v>
      </c>
      <c r="E78" s="194">
        <f t="shared" si="145"/>
        <v>2151.7999999999997</v>
      </c>
      <c r="F78" s="58">
        <v>179</v>
      </c>
      <c r="G78" s="209"/>
      <c r="H78" s="209">
        <f t="shared" si="146"/>
        <v>179</v>
      </c>
      <c r="I78" s="214">
        <v>19</v>
      </c>
      <c r="J78" s="132">
        <f t="shared" si="191"/>
        <v>27.368421052631579</v>
      </c>
      <c r="K78" s="183">
        <f t="shared" si="147"/>
        <v>4898.9473684210525</v>
      </c>
      <c r="L78" s="58">
        <v>2007</v>
      </c>
      <c r="M78" s="209"/>
      <c r="N78" s="209"/>
      <c r="O78" s="58">
        <f t="shared" si="148"/>
        <v>2007</v>
      </c>
      <c r="P78" s="80">
        <f t="shared" si="173"/>
        <v>17</v>
      </c>
      <c r="Q78" s="132">
        <f t="shared" si="192"/>
        <v>35</v>
      </c>
      <c r="R78" s="193">
        <f t="shared" si="174"/>
        <v>70245</v>
      </c>
      <c r="S78" s="58">
        <v>46</v>
      </c>
      <c r="T78" s="209"/>
      <c r="U78" s="209"/>
      <c r="V78" s="58">
        <f t="shared" si="167"/>
        <v>46</v>
      </c>
      <c r="W78" s="80">
        <f t="shared" si="175"/>
        <v>23</v>
      </c>
      <c r="X78" s="132">
        <f t="shared" si="193"/>
        <v>26.521739130434781</v>
      </c>
      <c r="Y78" s="183">
        <f t="shared" si="149"/>
        <v>1220</v>
      </c>
      <c r="Z78" s="58">
        <v>0</v>
      </c>
      <c r="AA78" s="80">
        <f t="shared" si="176"/>
        <v>21</v>
      </c>
      <c r="AB78" s="132">
        <f t="shared" si="194"/>
        <v>26.095238095238095</v>
      </c>
      <c r="AC78" s="183">
        <v>0</v>
      </c>
      <c r="AD78" s="58">
        <v>0</v>
      </c>
      <c r="AE78" s="80">
        <f t="shared" si="177"/>
        <v>25</v>
      </c>
      <c r="AF78" s="132">
        <f t="shared" si="195"/>
        <v>33.159999999999997</v>
      </c>
      <c r="AG78" s="183">
        <v>0</v>
      </c>
      <c r="AH78" s="58">
        <v>0</v>
      </c>
      <c r="AI78" s="209"/>
      <c r="AJ78" s="58">
        <f t="shared" si="168"/>
        <v>0</v>
      </c>
      <c r="AL78" s="173"/>
      <c r="AM78" s="183">
        <v>0</v>
      </c>
      <c r="AN78" s="58">
        <v>119413</v>
      </c>
      <c r="AO78" s="80">
        <f t="shared" si="178"/>
        <v>17</v>
      </c>
      <c r="AP78" s="132">
        <f t="shared" si="196"/>
        <v>33.411764705882355</v>
      </c>
      <c r="AQ78" s="183">
        <f t="shared" si="150"/>
        <v>3989799.0588235296</v>
      </c>
      <c r="AR78" s="58">
        <v>133384</v>
      </c>
      <c r="AS78" s="80">
        <f t="shared" si="179"/>
        <v>18</v>
      </c>
      <c r="AT78" s="132">
        <f t="shared" si="197"/>
        <v>38</v>
      </c>
      <c r="AU78" s="183">
        <f t="shared" si="151"/>
        <v>5068592</v>
      </c>
      <c r="AV78" s="58">
        <v>3217</v>
      </c>
      <c r="AW78" s="80">
        <f t="shared" si="180"/>
        <v>21</v>
      </c>
      <c r="AX78" s="132">
        <f t="shared" si="198"/>
        <v>25.047619047619047</v>
      </c>
      <c r="AY78" s="183">
        <f t="shared" si="152"/>
        <v>80578.190476190473</v>
      </c>
      <c r="AZ78" s="58">
        <v>0</v>
      </c>
      <c r="BA78" s="80">
        <f t="shared" si="181"/>
        <v>26</v>
      </c>
      <c r="BB78" s="132">
        <f t="shared" si="199"/>
        <v>23.615384615384617</v>
      </c>
      <c r="BC78" s="183">
        <f t="shared" si="153"/>
        <v>0</v>
      </c>
      <c r="BD78" s="209">
        <v>0</v>
      </c>
      <c r="BE78" s="58">
        <f t="shared" si="154"/>
        <v>0</v>
      </c>
      <c r="BF78" s="80">
        <f t="shared" si="182"/>
        <v>63</v>
      </c>
      <c r="BG78" s="132">
        <f t="shared" si="200"/>
        <v>9.7142857142857135</v>
      </c>
      <c r="BH78" s="183">
        <v>0</v>
      </c>
      <c r="BI78" s="58">
        <f t="shared" si="156"/>
        <v>0</v>
      </c>
      <c r="BJ78" s="58"/>
      <c r="BK78" s="173"/>
      <c r="BL78" s="183">
        <v>0</v>
      </c>
      <c r="BM78" s="58">
        <v>62691</v>
      </c>
      <c r="BN78" s="80">
        <f t="shared" si="183"/>
        <v>17</v>
      </c>
      <c r="BO78" s="132">
        <f t="shared" si="202"/>
        <v>29.941176470588236</v>
      </c>
      <c r="BP78" s="183">
        <f t="shared" si="158"/>
        <v>1877042.294117647</v>
      </c>
      <c r="BQ78" s="58">
        <v>0</v>
      </c>
      <c r="BR78" s="209"/>
      <c r="BS78" s="58">
        <f t="shared" si="159"/>
        <v>0</v>
      </c>
      <c r="BT78" s="80">
        <f t="shared" si="184"/>
        <v>48</v>
      </c>
      <c r="BU78" s="132">
        <f t="shared" si="203"/>
        <v>7.395833333333333</v>
      </c>
      <c r="BV78" s="183">
        <f t="shared" si="160"/>
        <v>0</v>
      </c>
      <c r="BW78" s="195">
        <v>0</v>
      </c>
      <c r="BX78" s="80">
        <f t="shared" si="185"/>
        <v>24</v>
      </c>
      <c r="BY78" s="132">
        <f t="shared" si="204"/>
        <v>30.416666666666668</v>
      </c>
      <c r="BZ78" s="212">
        <v>0</v>
      </c>
      <c r="CA78" s="195">
        <v>0</v>
      </c>
      <c r="CB78" s="195"/>
      <c r="CD78" s="212">
        <v>0</v>
      </c>
      <c r="CE78" s="58">
        <v>3074</v>
      </c>
      <c r="CF78" s="209"/>
      <c r="CG78" s="58">
        <f t="shared" si="161"/>
        <v>3074</v>
      </c>
      <c r="CH78" s="194">
        <f t="shared" si="162"/>
        <v>922.19999999999993</v>
      </c>
      <c r="CI78" s="58">
        <v>14900</v>
      </c>
      <c r="CJ78" s="209"/>
      <c r="CK78" s="58">
        <f t="shared" si="163"/>
        <v>14900</v>
      </c>
      <c r="CL78" s="80">
        <f t="shared" si="186"/>
        <v>19</v>
      </c>
      <c r="CM78" s="135">
        <f t="shared" si="205"/>
        <v>27.368421052631579</v>
      </c>
      <c r="CN78" s="183">
        <f t="shared" si="210"/>
        <v>407789.4736842105</v>
      </c>
      <c r="CO78" s="58">
        <f t="shared" si="172"/>
        <v>0</v>
      </c>
      <c r="CP78" s="58"/>
      <c r="CQ78" s="58"/>
      <c r="CR78" s="195">
        <f t="shared" si="169"/>
        <v>0</v>
      </c>
      <c r="CS78" s="80">
        <f t="shared" si="187"/>
        <v>36</v>
      </c>
      <c r="CT78" s="327">
        <f t="shared" si="206"/>
        <v>19.194444444444443</v>
      </c>
      <c r="CU78" s="183">
        <f t="shared" si="211"/>
        <v>0</v>
      </c>
      <c r="CV78" s="58">
        <v>1234</v>
      </c>
      <c r="CW78" s="80">
        <f t="shared" si="188"/>
        <v>19</v>
      </c>
      <c r="CX78" s="135">
        <f t="shared" si="207"/>
        <v>27.368421052631579</v>
      </c>
      <c r="CY78" s="183">
        <f t="shared" si="164"/>
        <v>33772.631578947367</v>
      </c>
      <c r="CZ78" s="58">
        <v>0</v>
      </c>
      <c r="DA78" s="80">
        <f t="shared" si="189"/>
        <v>33</v>
      </c>
      <c r="DB78" s="327">
        <f t="shared" si="208"/>
        <v>19.696969696969695</v>
      </c>
      <c r="DC78" s="183">
        <f t="shared" si="165"/>
        <v>0</v>
      </c>
      <c r="DD78" s="58">
        <v>0</v>
      </c>
      <c r="DE78" s="58">
        <v>0</v>
      </c>
      <c r="DF78" s="209"/>
      <c r="DG78" s="58">
        <f t="shared" si="166"/>
        <v>0</v>
      </c>
      <c r="DH78" s="58">
        <f t="shared" si="170"/>
        <v>0</v>
      </c>
      <c r="DI78" s="80">
        <f t="shared" si="190"/>
        <v>31</v>
      </c>
      <c r="DJ78" s="332">
        <f t="shared" si="209"/>
        <v>28</v>
      </c>
      <c r="DK78" s="183">
        <f t="shared" si="212"/>
        <v>0</v>
      </c>
    </row>
    <row r="79" spans="1:115">
      <c r="A79" s="213">
        <v>1940</v>
      </c>
      <c r="B79" s="58">
        <v>12858</v>
      </c>
      <c r="C79" s="209"/>
      <c r="D79" s="58">
        <f t="shared" si="144"/>
        <v>12858</v>
      </c>
      <c r="E79" s="194">
        <f t="shared" si="145"/>
        <v>9000.5999999999985</v>
      </c>
      <c r="F79" s="58">
        <v>0</v>
      </c>
      <c r="G79" s="209"/>
      <c r="H79" s="209">
        <f t="shared" si="146"/>
        <v>0</v>
      </c>
      <c r="I79" s="214">
        <v>17</v>
      </c>
      <c r="J79" s="132">
        <f t="shared" si="191"/>
        <v>30.588235294117649</v>
      </c>
      <c r="K79" s="183">
        <f t="shared" si="147"/>
        <v>0</v>
      </c>
      <c r="L79" s="58">
        <v>6498</v>
      </c>
      <c r="M79" s="209"/>
      <c r="N79" s="209"/>
      <c r="O79" s="58">
        <f t="shared" si="148"/>
        <v>6498</v>
      </c>
      <c r="P79" s="80">
        <f t="shared" si="173"/>
        <v>15</v>
      </c>
      <c r="Q79" s="132">
        <f t="shared" si="192"/>
        <v>39.666666666666664</v>
      </c>
      <c r="R79" s="193">
        <f t="shared" si="174"/>
        <v>257753.99999999997</v>
      </c>
      <c r="S79" s="58">
        <v>29055</v>
      </c>
      <c r="T79" s="209"/>
      <c r="U79" s="209"/>
      <c r="V79" s="58">
        <f t="shared" si="167"/>
        <v>29055</v>
      </c>
      <c r="W79" s="80">
        <f t="shared" si="175"/>
        <v>22</v>
      </c>
      <c r="X79" s="132">
        <f t="shared" si="193"/>
        <v>27.727272727272727</v>
      </c>
      <c r="Y79" s="183">
        <f t="shared" si="149"/>
        <v>805615.90909090906</v>
      </c>
      <c r="Z79" s="58">
        <v>0</v>
      </c>
      <c r="AA79" s="80">
        <f t="shared" si="176"/>
        <v>19</v>
      </c>
      <c r="AB79" s="132">
        <f t="shared" si="194"/>
        <v>28.842105263157894</v>
      </c>
      <c r="AC79" s="183">
        <v>0</v>
      </c>
      <c r="AD79" s="58">
        <v>0</v>
      </c>
      <c r="AE79" s="80">
        <f t="shared" si="177"/>
        <v>22</v>
      </c>
      <c r="AF79" s="132">
        <f t="shared" si="195"/>
        <v>37.68181818181818</v>
      </c>
      <c r="AG79" s="183">
        <v>0</v>
      </c>
      <c r="AH79" s="58">
        <v>0</v>
      </c>
      <c r="AI79" s="209"/>
      <c r="AJ79" s="58">
        <f t="shared" si="168"/>
        <v>0</v>
      </c>
      <c r="AL79" s="173"/>
      <c r="AM79" s="183">
        <v>0</v>
      </c>
      <c r="AN79" s="58">
        <v>35700</v>
      </c>
      <c r="AO79" s="80">
        <f t="shared" si="178"/>
        <v>15</v>
      </c>
      <c r="AP79" s="132">
        <f t="shared" si="196"/>
        <v>37.866666666666667</v>
      </c>
      <c r="AQ79" s="183">
        <f t="shared" si="150"/>
        <v>1351840</v>
      </c>
      <c r="AR79" s="58">
        <v>381839</v>
      </c>
      <c r="AS79" s="80">
        <f t="shared" si="179"/>
        <v>17</v>
      </c>
      <c r="AT79" s="132">
        <f t="shared" si="197"/>
        <v>40.235294117647058</v>
      </c>
      <c r="AU79" s="183">
        <f t="shared" si="151"/>
        <v>15363404.470588235</v>
      </c>
      <c r="AV79" s="58">
        <v>4383</v>
      </c>
      <c r="AW79" s="80">
        <f t="shared" si="180"/>
        <v>20</v>
      </c>
      <c r="AX79" s="132">
        <f t="shared" si="198"/>
        <v>26.3</v>
      </c>
      <c r="AY79" s="183">
        <f t="shared" si="152"/>
        <v>115272.90000000001</v>
      </c>
      <c r="AZ79" s="58">
        <v>0</v>
      </c>
      <c r="BA79" s="80">
        <f t="shared" si="181"/>
        <v>23</v>
      </c>
      <c r="BB79" s="132">
        <f t="shared" si="199"/>
        <v>26.695652173913043</v>
      </c>
      <c r="BC79" s="183">
        <f t="shared" si="153"/>
        <v>0</v>
      </c>
      <c r="BD79" s="209">
        <v>0</v>
      </c>
      <c r="BE79" s="58">
        <f t="shared" si="154"/>
        <v>0</v>
      </c>
      <c r="BF79" s="80">
        <f t="shared" si="182"/>
        <v>61</v>
      </c>
      <c r="BG79" s="132">
        <f t="shared" si="200"/>
        <v>10.032786885245901</v>
      </c>
      <c r="BH79" s="183">
        <v>0</v>
      </c>
      <c r="BI79" s="58">
        <f t="shared" si="156"/>
        <v>0</v>
      </c>
      <c r="BJ79" s="58"/>
      <c r="BK79" s="173"/>
      <c r="BL79" s="183">
        <v>0</v>
      </c>
      <c r="BM79" s="58">
        <v>49795</v>
      </c>
      <c r="BN79" s="80">
        <f t="shared" si="183"/>
        <v>17</v>
      </c>
      <c r="BO79" s="132">
        <f t="shared" si="202"/>
        <v>29.941176470588236</v>
      </c>
      <c r="BP79" s="183">
        <f t="shared" si="158"/>
        <v>1490920.8823529412</v>
      </c>
      <c r="BQ79" s="58">
        <v>0</v>
      </c>
      <c r="BR79" s="209"/>
      <c r="BS79" s="58">
        <f t="shared" si="159"/>
        <v>0</v>
      </c>
      <c r="BT79" s="80">
        <f t="shared" si="184"/>
        <v>48</v>
      </c>
      <c r="BU79" s="132">
        <f t="shared" si="203"/>
        <v>7.395833333333333</v>
      </c>
      <c r="BV79" s="183">
        <f t="shared" si="160"/>
        <v>0</v>
      </c>
      <c r="BW79" s="195">
        <v>0</v>
      </c>
      <c r="BX79" s="80">
        <f t="shared" si="185"/>
        <v>23</v>
      </c>
      <c r="BY79" s="132">
        <f t="shared" si="204"/>
        <v>31.739130434782609</v>
      </c>
      <c r="BZ79" s="212">
        <v>0</v>
      </c>
      <c r="CA79" s="195">
        <v>0</v>
      </c>
      <c r="CB79" s="195"/>
      <c r="CD79" s="212">
        <v>0</v>
      </c>
      <c r="CE79" s="58">
        <v>12858</v>
      </c>
      <c r="CF79" s="209"/>
      <c r="CG79" s="58">
        <f t="shared" si="161"/>
        <v>12858</v>
      </c>
      <c r="CH79" s="194">
        <f t="shared" si="162"/>
        <v>3857.3999999999996</v>
      </c>
      <c r="CI79" s="58">
        <v>12749</v>
      </c>
      <c r="CJ79" s="209"/>
      <c r="CK79" s="58">
        <f t="shared" si="163"/>
        <v>12749</v>
      </c>
      <c r="CL79" s="80">
        <f t="shared" si="186"/>
        <v>17</v>
      </c>
      <c r="CM79" s="135">
        <f t="shared" si="205"/>
        <v>30.588235294117649</v>
      </c>
      <c r="CN79" s="183">
        <f t="shared" si="210"/>
        <v>389969.4117647059</v>
      </c>
      <c r="CO79" s="58">
        <f t="shared" si="172"/>
        <v>0</v>
      </c>
      <c r="CP79" s="58"/>
      <c r="CQ79" s="58"/>
      <c r="CR79" s="195">
        <f t="shared" si="169"/>
        <v>0</v>
      </c>
      <c r="CS79" s="80">
        <f t="shared" si="187"/>
        <v>35</v>
      </c>
      <c r="CT79" s="327">
        <f t="shared" si="206"/>
        <v>19.742857142857144</v>
      </c>
      <c r="CU79" s="183">
        <f t="shared" si="211"/>
        <v>0</v>
      </c>
      <c r="CV79" s="58">
        <v>0</v>
      </c>
      <c r="CW79" s="80">
        <f t="shared" si="188"/>
        <v>17</v>
      </c>
      <c r="CX79" s="135">
        <f t="shared" si="207"/>
        <v>30.588235294117649</v>
      </c>
      <c r="CY79" s="183">
        <f t="shared" si="164"/>
        <v>0</v>
      </c>
      <c r="CZ79" s="58">
        <v>0</v>
      </c>
      <c r="DA79" s="80">
        <f t="shared" si="189"/>
        <v>32</v>
      </c>
      <c r="DB79" s="327">
        <f t="shared" si="208"/>
        <v>20.3125</v>
      </c>
      <c r="DC79" s="183">
        <f t="shared" si="165"/>
        <v>0</v>
      </c>
      <c r="DD79" s="58">
        <v>0</v>
      </c>
      <c r="DE79" s="58">
        <v>0</v>
      </c>
      <c r="DF79" s="209"/>
      <c r="DG79" s="58">
        <f t="shared" si="166"/>
        <v>0</v>
      </c>
      <c r="DH79" s="58">
        <f t="shared" si="170"/>
        <v>0</v>
      </c>
      <c r="DI79" s="80">
        <f t="shared" si="190"/>
        <v>30</v>
      </c>
      <c r="DJ79" s="332">
        <f t="shared" si="209"/>
        <v>28.933333333333334</v>
      </c>
      <c r="DK79" s="183">
        <f t="shared" si="212"/>
        <v>0</v>
      </c>
    </row>
    <row r="80" spans="1:115">
      <c r="A80" s="213">
        <v>1939</v>
      </c>
      <c r="B80" s="58">
        <v>305</v>
      </c>
      <c r="C80" s="209"/>
      <c r="D80" s="58">
        <f t="shared" si="144"/>
        <v>305</v>
      </c>
      <c r="E80" s="194">
        <f t="shared" si="145"/>
        <v>213.5</v>
      </c>
      <c r="F80" s="58">
        <v>0</v>
      </c>
      <c r="G80" s="209"/>
      <c r="H80" s="209">
        <f t="shared" si="146"/>
        <v>0</v>
      </c>
      <c r="I80" s="214">
        <v>17</v>
      </c>
      <c r="J80" s="132">
        <f t="shared" si="191"/>
        <v>30.588235294117649</v>
      </c>
      <c r="K80" s="183">
        <f t="shared" si="147"/>
        <v>0</v>
      </c>
      <c r="L80" s="58">
        <v>5042</v>
      </c>
      <c r="M80" s="209"/>
      <c r="N80" s="209"/>
      <c r="O80" s="58">
        <f t="shared" si="148"/>
        <v>5042</v>
      </c>
      <c r="P80" s="80">
        <f t="shared" si="173"/>
        <v>15</v>
      </c>
      <c r="Q80" s="132">
        <f t="shared" si="192"/>
        <v>39.666666666666664</v>
      </c>
      <c r="R80" s="193">
        <f t="shared" si="174"/>
        <v>199999.33333333331</v>
      </c>
      <c r="S80" s="58">
        <v>0</v>
      </c>
      <c r="T80" s="209"/>
      <c r="U80" s="209"/>
      <c r="V80" s="58">
        <f t="shared" si="167"/>
        <v>0</v>
      </c>
      <c r="W80" s="80">
        <f t="shared" si="175"/>
        <v>22</v>
      </c>
      <c r="X80" s="132">
        <f t="shared" si="193"/>
        <v>27.727272727272727</v>
      </c>
      <c r="Y80" s="183">
        <f t="shared" si="149"/>
        <v>0</v>
      </c>
      <c r="Z80" s="58">
        <v>0</v>
      </c>
      <c r="AA80" s="80">
        <f t="shared" si="176"/>
        <v>19</v>
      </c>
      <c r="AB80" s="132">
        <f t="shared" si="194"/>
        <v>28.842105263157894</v>
      </c>
      <c r="AC80" s="183">
        <v>0</v>
      </c>
      <c r="AD80" s="58">
        <v>0</v>
      </c>
      <c r="AE80" s="80">
        <f t="shared" si="177"/>
        <v>22</v>
      </c>
      <c r="AF80" s="132">
        <f t="shared" si="195"/>
        <v>37.68181818181818</v>
      </c>
      <c r="AG80" s="183">
        <v>0</v>
      </c>
      <c r="AH80" s="58">
        <v>0</v>
      </c>
      <c r="AI80" s="209"/>
      <c r="AJ80" s="58">
        <f t="shared" si="168"/>
        <v>0</v>
      </c>
      <c r="AL80" s="173"/>
      <c r="AM80" s="183">
        <v>0</v>
      </c>
      <c r="AN80" s="58">
        <v>0</v>
      </c>
      <c r="AO80" s="80">
        <f t="shared" si="178"/>
        <v>15</v>
      </c>
      <c r="AP80" s="132">
        <f t="shared" si="196"/>
        <v>37.866666666666667</v>
      </c>
      <c r="AQ80" s="183">
        <f t="shared" si="150"/>
        <v>0</v>
      </c>
      <c r="AR80" s="58">
        <v>122200</v>
      </c>
      <c r="AS80" s="80">
        <f t="shared" si="179"/>
        <v>17</v>
      </c>
      <c r="AT80" s="132">
        <f t="shared" si="197"/>
        <v>40.235294117647058</v>
      </c>
      <c r="AU80" s="183">
        <f t="shared" si="151"/>
        <v>4916752.9411764704</v>
      </c>
      <c r="AV80" s="58">
        <v>14</v>
      </c>
      <c r="AW80" s="80">
        <f t="shared" si="180"/>
        <v>20</v>
      </c>
      <c r="AX80" s="132">
        <f t="shared" si="198"/>
        <v>26.3</v>
      </c>
      <c r="AY80" s="183">
        <f t="shared" si="152"/>
        <v>368.2</v>
      </c>
      <c r="AZ80" s="58">
        <v>0</v>
      </c>
      <c r="BA80" s="80">
        <f t="shared" si="181"/>
        <v>23</v>
      </c>
      <c r="BB80" s="132">
        <f t="shared" si="199"/>
        <v>26.695652173913043</v>
      </c>
      <c r="BC80" s="183">
        <f t="shared" si="153"/>
        <v>0</v>
      </c>
      <c r="BD80" s="209">
        <v>0</v>
      </c>
      <c r="BE80" s="58">
        <f t="shared" si="154"/>
        <v>0</v>
      </c>
      <c r="BF80" s="80">
        <f t="shared" si="182"/>
        <v>61</v>
      </c>
      <c r="BG80" s="132">
        <f t="shared" si="200"/>
        <v>10.032786885245901</v>
      </c>
      <c r="BH80" s="183">
        <v>0</v>
      </c>
      <c r="BI80" s="58">
        <f t="shared" si="156"/>
        <v>0</v>
      </c>
      <c r="BJ80" s="58"/>
      <c r="BK80" s="173"/>
      <c r="BL80" s="183">
        <v>0</v>
      </c>
      <c r="BM80" s="58">
        <v>0</v>
      </c>
      <c r="BN80" s="80">
        <f t="shared" si="183"/>
        <v>16</v>
      </c>
      <c r="BO80" s="132">
        <f t="shared" si="202"/>
        <v>31.8125</v>
      </c>
      <c r="BP80" s="183">
        <v>0</v>
      </c>
      <c r="BQ80" s="58">
        <v>0</v>
      </c>
      <c r="BR80" s="209"/>
      <c r="BS80" s="58">
        <f t="shared" si="159"/>
        <v>0</v>
      </c>
      <c r="BT80" s="80">
        <f t="shared" si="184"/>
        <v>48</v>
      </c>
      <c r="BU80" s="132">
        <f t="shared" si="203"/>
        <v>7.395833333333333</v>
      </c>
      <c r="BV80" s="183">
        <f t="shared" si="160"/>
        <v>0</v>
      </c>
      <c r="BW80" s="195">
        <v>0</v>
      </c>
      <c r="BX80" s="80">
        <f t="shared" si="185"/>
        <v>23</v>
      </c>
      <c r="BY80" s="132">
        <f t="shared" si="204"/>
        <v>31.739130434782609</v>
      </c>
      <c r="BZ80" s="212">
        <v>0</v>
      </c>
      <c r="CA80" s="195">
        <v>0</v>
      </c>
      <c r="CB80" s="195"/>
      <c r="CD80" s="212">
        <v>0</v>
      </c>
      <c r="CE80" s="58">
        <v>305</v>
      </c>
      <c r="CF80" s="209"/>
      <c r="CG80" s="58">
        <f t="shared" si="161"/>
        <v>305</v>
      </c>
      <c r="CH80" s="194">
        <f t="shared" si="162"/>
        <v>91.5</v>
      </c>
      <c r="CI80" s="58">
        <v>5958</v>
      </c>
      <c r="CJ80" s="209"/>
      <c r="CK80" s="58">
        <f t="shared" si="163"/>
        <v>5958</v>
      </c>
      <c r="CL80" s="80">
        <f t="shared" si="186"/>
        <v>17</v>
      </c>
      <c r="CM80" s="135">
        <f t="shared" si="205"/>
        <v>30.588235294117649</v>
      </c>
      <c r="CN80" s="183">
        <f t="shared" si="210"/>
        <v>182244.70588235295</v>
      </c>
      <c r="CO80" s="58">
        <f t="shared" si="172"/>
        <v>0</v>
      </c>
      <c r="CP80" s="58"/>
      <c r="CQ80" s="58"/>
      <c r="CR80" s="195">
        <f t="shared" si="169"/>
        <v>0</v>
      </c>
      <c r="CS80" s="80">
        <f t="shared" si="187"/>
        <v>35</v>
      </c>
      <c r="CT80" s="327">
        <f t="shared" si="206"/>
        <v>19.742857142857144</v>
      </c>
      <c r="CU80" s="183">
        <f t="shared" si="211"/>
        <v>0</v>
      </c>
      <c r="CV80" s="58">
        <v>3459</v>
      </c>
      <c r="CW80" s="80">
        <f t="shared" si="188"/>
        <v>17</v>
      </c>
      <c r="CX80" s="135">
        <f t="shared" si="207"/>
        <v>30.588235294117649</v>
      </c>
      <c r="CY80" s="183">
        <f t="shared" si="164"/>
        <v>105804.70588235295</v>
      </c>
      <c r="CZ80" s="58">
        <v>0</v>
      </c>
      <c r="DA80" s="80">
        <f t="shared" si="189"/>
        <v>32</v>
      </c>
      <c r="DB80" s="327">
        <f t="shared" si="208"/>
        <v>20.3125</v>
      </c>
      <c r="DC80" s="183">
        <f t="shared" si="165"/>
        <v>0</v>
      </c>
      <c r="DD80" s="58">
        <v>0</v>
      </c>
      <c r="DE80" s="58">
        <v>0</v>
      </c>
      <c r="DF80" s="209"/>
      <c r="DG80" s="58">
        <f t="shared" si="166"/>
        <v>0</v>
      </c>
      <c r="DH80" s="58">
        <f t="shared" si="170"/>
        <v>0</v>
      </c>
      <c r="DI80" s="80">
        <f t="shared" si="190"/>
        <v>30</v>
      </c>
      <c r="DJ80" s="332">
        <f t="shared" si="209"/>
        <v>28.933333333333334</v>
      </c>
      <c r="DK80" s="183">
        <f t="shared" si="212"/>
        <v>0</v>
      </c>
    </row>
    <row r="81" spans="1:115">
      <c r="A81" s="213">
        <v>1938</v>
      </c>
      <c r="B81" s="58">
        <v>2565</v>
      </c>
      <c r="C81" s="209"/>
      <c r="D81" s="58">
        <f t="shared" si="144"/>
        <v>2565</v>
      </c>
      <c r="E81" s="194">
        <f t="shared" si="145"/>
        <v>1795.4999999999998</v>
      </c>
      <c r="F81" s="58">
        <v>0</v>
      </c>
      <c r="G81" s="209"/>
      <c r="H81" s="209">
        <f t="shared" si="146"/>
        <v>0</v>
      </c>
      <c r="I81" s="214">
        <v>17</v>
      </c>
      <c r="J81" s="132">
        <f t="shared" si="191"/>
        <v>30.588235294117649</v>
      </c>
      <c r="K81" s="183">
        <f t="shared" si="147"/>
        <v>0</v>
      </c>
      <c r="L81" s="58">
        <v>0</v>
      </c>
      <c r="M81" s="209"/>
      <c r="N81" s="209"/>
      <c r="O81" s="58">
        <f t="shared" si="148"/>
        <v>0</v>
      </c>
      <c r="P81" s="80">
        <f t="shared" si="173"/>
        <v>15</v>
      </c>
      <c r="Q81" s="132">
        <f t="shared" si="192"/>
        <v>39.666666666666664</v>
      </c>
      <c r="R81" s="193">
        <f t="shared" si="174"/>
        <v>0</v>
      </c>
      <c r="S81" s="58">
        <v>0</v>
      </c>
      <c r="T81" s="209"/>
      <c r="U81" s="209"/>
      <c r="V81" s="58">
        <f t="shared" si="167"/>
        <v>0</v>
      </c>
      <c r="W81" s="80">
        <f t="shared" si="175"/>
        <v>22</v>
      </c>
      <c r="X81" s="132">
        <f t="shared" si="193"/>
        <v>27.727272727272727</v>
      </c>
      <c r="Y81" s="183">
        <f t="shared" si="149"/>
        <v>0</v>
      </c>
      <c r="Z81" s="58">
        <v>0</v>
      </c>
      <c r="AA81" s="80">
        <f t="shared" si="176"/>
        <v>19</v>
      </c>
      <c r="AB81" s="132">
        <f t="shared" si="194"/>
        <v>28.842105263157894</v>
      </c>
      <c r="AC81" s="183">
        <v>0</v>
      </c>
      <c r="AD81" s="58">
        <v>0</v>
      </c>
      <c r="AE81" s="80">
        <f t="shared" si="177"/>
        <v>21</v>
      </c>
      <c r="AF81" s="132">
        <f t="shared" si="195"/>
        <v>39.476190476190474</v>
      </c>
      <c r="AG81" s="183">
        <v>0</v>
      </c>
      <c r="AH81" s="58">
        <v>0</v>
      </c>
      <c r="AI81" s="209"/>
      <c r="AJ81" s="58">
        <f t="shared" si="168"/>
        <v>0</v>
      </c>
      <c r="AL81" s="173"/>
      <c r="AM81" s="183">
        <v>0</v>
      </c>
      <c r="AN81" s="58">
        <v>0</v>
      </c>
      <c r="AO81" s="80">
        <f t="shared" si="178"/>
        <v>15</v>
      </c>
      <c r="AP81" s="132">
        <f t="shared" si="196"/>
        <v>37.866666666666667</v>
      </c>
      <c r="AQ81" s="183">
        <v>0</v>
      </c>
      <c r="AR81" s="58">
        <v>64281</v>
      </c>
      <c r="AS81" s="80">
        <f t="shared" si="179"/>
        <v>17</v>
      </c>
      <c r="AT81" s="132">
        <f t="shared" si="197"/>
        <v>40.235294117647058</v>
      </c>
      <c r="AU81" s="183">
        <f t="shared" si="151"/>
        <v>2586364.9411764704</v>
      </c>
      <c r="AV81" s="58">
        <v>3737</v>
      </c>
      <c r="AW81" s="80">
        <f t="shared" si="180"/>
        <v>20</v>
      </c>
      <c r="AX81" s="132">
        <f t="shared" si="198"/>
        <v>26.3</v>
      </c>
      <c r="AY81" s="183">
        <f t="shared" si="152"/>
        <v>98283.1</v>
      </c>
      <c r="AZ81" s="58">
        <v>0</v>
      </c>
      <c r="BA81" s="80">
        <f t="shared" si="181"/>
        <v>22</v>
      </c>
      <c r="BB81" s="132">
        <f t="shared" si="199"/>
        <v>27.90909090909091</v>
      </c>
      <c r="BC81" s="183">
        <f t="shared" si="153"/>
        <v>0</v>
      </c>
      <c r="BD81" s="209">
        <v>0</v>
      </c>
      <c r="BE81" s="58">
        <f t="shared" si="154"/>
        <v>0</v>
      </c>
      <c r="BF81" s="80">
        <f t="shared" si="182"/>
        <v>61</v>
      </c>
      <c r="BG81" s="132">
        <f t="shared" si="200"/>
        <v>10.032786885245901</v>
      </c>
      <c r="BH81" s="183">
        <v>0</v>
      </c>
      <c r="BI81" s="58">
        <f t="shared" si="156"/>
        <v>0</v>
      </c>
      <c r="BJ81" s="58"/>
      <c r="BK81" s="173"/>
      <c r="BL81" s="183">
        <v>0</v>
      </c>
      <c r="BM81" s="58">
        <v>0</v>
      </c>
      <c r="BN81" s="80">
        <f t="shared" si="183"/>
        <v>16</v>
      </c>
      <c r="BO81" s="132">
        <f t="shared" si="202"/>
        <v>31.8125</v>
      </c>
      <c r="BP81" s="183">
        <v>0</v>
      </c>
      <c r="BQ81" s="58">
        <v>0</v>
      </c>
      <c r="BR81" s="209"/>
      <c r="BS81" s="58">
        <f t="shared" si="159"/>
        <v>0</v>
      </c>
      <c r="BT81" s="80">
        <f t="shared" si="184"/>
        <v>48</v>
      </c>
      <c r="BU81" s="132">
        <f t="shared" si="203"/>
        <v>7.395833333333333</v>
      </c>
      <c r="BV81" s="183">
        <f t="shared" si="160"/>
        <v>0</v>
      </c>
      <c r="BW81" s="195">
        <v>0</v>
      </c>
      <c r="BX81" s="80">
        <f t="shared" si="185"/>
        <v>23</v>
      </c>
      <c r="BY81" s="132">
        <f t="shared" si="204"/>
        <v>31.739130434782609</v>
      </c>
      <c r="BZ81" s="212">
        <v>0</v>
      </c>
      <c r="CA81" s="195">
        <v>0</v>
      </c>
      <c r="CB81" s="195"/>
      <c r="CD81" s="212">
        <v>0</v>
      </c>
      <c r="CE81" s="58">
        <v>2565</v>
      </c>
      <c r="CF81" s="209"/>
      <c r="CG81" s="58">
        <f t="shared" si="161"/>
        <v>2565</v>
      </c>
      <c r="CH81" s="194">
        <f t="shared" si="162"/>
        <v>769.5</v>
      </c>
      <c r="CI81" s="58">
        <v>0</v>
      </c>
      <c r="CJ81" s="209"/>
      <c r="CK81" s="58">
        <f t="shared" si="163"/>
        <v>0</v>
      </c>
      <c r="CL81" s="80">
        <f t="shared" si="186"/>
        <v>17</v>
      </c>
      <c r="CM81" s="135">
        <f t="shared" si="205"/>
        <v>30.588235294117649</v>
      </c>
      <c r="CN81" s="183">
        <f t="shared" si="210"/>
        <v>0</v>
      </c>
      <c r="CO81" s="58">
        <f t="shared" si="172"/>
        <v>0</v>
      </c>
      <c r="CP81" s="58"/>
      <c r="CQ81" s="58"/>
      <c r="CR81" s="195">
        <f t="shared" si="169"/>
        <v>0</v>
      </c>
      <c r="CS81" s="80">
        <f t="shared" si="187"/>
        <v>35</v>
      </c>
      <c r="CT81" s="327">
        <f t="shared" si="206"/>
        <v>19.742857142857144</v>
      </c>
      <c r="CU81" s="183">
        <f t="shared" si="211"/>
        <v>0</v>
      </c>
      <c r="CV81" s="58">
        <v>105</v>
      </c>
      <c r="CW81" s="80">
        <f t="shared" si="188"/>
        <v>17</v>
      </c>
      <c r="CX81" s="135">
        <f t="shared" si="207"/>
        <v>30.588235294117649</v>
      </c>
      <c r="CY81" s="183">
        <f t="shared" si="164"/>
        <v>3211.7647058823532</v>
      </c>
      <c r="CZ81" s="58">
        <v>0</v>
      </c>
      <c r="DA81" s="80">
        <f t="shared" si="189"/>
        <v>32</v>
      </c>
      <c r="DB81" s="327">
        <f t="shared" si="208"/>
        <v>20.3125</v>
      </c>
      <c r="DC81" s="183">
        <f t="shared" si="165"/>
        <v>0</v>
      </c>
      <c r="DD81" s="58">
        <v>0</v>
      </c>
      <c r="DE81" s="58">
        <v>0</v>
      </c>
      <c r="DF81" s="209"/>
      <c r="DG81" s="58">
        <f t="shared" si="166"/>
        <v>0</v>
      </c>
      <c r="DH81" s="58">
        <f t="shared" si="170"/>
        <v>0</v>
      </c>
      <c r="DI81" s="80">
        <f t="shared" si="190"/>
        <v>30</v>
      </c>
      <c r="DJ81" s="332">
        <f t="shared" si="209"/>
        <v>28.933333333333334</v>
      </c>
      <c r="DK81" s="183">
        <f t="shared" si="212"/>
        <v>0</v>
      </c>
    </row>
    <row r="82" spans="1:115">
      <c r="A82" s="213">
        <v>1937</v>
      </c>
      <c r="B82" s="58">
        <v>33865</v>
      </c>
      <c r="C82" s="209"/>
      <c r="D82" s="58">
        <f t="shared" si="144"/>
        <v>33865</v>
      </c>
      <c r="E82" s="194">
        <f t="shared" si="145"/>
        <v>23705.5</v>
      </c>
      <c r="F82" s="58">
        <v>0</v>
      </c>
      <c r="G82" s="209"/>
      <c r="H82" s="209">
        <f t="shared" si="146"/>
        <v>0</v>
      </c>
      <c r="I82" s="214">
        <v>17</v>
      </c>
      <c r="J82" s="132">
        <f t="shared" si="191"/>
        <v>30.588235294117649</v>
      </c>
      <c r="K82" s="183">
        <f t="shared" si="147"/>
        <v>0</v>
      </c>
      <c r="L82" s="58">
        <v>0</v>
      </c>
      <c r="M82" s="209"/>
      <c r="N82" s="209"/>
      <c r="O82" s="58">
        <f t="shared" si="148"/>
        <v>0</v>
      </c>
      <c r="P82" s="80">
        <f t="shared" si="173"/>
        <v>14</v>
      </c>
      <c r="Q82" s="132">
        <f t="shared" si="192"/>
        <v>42.5</v>
      </c>
      <c r="R82" s="193">
        <f t="shared" si="174"/>
        <v>0</v>
      </c>
      <c r="S82" s="58">
        <v>86168</v>
      </c>
      <c r="T82" s="209"/>
      <c r="U82" s="209"/>
      <c r="V82" s="58">
        <f t="shared" si="167"/>
        <v>86168</v>
      </c>
      <c r="W82" s="80">
        <f t="shared" si="175"/>
        <v>23</v>
      </c>
      <c r="X82" s="132">
        <f t="shared" si="193"/>
        <v>26.521739130434781</v>
      </c>
      <c r="Y82" s="183">
        <f t="shared" si="149"/>
        <v>2285325.2173913042</v>
      </c>
      <c r="Z82" s="58">
        <v>0</v>
      </c>
      <c r="AA82" s="80">
        <f t="shared" si="176"/>
        <v>18</v>
      </c>
      <c r="AB82" s="132">
        <f t="shared" si="194"/>
        <v>30.444444444444443</v>
      </c>
      <c r="AC82" s="183">
        <v>0</v>
      </c>
      <c r="AD82" s="58">
        <v>0</v>
      </c>
      <c r="AE82" s="80">
        <f t="shared" si="177"/>
        <v>23</v>
      </c>
      <c r="AF82" s="132">
        <f t="shared" si="195"/>
        <v>36.043478260869563</v>
      </c>
      <c r="AG82" s="183">
        <v>0</v>
      </c>
      <c r="AH82" s="58">
        <v>0</v>
      </c>
      <c r="AI82" s="209"/>
      <c r="AJ82" s="58">
        <f t="shared" si="168"/>
        <v>0</v>
      </c>
      <c r="AL82" s="173"/>
      <c r="AM82" s="183">
        <v>0</v>
      </c>
      <c r="AN82" s="58">
        <v>0</v>
      </c>
      <c r="AO82" s="80">
        <f t="shared" si="178"/>
        <v>15</v>
      </c>
      <c r="AP82" s="132">
        <f t="shared" si="196"/>
        <v>37.866666666666667</v>
      </c>
      <c r="AQ82" s="183">
        <v>0</v>
      </c>
      <c r="AR82" s="58">
        <v>52439</v>
      </c>
      <c r="AS82" s="80">
        <f t="shared" si="179"/>
        <v>18</v>
      </c>
      <c r="AT82" s="132">
        <f t="shared" si="197"/>
        <v>38</v>
      </c>
      <c r="AU82" s="183">
        <f t="shared" si="151"/>
        <v>1992682</v>
      </c>
      <c r="AV82" s="58">
        <v>7116</v>
      </c>
      <c r="AW82" s="80">
        <f t="shared" si="180"/>
        <v>19</v>
      </c>
      <c r="AX82" s="132">
        <f t="shared" si="198"/>
        <v>27.684210526315791</v>
      </c>
      <c r="AY82" s="183">
        <f t="shared" si="152"/>
        <v>197000.84210526317</v>
      </c>
      <c r="AZ82" s="58">
        <v>0</v>
      </c>
      <c r="BA82" s="80">
        <f t="shared" si="181"/>
        <v>24</v>
      </c>
      <c r="BB82" s="132">
        <f t="shared" si="199"/>
        <v>25.583333333333332</v>
      </c>
      <c r="BC82" s="183">
        <f t="shared" si="153"/>
        <v>0</v>
      </c>
      <c r="BD82" s="209">
        <v>0</v>
      </c>
      <c r="BE82" s="58">
        <f t="shared" si="154"/>
        <v>0</v>
      </c>
      <c r="BF82" s="80">
        <f t="shared" si="182"/>
        <v>60</v>
      </c>
      <c r="BG82" s="132">
        <f t="shared" si="200"/>
        <v>10.199999999999999</v>
      </c>
      <c r="BH82" s="183">
        <v>0</v>
      </c>
      <c r="BI82" s="58">
        <f t="shared" si="156"/>
        <v>0</v>
      </c>
      <c r="BJ82" s="58"/>
      <c r="BK82" s="173"/>
      <c r="BL82" s="183">
        <v>0</v>
      </c>
      <c r="BM82" s="58">
        <v>0</v>
      </c>
      <c r="BN82" s="80">
        <f t="shared" si="183"/>
        <v>17</v>
      </c>
      <c r="BO82" s="132">
        <f t="shared" si="202"/>
        <v>29.941176470588236</v>
      </c>
      <c r="BP82" s="183">
        <v>0</v>
      </c>
      <c r="BQ82" s="58">
        <v>0</v>
      </c>
      <c r="BR82" s="209"/>
      <c r="BS82" s="58">
        <f t="shared" si="159"/>
        <v>0</v>
      </c>
      <c r="BT82" s="80">
        <f t="shared" si="184"/>
        <v>48</v>
      </c>
      <c r="BU82" s="132">
        <f t="shared" si="203"/>
        <v>7.395833333333333</v>
      </c>
      <c r="BV82" s="183">
        <f t="shared" si="160"/>
        <v>0</v>
      </c>
      <c r="BW82" s="195">
        <v>0</v>
      </c>
      <c r="BX82" s="80">
        <f t="shared" si="185"/>
        <v>23</v>
      </c>
      <c r="BY82" s="132">
        <f t="shared" si="204"/>
        <v>31.739130434782609</v>
      </c>
      <c r="BZ82" s="212">
        <v>0</v>
      </c>
      <c r="CA82" s="195">
        <v>0</v>
      </c>
      <c r="CB82" s="195"/>
      <c r="CD82" s="212">
        <v>0</v>
      </c>
      <c r="CE82" s="58">
        <v>33865</v>
      </c>
      <c r="CF82" s="209"/>
      <c r="CG82" s="58">
        <f t="shared" si="161"/>
        <v>33865</v>
      </c>
      <c r="CH82" s="194">
        <f t="shared" si="162"/>
        <v>10159.5</v>
      </c>
      <c r="CI82" s="58">
        <v>1442</v>
      </c>
      <c r="CJ82" s="209"/>
      <c r="CK82" s="58">
        <f t="shared" si="163"/>
        <v>1442</v>
      </c>
      <c r="CL82" s="80">
        <f t="shared" si="186"/>
        <v>17</v>
      </c>
      <c r="CM82" s="135">
        <f t="shared" si="205"/>
        <v>30.588235294117649</v>
      </c>
      <c r="CN82" s="183">
        <f t="shared" si="210"/>
        <v>44108.23529411765</v>
      </c>
      <c r="CO82" s="58">
        <f t="shared" si="172"/>
        <v>0</v>
      </c>
      <c r="CP82" s="58"/>
      <c r="CQ82" s="58"/>
      <c r="CR82" s="195">
        <f t="shared" si="169"/>
        <v>0</v>
      </c>
      <c r="CS82" s="80">
        <f t="shared" si="187"/>
        <v>35</v>
      </c>
      <c r="CT82" s="327">
        <f t="shared" si="206"/>
        <v>19.742857142857144</v>
      </c>
      <c r="CU82" s="183">
        <f t="shared" si="211"/>
        <v>0</v>
      </c>
      <c r="CV82" s="58">
        <v>8033</v>
      </c>
      <c r="CW82" s="80">
        <f t="shared" si="188"/>
        <v>17</v>
      </c>
      <c r="CX82" s="135">
        <f t="shared" si="207"/>
        <v>30.588235294117649</v>
      </c>
      <c r="CY82" s="183">
        <f t="shared" si="164"/>
        <v>245715.29411764708</v>
      </c>
      <c r="CZ82" s="58">
        <v>0</v>
      </c>
      <c r="DA82" s="80">
        <f t="shared" si="189"/>
        <v>32</v>
      </c>
      <c r="DB82" s="327">
        <f t="shared" si="208"/>
        <v>20.3125</v>
      </c>
      <c r="DC82" s="183">
        <f t="shared" si="165"/>
        <v>0</v>
      </c>
      <c r="DD82" s="58">
        <v>0</v>
      </c>
      <c r="DE82" s="58">
        <v>0</v>
      </c>
      <c r="DF82" s="209"/>
      <c r="DG82" s="58">
        <f t="shared" si="166"/>
        <v>0</v>
      </c>
      <c r="DH82" s="58">
        <f t="shared" si="170"/>
        <v>0</v>
      </c>
      <c r="DI82" s="80">
        <f t="shared" si="190"/>
        <v>30</v>
      </c>
      <c r="DJ82" s="332">
        <f t="shared" si="209"/>
        <v>28.933333333333334</v>
      </c>
      <c r="DK82" s="183">
        <f t="shared" si="212"/>
        <v>0</v>
      </c>
    </row>
    <row r="83" spans="1:115">
      <c r="A83" s="213">
        <v>1936</v>
      </c>
      <c r="B83" s="58">
        <v>43399</v>
      </c>
      <c r="C83" s="209"/>
      <c r="D83" s="58">
        <f t="shared" ref="D83:D113" si="213">B83-C83</f>
        <v>43399</v>
      </c>
      <c r="E83" s="194">
        <f t="shared" ref="E83:E113" si="214">D83*0.7</f>
        <v>30379.3</v>
      </c>
      <c r="F83" s="58">
        <v>0</v>
      </c>
      <c r="G83" s="209"/>
      <c r="H83" s="209">
        <f t="shared" ref="H83:H113" si="215">F83-G83</f>
        <v>0</v>
      </c>
      <c r="I83" s="214">
        <v>15</v>
      </c>
      <c r="J83" s="132">
        <f t="shared" si="191"/>
        <v>34.666666666666664</v>
      </c>
      <c r="K83" s="183">
        <f t="shared" ref="K83:K113" si="216">J83*H83</f>
        <v>0</v>
      </c>
      <c r="L83" s="58">
        <v>0</v>
      </c>
      <c r="M83" s="209"/>
      <c r="N83" s="209"/>
      <c r="O83" s="58">
        <f t="shared" ref="O83:O113" si="217">L83-M83+N83</f>
        <v>0</v>
      </c>
      <c r="P83" s="80">
        <f t="shared" si="173"/>
        <v>13</v>
      </c>
      <c r="Q83" s="132">
        <f t="shared" si="192"/>
        <v>45.769230769230766</v>
      </c>
      <c r="R83" s="193">
        <f t="shared" si="174"/>
        <v>0</v>
      </c>
      <c r="S83" s="58">
        <v>102488</v>
      </c>
      <c r="T83" s="209"/>
      <c r="U83" s="209"/>
      <c r="V83" s="58">
        <f t="shared" si="167"/>
        <v>102488</v>
      </c>
      <c r="W83" s="80">
        <f t="shared" si="175"/>
        <v>21</v>
      </c>
      <c r="X83" s="132">
        <f t="shared" si="193"/>
        <v>29.047619047619047</v>
      </c>
      <c r="Y83" s="183">
        <f t="shared" ref="Y83:Y111" si="218">V83*X83</f>
        <v>2977032.3809523811</v>
      </c>
      <c r="Z83" s="58">
        <v>0</v>
      </c>
      <c r="AA83" s="80">
        <f t="shared" si="176"/>
        <v>17</v>
      </c>
      <c r="AB83" s="132">
        <f t="shared" si="194"/>
        <v>32.235294117647058</v>
      </c>
      <c r="AC83" s="183">
        <v>0</v>
      </c>
      <c r="AD83" s="58">
        <v>0</v>
      </c>
      <c r="AE83" s="80">
        <f t="shared" si="177"/>
        <v>21</v>
      </c>
      <c r="AF83" s="132">
        <f t="shared" si="195"/>
        <v>39.476190476190474</v>
      </c>
      <c r="AG83" s="183">
        <v>0</v>
      </c>
      <c r="AH83" s="58">
        <v>0</v>
      </c>
      <c r="AI83" s="209"/>
      <c r="AJ83" s="58">
        <f t="shared" si="168"/>
        <v>0</v>
      </c>
      <c r="AL83" s="173"/>
      <c r="AM83" s="183">
        <v>0</v>
      </c>
      <c r="AN83" s="58">
        <v>0</v>
      </c>
      <c r="AO83" s="80">
        <f t="shared" si="178"/>
        <v>13</v>
      </c>
      <c r="AP83" s="132">
        <f t="shared" si="196"/>
        <v>43.692307692307693</v>
      </c>
      <c r="AQ83" s="183">
        <v>0</v>
      </c>
      <c r="AR83" s="58">
        <v>0</v>
      </c>
      <c r="AS83" s="80">
        <f t="shared" si="179"/>
        <v>17</v>
      </c>
      <c r="AT83" s="132">
        <f t="shared" si="197"/>
        <v>40.235294117647058</v>
      </c>
      <c r="AU83" s="183">
        <v>0</v>
      </c>
      <c r="AV83" s="58">
        <v>15278</v>
      </c>
      <c r="AW83" s="80">
        <f t="shared" si="180"/>
        <v>18</v>
      </c>
      <c r="AX83" s="132">
        <f t="shared" si="198"/>
        <v>29.222222222222221</v>
      </c>
      <c r="AY83" s="183">
        <f t="shared" ref="AY83:AY113" si="219">AX83*AV83</f>
        <v>446457.11111111112</v>
      </c>
      <c r="AZ83" s="58">
        <v>0</v>
      </c>
      <c r="BA83" s="80">
        <f t="shared" si="181"/>
        <v>22</v>
      </c>
      <c r="BB83" s="132">
        <f t="shared" si="199"/>
        <v>27.90909090909091</v>
      </c>
      <c r="BC83" s="183">
        <f t="shared" ref="BC83:BC93" si="220">BB83*AZ83</f>
        <v>0</v>
      </c>
      <c r="BD83" s="209">
        <v>0</v>
      </c>
      <c r="BE83" s="58">
        <f t="shared" ref="BE83:BE113" si="221">BD83*0.824</f>
        <v>0</v>
      </c>
      <c r="BF83" s="80">
        <f t="shared" si="182"/>
        <v>55</v>
      </c>
      <c r="BG83" s="132">
        <f t="shared" si="200"/>
        <v>11.127272727272727</v>
      </c>
      <c r="BH83" s="183">
        <v>0</v>
      </c>
      <c r="BI83" s="58">
        <f t="shared" ref="BI83:BI113" si="222">BD83*0.176</f>
        <v>0</v>
      </c>
      <c r="BJ83" s="58"/>
      <c r="BK83" s="173"/>
      <c r="BL83" s="183">
        <v>0</v>
      </c>
      <c r="BM83" s="58">
        <v>0</v>
      </c>
      <c r="BN83" s="80">
        <f t="shared" si="183"/>
        <v>16</v>
      </c>
      <c r="BO83" s="132">
        <f t="shared" si="202"/>
        <v>31.8125</v>
      </c>
      <c r="BP83" s="183">
        <v>0</v>
      </c>
      <c r="BQ83" s="58">
        <v>0</v>
      </c>
      <c r="BR83" s="209"/>
      <c r="BS83" s="58">
        <f t="shared" ref="BS83:BS113" si="223">BQ83-BR83</f>
        <v>0</v>
      </c>
      <c r="BT83" s="80">
        <f t="shared" si="184"/>
        <v>48</v>
      </c>
      <c r="BU83" s="132">
        <f t="shared" si="203"/>
        <v>7.395833333333333</v>
      </c>
      <c r="BV83" s="183">
        <f t="shared" ref="BV83:BV112" si="224">BU83*BS83</f>
        <v>0</v>
      </c>
      <c r="BW83" s="195">
        <v>0</v>
      </c>
      <c r="BX83" s="80">
        <f t="shared" si="185"/>
        <v>22</v>
      </c>
      <c r="BY83" s="132">
        <f t="shared" si="204"/>
        <v>33.18181818181818</v>
      </c>
      <c r="BZ83" s="212">
        <v>0</v>
      </c>
      <c r="CA83" s="195">
        <v>0</v>
      </c>
      <c r="CB83" s="195"/>
      <c r="CD83" s="212">
        <v>0</v>
      </c>
      <c r="CE83" s="58">
        <v>43399</v>
      </c>
      <c r="CF83" s="209"/>
      <c r="CG83" s="58">
        <f t="shared" ref="CG83:CG113" si="225">CE83-CF83</f>
        <v>43399</v>
      </c>
      <c r="CH83" s="194">
        <f t="shared" ref="CH83:CH113" si="226">CG83*0.3</f>
        <v>13019.699999999999</v>
      </c>
      <c r="CI83" s="58">
        <v>19631</v>
      </c>
      <c r="CJ83" s="209"/>
      <c r="CK83" s="58">
        <f t="shared" ref="CK83:CK112" si="227">CI83-CJ83</f>
        <v>19631</v>
      </c>
      <c r="CL83" s="80">
        <f t="shared" si="186"/>
        <v>15</v>
      </c>
      <c r="CM83" s="135">
        <f t="shared" si="205"/>
        <v>34.666666666666664</v>
      </c>
      <c r="CN83" s="183">
        <f t="shared" si="210"/>
        <v>680541.33333333326</v>
      </c>
      <c r="CO83" s="58">
        <f t="shared" si="172"/>
        <v>0</v>
      </c>
      <c r="CP83" s="58"/>
      <c r="CQ83" s="58"/>
      <c r="CR83" s="195">
        <f t="shared" si="169"/>
        <v>0</v>
      </c>
      <c r="CS83" s="80">
        <f t="shared" si="187"/>
        <v>32</v>
      </c>
      <c r="CT83" s="327">
        <f t="shared" si="206"/>
        <v>21.59375</v>
      </c>
      <c r="CU83" s="183">
        <f t="shared" si="211"/>
        <v>0</v>
      </c>
      <c r="CV83" s="58">
        <v>3316</v>
      </c>
      <c r="CW83" s="80">
        <f t="shared" si="188"/>
        <v>15</v>
      </c>
      <c r="CX83" s="135">
        <f t="shared" si="207"/>
        <v>34.666666666666664</v>
      </c>
      <c r="CY83" s="183">
        <f t="shared" ref="CY83:CY107" si="228">CX83*CV83</f>
        <v>114954.66666666666</v>
      </c>
      <c r="CZ83" s="58">
        <v>0</v>
      </c>
      <c r="DA83" s="80">
        <f t="shared" si="189"/>
        <v>30</v>
      </c>
      <c r="DB83" s="327">
        <f t="shared" si="208"/>
        <v>21.666666666666668</v>
      </c>
      <c r="DC83" s="183">
        <f t="shared" ref="DC83:DC109" si="229">DB83*CZ83</f>
        <v>0</v>
      </c>
      <c r="DD83" s="58">
        <v>0</v>
      </c>
      <c r="DE83" s="58">
        <v>0</v>
      </c>
      <c r="DF83" s="209"/>
      <c r="DG83" s="58">
        <f t="shared" ref="DG83:DG113" si="230">DD83-DF83</f>
        <v>0</v>
      </c>
      <c r="DH83" s="58">
        <f t="shared" si="170"/>
        <v>0</v>
      </c>
      <c r="DI83" s="80">
        <f t="shared" si="190"/>
        <v>28</v>
      </c>
      <c r="DJ83" s="332">
        <f t="shared" si="209"/>
        <v>31</v>
      </c>
      <c r="DK83" s="183">
        <f t="shared" si="212"/>
        <v>0</v>
      </c>
    </row>
    <row r="84" spans="1:115">
      <c r="A84" s="213">
        <v>1935</v>
      </c>
      <c r="B84" s="58">
        <v>4589</v>
      </c>
      <c r="C84" s="209"/>
      <c r="D84" s="58">
        <f t="shared" si="213"/>
        <v>4589</v>
      </c>
      <c r="E84" s="194">
        <f t="shared" si="214"/>
        <v>3212.2999999999997</v>
      </c>
      <c r="F84" s="58">
        <v>0</v>
      </c>
      <c r="G84" s="209"/>
      <c r="H84" s="209">
        <f t="shared" si="215"/>
        <v>0</v>
      </c>
      <c r="I84" s="214">
        <v>15</v>
      </c>
      <c r="J84" s="132">
        <f t="shared" si="191"/>
        <v>34.666666666666664</v>
      </c>
      <c r="K84" s="183">
        <f t="shared" si="216"/>
        <v>0</v>
      </c>
      <c r="L84" s="58">
        <v>3147</v>
      </c>
      <c r="M84" s="209"/>
      <c r="N84" s="209"/>
      <c r="O84" s="58">
        <f t="shared" si="217"/>
        <v>3147</v>
      </c>
      <c r="P84" s="80">
        <f t="shared" si="173"/>
        <v>12</v>
      </c>
      <c r="Q84" s="132">
        <f t="shared" si="192"/>
        <v>49.583333333333336</v>
      </c>
      <c r="R84" s="193">
        <f t="shared" si="174"/>
        <v>156038.75</v>
      </c>
      <c r="S84" s="58">
        <v>12142</v>
      </c>
      <c r="T84" s="209"/>
      <c r="U84" s="209"/>
      <c r="V84" s="58">
        <f t="shared" ref="V84:V113" si="231">S84-T84+U84</f>
        <v>12142</v>
      </c>
      <c r="W84" s="80">
        <f t="shared" si="175"/>
        <v>21</v>
      </c>
      <c r="X84" s="132">
        <f t="shared" si="193"/>
        <v>29.047619047619047</v>
      </c>
      <c r="Y84" s="183">
        <f t="shared" si="218"/>
        <v>352696.19047619047</v>
      </c>
      <c r="Z84" s="58">
        <v>0</v>
      </c>
      <c r="AA84" s="80">
        <f t="shared" si="176"/>
        <v>17</v>
      </c>
      <c r="AB84" s="132">
        <f t="shared" si="194"/>
        <v>32.235294117647058</v>
      </c>
      <c r="AC84" s="183">
        <v>0</v>
      </c>
      <c r="AD84" s="58">
        <v>0</v>
      </c>
      <c r="AE84" s="80">
        <f t="shared" si="177"/>
        <v>20</v>
      </c>
      <c r="AF84" s="132">
        <f t="shared" si="195"/>
        <v>41.45</v>
      </c>
      <c r="AG84" s="183">
        <v>0</v>
      </c>
      <c r="AH84" s="58">
        <v>0</v>
      </c>
      <c r="AI84" s="209"/>
      <c r="AJ84" s="58">
        <f t="shared" si="168"/>
        <v>0</v>
      </c>
      <c r="AL84" s="173"/>
      <c r="AM84" s="183">
        <v>0</v>
      </c>
      <c r="AN84" s="58">
        <v>0</v>
      </c>
      <c r="AO84" s="80">
        <f t="shared" si="178"/>
        <v>12</v>
      </c>
      <c r="AP84" s="132">
        <f t="shared" si="196"/>
        <v>47.333333333333336</v>
      </c>
      <c r="AQ84" s="183">
        <v>0</v>
      </c>
      <c r="AR84" s="58">
        <v>0</v>
      </c>
      <c r="AS84" s="80">
        <f t="shared" si="179"/>
        <v>16</v>
      </c>
      <c r="AT84" s="132">
        <f t="shared" si="197"/>
        <v>42.75</v>
      </c>
      <c r="AU84" s="183">
        <v>0</v>
      </c>
      <c r="AV84" s="58">
        <v>0</v>
      </c>
      <c r="AW84" s="80">
        <f t="shared" si="180"/>
        <v>18</v>
      </c>
      <c r="AX84" s="132">
        <f t="shared" si="198"/>
        <v>29.222222222222221</v>
      </c>
      <c r="AY84" s="183">
        <f t="shared" si="219"/>
        <v>0</v>
      </c>
      <c r="AZ84" s="58">
        <v>0</v>
      </c>
      <c r="BA84" s="80">
        <f t="shared" si="181"/>
        <v>21</v>
      </c>
      <c r="BB84" s="132">
        <f t="shared" si="199"/>
        <v>29.238095238095237</v>
      </c>
      <c r="BC84" s="183">
        <f t="shared" si="220"/>
        <v>0</v>
      </c>
      <c r="BD84" s="209">
        <v>0</v>
      </c>
      <c r="BE84" s="58">
        <f t="shared" si="221"/>
        <v>0</v>
      </c>
      <c r="BF84" s="80">
        <f t="shared" si="182"/>
        <v>55</v>
      </c>
      <c r="BG84" s="132">
        <f t="shared" si="200"/>
        <v>11.127272727272727</v>
      </c>
      <c r="BH84" s="183">
        <v>0</v>
      </c>
      <c r="BI84" s="58">
        <f t="shared" si="222"/>
        <v>0</v>
      </c>
      <c r="BJ84" s="58"/>
      <c r="BK84" s="173"/>
      <c r="BL84" s="183">
        <v>0</v>
      </c>
      <c r="BM84" s="58">
        <v>0</v>
      </c>
      <c r="BN84" s="80">
        <f t="shared" si="183"/>
        <v>15</v>
      </c>
      <c r="BO84" s="132">
        <f t="shared" si="202"/>
        <v>33.93333333333333</v>
      </c>
      <c r="BP84" s="183">
        <v>0</v>
      </c>
      <c r="BQ84" s="58">
        <v>0</v>
      </c>
      <c r="BR84" s="209"/>
      <c r="BS84" s="58">
        <f t="shared" si="223"/>
        <v>0</v>
      </c>
      <c r="BT84" s="80">
        <f t="shared" si="184"/>
        <v>48</v>
      </c>
      <c r="BU84" s="132">
        <f t="shared" si="203"/>
        <v>7.395833333333333</v>
      </c>
      <c r="BV84" s="183">
        <f t="shared" si="224"/>
        <v>0</v>
      </c>
      <c r="BW84" s="195">
        <v>0</v>
      </c>
      <c r="BX84" s="80">
        <f t="shared" si="185"/>
        <v>22</v>
      </c>
      <c r="BY84" s="132">
        <f t="shared" si="204"/>
        <v>33.18181818181818</v>
      </c>
      <c r="BZ84" s="212">
        <v>0</v>
      </c>
      <c r="CA84" s="195">
        <v>0</v>
      </c>
      <c r="CB84" s="195"/>
      <c r="CD84" s="212">
        <v>0</v>
      </c>
      <c r="CE84" s="58">
        <v>4589</v>
      </c>
      <c r="CF84" s="209"/>
      <c r="CG84" s="58">
        <f t="shared" si="225"/>
        <v>4589</v>
      </c>
      <c r="CH84" s="194">
        <f t="shared" si="226"/>
        <v>1376.7</v>
      </c>
      <c r="CI84" s="58">
        <v>0</v>
      </c>
      <c r="CJ84" s="209"/>
      <c r="CK84" s="58">
        <f t="shared" si="227"/>
        <v>0</v>
      </c>
      <c r="CL84" s="80">
        <f t="shared" si="186"/>
        <v>15</v>
      </c>
      <c r="CM84" s="135">
        <f t="shared" si="205"/>
        <v>34.666666666666664</v>
      </c>
      <c r="CN84" s="183">
        <f t="shared" si="210"/>
        <v>0</v>
      </c>
      <c r="CO84" s="58">
        <f t="shared" si="172"/>
        <v>0</v>
      </c>
      <c r="CP84" s="58"/>
      <c r="CQ84" s="58"/>
      <c r="CR84" s="195">
        <f t="shared" si="169"/>
        <v>0</v>
      </c>
      <c r="CS84" s="80">
        <f t="shared" si="187"/>
        <v>32</v>
      </c>
      <c r="CT84" s="327">
        <f t="shared" si="206"/>
        <v>21.59375</v>
      </c>
      <c r="CU84" s="183">
        <f t="shared" si="211"/>
        <v>0</v>
      </c>
      <c r="CV84" s="58">
        <v>3683</v>
      </c>
      <c r="CW84" s="80">
        <f t="shared" si="188"/>
        <v>15</v>
      </c>
      <c r="CX84" s="135">
        <f t="shared" si="207"/>
        <v>34.666666666666664</v>
      </c>
      <c r="CY84" s="183">
        <f t="shared" si="228"/>
        <v>127677.33333333333</v>
      </c>
      <c r="CZ84" s="58">
        <v>0</v>
      </c>
      <c r="DA84" s="80">
        <f t="shared" si="189"/>
        <v>30</v>
      </c>
      <c r="DB84" s="327">
        <f t="shared" si="208"/>
        <v>21.666666666666668</v>
      </c>
      <c r="DC84" s="183">
        <f t="shared" si="229"/>
        <v>0</v>
      </c>
      <c r="DD84" s="58">
        <v>0</v>
      </c>
      <c r="DE84" s="58">
        <v>0</v>
      </c>
      <c r="DF84" s="209"/>
      <c r="DG84" s="58">
        <f t="shared" si="230"/>
        <v>0</v>
      </c>
      <c r="DH84" s="58">
        <f t="shared" si="170"/>
        <v>0</v>
      </c>
      <c r="DI84" s="80">
        <f t="shared" si="190"/>
        <v>27</v>
      </c>
      <c r="DJ84" s="332">
        <f t="shared" si="209"/>
        <v>32.148148148148145</v>
      </c>
      <c r="DK84" s="183">
        <f t="shared" si="212"/>
        <v>0</v>
      </c>
    </row>
    <row r="85" spans="1:115">
      <c r="A85" s="213">
        <v>1934</v>
      </c>
      <c r="B85" s="58">
        <v>515</v>
      </c>
      <c r="C85" s="209"/>
      <c r="D85" s="58">
        <f t="shared" si="213"/>
        <v>515</v>
      </c>
      <c r="E85" s="194">
        <f t="shared" si="214"/>
        <v>360.5</v>
      </c>
      <c r="F85" s="58">
        <v>0</v>
      </c>
      <c r="G85" s="209"/>
      <c r="H85" s="209">
        <f t="shared" si="215"/>
        <v>0</v>
      </c>
      <c r="I85" s="214">
        <v>14</v>
      </c>
      <c r="J85" s="132">
        <f t="shared" si="191"/>
        <v>37.142857142857146</v>
      </c>
      <c r="K85" s="183">
        <f t="shared" si="216"/>
        <v>0</v>
      </c>
      <c r="L85" s="58">
        <v>0</v>
      </c>
      <c r="M85" s="209"/>
      <c r="N85" s="209"/>
      <c r="O85" s="58">
        <f t="shared" si="217"/>
        <v>0</v>
      </c>
      <c r="P85" s="80">
        <f t="shared" si="173"/>
        <v>12</v>
      </c>
      <c r="Q85" s="132">
        <f t="shared" si="192"/>
        <v>49.583333333333336</v>
      </c>
      <c r="R85" s="193">
        <f t="shared" si="174"/>
        <v>0</v>
      </c>
      <c r="S85" s="58">
        <v>0</v>
      </c>
      <c r="T85" s="209"/>
      <c r="U85" s="209"/>
      <c r="V85" s="58">
        <f t="shared" si="231"/>
        <v>0</v>
      </c>
      <c r="W85" s="80">
        <f t="shared" si="175"/>
        <v>20</v>
      </c>
      <c r="X85" s="132">
        <f t="shared" si="193"/>
        <v>30.5</v>
      </c>
      <c r="Y85" s="183">
        <f t="shared" si="218"/>
        <v>0</v>
      </c>
      <c r="Z85" s="58">
        <v>0</v>
      </c>
      <c r="AA85" s="80">
        <f t="shared" si="176"/>
        <v>17</v>
      </c>
      <c r="AB85" s="132">
        <f t="shared" si="194"/>
        <v>32.235294117647058</v>
      </c>
      <c r="AC85" s="183">
        <v>0</v>
      </c>
      <c r="AD85" s="58">
        <v>0</v>
      </c>
      <c r="AE85" s="80">
        <f t="shared" si="177"/>
        <v>19</v>
      </c>
      <c r="AF85" s="132">
        <f t="shared" si="195"/>
        <v>43.631578947368418</v>
      </c>
      <c r="AG85" s="183">
        <v>0</v>
      </c>
      <c r="AH85" s="58">
        <v>0</v>
      </c>
      <c r="AI85" s="209"/>
      <c r="AJ85" s="58">
        <f t="shared" si="168"/>
        <v>0</v>
      </c>
      <c r="AL85" s="173"/>
      <c r="AM85" s="183">
        <v>0</v>
      </c>
      <c r="AN85" s="58">
        <v>0</v>
      </c>
      <c r="AO85" s="80">
        <f t="shared" si="178"/>
        <v>12</v>
      </c>
      <c r="AP85" s="132">
        <f t="shared" si="196"/>
        <v>47.333333333333336</v>
      </c>
      <c r="AQ85" s="183">
        <v>0</v>
      </c>
      <c r="AR85" s="58">
        <v>0</v>
      </c>
      <c r="AS85" s="80">
        <f t="shared" si="179"/>
        <v>15</v>
      </c>
      <c r="AT85" s="132">
        <f t="shared" si="197"/>
        <v>45.6</v>
      </c>
      <c r="AU85" s="183">
        <v>0</v>
      </c>
      <c r="AV85" s="58">
        <v>3778</v>
      </c>
      <c r="AW85" s="80">
        <f t="shared" si="180"/>
        <v>18</v>
      </c>
      <c r="AX85" s="132">
        <f t="shared" si="198"/>
        <v>29.222222222222221</v>
      </c>
      <c r="AY85" s="183">
        <f t="shared" si="219"/>
        <v>110401.55555555555</v>
      </c>
      <c r="AZ85" s="58">
        <v>0</v>
      </c>
      <c r="BA85" s="80">
        <f t="shared" si="181"/>
        <v>20</v>
      </c>
      <c r="BB85" s="132">
        <f t="shared" si="199"/>
        <v>30.7</v>
      </c>
      <c r="BC85" s="183">
        <f t="shared" si="220"/>
        <v>0</v>
      </c>
      <c r="BD85" s="209">
        <v>0</v>
      </c>
      <c r="BE85" s="58">
        <f t="shared" si="221"/>
        <v>0</v>
      </c>
      <c r="BF85" s="80">
        <f t="shared" si="182"/>
        <v>55</v>
      </c>
      <c r="BG85" s="132">
        <f t="shared" si="200"/>
        <v>11.127272727272727</v>
      </c>
      <c r="BH85" s="183">
        <v>0</v>
      </c>
      <c r="BI85" s="58">
        <f t="shared" si="222"/>
        <v>0</v>
      </c>
      <c r="BJ85" s="58"/>
      <c r="BK85" s="173"/>
      <c r="BL85" s="183">
        <v>0</v>
      </c>
      <c r="BM85" s="58">
        <v>0</v>
      </c>
      <c r="BN85" s="80">
        <f t="shared" si="183"/>
        <v>14</v>
      </c>
      <c r="BO85" s="132">
        <f t="shared" si="202"/>
        <v>36.357142857142854</v>
      </c>
      <c r="BP85" s="183">
        <v>0</v>
      </c>
      <c r="BQ85" s="58">
        <v>0</v>
      </c>
      <c r="BR85" s="209"/>
      <c r="BS85" s="58">
        <f t="shared" si="223"/>
        <v>0</v>
      </c>
      <c r="BT85" s="80">
        <f t="shared" si="184"/>
        <v>46</v>
      </c>
      <c r="BU85" s="132">
        <f t="shared" si="203"/>
        <v>7.7173913043478262</v>
      </c>
      <c r="BV85" s="183">
        <f t="shared" si="224"/>
        <v>0</v>
      </c>
      <c r="BW85" s="195">
        <v>0</v>
      </c>
      <c r="BX85" s="80">
        <f t="shared" si="185"/>
        <v>21</v>
      </c>
      <c r="BY85" s="132">
        <f t="shared" si="204"/>
        <v>34.761904761904759</v>
      </c>
      <c r="BZ85" s="212">
        <v>0</v>
      </c>
      <c r="CA85" s="195">
        <v>0</v>
      </c>
      <c r="CB85" s="195"/>
      <c r="CD85" s="212">
        <v>0</v>
      </c>
      <c r="CE85" s="58">
        <v>515</v>
      </c>
      <c r="CF85" s="209"/>
      <c r="CG85" s="58">
        <f t="shared" si="225"/>
        <v>515</v>
      </c>
      <c r="CH85" s="194">
        <f t="shared" si="226"/>
        <v>154.5</v>
      </c>
      <c r="CI85" s="58">
        <v>0</v>
      </c>
      <c r="CJ85" s="209"/>
      <c r="CK85" s="58">
        <f t="shared" si="227"/>
        <v>0</v>
      </c>
      <c r="CL85" s="80">
        <f t="shared" si="186"/>
        <v>14</v>
      </c>
      <c r="CM85" s="135">
        <f t="shared" si="205"/>
        <v>37.142857142857146</v>
      </c>
      <c r="CN85" s="183">
        <f t="shared" si="210"/>
        <v>0</v>
      </c>
      <c r="CO85" s="58">
        <f t="shared" si="172"/>
        <v>0</v>
      </c>
      <c r="CP85" s="58"/>
      <c r="CQ85" s="58"/>
      <c r="CR85" s="195">
        <f t="shared" si="169"/>
        <v>0</v>
      </c>
      <c r="CS85" s="80">
        <f t="shared" si="187"/>
        <v>31</v>
      </c>
      <c r="CT85" s="327">
        <f t="shared" si="206"/>
        <v>22.29032258064516</v>
      </c>
      <c r="CU85" s="183">
        <f t="shared" si="211"/>
        <v>0</v>
      </c>
      <c r="CV85" s="58">
        <v>1835</v>
      </c>
      <c r="CW85" s="80">
        <f t="shared" si="188"/>
        <v>14</v>
      </c>
      <c r="CX85" s="135">
        <f t="shared" si="207"/>
        <v>37.142857142857146</v>
      </c>
      <c r="CY85" s="183">
        <f t="shared" si="228"/>
        <v>68157.14285714287</v>
      </c>
      <c r="CZ85" s="58">
        <v>0</v>
      </c>
      <c r="DA85" s="80">
        <f t="shared" si="189"/>
        <v>28</v>
      </c>
      <c r="DB85" s="327">
        <f t="shared" si="208"/>
        <v>23.214285714285715</v>
      </c>
      <c r="DC85" s="183">
        <f t="shared" si="229"/>
        <v>0</v>
      </c>
      <c r="DD85" s="58">
        <v>0</v>
      </c>
      <c r="DE85" s="58">
        <v>0</v>
      </c>
      <c r="DF85" s="209"/>
      <c r="DG85" s="58">
        <f t="shared" si="230"/>
        <v>0</v>
      </c>
      <c r="DH85" s="58">
        <f t="shared" si="170"/>
        <v>0</v>
      </c>
      <c r="DI85" s="80">
        <f t="shared" si="190"/>
        <v>26</v>
      </c>
      <c r="DJ85" s="332">
        <f t="shared" si="209"/>
        <v>33.384615384615387</v>
      </c>
      <c r="DK85" s="183">
        <f t="shared" si="212"/>
        <v>0</v>
      </c>
    </row>
    <row r="86" spans="1:115">
      <c r="A86" s="213">
        <v>1933</v>
      </c>
      <c r="B86" s="58">
        <v>341</v>
      </c>
      <c r="C86" s="209"/>
      <c r="D86" s="58">
        <f t="shared" si="213"/>
        <v>341</v>
      </c>
      <c r="E86" s="194">
        <f t="shared" si="214"/>
        <v>238.7</v>
      </c>
      <c r="F86" s="58">
        <v>0</v>
      </c>
      <c r="G86" s="209"/>
      <c r="H86" s="209">
        <f t="shared" si="215"/>
        <v>0</v>
      </c>
      <c r="I86" s="214">
        <v>13</v>
      </c>
      <c r="J86" s="132">
        <f t="shared" si="191"/>
        <v>40</v>
      </c>
      <c r="K86" s="183">
        <f t="shared" si="216"/>
        <v>0</v>
      </c>
      <c r="L86" s="58">
        <v>0</v>
      </c>
      <c r="M86" s="209"/>
      <c r="N86" s="209"/>
      <c r="O86" s="58">
        <f t="shared" si="217"/>
        <v>0</v>
      </c>
      <c r="P86" s="80">
        <f t="shared" si="173"/>
        <v>12</v>
      </c>
      <c r="Q86" s="132">
        <f t="shared" si="192"/>
        <v>49.583333333333336</v>
      </c>
      <c r="R86" s="193">
        <f t="shared" si="174"/>
        <v>0</v>
      </c>
      <c r="S86" s="58">
        <v>0</v>
      </c>
      <c r="T86" s="209"/>
      <c r="U86" s="209"/>
      <c r="V86" s="58">
        <f t="shared" si="231"/>
        <v>0</v>
      </c>
      <c r="W86" s="80">
        <f t="shared" si="175"/>
        <v>17</v>
      </c>
      <c r="X86" s="132">
        <f t="shared" si="193"/>
        <v>35.882352941176471</v>
      </c>
      <c r="Y86" s="183">
        <f t="shared" si="218"/>
        <v>0</v>
      </c>
      <c r="Z86" s="58">
        <v>0</v>
      </c>
      <c r="AA86" s="80">
        <f t="shared" si="176"/>
        <v>16</v>
      </c>
      <c r="AB86" s="132">
        <f t="shared" si="194"/>
        <v>34.25</v>
      </c>
      <c r="AC86" s="183">
        <v>0</v>
      </c>
      <c r="AD86" s="58">
        <v>0</v>
      </c>
      <c r="AE86" s="80">
        <f t="shared" si="177"/>
        <v>18</v>
      </c>
      <c r="AF86" s="132">
        <f t="shared" si="195"/>
        <v>46.055555555555557</v>
      </c>
      <c r="AG86" s="183">
        <v>0</v>
      </c>
      <c r="AH86" s="58">
        <v>0</v>
      </c>
      <c r="AI86" s="209"/>
      <c r="AJ86" s="58">
        <f t="shared" si="168"/>
        <v>0</v>
      </c>
      <c r="AL86" s="173"/>
      <c r="AM86" s="183">
        <v>0</v>
      </c>
      <c r="AN86" s="58">
        <v>0</v>
      </c>
      <c r="AO86" s="80">
        <f t="shared" si="178"/>
        <v>12</v>
      </c>
      <c r="AP86" s="132">
        <f t="shared" si="196"/>
        <v>47.333333333333336</v>
      </c>
      <c r="AQ86" s="183">
        <v>0</v>
      </c>
      <c r="AR86" s="58">
        <v>0</v>
      </c>
      <c r="AS86" s="80">
        <f t="shared" si="179"/>
        <v>13</v>
      </c>
      <c r="AT86" s="132">
        <f t="shared" si="197"/>
        <v>52.615384615384613</v>
      </c>
      <c r="AU86" s="183">
        <v>0</v>
      </c>
      <c r="AV86" s="58">
        <v>0</v>
      </c>
      <c r="AW86" s="80">
        <f t="shared" si="180"/>
        <v>17</v>
      </c>
      <c r="AX86" s="132">
        <f t="shared" si="198"/>
        <v>30.941176470588236</v>
      </c>
      <c r="AY86" s="183">
        <f t="shared" si="219"/>
        <v>0</v>
      </c>
      <c r="AZ86" s="58">
        <v>0</v>
      </c>
      <c r="BA86" s="80">
        <f t="shared" si="181"/>
        <v>18</v>
      </c>
      <c r="BB86" s="132">
        <f t="shared" si="199"/>
        <v>34.111111111111114</v>
      </c>
      <c r="BC86" s="183">
        <f t="shared" si="220"/>
        <v>0</v>
      </c>
      <c r="BD86" s="209">
        <v>0</v>
      </c>
      <c r="BE86" s="58">
        <f t="shared" si="221"/>
        <v>0</v>
      </c>
      <c r="BF86" s="80">
        <f t="shared" si="182"/>
        <v>52</v>
      </c>
      <c r="BG86" s="132">
        <f t="shared" si="200"/>
        <v>11.76923076923077</v>
      </c>
      <c r="BH86" s="183">
        <v>0</v>
      </c>
      <c r="BI86" s="58">
        <f t="shared" si="222"/>
        <v>0</v>
      </c>
      <c r="BJ86" s="58"/>
      <c r="BK86" s="173"/>
      <c r="BL86" s="183">
        <v>0</v>
      </c>
      <c r="BM86" s="58">
        <v>0</v>
      </c>
      <c r="BN86" s="80">
        <f t="shared" si="183"/>
        <v>13</v>
      </c>
      <c r="BO86" s="132">
        <f t="shared" si="202"/>
        <v>39.153846153846153</v>
      </c>
      <c r="BP86" s="183">
        <v>0</v>
      </c>
      <c r="BQ86" s="58">
        <v>0</v>
      </c>
      <c r="BR86" s="209"/>
      <c r="BS86" s="58">
        <f t="shared" si="223"/>
        <v>0</v>
      </c>
      <c r="BT86" s="80">
        <f t="shared" si="184"/>
        <v>43</v>
      </c>
      <c r="BU86" s="132">
        <f t="shared" si="203"/>
        <v>8.2558139534883725</v>
      </c>
      <c r="BV86" s="183">
        <f t="shared" si="224"/>
        <v>0</v>
      </c>
      <c r="BW86" s="195">
        <v>0</v>
      </c>
      <c r="BX86" s="80">
        <f t="shared" si="185"/>
        <v>19</v>
      </c>
      <c r="BY86" s="132">
        <f t="shared" si="204"/>
        <v>38.421052631578945</v>
      </c>
      <c r="BZ86" s="212">
        <v>0</v>
      </c>
      <c r="CA86" s="195">
        <v>0</v>
      </c>
      <c r="CB86" s="195"/>
      <c r="CD86" s="212">
        <v>0</v>
      </c>
      <c r="CE86" s="58">
        <v>341</v>
      </c>
      <c r="CF86" s="209"/>
      <c r="CG86" s="58">
        <f t="shared" si="225"/>
        <v>341</v>
      </c>
      <c r="CH86" s="194">
        <f t="shared" si="226"/>
        <v>102.3</v>
      </c>
      <c r="CI86" s="58">
        <v>0</v>
      </c>
      <c r="CJ86" s="209"/>
      <c r="CK86" s="58">
        <f t="shared" si="227"/>
        <v>0</v>
      </c>
      <c r="CL86" s="80">
        <f t="shared" si="186"/>
        <v>13</v>
      </c>
      <c r="CM86" s="135">
        <f t="shared" si="205"/>
        <v>40</v>
      </c>
      <c r="CN86" s="183">
        <f t="shared" si="210"/>
        <v>0</v>
      </c>
      <c r="CO86" s="58">
        <f t="shared" si="172"/>
        <v>0</v>
      </c>
      <c r="CP86" s="58"/>
      <c r="CQ86" s="58"/>
      <c r="CR86" s="195">
        <f t="shared" si="169"/>
        <v>0</v>
      </c>
      <c r="CS86" s="80">
        <f t="shared" si="187"/>
        <v>29</v>
      </c>
      <c r="CT86" s="327">
        <f t="shared" si="206"/>
        <v>23.827586206896552</v>
      </c>
      <c r="CU86" s="183">
        <f t="shared" si="211"/>
        <v>0</v>
      </c>
      <c r="CV86" s="58">
        <v>188</v>
      </c>
      <c r="CW86" s="80">
        <f t="shared" si="188"/>
        <v>13</v>
      </c>
      <c r="CX86" s="135">
        <f t="shared" si="207"/>
        <v>40</v>
      </c>
      <c r="CY86" s="183">
        <f t="shared" si="228"/>
        <v>7520</v>
      </c>
      <c r="CZ86" s="58">
        <v>0</v>
      </c>
      <c r="DA86" s="80">
        <f t="shared" si="189"/>
        <v>26</v>
      </c>
      <c r="DB86" s="327">
        <f t="shared" si="208"/>
        <v>25</v>
      </c>
      <c r="DC86" s="183">
        <f t="shared" si="229"/>
        <v>0</v>
      </c>
      <c r="DD86" s="58">
        <v>0</v>
      </c>
      <c r="DE86" s="58">
        <v>0</v>
      </c>
      <c r="DF86" s="209"/>
      <c r="DG86" s="58">
        <f t="shared" si="230"/>
        <v>0</v>
      </c>
      <c r="DH86" s="58">
        <f t="shared" si="170"/>
        <v>0</v>
      </c>
      <c r="DI86" s="80">
        <f t="shared" si="190"/>
        <v>24</v>
      </c>
      <c r="DJ86" s="332">
        <f t="shared" si="209"/>
        <v>36.166666666666664</v>
      </c>
      <c r="DK86" s="183">
        <f t="shared" si="212"/>
        <v>0</v>
      </c>
    </row>
    <row r="87" spans="1:115">
      <c r="A87" s="213">
        <v>1932</v>
      </c>
      <c r="B87" s="58">
        <v>427</v>
      </c>
      <c r="C87" s="209"/>
      <c r="D87" s="58">
        <f t="shared" si="213"/>
        <v>427</v>
      </c>
      <c r="E87" s="194">
        <f t="shared" si="214"/>
        <v>298.89999999999998</v>
      </c>
      <c r="F87" s="58">
        <v>0</v>
      </c>
      <c r="G87" s="209"/>
      <c r="H87" s="209">
        <f t="shared" si="215"/>
        <v>0</v>
      </c>
      <c r="I87" s="214">
        <v>13</v>
      </c>
      <c r="J87" s="132">
        <f t="shared" si="191"/>
        <v>40</v>
      </c>
      <c r="K87" s="183">
        <f t="shared" si="216"/>
        <v>0</v>
      </c>
      <c r="L87" s="58">
        <v>0</v>
      </c>
      <c r="M87" s="209"/>
      <c r="N87" s="209"/>
      <c r="O87" s="58">
        <f t="shared" si="217"/>
        <v>0</v>
      </c>
      <c r="P87" s="80">
        <f t="shared" si="173"/>
        <v>12</v>
      </c>
      <c r="Q87" s="132">
        <f t="shared" si="192"/>
        <v>49.583333333333336</v>
      </c>
      <c r="R87" s="193">
        <f t="shared" si="174"/>
        <v>0</v>
      </c>
      <c r="S87" s="58">
        <v>0</v>
      </c>
      <c r="T87" s="209"/>
      <c r="U87" s="209"/>
      <c r="V87" s="58">
        <f t="shared" si="231"/>
        <v>0</v>
      </c>
      <c r="W87" s="80">
        <f t="shared" si="175"/>
        <v>16</v>
      </c>
      <c r="X87" s="132">
        <f t="shared" si="193"/>
        <v>38.125</v>
      </c>
      <c r="Y87" s="183">
        <f t="shared" si="218"/>
        <v>0</v>
      </c>
      <c r="Z87" s="58">
        <v>0</v>
      </c>
      <c r="AA87" s="80">
        <f t="shared" si="176"/>
        <v>17</v>
      </c>
      <c r="AB87" s="132">
        <f t="shared" si="194"/>
        <v>32.235294117647058</v>
      </c>
      <c r="AC87" s="183">
        <v>0</v>
      </c>
      <c r="AD87" s="58">
        <v>0</v>
      </c>
      <c r="AE87" s="80">
        <f t="shared" si="177"/>
        <v>17</v>
      </c>
      <c r="AF87" s="132">
        <f t="shared" si="195"/>
        <v>48.764705882352942</v>
      </c>
      <c r="AG87" s="183">
        <v>0</v>
      </c>
      <c r="AH87" s="58">
        <v>0</v>
      </c>
      <c r="AI87" s="209"/>
      <c r="AJ87" s="58">
        <f t="shared" si="168"/>
        <v>0</v>
      </c>
      <c r="AL87" s="173"/>
      <c r="AM87" s="183">
        <v>0</v>
      </c>
      <c r="AN87" s="58">
        <v>0</v>
      </c>
      <c r="AO87" s="80">
        <f t="shared" si="178"/>
        <v>11</v>
      </c>
      <c r="AP87" s="132">
        <f t="shared" si="196"/>
        <v>51.636363636363633</v>
      </c>
      <c r="AQ87" s="183">
        <v>0</v>
      </c>
      <c r="AR87" s="58">
        <v>0</v>
      </c>
      <c r="AS87" s="80">
        <f t="shared" si="179"/>
        <v>13</v>
      </c>
      <c r="AT87" s="132">
        <f t="shared" si="197"/>
        <v>52.615384615384613</v>
      </c>
      <c r="AU87" s="183">
        <v>0</v>
      </c>
      <c r="AV87" s="58">
        <v>0</v>
      </c>
      <c r="AW87" s="80">
        <f t="shared" si="180"/>
        <v>18</v>
      </c>
      <c r="AX87" s="132">
        <f t="shared" si="198"/>
        <v>29.222222222222221</v>
      </c>
      <c r="AY87" s="183">
        <f t="shared" si="219"/>
        <v>0</v>
      </c>
      <c r="AZ87" s="58">
        <v>0</v>
      </c>
      <c r="BA87" s="80">
        <f t="shared" si="181"/>
        <v>17</v>
      </c>
      <c r="BB87" s="132">
        <f t="shared" si="199"/>
        <v>36.117647058823529</v>
      </c>
      <c r="BC87" s="183">
        <f t="shared" si="220"/>
        <v>0</v>
      </c>
      <c r="BD87" s="209">
        <v>0</v>
      </c>
      <c r="BE87" s="58">
        <f t="shared" si="221"/>
        <v>0</v>
      </c>
      <c r="BF87" s="80">
        <f t="shared" si="182"/>
        <v>51</v>
      </c>
      <c r="BG87" s="132">
        <f t="shared" si="200"/>
        <v>12</v>
      </c>
      <c r="BH87" s="183">
        <v>0</v>
      </c>
      <c r="BI87" s="58">
        <f t="shared" si="222"/>
        <v>0</v>
      </c>
      <c r="BJ87" s="58"/>
      <c r="BK87" s="173"/>
      <c r="BL87" s="183">
        <v>0</v>
      </c>
      <c r="BM87" s="58">
        <v>0</v>
      </c>
      <c r="BN87" s="80">
        <f t="shared" si="183"/>
        <v>12</v>
      </c>
      <c r="BO87" s="132">
        <f t="shared" si="202"/>
        <v>42.416666666666664</v>
      </c>
      <c r="BP87" s="183">
        <v>0</v>
      </c>
      <c r="BQ87" s="58">
        <v>0</v>
      </c>
      <c r="BR87" s="209"/>
      <c r="BS87" s="58">
        <f t="shared" si="223"/>
        <v>0</v>
      </c>
      <c r="BT87" s="80">
        <f t="shared" si="184"/>
        <v>41</v>
      </c>
      <c r="BU87" s="132">
        <f t="shared" si="203"/>
        <v>8.6585365853658534</v>
      </c>
      <c r="BV87" s="183">
        <f t="shared" si="224"/>
        <v>0</v>
      </c>
      <c r="BW87" s="195">
        <v>0</v>
      </c>
      <c r="BX87" s="80">
        <f t="shared" si="185"/>
        <v>19</v>
      </c>
      <c r="BY87" s="132">
        <f t="shared" si="204"/>
        <v>38.421052631578945</v>
      </c>
      <c r="BZ87" s="212">
        <v>0</v>
      </c>
      <c r="CA87" s="195">
        <v>0</v>
      </c>
      <c r="CB87" s="195"/>
      <c r="CD87" s="212">
        <v>0</v>
      </c>
      <c r="CE87" s="58">
        <v>427</v>
      </c>
      <c r="CF87" s="209"/>
      <c r="CG87" s="58">
        <f t="shared" si="225"/>
        <v>427</v>
      </c>
      <c r="CH87" s="194">
        <f t="shared" si="226"/>
        <v>128.1</v>
      </c>
      <c r="CI87" s="58">
        <v>0</v>
      </c>
      <c r="CJ87" s="209"/>
      <c r="CK87" s="58">
        <f t="shared" si="227"/>
        <v>0</v>
      </c>
      <c r="CL87" s="80">
        <f t="shared" si="186"/>
        <v>13</v>
      </c>
      <c r="CM87" s="135">
        <f t="shared" si="205"/>
        <v>40</v>
      </c>
      <c r="CN87" s="183">
        <f t="shared" si="210"/>
        <v>0</v>
      </c>
      <c r="CO87" s="58">
        <f t="shared" si="172"/>
        <v>0</v>
      </c>
      <c r="CP87" s="58"/>
      <c r="CQ87" s="58"/>
      <c r="CR87" s="195">
        <f t="shared" si="169"/>
        <v>0</v>
      </c>
      <c r="CS87" s="80">
        <f t="shared" si="187"/>
        <v>27</v>
      </c>
      <c r="CT87" s="327">
        <f t="shared" si="206"/>
        <v>25.592592592592592</v>
      </c>
      <c r="CU87" s="183">
        <f t="shared" si="211"/>
        <v>0</v>
      </c>
      <c r="CV87" s="58">
        <v>0</v>
      </c>
      <c r="CW87" s="80">
        <f t="shared" si="188"/>
        <v>13</v>
      </c>
      <c r="CX87" s="135">
        <f t="shared" si="207"/>
        <v>40</v>
      </c>
      <c r="CY87" s="183">
        <f t="shared" si="228"/>
        <v>0</v>
      </c>
      <c r="CZ87" s="58">
        <v>0</v>
      </c>
      <c r="DA87" s="80">
        <f t="shared" si="189"/>
        <v>25</v>
      </c>
      <c r="DB87" s="327">
        <f t="shared" si="208"/>
        <v>26</v>
      </c>
      <c r="DC87" s="183">
        <f t="shared" si="229"/>
        <v>0</v>
      </c>
      <c r="DD87" s="58">
        <v>0</v>
      </c>
      <c r="DE87" s="58">
        <v>0</v>
      </c>
      <c r="DF87" s="209"/>
      <c r="DG87" s="58">
        <f t="shared" si="230"/>
        <v>0</v>
      </c>
      <c r="DH87" s="58">
        <f t="shared" si="170"/>
        <v>0</v>
      </c>
      <c r="DI87" s="80">
        <f t="shared" si="190"/>
        <v>23</v>
      </c>
      <c r="DJ87" s="332">
        <f t="shared" si="209"/>
        <v>37.739130434782609</v>
      </c>
      <c r="DK87" s="183">
        <f t="shared" si="212"/>
        <v>0</v>
      </c>
    </row>
    <row r="88" spans="1:115">
      <c r="A88" s="213">
        <v>1931</v>
      </c>
      <c r="B88" s="58">
        <v>2274</v>
      </c>
      <c r="C88" s="209"/>
      <c r="D88" s="58">
        <f t="shared" si="213"/>
        <v>2274</v>
      </c>
      <c r="E88" s="194">
        <f t="shared" si="214"/>
        <v>1591.8</v>
      </c>
      <c r="F88" s="58">
        <v>0</v>
      </c>
      <c r="G88" s="209"/>
      <c r="H88" s="209">
        <f t="shared" si="215"/>
        <v>0</v>
      </c>
      <c r="I88" s="214">
        <v>14</v>
      </c>
      <c r="J88" s="132">
        <f t="shared" si="191"/>
        <v>37.142857142857146</v>
      </c>
      <c r="K88" s="183">
        <f t="shared" si="216"/>
        <v>0</v>
      </c>
      <c r="L88" s="58">
        <v>16696</v>
      </c>
      <c r="M88" s="209"/>
      <c r="N88" s="209"/>
      <c r="O88" s="58">
        <f t="shared" si="217"/>
        <v>16696</v>
      </c>
      <c r="P88" s="80">
        <f t="shared" si="173"/>
        <v>13</v>
      </c>
      <c r="Q88" s="132">
        <f t="shared" si="192"/>
        <v>45.769230769230766</v>
      </c>
      <c r="R88" s="193">
        <f t="shared" si="174"/>
        <v>764163.07692307688</v>
      </c>
      <c r="S88" s="58">
        <v>29806</v>
      </c>
      <c r="T88" s="209"/>
      <c r="U88" s="209"/>
      <c r="V88" s="58">
        <f t="shared" si="231"/>
        <v>29806</v>
      </c>
      <c r="W88" s="80">
        <f t="shared" si="175"/>
        <v>18</v>
      </c>
      <c r="X88" s="132">
        <f t="shared" si="193"/>
        <v>33.888888888888886</v>
      </c>
      <c r="Y88" s="183">
        <f t="shared" si="218"/>
        <v>1010092.2222222221</v>
      </c>
      <c r="Z88" s="58">
        <v>0</v>
      </c>
      <c r="AA88" s="80">
        <f t="shared" si="176"/>
        <v>17</v>
      </c>
      <c r="AB88" s="132">
        <f t="shared" si="194"/>
        <v>32.235294117647058</v>
      </c>
      <c r="AC88" s="183">
        <v>0</v>
      </c>
      <c r="AD88" s="58">
        <v>0</v>
      </c>
      <c r="AE88" s="80">
        <f t="shared" si="177"/>
        <v>18</v>
      </c>
      <c r="AF88" s="132">
        <f t="shared" si="195"/>
        <v>46.055555555555557</v>
      </c>
      <c r="AG88" s="183">
        <v>0</v>
      </c>
      <c r="AH88" s="58">
        <v>0</v>
      </c>
      <c r="AI88" s="209"/>
      <c r="AJ88" s="58">
        <f t="shared" si="168"/>
        <v>0</v>
      </c>
      <c r="AL88" s="173"/>
      <c r="AM88" s="183">
        <v>0</v>
      </c>
      <c r="AN88" s="58">
        <v>0</v>
      </c>
      <c r="AO88" s="80">
        <f t="shared" si="178"/>
        <v>12</v>
      </c>
      <c r="AP88" s="132">
        <f t="shared" si="196"/>
        <v>47.333333333333336</v>
      </c>
      <c r="AQ88" s="183">
        <v>0</v>
      </c>
      <c r="AR88" s="58">
        <v>0</v>
      </c>
      <c r="AS88" s="80">
        <f t="shared" si="179"/>
        <v>14</v>
      </c>
      <c r="AT88" s="132">
        <f t="shared" si="197"/>
        <v>48.857142857142854</v>
      </c>
      <c r="AU88" s="183">
        <v>0</v>
      </c>
      <c r="AV88" s="58">
        <v>3644</v>
      </c>
      <c r="AW88" s="80">
        <f t="shared" si="180"/>
        <v>18</v>
      </c>
      <c r="AX88" s="132">
        <f t="shared" si="198"/>
        <v>29.222222222222221</v>
      </c>
      <c r="AY88" s="183">
        <f t="shared" si="219"/>
        <v>106485.77777777778</v>
      </c>
      <c r="AZ88" s="58">
        <v>0</v>
      </c>
      <c r="BA88" s="80">
        <f t="shared" si="181"/>
        <v>18</v>
      </c>
      <c r="BB88" s="132">
        <f t="shared" si="199"/>
        <v>34.111111111111114</v>
      </c>
      <c r="BC88" s="183">
        <f t="shared" si="220"/>
        <v>0</v>
      </c>
      <c r="BD88" s="209">
        <v>0</v>
      </c>
      <c r="BE88" s="58">
        <f t="shared" si="221"/>
        <v>0</v>
      </c>
      <c r="BF88" s="80">
        <f t="shared" si="182"/>
        <v>53</v>
      </c>
      <c r="BG88" s="132">
        <f t="shared" si="200"/>
        <v>11.547169811320755</v>
      </c>
      <c r="BH88" s="183">
        <v>0</v>
      </c>
      <c r="BI88" s="58">
        <f t="shared" si="222"/>
        <v>0</v>
      </c>
      <c r="BJ88" s="58"/>
      <c r="BK88" s="173"/>
      <c r="BL88" s="183">
        <v>0</v>
      </c>
      <c r="BM88" s="58">
        <v>0</v>
      </c>
      <c r="BN88" s="80">
        <f t="shared" si="183"/>
        <v>13</v>
      </c>
      <c r="BO88" s="132">
        <f t="shared" si="202"/>
        <v>39.153846153846153</v>
      </c>
      <c r="BP88" s="183">
        <v>0</v>
      </c>
      <c r="BQ88" s="58">
        <v>0</v>
      </c>
      <c r="BR88" s="209"/>
      <c r="BS88" s="58">
        <f t="shared" si="223"/>
        <v>0</v>
      </c>
      <c r="BT88" s="80">
        <f t="shared" si="184"/>
        <v>41</v>
      </c>
      <c r="BU88" s="132">
        <f t="shared" si="203"/>
        <v>8.6585365853658534</v>
      </c>
      <c r="BV88" s="183">
        <f t="shared" si="224"/>
        <v>0</v>
      </c>
      <c r="BW88" s="195">
        <v>0</v>
      </c>
      <c r="BX88" s="80">
        <f t="shared" si="185"/>
        <v>20</v>
      </c>
      <c r="BY88" s="132">
        <f t="shared" si="204"/>
        <v>36.5</v>
      </c>
      <c r="BZ88" s="212">
        <v>0</v>
      </c>
      <c r="CA88" s="195">
        <v>0</v>
      </c>
      <c r="CB88" s="195"/>
      <c r="CD88" s="212">
        <v>0</v>
      </c>
      <c r="CE88" s="58">
        <v>2274</v>
      </c>
      <c r="CF88" s="209"/>
      <c r="CG88" s="58">
        <f t="shared" si="225"/>
        <v>2274</v>
      </c>
      <c r="CH88" s="194">
        <f t="shared" si="226"/>
        <v>682.19999999999993</v>
      </c>
      <c r="CI88" s="58">
        <v>0</v>
      </c>
      <c r="CJ88" s="209"/>
      <c r="CK88" s="58">
        <f t="shared" si="227"/>
        <v>0</v>
      </c>
      <c r="CL88" s="80">
        <f t="shared" si="186"/>
        <v>14</v>
      </c>
      <c r="CM88" s="135">
        <f t="shared" si="205"/>
        <v>37.142857142857146</v>
      </c>
      <c r="CN88" s="183">
        <f t="shared" si="210"/>
        <v>0</v>
      </c>
      <c r="CO88" s="58">
        <f t="shared" si="172"/>
        <v>0</v>
      </c>
      <c r="CP88" s="58"/>
      <c r="CQ88" s="58"/>
      <c r="CR88" s="195">
        <f t="shared" si="169"/>
        <v>0</v>
      </c>
      <c r="CS88" s="80">
        <f t="shared" si="187"/>
        <v>29</v>
      </c>
      <c r="CT88" s="327">
        <f t="shared" si="206"/>
        <v>23.827586206896552</v>
      </c>
      <c r="CU88" s="183">
        <f t="shared" si="211"/>
        <v>0</v>
      </c>
      <c r="CV88" s="58">
        <v>8637</v>
      </c>
      <c r="CW88" s="80">
        <f t="shared" si="188"/>
        <v>14</v>
      </c>
      <c r="CX88" s="135">
        <f t="shared" si="207"/>
        <v>37.142857142857146</v>
      </c>
      <c r="CY88" s="183">
        <f t="shared" si="228"/>
        <v>320802.85714285716</v>
      </c>
      <c r="CZ88" s="58">
        <v>0</v>
      </c>
      <c r="DA88" s="80">
        <f t="shared" si="189"/>
        <v>27</v>
      </c>
      <c r="DB88" s="327">
        <f t="shared" si="208"/>
        <v>24.074074074074073</v>
      </c>
      <c r="DC88" s="183">
        <f t="shared" si="229"/>
        <v>0</v>
      </c>
      <c r="DD88" s="58">
        <v>0</v>
      </c>
      <c r="DE88" s="58">
        <v>0</v>
      </c>
      <c r="DF88" s="209"/>
      <c r="DG88" s="58">
        <f t="shared" si="230"/>
        <v>0</v>
      </c>
      <c r="DH88" s="58">
        <f t="shared" si="170"/>
        <v>0</v>
      </c>
      <c r="DI88" s="80">
        <f t="shared" si="190"/>
        <v>25</v>
      </c>
      <c r="DJ88" s="332">
        <f t="shared" si="209"/>
        <v>34.72</v>
      </c>
      <c r="DK88" s="183">
        <f t="shared" si="212"/>
        <v>0</v>
      </c>
    </row>
    <row r="89" spans="1:115">
      <c r="A89" s="213">
        <v>1930</v>
      </c>
      <c r="B89" s="58">
        <v>39164</v>
      </c>
      <c r="C89" s="209"/>
      <c r="D89" s="58">
        <f t="shared" si="213"/>
        <v>39164</v>
      </c>
      <c r="E89" s="194">
        <f t="shared" si="214"/>
        <v>27414.799999999999</v>
      </c>
      <c r="F89" s="58">
        <v>0</v>
      </c>
      <c r="G89" s="209"/>
      <c r="H89" s="209">
        <f t="shared" si="215"/>
        <v>0</v>
      </c>
      <c r="I89" s="214">
        <v>15</v>
      </c>
      <c r="J89" s="132">
        <f t="shared" si="191"/>
        <v>34.666666666666664</v>
      </c>
      <c r="K89" s="183">
        <f t="shared" si="216"/>
        <v>0</v>
      </c>
      <c r="L89" s="58">
        <v>31954</v>
      </c>
      <c r="M89" s="209"/>
      <c r="N89" s="209"/>
      <c r="O89" s="58">
        <f t="shared" si="217"/>
        <v>31954</v>
      </c>
      <c r="P89" s="80">
        <f t="shared" si="173"/>
        <v>13</v>
      </c>
      <c r="Q89" s="132">
        <f t="shared" si="192"/>
        <v>45.769230769230766</v>
      </c>
      <c r="R89" s="193">
        <f t="shared" si="174"/>
        <v>1462510</v>
      </c>
      <c r="S89" s="58">
        <v>252885</v>
      </c>
      <c r="T89" s="209"/>
      <c r="U89" s="209"/>
      <c r="V89" s="58">
        <f t="shared" si="231"/>
        <v>252885</v>
      </c>
      <c r="W89" s="80">
        <f t="shared" si="175"/>
        <v>20</v>
      </c>
      <c r="X89" s="132">
        <f t="shared" si="193"/>
        <v>30.5</v>
      </c>
      <c r="Y89" s="183">
        <f t="shared" si="218"/>
        <v>7712992.5</v>
      </c>
      <c r="Z89" s="58">
        <v>0</v>
      </c>
      <c r="AA89" s="80">
        <f t="shared" si="176"/>
        <v>18</v>
      </c>
      <c r="AB89" s="132">
        <f t="shared" si="194"/>
        <v>30.444444444444443</v>
      </c>
      <c r="AC89" s="183">
        <v>0</v>
      </c>
      <c r="AD89" s="58">
        <v>0</v>
      </c>
      <c r="AE89" s="80">
        <f t="shared" si="177"/>
        <v>18</v>
      </c>
      <c r="AF89" s="132">
        <f t="shared" si="195"/>
        <v>46.055555555555557</v>
      </c>
      <c r="AG89" s="183">
        <v>0</v>
      </c>
      <c r="AH89" s="58">
        <v>11923</v>
      </c>
      <c r="AI89" s="209"/>
      <c r="AJ89" s="58">
        <f t="shared" si="168"/>
        <v>11923</v>
      </c>
      <c r="AK89" s="175">
        <v>30</v>
      </c>
      <c r="AL89" s="132">
        <f t="shared" ref="AL89" si="232">$AK$4/AK89</f>
        <v>17.5</v>
      </c>
      <c r="AM89" s="183">
        <f>AL89*AJ89</f>
        <v>208652.5</v>
      </c>
      <c r="AN89" s="58">
        <v>0</v>
      </c>
      <c r="AO89" s="80">
        <f t="shared" si="178"/>
        <v>13</v>
      </c>
      <c r="AP89" s="132">
        <f t="shared" si="196"/>
        <v>43.692307692307693</v>
      </c>
      <c r="AQ89" s="183">
        <v>0</v>
      </c>
      <c r="AR89" s="58">
        <v>0</v>
      </c>
      <c r="AS89" s="80">
        <f t="shared" si="179"/>
        <v>15</v>
      </c>
      <c r="AT89" s="132">
        <f t="shared" si="197"/>
        <v>45.6</v>
      </c>
      <c r="AU89" s="183">
        <v>0</v>
      </c>
      <c r="AV89" s="58">
        <v>45497</v>
      </c>
      <c r="AW89" s="80">
        <f t="shared" si="180"/>
        <v>19</v>
      </c>
      <c r="AX89" s="132">
        <f t="shared" si="198"/>
        <v>27.684210526315791</v>
      </c>
      <c r="AY89" s="183">
        <f t="shared" si="219"/>
        <v>1259548.5263157894</v>
      </c>
      <c r="AZ89" s="58">
        <v>0</v>
      </c>
      <c r="BA89" s="80">
        <f t="shared" si="181"/>
        <v>19</v>
      </c>
      <c r="BB89" s="132">
        <f t="shared" si="199"/>
        <v>32.315789473684212</v>
      </c>
      <c r="BC89" s="183">
        <f t="shared" si="220"/>
        <v>0</v>
      </c>
      <c r="BD89" s="209">
        <v>0</v>
      </c>
      <c r="BE89" s="58">
        <f t="shared" si="221"/>
        <v>0</v>
      </c>
      <c r="BF89" s="80">
        <f t="shared" si="182"/>
        <v>55</v>
      </c>
      <c r="BG89" s="132">
        <f t="shared" si="200"/>
        <v>11.127272727272727</v>
      </c>
      <c r="BH89" s="183">
        <v>0</v>
      </c>
      <c r="BI89" s="58">
        <f t="shared" si="222"/>
        <v>0</v>
      </c>
      <c r="BJ89" s="58"/>
      <c r="BK89" s="173"/>
      <c r="BL89" s="183">
        <v>0</v>
      </c>
      <c r="BM89" s="58">
        <v>0</v>
      </c>
      <c r="BN89" s="80">
        <f t="shared" si="183"/>
        <v>14</v>
      </c>
      <c r="BO89" s="132">
        <f t="shared" si="202"/>
        <v>36.357142857142854</v>
      </c>
      <c r="BP89" s="183">
        <v>0</v>
      </c>
      <c r="BQ89" s="58">
        <v>0</v>
      </c>
      <c r="BR89" s="209"/>
      <c r="BS89" s="58">
        <f t="shared" si="223"/>
        <v>0</v>
      </c>
      <c r="BT89" s="80">
        <f t="shared" si="184"/>
        <v>41</v>
      </c>
      <c r="BU89" s="132">
        <f t="shared" si="203"/>
        <v>8.6585365853658534</v>
      </c>
      <c r="BV89" s="183">
        <f t="shared" si="224"/>
        <v>0</v>
      </c>
      <c r="BW89" s="195">
        <v>0</v>
      </c>
      <c r="BX89" s="80">
        <f t="shared" si="185"/>
        <v>20</v>
      </c>
      <c r="BY89" s="132">
        <f t="shared" si="204"/>
        <v>36.5</v>
      </c>
      <c r="BZ89" s="212">
        <v>0</v>
      </c>
      <c r="CA89" s="195">
        <v>0</v>
      </c>
      <c r="CB89" s="195"/>
      <c r="CD89" s="212">
        <v>0</v>
      </c>
      <c r="CE89" s="58">
        <v>39164</v>
      </c>
      <c r="CF89" s="209"/>
      <c r="CG89" s="58">
        <f t="shared" si="225"/>
        <v>39164</v>
      </c>
      <c r="CH89" s="194">
        <f t="shared" si="226"/>
        <v>11749.199999999999</v>
      </c>
      <c r="CI89" s="58">
        <v>0</v>
      </c>
      <c r="CJ89" s="209"/>
      <c r="CK89" s="58">
        <f t="shared" si="227"/>
        <v>0</v>
      </c>
      <c r="CL89" s="80">
        <f t="shared" si="186"/>
        <v>15</v>
      </c>
      <c r="CM89" s="135">
        <f t="shared" si="205"/>
        <v>34.666666666666664</v>
      </c>
      <c r="CN89" s="183">
        <f t="shared" si="210"/>
        <v>0</v>
      </c>
      <c r="CO89" s="58">
        <f t="shared" si="172"/>
        <v>0</v>
      </c>
      <c r="CP89" s="58"/>
      <c r="CQ89" s="58"/>
      <c r="CR89" s="195">
        <f t="shared" si="169"/>
        <v>0</v>
      </c>
      <c r="CS89" s="80">
        <f t="shared" si="187"/>
        <v>29</v>
      </c>
      <c r="CT89" s="327">
        <f t="shared" si="206"/>
        <v>23.827586206896552</v>
      </c>
      <c r="CU89" s="183">
        <f t="shared" si="211"/>
        <v>0</v>
      </c>
      <c r="CV89" s="58">
        <v>1875</v>
      </c>
      <c r="CW89" s="80">
        <f t="shared" si="188"/>
        <v>15</v>
      </c>
      <c r="CX89" s="135">
        <f t="shared" si="207"/>
        <v>34.666666666666664</v>
      </c>
      <c r="CY89" s="183">
        <f t="shared" si="228"/>
        <v>64999.999999999993</v>
      </c>
      <c r="CZ89" s="58">
        <v>0</v>
      </c>
      <c r="DA89" s="80">
        <f t="shared" si="189"/>
        <v>27</v>
      </c>
      <c r="DB89" s="327">
        <f t="shared" si="208"/>
        <v>24.074074074074073</v>
      </c>
      <c r="DC89" s="183">
        <f t="shared" si="229"/>
        <v>0</v>
      </c>
      <c r="DD89" s="58">
        <v>0</v>
      </c>
      <c r="DE89" s="58">
        <v>0</v>
      </c>
      <c r="DF89" s="209"/>
      <c r="DG89" s="58">
        <f t="shared" si="230"/>
        <v>0</v>
      </c>
      <c r="DH89" s="58">
        <f t="shared" si="170"/>
        <v>0</v>
      </c>
      <c r="DI89" s="80">
        <f t="shared" si="190"/>
        <v>25</v>
      </c>
      <c r="DJ89" s="332">
        <f t="shared" si="209"/>
        <v>34.72</v>
      </c>
      <c r="DK89" s="183">
        <f t="shared" si="212"/>
        <v>0</v>
      </c>
    </row>
    <row r="90" spans="1:115">
      <c r="A90" s="213">
        <v>1929</v>
      </c>
      <c r="B90" s="58">
        <v>33342</v>
      </c>
      <c r="C90" s="209"/>
      <c r="D90" s="58">
        <f t="shared" si="213"/>
        <v>33342</v>
      </c>
      <c r="E90" s="194">
        <f t="shared" si="214"/>
        <v>23339.399999999998</v>
      </c>
      <c r="F90" s="58">
        <v>2885</v>
      </c>
      <c r="G90" s="209"/>
      <c r="H90" s="209">
        <f t="shared" si="215"/>
        <v>2885</v>
      </c>
      <c r="I90" s="214">
        <v>15</v>
      </c>
      <c r="J90" s="132">
        <f t="shared" si="191"/>
        <v>34.666666666666664</v>
      </c>
      <c r="K90" s="183">
        <f t="shared" si="216"/>
        <v>100013.33333333333</v>
      </c>
      <c r="L90" s="58">
        <v>3060</v>
      </c>
      <c r="M90" s="209"/>
      <c r="N90" s="209"/>
      <c r="O90" s="58">
        <f t="shared" si="217"/>
        <v>3060</v>
      </c>
      <c r="P90" s="80">
        <f t="shared" si="173"/>
        <v>13</v>
      </c>
      <c r="Q90" s="132">
        <f t="shared" si="192"/>
        <v>45.769230769230766</v>
      </c>
      <c r="R90" s="193">
        <f t="shared" si="174"/>
        <v>140053.84615384616</v>
      </c>
      <c r="S90" s="58">
        <v>225782</v>
      </c>
      <c r="T90" s="209"/>
      <c r="U90" s="209"/>
      <c r="V90" s="58">
        <f t="shared" si="231"/>
        <v>225782</v>
      </c>
      <c r="W90" s="80">
        <f t="shared" si="175"/>
        <v>23</v>
      </c>
      <c r="X90" s="132">
        <f t="shared" si="193"/>
        <v>26.521739130434781</v>
      </c>
      <c r="Y90" s="183">
        <f t="shared" si="218"/>
        <v>5988131.3043478262</v>
      </c>
      <c r="Z90" s="58">
        <v>0</v>
      </c>
      <c r="AA90" s="80">
        <f t="shared" si="176"/>
        <v>18</v>
      </c>
      <c r="AB90" s="132">
        <f t="shared" si="194"/>
        <v>30.444444444444443</v>
      </c>
      <c r="AC90" s="183">
        <v>0</v>
      </c>
      <c r="AD90" s="58">
        <v>0</v>
      </c>
      <c r="AE90" s="80">
        <f t="shared" si="177"/>
        <v>22</v>
      </c>
      <c r="AF90" s="132">
        <f t="shared" si="195"/>
        <v>37.68181818181818</v>
      </c>
      <c r="AG90" s="183">
        <v>0</v>
      </c>
      <c r="AH90" s="58">
        <v>0</v>
      </c>
      <c r="AI90" s="209"/>
      <c r="AJ90" s="58">
        <f t="shared" ref="AJ90:AJ113" si="233">AH90-AI90</f>
        <v>0</v>
      </c>
      <c r="AL90" s="173"/>
      <c r="AM90" s="183">
        <v>0</v>
      </c>
      <c r="AN90" s="58">
        <v>0</v>
      </c>
      <c r="AO90" s="80">
        <f t="shared" si="178"/>
        <v>13</v>
      </c>
      <c r="AP90" s="132">
        <f t="shared" si="196"/>
        <v>43.692307692307693</v>
      </c>
      <c r="AQ90" s="183">
        <v>0</v>
      </c>
      <c r="AR90" s="58">
        <v>0</v>
      </c>
      <c r="AS90" s="80">
        <f t="shared" si="179"/>
        <v>18</v>
      </c>
      <c r="AT90" s="132">
        <f t="shared" si="197"/>
        <v>38</v>
      </c>
      <c r="AU90" s="183">
        <v>0</v>
      </c>
      <c r="AV90" s="58">
        <v>94044</v>
      </c>
      <c r="AW90" s="80">
        <f t="shared" si="180"/>
        <v>19</v>
      </c>
      <c r="AX90" s="132">
        <f t="shared" si="198"/>
        <v>27.684210526315791</v>
      </c>
      <c r="AY90" s="183">
        <f t="shared" si="219"/>
        <v>2603533.8947368423</v>
      </c>
      <c r="AZ90" s="58">
        <v>0</v>
      </c>
      <c r="BA90" s="80">
        <f t="shared" si="181"/>
        <v>23</v>
      </c>
      <c r="BB90" s="132">
        <f t="shared" si="199"/>
        <v>26.695652173913043</v>
      </c>
      <c r="BC90" s="183">
        <f t="shared" si="220"/>
        <v>0</v>
      </c>
      <c r="BD90" s="209">
        <v>0</v>
      </c>
      <c r="BE90" s="58">
        <f t="shared" si="221"/>
        <v>0</v>
      </c>
      <c r="BF90" s="80">
        <f t="shared" si="182"/>
        <v>56</v>
      </c>
      <c r="BG90" s="132">
        <f t="shared" si="200"/>
        <v>10.928571428571429</v>
      </c>
      <c r="BH90" s="183">
        <v>0</v>
      </c>
      <c r="BI90" s="58">
        <f t="shared" si="222"/>
        <v>0</v>
      </c>
      <c r="BJ90" s="58"/>
      <c r="BK90" s="173"/>
      <c r="BL90" s="183">
        <v>0</v>
      </c>
      <c r="BM90" s="58">
        <v>0</v>
      </c>
      <c r="BN90" s="80">
        <f t="shared" si="183"/>
        <v>17</v>
      </c>
      <c r="BO90" s="132">
        <f t="shared" si="202"/>
        <v>29.941176470588236</v>
      </c>
      <c r="BP90" s="183">
        <v>0</v>
      </c>
      <c r="BQ90" s="58">
        <v>0</v>
      </c>
      <c r="BR90" s="209"/>
      <c r="BS90" s="58">
        <f t="shared" si="223"/>
        <v>0</v>
      </c>
      <c r="BT90" s="80">
        <f t="shared" si="184"/>
        <v>41</v>
      </c>
      <c r="BU90" s="132">
        <f t="shared" si="203"/>
        <v>8.6585365853658534</v>
      </c>
      <c r="BV90" s="183">
        <f t="shared" si="224"/>
        <v>0</v>
      </c>
      <c r="BW90" s="195">
        <v>0</v>
      </c>
      <c r="BX90" s="80">
        <f t="shared" si="185"/>
        <v>20</v>
      </c>
      <c r="BY90" s="132">
        <f t="shared" si="204"/>
        <v>36.5</v>
      </c>
      <c r="BZ90" s="212">
        <v>0</v>
      </c>
      <c r="CA90" s="195">
        <v>0</v>
      </c>
      <c r="CB90" s="195"/>
      <c r="CD90" s="212">
        <v>0</v>
      </c>
      <c r="CE90" s="58">
        <v>33342</v>
      </c>
      <c r="CF90" s="209"/>
      <c r="CG90" s="58">
        <f t="shared" si="225"/>
        <v>33342</v>
      </c>
      <c r="CH90" s="194">
        <f t="shared" si="226"/>
        <v>10002.6</v>
      </c>
      <c r="CI90" s="58">
        <v>0</v>
      </c>
      <c r="CJ90" s="209"/>
      <c r="CK90" s="58">
        <f t="shared" si="227"/>
        <v>0</v>
      </c>
      <c r="CL90" s="80">
        <f t="shared" si="186"/>
        <v>15</v>
      </c>
      <c r="CM90" s="135">
        <f t="shared" si="205"/>
        <v>34.666666666666664</v>
      </c>
      <c r="CN90" s="183">
        <f t="shared" si="210"/>
        <v>0</v>
      </c>
      <c r="CO90" s="58">
        <f t="shared" si="172"/>
        <v>0</v>
      </c>
      <c r="CP90" s="58"/>
      <c r="CQ90" s="58"/>
      <c r="CR90" s="195">
        <f t="shared" si="169"/>
        <v>0</v>
      </c>
      <c r="CS90" s="80">
        <f t="shared" si="187"/>
        <v>30</v>
      </c>
      <c r="CT90" s="327">
        <f t="shared" si="206"/>
        <v>23.033333333333335</v>
      </c>
      <c r="CU90" s="183">
        <f t="shared" si="211"/>
        <v>0</v>
      </c>
      <c r="CV90" s="58">
        <v>15159</v>
      </c>
      <c r="CW90" s="80">
        <f t="shared" si="188"/>
        <v>15</v>
      </c>
      <c r="CX90" s="135">
        <f t="shared" si="207"/>
        <v>34.666666666666664</v>
      </c>
      <c r="CY90" s="183">
        <f t="shared" si="228"/>
        <v>525512</v>
      </c>
      <c r="CZ90" s="58">
        <v>0</v>
      </c>
      <c r="DA90" s="80">
        <f t="shared" si="189"/>
        <v>27</v>
      </c>
      <c r="DB90" s="327">
        <f t="shared" si="208"/>
        <v>24.074074074074073</v>
      </c>
      <c r="DC90" s="183">
        <f t="shared" si="229"/>
        <v>0</v>
      </c>
      <c r="DD90" s="58">
        <v>0</v>
      </c>
      <c r="DE90" s="58">
        <v>0</v>
      </c>
      <c r="DF90" s="209"/>
      <c r="DG90" s="58">
        <f t="shared" si="230"/>
        <v>0</v>
      </c>
      <c r="DH90" s="58">
        <f t="shared" si="170"/>
        <v>0</v>
      </c>
      <c r="DI90" s="80">
        <f t="shared" si="190"/>
        <v>26</v>
      </c>
      <c r="DJ90" s="332">
        <f t="shared" si="209"/>
        <v>33.384615384615387</v>
      </c>
      <c r="DK90" s="183">
        <f t="shared" si="212"/>
        <v>0</v>
      </c>
    </row>
    <row r="91" spans="1:115">
      <c r="A91" s="213">
        <v>1928</v>
      </c>
      <c r="B91" s="58">
        <v>14255</v>
      </c>
      <c r="C91" s="209"/>
      <c r="D91" s="58">
        <f t="shared" si="213"/>
        <v>14255</v>
      </c>
      <c r="E91" s="194">
        <f t="shared" si="214"/>
        <v>9978.5</v>
      </c>
      <c r="F91" s="58">
        <v>0</v>
      </c>
      <c r="G91" s="209"/>
      <c r="H91" s="209">
        <f t="shared" si="215"/>
        <v>0</v>
      </c>
      <c r="I91" s="214">
        <v>15</v>
      </c>
      <c r="J91" s="132">
        <f t="shared" si="191"/>
        <v>34.666666666666664</v>
      </c>
      <c r="K91" s="183">
        <f t="shared" si="216"/>
        <v>0</v>
      </c>
      <c r="L91" s="58">
        <v>0</v>
      </c>
      <c r="M91" s="209"/>
      <c r="N91" s="209"/>
      <c r="O91" s="58">
        <f t="shared" si="217"/>
        <v>0</v>
      </c>
      <c r="P91" s="80">
        <f t="shared" si="173"/>
        <v>13</v>
      </c>
      <c r="Q91" s="132">
        <f t="shared" si="192"/>
        <v>45.769230769230766</v>
      </c>
      <c r="R91" s="193">
        <f t="shared" si="174"/>
        <v>0</v>
      </c>
      <c r="S91" s="58">
        <v>115118</v>
      </c>
      <c r="T91" s="209"/>
      <c r="U91" s="209"/>
      <c r="V91" s="58">
        <f t="shared" si="231"/>
        <v>115118</v>
      </c>
      <c r="W91" s="80">
        <f t="shared" si="175"/>
        <v>21</v>
      </c>
      <c r="X91" s="132">
        <f t="shared" si="193"/>
        <v>29.047619047619047</v>
      </c>
      <c r="Y91" s="183">
        <f t="shared" si="218"/>
        <v>3343903.8095238097</v>
      </c>
      <c r="Z91" s="58">
        <v>0</v>
      </c>
      <c r="AA91" s="80">
        <f t="shared" si="176"/>
        <v>18</v>
      </c>
      <c r="AB91" s="132">
        <f t="shared" si="194"/>
        <v>30.444444444444443</v>
      </c>
      <c r="AC91" s="183">
        <v>0</v>
      </c>
      <c r="AD91" s="58">
        <v>0</v>
      </c>
      <c r="AE91" s="80">
        <f t="shared" si="177"/>
        <v>20</v>
      </c>
      <c r="AF91" s="132">
        <f t="shared" si="195"/>
        <v>41.45</v>
      </c>
      <c r="AG91" s="183">
        <v>0</v>
      </c>
      <c r="AH91" s="58">
        <v>0</v>
      </c>
      <c r="AI91" s="209"/>
      <c r="AJ91" s="58">
        <f t="shared" si="233"/>
        <v>0</v>
      </c>
      <c r="AL91" s="173"/>
      <c r="AM91" s="183">
        <v>0</v>
      </c>
      <c r="AN91" s="58">
        <v>0</v>
      </c>
      <c r="AO91" s="80">
        <f t="shared" si="178"/>
        <v>13</v>
      </c>
      <c r="AP91" s="132">
        <f t="shared" si="196"/>
        <v>43.692307692307693</v>
      </c>
      <c r="AQ91" s="183">
        <v>0</v>
      </c>
      <c r="AR91" s="58">
        <v>0</v>
      </c>
      <c r="AS91" s="80">
        <f t="shared" si="179"/>
        <v>17</v>
      </c>
      <c r="AT91" s="132">
        <f t="shared" si="197"/>
        <v>40.235294117647058</v>
      </c>
      <c r="AU91" s="183">
        <v>0</v>
      </c>
      <c r="AV91" s="58">
        <v>52361</v>
      </c>
      <c r="AW91" s="80">
        <f t="shared" si="180"/>
        <v>19</v>
      </c>
      <c r="AX91" s="132">
        <f t="shared" si="198"/>
        <v>27.684210526315791</v>
      </c>
      <c r="AY91" s="183">
        <f t="shared" si="219"/>
        <v>1449572.9473684211</v>
      </c>
      <c r="AZ91" s="58">
        <v>0</v>
      </c>
      <c r="BA91" s="80">
        <f t="shared" si="181"/>
        <v>21</v>
      </c>
      <c r="BB91" s="132">
        <f t="shared" si="199"/>
        <v>29.238095238095237</v>
      </c>
      <c r="BC91" s="183">
        <f t="shared" si="220"/>
        <v>0</v>
      </c>
      <c r="BD91" s="209">
        <v>0</v>
      </c>
      <c r="BE91" s="58">
        <f t="shared" si="221"/>
        <v>0</v>
      </c>
      <c r="BF91" s="80">
        <f t="shared" si="182"/>
        <v>52</v>
      </c>
      <c r="BG91" s="132">
        <f t="shared" si="200"/>
        <v>11.76923076923077</v>
      </c>
      <c r="BH91" s="183">
        <v>0</v>
      </c>
      <c r="BI91" s="58">
        <f t="shared" si="222"/>
        <v>0</v>
      </c>
      <c r="BJ91" s="58"/>
      <c r="BK91" s="173"/>
      <c r="BL91" s="183">
        <v>0</v>
      </c>
      <c r="BM91" s="58">
        <v>0</v>
      </c>
      <c r="BN91" s="80">
        <f t="shared" si="183"/>
        <v>15</v>
      </c>
      <c r="BO91" s="132">
        <f t="shared" si="202"/>
        <v>33.93333333333333</v>
      </c>
      <c r="BP91" s="183">
        <v>0</v>
      </c>
      <c r="BQ91" s="58">
        <v>0</v>
      </c>
      <c r="BR91" s="209"/>
      <c r="BS91" s="58">
        <f t="shared" si="223"/>
        <v>0</v>
      </c>
      <c r="BT91" s="80">
        <f t="shared" si="184"/>
        <v>41</v>
      </c>
      <c r="BU91" s="132">
        <f t="shared" si="203"/>
        <v>8.6585365853658534</v>
      </c>
      <c r="BV91" s="183">
        <f t="shared" si="224"/>
        <v>0</v>
      </c>
      <c r="BW91" s="195">
        <v>0</v>
      </c>
      <c r="BX91" s="80">
        <f t="shared" si="185"/>
        <v>20</v>
      </c>
      <c r="BY91" s="132">
        <f t="shared" si="204"/>
        <v>36.5</v>
      </c>
      <c r="BZ91" s="212">
        <v>0</v>
      </c>
      <c r="CA91" s="195">
        <v>0</v>
      </c>
      <c r="CB91" s="195"/>
      <c r="CD91" s="212">
        <v>0</v>
      </c>
      <c r="CE91" s="58">
        <v>14255</v>
      </c>
      <c r="CF91" s="209"/>
      <c r="CG91" s="58">
        <f t="shared" si="225"/>
        <v>14255</v>
      </c>
      <c r="CH91" s="194">
        <f t="shared" si="226"/>
        <v>4276.5</v>
      </c>
      <c r="CI91" s="58">
        <v>3964</v>
      </c>
      <c r="CJ91" s="209"/>
      <c r="CK91" s="58">
        <f t="shared" si="227"/>
        <v>3964</v>
      </c>
      <c r="CL91" s="80">
        <f t="shared" si="186"/>
        <v>15</v>
      </c>
      <c r="CM91" s="135">
        <f t="shared" si="205"/>
        <v>34.666666666666664</v>
      </c>
      <c r="CN91" s="183">
        <f t="shared" si="210"/>
        <v>137418.66666666666</v>
      </c>
      <c r="CO91" s="58">
        <f t="shared" si="172"/>
        <v>0</v>
      </c>
      <c r="CP91" s="58"/>
      <c r="CQ91" s="58"/>
      <c r="CR91" s="195">
        <f t="shared" si="169"/>
        <v>0</v>
      </c>
      <c r="CS91" s="80">
        <f t="shared" si="187"/>
        <v>29</v>
      </c>
      <c r="CT91" s="327">
        <f t="shared" si="206"/>
        <v>23.827586206896552</v>
      </c>
      <c r="CU91" s="183">
        <f t="shared" si="211"/>
        <v>0</v>
      </c>
      <c r="CV91" s="58">
        <v>0</v>
      </c>
      <c r="CW91" s="80">
        <f t="shared" si="188"/>
        <v>15</v>
      </c>
      <c r="CX91" s="135">
        <f t="shared" si="207"/>
        <v>34.666666666666664</v>
      </c>
      <c r="CY91" s="183">
        <f t="shared" si="228"/>
        <v>0</v>
      </c>
      <c r="CZ91" s="58">
        <v>0</v>
      </c>
      <c r="DA91" s="80">
        <f t="shared" si="189"/>
        <v>26</v>
      </c>
      <c r="DB91" s="327">
        <f t="shared" si="208"/>
        <v>25</v>
      </c>
      <c r="DC91" s="183">
        <f t="shared" si="229"/>
        <v>0</v>
      </c>
      <c r="DD91" s="58">
        <v>0</v>
      </c>
      <c r="DE91" s="58">
        <v>0</v>
      </c>
      <c r="DF91" s="209"/>
      <c r="DG91" s="58">
        <f t="shared" si="230"/>
        <v>0</v>
      </c>
      <c r="DH91" s="58">
        <f t="shared" si="170"/>
        <v>0</v>
      </c>
      <c r="DI91" s="80">
        <f t="shared" si="190"/>
        <v>24</v>
      </c>
      <c r="DJ91" s="332">
        <f t="shared" si="209"/>
        <v>36.166666666666664</v>
      </c>
      <c r="DK91" s="183">
        <f t="shared" si="212"/>
        <v>0</v>
      </c>
    </row>
    <row r="92" spans="1:115">
      <c r="A92" s="213">
        <v>1927</v>
      </c>
      <c r="B92" s="58">
        <v>18121</v>
      </c>
      <c r="C92" s="209"/>
      <c r="D92" s="58">
        <f t="shared" si="213"/>
        <v>18121</v>
      </c>
      <c r="E92" s="194">
        <f t="shared" si="214"/>
        <v>12684.699999999999</v>
      </c>
      <c r="F92" s="58">
        <v>0</v>
      </c>
      <c r="G92" s="209"/>
      <c r="H92" s="209">
        <f t="shared" si="215"/>
        <v>0</v>
      </c>
      <c r="I92" s="214">
        <v>15</v>
      </c>
      <c r="J92" s="132">
        <f t="shared" si="191"/>
        <v>34.666666666666664</v>
      </c>
      <c r="K92" s="183">
        <f t="shared" si="216"/>
        <v>0</v>
      </c>
      <c r="L92" s="58">
        <v>0</v>
      </c>
      <c r="M92" s="209"/>
      <c r="N92" s="209"/>
      <c r="O92" s="58">
        <f t="shared" si="217"/>
        <v>0</v>
      </c>
      <c r="P92" s="80">
        <f t="shared" si="173"/>
        <v>13</v>
      </c>
      <c r="Q92" s="132">
        <f t="shared" si="192"/>
        <v>45.769230769230766</v>
      </c>
      <c r="R92" s="193">
        <f t="shared" si="174"/>
        <v>0</v>
      </c>
      <c r="S92" s="58">
        <v>12012</v>
      </c>
      <c r="T92" s="209"/>
      <c r="U92" s="209"/>
      <c r="V92" s="58">
        <f t="shared" si="231"/>
        <v>12012</v>
      </c>
      <c r="W92" s="80">
        <f t="shared" si="175"/>
        <v>20</v>
      </c>
      <c r="X92" s="132">
        <f t="shared" si="193"/>
        <v>30.5</v>
      </c>
      <c r="Y92" s="183">
        <f t="shared" si="218"/>
        <v>366366</v>
      </c>
      <c r="Z92" s="58">
        <v>0</v>
      </c>
      <c r="AA92" s="80">
        <f t="shared" si="176"/>
        <v>18</v>
      </c>
      <c r="AB92" s="132">
        <f t="shared" si="194"/>
        <v>30.444444444444443</v>
      </c>
      <c r="AC92" s="183">
        <v>0</v>
      </c>
      <c r="AD92" s="58">
        <v>0</v>
      </c>
      <c r="AE92" s="80">
        <f t="shared" si="177"/>
        <v>18</v>
      </c>
      <c r="AF92" s="132">
        <f t="shared" si="195"/>
        <v>46.055555555555557</v>
      </c>
      <c r="AG92" s="183">
        <v>0</v>
      </c>
      <c r="AH92" s="58">
        <v>0</v>
      </c>
      <c r="AI92" s="209"/>
      <c r="AJ92" s="58">
        <f t="shared" si="233"/>
        <v>0</v>
      </c>
      <c r="AL92" s="173"/>
      <c r="AM92" s="183">
        <v>0</v>
      </c>
      <c r="AN92" s="58">
        <v>0</v>
      </c>
      <c r="AO92" s="80">
        <f t="shared" si="178"/>
        <v>13</v>
      </c>
      <c r="AP92" s="132">
        <f t="shared" si="196"/>
        <v>43.692307692307693</v>
      </c>
      <c r="AQ92" s="183">
        <v>0</v>
      </c>
      <c r="AR92" s="58">
        <v>0</v>
      </c>
      <c r="AS92" s="80">
        <f t="shared" si="179"/>
        <v>16</v>
      </c>
      <c r="AT92" s="132">
        <f t="shared" si="197"/>
        <v>42.75</v>
      </c>
      <c r="AU92" s="183">
        <v>0</v>
      </c>
      <c r="AV92" s="58">
        <v>21844</v>
      </c>
      <c r="AW92" s="80">
        <f t="shared" si="180"/>
        <v>19</v>
      </c>
      <c r="AX92" s="132">
        <f t="shared" si="198"/>
        <v>27.684210526315791</v>
      </c>
      <c r="AY92" s="183">
        <f t="shared" si="219"/>
        <v>604733.89473684214</v>
      </c>
      <c r="AZ92" s="58">
        <v>0</v>
      </c>
      <c r="BA92" s="80">
        <f t="shared" si="181"/>
        <v>19</v>
      </c>
      <c r="BB92" s="132">
        <f t="shared" si="199"/>
        <v>32.315789473684212</v>
      </c>
      <c r="BC92" s="183">
        <f t="shared" si="220"/>
        <v>0</v>
      </c>
      <c r="BD92" s="209">
        <v>0</v>
      </c>
      <c r="BE92" s="58">
        <f t="shared" si="221"/>
        <v>0</v>
      </c>
      <c r="BF92" s="80">
        <f t="shared" si="182"/>
        <v>53</v>
      </c>
      <c r="BG92" s="132">
        <f t="shared" si="200"/>
        <v>11.547169811320755</v>
      </c>
      <c r="BH92" s="183">
        <v>0</v>
      </c>
      <c r="BI92" s="58">
        <f t="shared" si="222"/>
        <v>0</v>
      </c>
      <c r="BJ92" s="58"/>
      <c r="BK92" s="173"/>
      <c r="BL92" s="183">
        <v>0</v>
      </c>
      <c r="BM92" s="58">
        <v>0</v>
      </c>
      <c r="BN92" s="80">
        <f t="shared" si="183"/>
        <v>15</v>
      </c>
      <c r="BO92" s="132">
        <f t="shared" si="202"/>
        <v>33.93333333333333</v>
      </c>
      <c r="BP92" s="183">
        <v>0</v>
      </c>
      <c r="BQ92" s="58">
        <v>0</v>
      </c>
      <c r="BR92" s="209"/>
      <c r="BS92" s="58">
        <f t="shared" si="223"/>
        <v>0</v>
      </c>
      <c r="BT92" s="80">
        <f t="shared" si="184"/>
        <v>41</v>
      </c>
      <c r="BU92" s="132">
        <f t="shared" si="203"/>
        <v>8.6585365853658534</v>
      </c>
      <c r="BV92" s="183">
        <f t="shared" si="224"/>
        <v>0</v>
      </c>
      <c r="BW92" s="195">
        <v>0</v>
      </c>
      <c r="BX92" s="80">
        <f t="shared" si="185"/>
        <v>19</v>
      </c>
      <c r="BY92" s="132">
        <f t="shared" si="204"/>
        <v>38.421052631578945</v>
      </c>
      <c r="BZ92" s="212">
        <v>0</v>
      </c>
      <c r="CA92" s="195">
        <v>0</v>
      </c>
      <c r="CB92" s="195"/>
      <c r="CD92" s="212">
        <v>0</v>
      </c>
      <c r="CE92" s="58">
        <v>18121</v>
      </c>
      <c r="CF92" s="209"/>
      <c r="CG92" s="58">
        <f t="shared" si="225"/>
        <v>18121</v>
      </c>
      <c r="CH92" s="194">
        <f t="shared" si="226"/>
        <v>5436.3</v>
      </c>
      <c r="CI92" s="58">
        <v>0</v>
      </c>
      <c r="CJ92" s="209"/>
      <c r="CK92" s="58">
        <f t="shared" si="227"/>
        <v>0</v>
      </c>
      <c r="CL92" s="80">
        <f t="shared" si="186"/>
        <v>15</v>
      </c>
      <c r="CM92" s="135">
        <f t="shared" si="205"/>
        <v>34.666666666666664</v>
      </c>
      <c r="CN92" s="183">
        <f t="shared" si="210"/>
        <v>0</v>
      </c>
      <c r="CO92" s="58">
        <f t="shared" si="172"/>
        <v>0</v>
      </c>
      <c r="CP92" s="58"/>
      <c r="CQ92" s="58"/>
      <c r="CR92" s="195">
        <f t="shared" si="169"/>
        <v>0</v>
      </c>
      <c r="CS92" s="80">
        <f t="shared" si="187"/>
        <v>29</v>
      </c>
      <c r="CT92" s="327">
        <f t="shared" si="206"/>
        <v>23.827586206896552</v>
      </c>
      <c r="CU92" s="183">
        <f t="shared" si="211"/>
        <v>0</v>
      </c>
      <c r="CV92" s="58">
        <v>11353</v>
      </c>
      <c r="CW92" s="80">
        <f t="shared" si="188"/>
        <v>15</v>
      </c>
      <c r="CX92" s="135">
        <f t="shared" si="207"/>
        <v>34.666666666666664</v>
      </c>
      <c r="CY92" s="183">
        <f t="shared" si="228"/>
        <v>393570.66666666663</v>
      </c>
      <c r="CZ92" s="58">
        <v>0</v>
      </c>
      <c r="DA92" s="80">
        <f t="shared" si="189"/>
        <v>26</v>
      </c>
      <c r="DB92" s="327">
        <f t="shared" si="208"/>
        <v>25</v>
      </c>
      <c r="DC92" s="183">
        <f t="shared" si="229"/>
        <v>0</v>
      </c>
      <c r="DD92" s="58">
        <v>0</v>
      </c>
      <c r="DE92" s="58">
        <v>0</v>
      </c>
      <c r="DF92" s="209"/>
      <c r="DG92" s="58">
        <f t="shared" si="230"/>
        <v>0</v>
      </c>
      <c r="DH92" s="58">
        <f t="shared" si="170"/>
        <v>0</v>
      </c>
      <c r="DI92" s="80">
        <f t="shared" si="190"/>
        <v>24</v>
      </c>
      <c r="DJ92" s="332">
        <f t="shared" si="209"/>
        <v>36.166666666666664</v>
      </c>
      <c r="DK92" s="183">
        <f t="shared" si="212"/>
        <v>0</v>
      </c>
    </row>
    <row r="93" spans="1:115">
      <c r="A93" s="213">
        <v>1926</v>
      </c>
      <c r="B93" s="58">
        <v>35722</v>
      </c>
      <c r="C93" s="209"/>
      <c r="D93" s="58">
        <f t="shared" si="213"/>
        <v>35722</v>
      </c>
      <c r="E93" s="194">
        <f t="shared" si="214"/>
        <v>25005.399999999998</v>
      </c>
      <c r="F93" s="58">
        <v>0</v>
      </c>
      <c r="G93" s="209"/>
      <c r="H93" s="209">
        <f t="shared" si="215"/>
        <v>0</v>
      </c>
      <c r="I93" s="214">
        <v>15</v>
      </c>
      <c r="J93" s="132">
        <f t="shared" si="191"/>
        <v>34.666666666666664</v>
      </c>
      <c r="K93" s="183">
        <f t="shared" si="216"/>
        <v>0</v>
      </c>
      <c r="L93" s="58">
        <v>0</v>
      </c>
      <c r="M93" s="209"/>
      <c r="N93" s="209"/>
      <c r="O93" s="58">
        <f t="shared" si="217"/>
        <v>0</v>
      </c>
      <c r="P93" s="80">
        <f t="shared" si="173"/>
        <v>13</v>
      </c>
      <c r="Q93" s="132">
        <f t="shared" si="192"/>
        <v>45.769230769230766</v>
      </c>
      <c r="R93" s="193">
        <f t="shared" si="174"/>
        <v>0</v>
      </c>
      <c r="S93" s="58">
        <v>262792</v>
      </c>
      <c r="T93" s="209"/>
      <c r="U93" s="209"/>
      <c r="V93" s="58">
        <f t="shared" si="231"/>
        <v>262792</v>
      </c>
      <c r="W93" s="80">
        <f t="shared" si="175"/>
        <v>20</v>
      </c>
      <c r="X93" s="132">
        <f t="shared" si="193"/>
        <v>30.5</v>
      </c>
      <c r="Y93" s="183">
        <f t="shared" si="218"/>
        <v>8015156</v>
      </c>
      <c r="Z93" s="58">
        <v>0</v>
      </c>
      <c r="AA93" s="80">
        <f t="shared" si="176"/>
        <v>17</v>
      </c>
      <c r="AB93" s="132">
        <f t="shared" si="194"/>
        <v>32.235294117647058</v>
      </c>
      <c r="AC93" s="183">
        <v>0</v>
      </c>
      <c r="AD93" s="58">
        <v>0</v>
      </c>
      <c r="AE93" s="80">
        <f t="shared" si="177"/>
        <v>19</v>
      </c>
      <c r="AF93" s="132">
        <f t="shared" si="195"/>
        <v>43.631578947368418</v>
      </c>
      <c r="AG93" s="183">
        <v>0</v>
      </c>
      <c r="AH93" s="58">
        <v>14130</v>
      </c>
      <c r="AI93" s="209"/>
      <c r="AJ93" s="58">
        <f t="shared" si="233"/>
        <v>14130</v>
      </c>
      <c r="AK93" s="175">
        <v>30</v>
      </c>
      <c r="AL93" s="132">
        <f t="shared" ref="AL93" si="234">$AK$4/AK93</f>
        <v>17.5</v>
      </c>
      <c r="AM93" s="183">
        <f>AL93*AJ93</f>
        <v>247275</v>
      </c>
      <c r="AN93" s="58">
        <v>0</v>
      </c>
      <c r="AO93" s="80">
        <f t="shared" si="178"/>
        <v>13</v>
      </c>
      <c r="AP93" s="132">
        <f t="shared" si="196"/>
        <v>43.692307692307693</v>
      </c>
      <c r="AQ93" s="183">
        <v>0</v>
      </c>
      <c r="AR93" s="58">
        <v>0</v>
      </c>
      <c r="AS93" s="80">
        <f t="shared" si="179"/>
        <v>16</v>
      </c>
      <c r="AT93" s="132">
        <f t="shared" si="197"/>
        <v>42.75</v>
      </c>
      <c r="AU93" s="183">
        <v>0</v>
      </c>
      <c r="AV93" s="58">
        <v>4327</v>
      </c>
      <c r="AW93" s="80">
        <f t="shared" si="180"/>
        <v>18</v>
      </c>
      <c r="AX93" s="132">
        <f t="shared" si="198"/>
        <v>29.222222222222221</v>
      </c>
      <c r="AY93" s="183">
        <f t="shared" si="219"/>
        <v>126444.55555555555</v>
      </c>
      <c r="AZ93" s="58">
        <v>0</v>
      </c>
      <c r="BA93" s="80">
        <f t="shared" si="181"/>
        <v>20</v>
      </c>
      <c r="BB93" s="132">
        <f t="shared" si="199"/>
        <v>30.7</v>
      </c>
      <c r="BC93" s="183">
        <f t="shared" si="220"/>
        <v>0</v>
      </c>
      <c r="BD93" s="209">
        <v>0</v>
      </c>
      <c r="BE93" s="58">
        <f t="shared" si="221"/>
        <v>0</v>
      </c>
      <c r="BF93" s="80">
        <f t="shared" si="182"/>
        <v>57</v>
      </c>
      <c r="BG93" s="132">
        <f t="shared" si="200"/>
        <v>10.736842105263158</v>
      </c>
      <c r="BH93" s="183">
        <v>0</v>
      </c>
      <c r="BI93" s="58">
        <f t="shared" si="222"/>
        <v>0</v>
      </c>
      <c r="BJ93" s="58"/>
      <c r="BK93" s="173"/>
      <c r="BL93" s="183">
        <v>0</v>
      </c>
      <c r="BM93" s="58">
        <v>0</v>
      </c>
      <c r="BN93" s="80">
        <f t="shared" si="183"/>
        <v>15</v>
      </c>
      <c r="BO93" s="132">
        <f t="shared" si="202"/>
        <v>33.93333333333333</v>
      </c>
      <c r="BP93" s="183">
        <v>0</v>
      </c>
      <c r="BQ93" s="58">
        <v>0</v>
      </c>
      <c r="BR93" s="209"/>
      <c r="BS93" s="58">
        <f t="shared" si="223"/>
        <v>0</v>
      </c>
      <c r="BT93" s="80">
        <f t="shared" si="184"/>
        <v>41</v>
      </c>
      <c r="BU93" s="132">
        <f t="shared" si="203"/>
        <v>8.6585365853658534</v>
      </c>
      <c r="BV93" s="183">
        <f t="shared" si="224"/>
        <v>0</v>
      </c>
      <c r="BW93" s="195">
        <v>0</v>
      </c>
      <c r="BX93" s="80">
        <f t="shared" si="185"/>
        <v>20</v>
      </c>
      <c r="BY93" s="132">
        <f t="shared" si="204"/>
        <v>36.5</v>
      </c>
      <c r="BZ93" s="212">
        <v>0</v>
      </c>
      <c r="CA93" s="195">
        <v>0</v>
      </c>
      <c r="CB93" s="195"/>
      <c r="CD93" s="212">
        <v>0</v>
      </c>
      <c r="CE93" s="58">
        <v>35722</v>
      </c>
      <c r="CF93" s="209"/>
      <c r="CG93" s="58">
        <f t="shared" si="225"/>
        <v>35722</v>
      </c>
      <c r="CH93" s="194">
        <f t="shared" si="226"/>
        <v>10716.6</v>
      </c>
      <c r="CI93" s="58">
        <v>0</v>
      </c>
      <c r="CJ93" s="209"/>
      <c r="CK93" s="58">
        <f t="shared" si="227"/>
        <v>0</v>
      </c>
      <c r="CL93" s="80">
        <f t="shared" si="186"/>
        <v>15</v>
      </c>
      <c r="CM93" s="135">
        <f t="shared" si="205"/>
        <v>34.666666666666664</v>
      </c>
      <c r="CN93" s="183">
        <f t="shared" si="210"/>
        <v>0</v>
      </c>
      <c r="CO93" s="58">
        <f t="shared" si="172"/>
        <v>0</v>
      </c>
      <c r="CP93" s="58"/>
      <c r="CQ93" s="58"/>
      <c r="CR93" s="195">
        <f t="shared" ref="CR93:CR112" si="235">CO93-CP93+CQ93</f>
        <v>0</v>
      </c>
      <c r="CS93" s="80">
        <f t="shared" si="187"/>
        <v>29</v>
      </c>
      <c r="CT93" s="327">
        <f t="shared" si="206"/>
        <v>23.827586206896552</v>
      </c>
      <c r="CU93" s="183">
        <f t="shared" si="211"/>
        <v>0</v>
      </c>
      <c r="CV93" s="58">
        <v>13523</v>
      </c>
      <c r="CW93" s="80">
        <f t="shared" si="188"/>
        <v>15</v>
      </c>
      <c r="CX93" s="135">
        <f t="shared" si="207"/>
        <v>34.666666666666664</v>
      </c>
      <c r="CY93" s="183">
        <f t="shared" si="228"/>
        <v>468797.33333333331</v>
      </c>
      <c r="CZ93" s="58">
        <v>0</v>
      </c>
      <c r="DA93" s="80">
        <f t="shared" si="189"/>
        <v>26</v>
      </c>
      <c r="DB93" s="327">
        <f t="shared" si="208"/>
        <v>25</v>
      </c>
      <c r="DC93" s="183">
        <f t="shared" si="229"/>
        <v>0</v>
      </c>
      <c r="DD93" s="58">
        <v>0</v>
      </c>
      <c r="DE93" s="58">
        <v>0</v>
      </c>
      <c r="DF93" s="209"/>
      <c r="DG93" s="58">
        <f t="shared" si="230"/>
        <v>0</v>
      </c>
      <c r="DH93" s="58">
        <f t="shared" si="170"/>
        <v>0</v>
      </c>
      <c r="DI93" s="80">
        <f t="shared" si="190"/>
        <v>24</v>
      </c>
      <c r="DJ93" s="332">
        <f t="shared" si="209"/>
        <v>36.166666666666664</v>
      </c>
      <c r="DK93" s="183">
        <f t="shared" si="212"/>
        <v>0</v>
      </c>
    </row>
    <row r="94" spans="1:115">
      <c r="A94" s="213">
        <v>1925</v>
      </c>
      <c r="B94" s="58">
        <v>94438</v>
      </c>
      <c r="C94" s="209"/>
      <c r="D94" s="58">
        <f t="shared" si="213"/>
        <v>94438</v>
      </c>
      <c r="E94" s="194">
        <f t="shared" si="214"/>
        <v>66106.599999999991</v>
      </c>
      <c r="F94" s="58">
        <v>0</v>
      </c>
      <c r="G94" s="209"/>
      <c r="H94" s="209">
        <f t="shared" si="215"/>
        <v>0</v>
      </c>
      <c r="I94" s="214">
        <v>15</v>
      </c>
      <c r="J94" s="132">
        <f t="shared" si="191"/>
        <v>34.666666666666664</v>
      </c>
      <c r="K94" s="183">
        <f t="shared" si="216"/>
        <v>0</v>
      </c>
      <c r="L94" s="58">
        <v>0</v>
      </c>
      <c r="M94" s="209"/>
      <c r="N94" s="209"/>
      <c r="O94" s="58">
        <f t="shared" si="217"/>
        <v>0</v>
      </c>
      <c r="P94" s="80">
        <f t="shared" si="173"/>
        <v>13</v>
      </c>
      <c r="Q94" s="132">
        <f t="shared" si="192"/>
        <v>45.769230769230766</v>
      </c>
      <c r="R94" s="193">
        <f t="shared" si="174"/>
        <v>0</v>
      </c>
      <c r="S94" s="58">
        <v>0</v>
      </c>
      <c r="T94" s="209"/>
      <c r="U94" s="209"/>
      <c r="V94" s="58">
        <f t="shared" si="231"/>
        <v>0</v>
      </c>
      <c r="W94" s="80">
        <f t="shared" si="175"/>
        <v>21</v>
      </c>
      <c r="X94" s="132">
        <f t="shared" si="193"/>
        <v>29.047619047619047</v>
      </c>
      <c r="Y94" s="183">
        <f t="shared" si="218"/>
        <v>0</v>
      </c>
      <c r="Z94" s="58">
        <v>0</v>
      </c>
      <c r="AA94" s="80">
        <f t="shared" si="176"/>
        <v>17</v>
      </c>
      <c r="AB94" s="132">
        <f t="shared" si="194"/>
        <v>32.235294117647058</v>
      </c>
      <c r="AC94" s="183">
        <v>0</v>
      </c>
      <c r="AD94" s="58">
        <v>0</v>
      </c>
      <c r="AE94" s="80">
        <f t="shared" si="177"/>
        <v>19</v>
      </c>
      <c r="AF94" s="132">
        <f t="shared" si="195"/>
        <v>43.631578947368418</v>
      </c>
      <c r="AG94" s="183">
        <v>0</v>
      </c>
      <c r="AH94" s="58">
        <v>0</v>
      </c>
      <c r="AI94" s="209"/>
      <c r="AJ94" s="58">
        <f t="shared" si="233"/>
        <v>0</v>
      </c>
      <c r="AL94" s="173"/>
      <c r="AM94" s="183">
        <v>0</v>
      </c>
      <c r="AN94" s="58">
        <v>0</v>
      </c>
      <c r="AO94" s="80">
        <f t="shared" si="178"/>
        <v>13</v>
      </c>
      <c r="AP94" s="132">
        <f t="shared" si="196"/>
        <v>43.692307692307693</v>
      </c>
      <c r="AQ94" s="183">
        <v>0</v>
      </c>
      <c r="AR94" s="58">
        <v>0</v>
      </c>
      <c r="AS94" s="80">
        <f t="shared" si="179"/>
        <v>16</v>
      </c>
      <c r="AT94" s="132">
        <f t="shared" si="197"/>
        <v>42.75</v>
      </c>
      <c r="AU94" s="183">
        <v>0</v>
      </c>
      <c r="AV94" s="58">
        <v>0</v>
      </c>
      <c r="AW94" s="80">
        <f t="shared" si="180"/>
        <v>18</v>
      </c>
      <c r="AX94" s="132">
        <f t="shared" si="198"/>
        <v>29.222222222222221</v>
      </c>
      <c r="AY94" s="183">
        <f t="shared" si="219"/>
        <v>0</v>
      </c>
      <c r="AZ94" s="58">
        <v>0</v>
      </c>
      <c r="BA94" s="80">
        <f t="shared" si="181"/>
        <v>20</v>
      </c>
      <c r="BB94" s="132">
        <f t="shared" si="199"/>
        <v>30.7</v>
      </c>
      <c r="BC94" s="183">
        <v>0</v>
      </c>
      <c r="BD94" s="209">
        <v>0</v>
      </c>
      <c r="BE94" s="58">
        <f t="shared" si="221"/>
        <v>0</v>
      </c>
      <c r="BF94" s="80">
        <f t="shared" si="182"/>
        <v>61</v>
      </c>
      <c r="BG94" s="132">
        <f t="shared" si="200"/>
        <v>10.032786885245901</v>
      </c>
      <c r="BH94" s="183">
        <v>0</v>
      </c>
      <c r="BI94" s="58">
        <f t="shared" si="222"/>
        <v>0</v>
      </c>
      <c r="BJ94" s="58"/>
      <c r="BK94" s="173"/>
      <c r="BL94" s="183">
        <v>0</v>
      </c>
      <c r="BM94" s="58">
        <v>0</v>
      </c>
      <c r="BN94" s="80">
        <f t="shared" si="183"/>
        <v>15</v>
      </c>
      <c r="BO94" s="132">
        <f t="shared" si="202"/>
        <v>33.93333333333333</v>
      </c>
      <c r="BP94" s="183">
        <v>0</v>
      </c>
      <c r="BQ94" s="58">
        <v>0</v>
      </c>
      <c r="BR94" s="209"/>
      <c r="BS94" s="58">
        <f t="shared" si="223"/>
        <v>0</v>
      </c>
      <c r="BT94" s="80">
        <f t="shared" si="184"/>
        <v>41</v>
      </c>
      <c r="BU94" s="132">
        <f t="shared" si="203"/>
        <v>8.6585365853658534</v>
      </c>
      <c r="BV94" s="183">
        <f t="shared" si="224"/>
        <v>0</v>
      </c>
      <c r="BW94" s="195">
        <v>0</v>
      </c>
      <c r="BX94" s="80">
        <f t="shared" si="185"/>
        <v>20</v>
      </c>
      <c r="BY94" s="132">
        <f t="shared" si="204"/>
        <v>36.5</v>
      </c>
      <c r="BZ94" s="212">
        <v>0</v>
      </c>
      <c r="CA94" s="195">
        <v>0</v>
      </c>
      <c r="CB94" s="195"/>
      <c r="CD94" s="212">
        <v>0</v>
      </c>
      <c r="CE94" s="58">
        <v>94438</v>
      </c>
      <c r="CF94" s="209"/>
      <c r="CG94" s="58">
        <f t="shared" si="225"/>
        <v>94438</v>
      </c>
      <c r="CH94" s="194">
        <f t="shared" si="226"/>
        <v>28331.399999999998</v>
      </c>
      <c r="CI94" s="58">
        <v>0</v>
      </c>
      <c r="CJ94" s="209"/>
      <c r="CK94" s="58">
        <f t="shared" si="227"/>
        <v>0</v>
      </c>
      <c r="CL94" s="80">
        <f t="shared" si="186"/>
        <v>15</v>
      </c>
      <c r="CM94" s="135">
        <f t="shared" si="205"/>
        <v>34.666666666666664</v>
      </c>
      <c r="CN94" s="183">
        <f t="shared" si="210"/>
        <v>0</v>
      </c>
      <c r="CO94" s="58">
        <f t="shared" si="172"/>
        <v>0</v>
      </c>
      <c r="CP94" s="58"/>
      <c r="CQ94" s="58"/>
      <c r="CR94" s="195">
        <f t="shared" si="235"/>
        <v>0</v>
      </c>
      <c r="CS94" s="80">
        <f t="shared" si="187"/>
        <v>29</v>
      </c>
      <c r="CT94" s="327">
        <f t="shared" si="206"/>
        <v>23.827586206896552</v>
      </c>
      <c r="CU94" s="183">
        <f t="shared" si="211"/>
        <v>0</v>
      </c>
      <c r="CV94" s="58">
        <v>9103</v>
      </c>
      <c r="CW94" s="80">
        <f t="shared" si="188"/>
        <v>15</v>
      </c>
      <c r="CX94" s="135">
        <f t="shared" si="207"/>
        <v>34.666666666666664</v>
      </c>
      <c r="CY94" s="183">
        <f t="shared" si="228"/>
        <v>315570.66666666663</v>
      </c>
      <c r="CZ94" s="58">
        <v>0</v>
      </c>
      <c r="DA94" s="80">
        <f t="shared" si="189"/>
        <v>28</v>
      </c>
      <c r="DB94" s="327">
        <f t="shared" si="208"/>
        <v>23.214285714285715</v>
      </c>
      <c r="DC94" s="183">
        <f t="shared" si="229"/>
        <v>0</v>
      </c>
      <c r="DD94" s="58">
        <v>0</v>
      </c>
      <c r="DE94" s="58">
        <v>0</v>
      </c>
      <c r="DF94" s="209"/>
      <c r="DG94" s="58">
        <f t="shared" si="230"/>
        <v>0</v>
      </c>
      <c r="DH94" s="58">
        <f t="shared" ref="DH94:DH112" si="236">DG94/2</f>
        <v>0</v>
      </c>
      <c r="DI94" s="80">
        <f t="shared" si="190"/>
        <v>24</v>
      </c>
      <c r="DJ94" s="332">
        <f t="shared" si="209"/>
        <v>36.166666666666664</v>
      </c>
      <c r="DK94" s="183">
        <f t="shared" si="212"/>
        <v>0</v>
      </c>
    </row>
    <row r="95" spans="1:115">
      <c r="A95" s="213">
        <v>1924</v>
      </c>
      <c r="B95" s="58">
        <v>6584</v>
      </c>
      <c r="C95" s="209"/>
      <c r="D95" s="58">
        <f t="shared" si="213"/>
        <v>6584</v>
      </c>
      <c r="E95" s="194">
        <f t="shared" si="214"/>
        <v>4608.7999999999993</v>
      </c>
      <c r="F95" s="58">
        <v>0</v>
      </c>
      <c r="G95" s="209"/>
      <c r="H95" s="209">
        <f t="shared" si="215"/>
        <v>0</v>
      </c>
      <c r="I95" s="214">
        <v>16</v>
      </c>
      <c r="J95" s="132">
        <f t="shared" si="191"/>
        <v>32.5</v>
      </c>
      <c r="K95" s="183">
        <f t="shared" si="216"/>
        <v>0</v>
      </c>
      <c r="L95" s="58">
        <v>0</v>
      </c>
      <c r="M95" s="209"/>
      <c r="N95" s="209"/>
      <c r="O95" s="58">
        <f t="shared" si="217"/>
        <v>0</v>
      </c>
      <c r="P95" s="80">
        <f t="shared" si="173"/>
        <v>13</v>
      </c>
      <c r="Q95" s="132">
        <f t="shared" si="192"/>
        <v>45.769230769230766</v>
      </c>
      <c r="R95" s="193">
        <f t="shared" si="174"/>
        <v>0</v>
      </c>
      <c r="S95" s="58">
        <v>278035</v>
      </c>
      <c r="T95" s="209"/>
      <c r="U95" s="209"/>
      <c r="V95" s="58">
        <f t="shared" si="231"/>
        <v>278035</v>
      </c>
      <c r="W95" s="80">
        <f t="shared" si="175"/>
        <v>21</v>
      </c>
      <c r="X95" s="132">
        <f t="shared" si="193"/>
        <v>29.047619047619047</v>
      </c>
      <c r="Y95" s="183">
        <f t="shared" si="218"/>
        <v>8076254.7619047621</v>
      </c>
      <c r="Z95" s="58">
        <v>0</v>
      </c>
      <c r="AA95" s="80">
        <f t="shared" si="176"/>
        <v>18</v>
      </c>
      <c r="AB95" s="132">
        <f t="shared" si="194"/>
        <v>30.444444444444443</v>
      </c>
      <c r="AC95" s="183">
        <v>0</v>
      </c>
      <c r="AD95" s="58">
        <v>0</v>
      </c>
      <c r="AE95" s="80">
        <f t="shared" si="177"/>
        <v>19</v>
      </c>
      <c r="AF95" s="132">
        <f t="shared" si="195"/>
        <v>43.631578947368418</v>
      </c>
      <c r="AG95" s="183">
        <v>0</v>
      </c>
      <c r="AH95" s="58">
        <v>0</v>
      </c>
      <c r="AI95" s="209"/>
      <c r="AJ95" s="58">
        <f t="shared" si="233"/>
        <v>0</v>
      </c>
      <c r="AL95" s="173"/>
      <c r="AM95" s="183">
        <v>0</v>
      </c>
      <c r="AN95" s="58">
        <v>0</v>
      </c>
      <c r="AO95" s="80">
        <f t="shared" si="178"/>
        <v>13</v>
      </c>
      <c r="AP95" s="132">
        <f t="shared" si="196"/>
        <v>43.692307692307693</v>
      </c>
      <c r="AQ95" s="183">
        <v>0</v>
      </c>
      <c r="AR95" s="58">
        <v>0</v>
      </c>
      <c r="AS95" s="80">
        <f t="shared" si="179"/>
        <v>16</v>
      </c>
      <c r="AT95" s="132">
        <f t="shared" si="197"/>
        <v>42.75</v>
      </c>
      <c r="AU95" s="183">
        <v>0</v>
      </c>
      <c r="AV95" s="58">
        <v>634</v>
      </c>
      <c r="AW95" s="80">
        <f t="shared" si="180"/>
        <v>19</v>
      </c>
      <c r="AX95" s="132">
        <f t="shared" si="198"/>
        <v>27.684210526315791</v>
      </c>
      <c r="AY95" s="183">
        <f t="shared" si="219"/>
        <v>17551.78947368421</v>
      </c>
      <c r="AZ95" s="58">
        <v>0</v>
      </c>
      <c r="BA95" s="80">
        <f t="shared" si="181"/>
        <v>20</v>
      </c>
      <c r="BB95" s="132">
        <f t="shared" si="199"/>
        <v>30.7</v>
      </c>
      <c r="BC95" s="183">
        <v>0</v>
      </c>
      <c r="BD95" s="209">
        <v>0</v>
      </c>
      <c r="BE95" s="58">
        <f t="shared" si="221"/>
        <v>0</v>
      </c>
      <c r="BF95" s="80">
        <f t="shared" si="182"/>
        <v>62</v>
      </c>
      <c r="BG95" s="132">
        <f t="shared" si="200"/>
        <v>9.870967741935484</v>
      </c>
      <c r="BH95" s="183">
        <v>0</v>
      </c>
      <c r="BI95" s="58">
        <f t="shared" si="222"/>
        <v>0</v>
      </c>
      <c r="BJ95" s="58"/>
      <c r="BK95" s="173"/>
      <c r="BL95" s="183">
        <v>0</v>
      </c>
      <c r="BM95" s="58">
        <v>0</v>
      </c>
      <c r="BN95" s="80">
        <f t="shared" si="183"/>
        <v>15</v>
      </c>
      <c r="BO95" s="132">
        <f t="shared" si="202"/>
        <v>33.93333333333333</v>
      </c>
      <c r="BP95" s="183">
        <v>0</v>
      </c>
      <c r="BQ95" s="58">
        <v>0</v>
      </c>
      <c r="BR95" s="209"/>
      <c r="BS95" s="58">
        <f t="shared" si="223"/>
        <v>0</v>
      </c>
      <c r="BT95" s="80">
        <f t="shared" si="184"/>
        <v>43</v>
      </c>
      <c r="BU95" s="132">
        <f t="shared" si="203"/>
        <v>8.2558139534883725</v>
      </c>
      <c r="BV95" s="183">
        <f t="shared" si="224"/>
        <v>0</v>
      </c>
      <c r="BW95" s="195">
        <v>0</v>
      </c>
      <c r="BX95" s="80">
        <f t="shared" si="185"/>
        <v>20</v>
      </c>
      <c r="BY95" s="132">
        <f t="shared" si="204"/>
        <v>36.5</v>
      </c>
      <c r="BZ95" s="212">
        <v>0</v>
      </c>
      <c r="CA95" s="195">
        <v>0</v>
      </c>
      <c r="CB95" s="195"/>
      <c r="CD95" s="212">
        <v>0</v>
      </c>
      <c r="CE95" s="58">
        <v>6584</v>
      </c>
      <c r="CF95" s="209"/>
      <c r="CG95" s="58">
        <f t="shared" si="225"/>
        <v>6584</v>
      </c>
      <c r="CH95" s="194">
        <f t="shared" si="226"/>
        <v>1975.1999999999998</v>
      </c>
      <c r="CI95" s="58">
        <v>0</v>
      </c>
      <c r="CJ95" s="209"/>
      <c r="CK95" s="58">
        <f t="shared" si="227"/>
        <v>0</v>
      </c>
      <c r="CL95" s="80">
        <f t="shared" si="186"/>
        <v>16</v>
      </c>
      <c r="CM95" s="135">
        <f t="shared" si="205"/>
        <v>32.5</v>
      </c>
      <c r="CN95" s="183">
        <f t="shared" si="210"/>
        <v>0</v>
      </c>
      <c r="CO95" s="58">
        <f t="shared" si="172"/>
        <v>0</v>
      </c>
      <c r="CP95" s="58"/>
      <c r="CQ95" s="58"/>
      <c r="CR95" s="195">
        <f t="shared" si="235"/>
        <v>0</v>
      </c>
      <c r="CS95" s="80">
        <f t="shared" si="187"/>
        <v>29</v>
      </c>
      <c r="CT95" s="327">
        <f t="shared" si="206"/>
        <v>23.827586206896552</v>
      </c>
      <c r="CU95" s="183">
        <f t="shared" si="211"/>
        <v>0</v>
      </c>
      <c r="CV95" s="58">
        <v>0</v>
      </c>
      <c r="CW95" s="80">
        <f t="shared" si="188"/>
        <v>16</v>
      </c>
      <c r="CX95" s="135">
        <f t="shared" si="207"/>
        <v>32.5</v>
      </c>
      <c r="CY95" s="183">
        <f t="shared" si="228"/>
        <v>0</v>
      </c>
      <c r="CZ95" s="58">
        <v>0</v>
      </c>
      <c r="DA95" s="80">
        <f t="shared" si="189"/>
        <v>28</v>
      </c>
      <c r="DB95" s="327">
        <f t="shared" si="208"/>
        <v>23.214285714285715</v>
      </c>
      <c r="DC95" s="183">
        <f t="shared" si="229"/>
        <v>0</v>
      </c>
      <c r="DD95" s="58">
        <v>0</v>
      </c>
      <c r="DE95" s="58">
        <v>0</v>
      </c>
      <c r="DF95" s="209"/>
      <c r="DG95" s="58">
        <f t="shared" si="230"/>
        <v>0</v>
      </c>
      <c r="DH95" s="58">
        <f t="shared" si="236"/>
        <v>0</v>
      </c>
      <c r="DI95" s="80">
        <f t="shared" si="190"/>
        <v>24</v>
      </c>
      <c r="DJ95" s="332">
        <f t="shared" si="209"/>
        <v>36.166666666666664</v>
      </c>
      <c r="DK95" s="183">
        <f t="shared" si="212"/>
        <v>0</v>
      </c>
    </row>
    <row r="96" spans="1:115">
      <c r="A96" s="213">
        <v>1923</v>
      </c>
      <c r="B96" s="58">
        <v>41066</v>
      </c>
      <c r="C96" s="209"/>
      <c r="D96" s="58">
        <f t="shared" si="213"/>
        <v>41066</v>
      </c>
      <c r="E96" s="194">
        <f t="shared" si="214"/>
        <v>28746.199999999997</v>
      </c>
      <c r="F96" s="58">
        <v>0</v>
      </c>
      <c r="G96" s="209"/>
      <c r="H96" s="209">
        <f t="shared" si="215"/>
        <v>0</v>
      </c>
      <c r="I96" s="214">
        <v>15</v>
      </c>
      <c r="J96" s="132">
        <f t="shared" si="191"/>
        <v>34.666666666666664</v>
      </c>
      <c r="K96" s="183">
        <f t="shared" si="216"/>
        <v>0</v>
      </c>
      <c r="L96" s="58">
        <v>0</v>
      </c>
      <c r="M96" s="209"/>
      <c r="N96" s="209"/>
      <c r="O96" s="58">
        <f t="shared" si="217"/>
        <v>0</v>
      </c>
      <c r="P96" s="80">
        <f t="shared" si="173"/>
        <v>13</v>
      </c>
      <c r="Q96" s="132">
        <f t="shared" si="192"/>
        <v>45.769230769230766</v>
      </c>
      <c r="R96" s="193">
        <f t="shared" si="174"/>
        <v>0</v>
      </c>
      <c r="S96" s="58">
        <v>0</v>
      </c>
      <c r="T96" s="209"/>
      <c r="U96" s="209"/>
      <c r="V96" s="58">
        <f t="shared" si="231"/>
        <v>0</v>
      </c>
      <c r="W96" s="80">
        <f t="shared" si="175"/>
        <v>21</v>
      </c>
      <c r="X96" s="132">
        <f t="shared" si="193"/>
        <v>29.047619047619047</v>
      </c>
      <c r="Y96" s="183">
        <f t="shared" si="218"/>
        <v>0</v>
      </c>
      <c r="Z96" s="58">
        <v>0</v>
      </c>
      <c r="AA96" s="80">
        <f t="shared" si="176"/>
        <v>18</v>
      </c>
      <c r="AB96" s="132">
        <f t="shared" si="194"/>
        <v>30.444444444444443</v>
      </c>
      <c r="AC96" s="183">
        <v>0</v>
      </c>
      <c r="AD96" s="58">
        <v>0</v>
      </c>
      <c r="AE96" s="80">
        <f t="shared" si="177"/>
        <v>20</v>
      </c>
      <c r="AF96" s="132">
        <f t="shared" si="195"/>
        <v>41.45</v>
      </c>
      <c r="AG96" s="183">
        <v>0</v>
      </c>
      <c r="AH96" s="58">
        <v>0</v>
      </c>
      <c r="AI96" s="209"/>
      <c r="AJ96" s="58">
        <f t="shared" si="233"/>
        <v>0</v>
      </c>
      <c r="AL96" s="173"/>
      <c r="AM96" s="183">
        <v>0</v>
      </c>
      <c r="AN96" s="58">
        <v>0</v>
      </c>
      <c r="AO96" s="80">
        <f t="shared" si="178"/>
        <v>13</v>
      </c>
      <c r="AP96" s="132">
        <f t="shared" si="196"/>
        <v>43.692307692307693</v>
      </c>
      <c r="AQ96" s="183">
        <v>0</v>
      </c>
      <c r="AR96" s="58">
        <v>0</v>
      </c>
      <c r="AS96" s="80">
        <f t="shared" si="179"/>
        <v>16</v>
      </c>
      <c r="AT96" s="132">
        <f t="shared" si="197"/>
        <v>42.75</v>
      </c>
      <c r="AU96" s="183">
        <v>0</v>
      </c>
      <c r="AV96" s="58">
        <v>1009</v>
      </c>
      <c r="AW96" s="80">
        <f t="shared" si="180"/>
        <v>19</v>
      </c>
      <c r="AX96" s="132">
        <f t="shared" si="198"/>
        <v>27.684210526315791</v>
      </c>
      <c r="AY96" s="183">
        <f t="shared" si="219"/>
        <v>27933.368421052633</v>
      </c>
      <c r="AZ96" s="58">
        <v>0</v>
      </c>
      <c r="BA96" s="80">
        <f t="shared" si="181"/>
        <v>21</v>
      </c>
      <c r="BB96" s="132">
        <f t="shared" si="199"/>
        <v>29.238095238095237</v>
      </c>
      <c r="BC96" s="183">
        <v>0</v>
      </c>
      <c r="BD96" s="209">
        <v>0</v>
      </c>
      <c r="BE96" s="58">
        <f t="shared" si="221"/>
        <v>0</v>
      </c>
      <c r="BF96" s="80">
        <f t="shared" si="182"/>
        <v>60</v>
      </c>
      <c r="BG96" s="132">
        <f t="shared" si="200"/>
        <v>10.199999999999999</v>
      </c>
      <c r="BH96" s="183">
        <v>0</v>
      </c>
      <c r="BI96" s="58">
        <f t="shared" si="222"/>
        <v>0</v>
      </c>
      <c r="BJ96" s="58"/>
      <c r="BK96" s="173"/>
      <c r="BL96" s="183">
        <v>0</v>
      </c>
      <c r="BM96" s="58">
        <v>0</v>
      </c>
      <c r="BN96" s="80">
        <f t="shared" si="183"/>
        <v>15</v>
      </c>
      <c r="BO96" s="132">
        <f t="shared" si="202"/>
        <v>33.93333333333333</v>
      </c>
      <c r="BP96" s="183">
        <v>0</v>
      </c>
      <c r="BQ96" s="58">
        <v>0</v>
      </c>
      <c r="BR96" s="209"/>
      <c r="BS96" s="58">
        <f t="shared" si="223"/>
        <v>0</v>
      </c>
      <c r="BT96" s="80">
        <f t="shared" si="184"/>
        <v>44</v>
      </c>
      <c r="BU96" s="132">
        <f t="shared" si="203"/>
        <v>8.0681818181818183</v>
      </c>
      <c r="BV96" s="183">
        <f t="shared" si="224"/>
        <v>0</v>
      </c>
      <c r="BW96" s="195">
        <v>0</v>
      </c>
      <c r="BY96" s="173"/>
      <c r="BZ96" s="212">
        <v>0</v>
      </c>
      <c r="CA96" s="195">
        <v>0</v>
      </c>
      <c r="CB96" s="195"/>
      <c r="CD96" s="212">
        <v>0</v>
      </c>
      <c r="CE96" s="58">
        <v>41066</v>
      </c>
      <c r="CF96" s="209"/>
      <c r="CG96" s="58">
        <f t="shared" si="225"/>
        <v>41066</v>
      </c>
      <c r="CH96" s="194">
        <f t="shared" si="226"/>
        <v>12319.8</v>
      </c>
      <c r="CI96" s="58">
        <v>0</v>
      </c>
      <c r="CJ96" s="209"/>
      <c r="CK96" s="58">
        <f t="shared" si="227"/>
        <v>0</v>
      </c>
      <c r="CL96" s="80">
        <f t="shared" si="186"/>
        <v>15</v>
      </c>
      <c r="CM96" s="135">
        <f t="shared" si="205"/>
        <v>34.666666666666664</v>
      </c>
      <c r="CN96" s="183">
        <f t="shared" si="210"/>
        <v>0</v>
      </c>
      <c r="CO96" s="58">
        <f t="shared" si="172"/>
        <v>0</v>
      </c>
      <c r="CP96" s="58"/>
      <c r="CQ96" s="58"/>
      <c r="CR96" s="195">
        <f t="shared" si="235"/>
        <v>0</v>
      </c>
      <c r="CS96" s="80">
        <f t="shared" si="187"/>
        <v>28</v>
      </c>
      <c r="CT96" s="327">
        <f t="shared" si="206"/>
        <v>24.678571428571427</v>
      </c>
      <c r="CU96" s="183">
        <f t="shared" si="211"/>
        <v>0</v>
      </c>
      <c r="CV96" s="58">
        <v>0</v>
      </c>
      <c r="CW96" s="80">
        <f t="shared" si="188"/>
        <v>15</v>
      </c>
      <c r="CX96" s="135">
        <f t="shared" si="207"/>
        <v>34.666666666666664</v>
      </c>
      <c r="CY96" s="183">
        <f t="shared" si="228"/>
        <v>0</v>
      </c>
      <c r="CZ96" s="58">
        <v>45568</v>
      </c>
      <c r="DA96" s="80">
        <f t="shared" si="189"/>
        <v>27</v>
      </c>
      <c r="DB96" s="327">
        <f t="shared" si="208"/>
        <v>24.074074074074073</v>
      </c>
      <c r="DC96" s="183">
        <f t="shared" si="229"/>
        <v>1097007.4074074074</v>
      </c>
      <c r="DD96" s="58">
        <v>0</v>
      </c>
      <c r="DE96" s="58">
        <v>0</v>
      </c>
      <c r="DF96" s="209"/>
      <c r="DG96" s="58">
        <f t="shared" si="230"/>
        <v>0</v>
      </c>
      <c r="DH96" s="58">
        <f t="shared" si="236"/>
        <v>0</v>
      </c>
      <c r="DI96" s="80">
        <f t="shared" si="190"/>
        <v>24</v>
      </c>
      <c r="DJ96" s="332">
        <f t="shared" si="209"/>
        <v>36.166666666666664</v>
      </c>
      <c r="DK96" s="183">
        <f t="shared" si="212"/>
        <v>0</v>
      </c>
    </row>
    <row r="97" spans="1:115">
      <c r="A97" s="213">
        <v>1922</v>
      </c>
      <c r="B97" s="58">
        <v>0</v>
      </c>
      <c r="C97" s="209"/>
      <c r="D97" s="58">
        <f t="shared" si="213"/>
        <v>0</v>
      </c>
      <c r="E97" s="194">
        <f t="shared" si="214"/>
        <v>0</v>
      </c>
      <c r="F97" s="58">
        <v>0</v>
      </c>
      <c r="G97" s="209"/>
      <c r="H97" s="209">
        <f t="shared" si="215"/>
        <v>0</v>
      </c>
      <c r="I97" s="214">
        <v>15</v>
      </c>
      <c r="J97" s="132">
        <f t="shared" si="191"/>
        <v>34.666666666666664</v>
      </c>
      <c r="K97" s="183">
        <f t="shared" si="216"/>
        <v>0</v>
      </c>
      <c r="L97" s="58">
        <v>0</v>
      </c>
      <c r="M97" s="209"/>
      <c r="N97" s="209"/>
      <c r="O97" s="58">
        <f t="shared" si="217"/>
        <v>0</v>
      </c>
      <c r="P97" s="80">
        <f t="shared" si="173"/>
        <v>14</v>
      </c>
      <c r="Q97" s="132">
        <f t="shared" si="192"/>
        <v>42.5</v>
      </c>
      <c r="R97" s="193">
        <f t="shared" si="174"/>
        <v>0</v>
      </c>
      <c r="S97" s="58">
        <v>12389</v>
      </c>
      <c r="T97" s="209"/>
      <c r="U97" s="209"/>
      <c r="V97" s="58">
        <f t="shared" si="231"/>
        <v>12389</v>
      </c>
      <c r="W97" s="80">
        <f t="shared" si="175"/>
        <v>21</v>
      </c>
      <c r="X97" s="132">
        <f t="shared" si="193"/>
        <v>29.047619047619047</v>
      </c>
      <c r="Y97" s="183">
        <f t="shared" si="218"/>
        <v>359870.95238095237</v>
      </c>
      <c r="Z97" s="58">
        <v>0</v>
      </c>
      <c r="AA97" s="80">
        <f t="shared" si="176"/>
        <v>19</v>
      </c>
      <c r="AB97" s="132">
        <f t="shared" si="194"/>
        <v>28.842105263157894</v>
      </c>
      <c r="AC97" s="183">
        <v>0</v>
      </c>
      <c r="AD97" s="58">
        <v>0</v>
      </c>
      <c r="AE97" s="80">
        <f t="shared" si="177"/>
        <v>18</v>
      </c>
      <c r="AF97" s="132">
        <f t="shared" si="195"/>
        <v>46.055555555555557</v>
      </c>
      <c r="AG97" s="183">
        <v>0</v>
      </c>
      <c r="AH97" s="58">
        <v>0</v>
      </c>
      <c r="AI97" s="209"/>
      <c r="AJ97" s="58">
        <f t="shared" si="233"/>
        <v>0</v>
      </c>
      <c r="AL97" s="173"/>
      <c r="AM97" s="183">
        <v>0</v>
      </c>
      <c r="AN97" s="58">
        <v>0</v>
      </c>
      <c r="AO97" s="80">
        <f t="shared" si="178"/>
        <v>13</v>
      </c>
      <c r="AP97" s="132">
        <f t="shared" si="196"/>
        <v>43.692307692307693</v>
      </c>
      <c r="AQ97" s="183">
        <v>0</v>
      </c>
      <c r="AR97" s="58">
        <v>0</v>
      </c>
      <c r="AS97" s="80">
        <f t="shared" si="179"/>
        <v>16</v>
      </c>
      <c r="AT97" s="132">
        <f t="shared" si="197"/>
        <v>42.75</v>
      </c>
      <c r="AU97" s="183">
        <v>0</v>
      </c>
      <c r="AV97" s="58">
        <v>0</v>
      </c>
      <c r="AW97" s="80">
        <f t="shared" si="180"/>
        <v>20</v>
      </c>
      <c r="AX97" s="132">
        <f t="shared" si="198"/>
        <v>26.3</v>
      </c>
      <c r="AY97" s="183">
        <f t="shared" si="219"/>
        <v>0</v>
      </c>
      <c r="AZ97" s="58">
        <v>0</v>
      </c>
      <c r="BA97" s="80">
        <f t="shared" si="181"/>
        <v>19</v>
      </c>
      <c r="BB97" s="132">
        <f t="shared" si="199"/>
        <v>32.315789473684212</v>
      </c>
      <c r="BC97" s="183">
        <v>0</v>
      </c>
      <c r="BD97" s="209">
        <v>0</v>
      </c>
      <c r="BE97" s="58">
        <f t="shared" si="221"/>
        <v>0</v>
      </c>
      <c r="BF97" s="80">
        <f t="shared" si="182"/>
        <v>63</v>
      </c>
      <c r="BG97" s="132">
        <f t="shared" si="200"/>
        <v>9.7142857142857135</v>
      </c>
      <c r="BH97" s="183">
        <v>0</v>
      </c>
      <c r="BI97" s="58">
        <f t="shared" si="222"/>
        <v>0</v>
      </c>
      <c r="BJ97" s="58"/>
      <c r="BK97" s="173"/>
      <c r="BL97" s="183">
        <v>0</v>
      </c>
      <c r="BM97" s="58">
        <v>0</v>
      </c>
      <c r="BN97" s="80">
        <f t="shared" si="183"/>
        <v>15</v>
      </c>
      <c r="BO97" s="132">
        <f t="shared" si="202"/>
        <v>33.93333333333333</v>
      </c>
      <c r="BP97" s="183">
        <v>0</v>
      </c>
      <c r="BQ97" s="58">
        <v>0</v>
      </c>
      <c r="BR97" s="209"/>
      <c r="BS97" s="58">
        <f t="shared" si="223"/>
        <v>0</v>
      </c>
      <c r="BT97" s="80">
        <f t="shared" si="184"/>
        <v>46</v>
      </c>
      <c r="BU97" s="132">
        <f t="shared" si="203"/>
        <v>7.7173913043478262</v>
      </c>
      <c r="BV97" s="183">
        <f t="shared" si="224"/>
        <v>0</v>
      </c>
      <c r="BW97" s="195">
        <v>0</v>
      </c>
      <c r="BY97" s="173"/>
      <c r="BZ97" s="212">
        <v>0</v>
      </c>
      <c r="CA97" s="195">
        <v>0</v>
      </c>
      <c r="CB97" s="195"/>
      <c r="CD97" s="212">
        <v>0</v>
      </c>
      <c r="CE97" s="58">
        <v>0</v>
      </c>
      <c r="CF97" s="209"/>
      <c r="CG97" s="58">
        <f t="shared" si="225"/>
        <v>0</v>
      </c>
      <c r="CH97" s="194">
        <f t="shared" si="226"/>
        <v>0</v>
      </c>
      <c r="CI97" s="58">
        <v>0</v>
      </c>
      <c r="CJ97" s="209"/>
      <c r="CK97" s="58">
        <f t="shared" si="227"/>
        <v>0</v>
      </c>
      <c r="CL97" s="80">
        <f t="shared" si="186"/>
        <v>15</v>
      </c>
      <c r="CM97" s="135">
        <f t="shared" si="205"/>
        <v>34.666666666666664</v>
      </c>
      <c r="CN97" s="183">
        <f t="shared" si="210"/>
        <v>0</v>
      </c>
      <c r="CO97" s="58">
        <f t="shared" si="172"/>
        <v>0</v>
      </c>
      <c r="CP97" s="58"/>
      <c r="CQ97" s="58"/>
      <c r="CR97" s="195">
        <f t="shared" si="235"/>
        <v>0</v>
      </c>
      <c r="CS97" s="80">
        <f t="shared" si="187"/>
        <v>28</v>
      </c>
      <c r="CT97" s="327">
        <f t="shared" si="206"/>
        <v>24.678571428571427</v>
      </c>
      <c r="CU97" s="183">
        <f t="shared" si="211"/>
        <v>0</v>
      </c>
      <c r="CV97" s="58">
        <v>0</v>
      </c>
      <c r="CW97" s="80">
        <f t="shared" si="188"/>
        <v>15</v>
      </c>
      <c r="CX97" s="135">
        <f t="shared" si="207"/>
        <v>34.666666666666664</v>
      </c>
      <c r="CY97" s="183">
        <f t="shared" si="228"/>
        <v>0</v>
      </c>
      <c r="CZ97" s="58">
        <v>0</v>
      </c>
      <c r="DA97" s="80">
        <f t="shared" si="189"/>
        <v>28</v>
      </c>
      <c r="DB97" s="327">
        <f t="shared" si="208"/>
        <v>23.214285714285715</v>
      </c>
      <c r="DC97" s="183">
        <f t="shared" si="229"/>
        <v>0</v>
      </c>
      <c r="DD97" s="58">
        <v>0</v>
      </c>
      <c r="DE97" s="58">
        <v>0</v>
      </c>
      <c r="DF97" s="209"/>
      <c r="DG97" s="58">
        <f t="shared" si="230"/>
        <v>0</v>
      </c>
      <c r="DH97" s="58">
        <f t="shared" si="236"/>
        <v>0</v>
      </c>
      <c r="DI97" s="80">
        <f t="shared" si="190"/>
        <v>24</v>
      </c>
      <c r="DJ97" s="332">
        <f t="shared" si="209"/>
        <v>36.166666666666664</v>
      </c>
      <c r="DK97" s="183">
        <f t="shared" si="212"/>
        <v>0</v>
      </c>
    </row>
    <row r="98" spans="1:115">
      <c r="A98" s="213">
        <v>1921</v>
      </c>
      <c r="B98" s="58">
        <v>0</v>
      </c>
      <c r="C98" s="209"/>
      <c r="D98" s="58">
        <f t="shared" si="213"/>
        <v>0</v>
      </c>
      <c r="E98" s="194">
        <f t="shared" si="214"/>
        <v>0</v>
      </c>
      <c r="F98" s="58">
        <v>0</v>
      </c>
      <c r="G98" s="209"/>
      <c r="H98" s="209">
        <f t="shared" si="215"/>
        <v>0</v>
      </c>
      <c r="I98" s="214">
        <v>16</v>
      </c>
      <c r="J98" s="132">
        <f t="shared" si="191"/>
        <v>32.5</v>
      </c>
      <c r="K98" s="183">
        <f t="shared" si="216"/>
        <v>0</v>
      </c>
      <c r="L98" s="58">
        <v>0</v>
      </c>
      <c r="M98" s="209"/>
      <c r="N98" s="209"/>
      <c r="O98" s="58">
        <f t="shared" si="217"/>
        <v>0</v>
      </c>
      <c r="P98" s="80">
        <f t="shared" si="173"/>
        <v>15</v>
      </c>
      <c r="Q98" s="132">
        <f t="shared" si="192"/>
        <v>39.666666666666664</v>
      </c>
      <c r="R98" s="193">
        <f t="shared" si="174"/>
        <v>0</v>
      </c>
      <c r="S98" s="58">
        <v>0</v>
      </c>
      <c r="T98" s="209"/>
      <c r="U98" s="209"/>
      <c r="V98" s="58">
        <f t="shared" si="231"/>
        <v>0</v>
      </c>
      <c r="W98" s="80">
        <f t="shared" si="175"/>
        <v>23</v>
      </c>
      <c r="X98" s="132">
        <f t="shared" si="193"/>
        <v>26.521739130434781</v>
      </c>
      <c r="Y98" s="183">
        <f t="shared" si="218"/>
        <v>0</v>
      </c>
      <c r="Z98" s="58">
        <v>0</v>
      </c>
      <c r="AA98" s="80">
        <f t="shared" si="176"/>
        <v>21</v>
      </c>
      <c r="AB98" s="132">
        <f t="shared" si="194"/>
        <v>26.095238095238095</v>
      </c>
      <c r="AC98" s="183">
        <v>0</v>
      </c>
      <c r="AD98" s="58">
        <v>0</v>
      </c>
      <c r="AE98" s="80">
        <f t="shared" si="177"/>
        <v>19</v>
      </c>
      <c r="AF98" s="132">
        <f t="shared" si="195"/>
        <v>43.631578947368418</v>
      </c>
      <c r="AG98" s="183">
        <v>0</v>
      </c>
      <c r="AH98" s="58">
        <v>0</v>
      </c>
      <c r="AI98" s="209"/>
      <c r="AJ98" s="58">
        <f t="shared" si="233"/>
        <v>0</v>
      </c>
      <c r="AL98" s="173"/>
      <c r="AM98" s="183">
        <v>0</v>
      </c>
      <c r="AN98" s="58">
        <v>0</v>
      </c>
      <c r="AO98" s="80">
        <f t="shared" si="178"/>
        <v>14</v>
      </c>
      <c r="AP98" s="132">
        <f t="shared" si="196"/>
        <v>40.571428571428569</v>
      </c>
      <c r="AQ98" s="183">
        <v>0</v>
      </c>
      <c r="AR98" s="58">
        <v>0</v>
      </c>
      <c r="AS98" s="80">
        <f t="shared" si="179"/>
        <v>18</v>
      </c>
      <c r="AT98" s="132">
        <f t="shared" si="197"/>
        <v>38</v>
      </c>
      <c r="AU98" s="183">
        <v>0</v>
      </c>
      <c r="AV98" s="58">
        <v>9849</v>
      </c>
      <c r="AW98" s="80">
        <f t="shared" si="180"/>
        <v>22</v>
      </c>
      <c r="AX98" s="132">
        <f t="shared" si="198"/>
        <v>23.90909090909091</v>
      </c>
      <c r="AY98" s="183">
        <f t="shared" si="219"/>
        <v>235480.63636363638</v>
      </c>
      <c r="AZ98" s="58">
        <v>0</v>
      </c>
      <c r="BA98" s="80">
        <f t="shared" si="181"/>
        <v>20</v>
      </c>
      <c r="BB98" s="132">
        <f t="shared" si="199"/>
        <v>30.7</v>
      </c>
      <c r="BC98" s="183">
        <v>0</v>
      </c>
      <c r="BD98" s="209">
        <v>0</v>
      </c>
      <c r="BE98" s="58">
        <f t="shared" si="221"/>
        <v>0</v>
      </c>
      <c r="BF98" s="80">
        <f t="shared" si="182"/>
        <v>70</v>
      </c>
      <c r="BG98" s="132">
        <f t="shared" si="200"/>
        <v>8.742857142857142</v>
      </c>
      <c r="BH98" s="183">
        <v>0</v>
      </c>
      <c r="BI98" s="58">
        <f t="shared" si="222"/>
        <v>0</v>
      </c>
      <c r="BJ98" s="58"/>
      <c r="BK98" s="173"/>
      <c r="BL98" s="183">
        <v>0</v>
      </c>
      <c r="BM98" s="58">
        <v>0</v>
      </c>
      <c r="BN98" s="80">
        <f t="shared" si="183"/>
        <v>17</v>
      </c>
      <c r="BO98" s="132">
        <f t="shared" si="202"/>
        <v>29.941176470588236</v>
      </c>
      <c r="BP98" s="183">
        <v>0</v>
      </c>
      <c r="BQ98" s="58">
        <v>0</v>
      </c>
      <c r="BR98" s="209"/>
      <c r="BS98" s="58">
        <f t="shared" si="223"/>
        <v>0</v>
      </c>
      <c r="BT98" s="80">
        <f t="shared" si="184"/>
        <v>49</v>
      </c>
      <c r="BU98" s="132">
        <f t="shared" si="203"/>
        <v>7.2448979591836737</v>
      </c>
      <c r="BV98" s="183">
        <f t="shared" si="224"/>
        <v>0</v>
      </c>
      <c r="BW98" s="195">
        <v>0</v>
      </c>
      <c r="BY98" s="173"/>
      <c r="BZ98" s="212">
        <v>0</v>
      </c>
      <c r="CA98" s="195">
        <v>0</v>
      </c>
      <c r="CB98" s="195"/>
      <c r="CD98" s="212">
        <v>0</v>
      </c>
      <c r="CE98" s="58">
        <v>0</v>
      </c>
      <c r="CF98" s="209"/>
      <c r="CG98" s="58">
        <f t="shared" si="225"/>
        <v>0</v>
      </c>
      <c r="CH98" s="194">
        <f t="shared" si="226"/>
        <v>0</v>
      </c>
      <c r="CI98" s="58">
        <v>0</v>
      </c>
      <c r="CJ98" s="209"/>
      <c r="CK98" s="58">
        <f t="shared" si="227"/>
        <v>0</v>
      </c>
      <c r="CL98" s="80">
        <f t="shared" si="186"/>
        <v>16</v>
      </c>
      <c r="CM98" s="135">
        <f t="shared" si="205"/>
        <v>32.5</v>
      </c>
      <c r="CN98" s="183">
        <f t="shared" si="210"/>
        <v>0</v>
      </c>
      <c r="CO98" s="58">
        <f t="shared" si="172"/>
        <v>0</v>
      </c>
      <c r="CP98" s="58"/>
      <c r="CQ98" s="58"/>
      <c r="CR98" s="195">
        <f t="shared" si="235"/>
        <v>0</v>
      </c>
      <c r="CS98" s="80">
        <f t="shared" si="187"/>
        <v>30</v>
      </c>
      <c r="CT98" s="327">
        <f t="shared" si="206"/>
        <v>23.033333333333335</v>
      </c>
      <c r="CU98" s="183">
        <f t="shared" si="211"/>
        <v>0</v>
      </c>
      <c r="CV98" s="58">
        <v>0</v>
      </c>
      <c r="CW98" s="80">
        <f t="shared" si="188"/>
        <v>16</v>
      </c>
      <c r="CX98" s="135">
        <f t="shared" si="207"/>
        <v>32.5</v>
      </c>
      <c r="CY98" s="183">
        <f t="shared" si="228"/>
        <v>0</v>
      </c>
      <c r="CZ98" s="58">
        <v>0</v>
      </c>
      <c r="DA98" s="80">
        <f t="shared" si="189"/>
        <v>30</v>
      </c>
      <c r="DB98" s="327">
        <f t="shared" si="208"/>
        <v>21.666666666666668</v>
      </c>
      <c r="DC98" s="183">
        <f t="shared" si="229"/>
        <v>0</v>
      </c>
      <c r="DD98" s="58">
        <v>0</v>
      </c>
      <c r="DE98" s="58">
        <v>0</v>
      </c>
      <c r="DF98" s="209"/>
      <c r="DG98" s="58">
        <f t="shared" si="230"/>
        <v>0</v>
      </c>
      <c r="DH98" s="58">
        <f t="shared" si="236"/>
        <v>0</v>
      </c>
      <c r="DI98" s="80">
        <f t="shared" si="190"/>
        <v>27</v>
      </c>
      <c r="DJ98" s="332">
        <f t="shared" si="209"/>
        <v>32.148148148148145</v>
      </c>
      <c r="DK98" s="183">
        <f t="shared" si="212"/>
        <v>0</v>
      </c>
    </row>
    <row r="99" spans="1:115">
      <c r="A99" s="213">
        <v>1920</v>
      </c>
      <c r="B99" s="58">
        <v>7044</v>
      </c>
      <c r="C99" s="209"/>
      <c r="D99" s="58">
        <f t="shared" si="213"/>
        <v>7044</v>
      </c>
      <c r="E99" s="194">
        <f t="shared" si="214"/>
        <v>4930.7999999999993</v>
      </c>
      <c r="F99" s="58">
        <v>0</v>
      </c>
      <c r="G99" s="209"/>
      <c r="H99" s="209">
        <f t="shared" si="215"/>
        <v>0</v>
      </c>
      <c r="I99" s="214">
        <v>17</v>
      </c>
      <c r="J99" s="132">
        <f t="shared" si="191"/>
        <v>30.588235294117649</v>
      </c>
      <c r="K99" s="183">
        <f t="shared" si="216"/>
        <v>0</v>
      </c>
      <c r="L99" s="58">
        <v>0</v>
      </c>
      <c r="M99" s="209"/>
      <c r="N99" s="209"/>
      <c r="O99" s="58">
        <f t="shared" si="217"/>
        <v>0</v>
      </c>
      <c r="P99" s="80">
        <f t="shared" si="173"/>
        <v>14</v>
      </c>
      <c r="Q99" s="132">
        <f t="shared" si="192"/>
        <v>42.5</v>
      </c>
      <c r="R99" s="193">
        <f t="shared" si="174"/>
        <v>0</v>
      </c>
      <c r="S99" s="58">
        <v>70972</v>
      </c>
      <c r="T99" s="209"/>
      <c r="U99" s="209"/>
      <c r="V99" s="58">
        <f t="shared" si="231"/>
        <v>70972</v>
      </c>
      <c r="W99" s="80">
        <f t="shared" si="175"/>
        <v>30</v>
      </c>
      <c r="X99" s="132">
        <f t="shared" si="193"/>
        <v>20.333333333333332</v>
      </c>
      <c r="Y99" s="183">
        <f t="shared" si="218"/>
        <v>1443097.3333333333</v>
      </c>
      <c r="Z99" s="58">
        <v>0</v>
      </c>
      <c r="AA99" s="80">
        <f t="shared" si="176"/>
        <v>19</v>
      </c>
      <c r="AB99" s="132">
        <f t="shared" si="194"/>
        <v>28.842105263157894</v>
      </c>
      <c r="AC99" s="183">
        <v>0</v>
      </c>
      <c r="AD99" s="58">
        <v>0</v>
      </c>
      <c r="AE99" s="80">
        <f t="shared" si="177"/>
        <v>22</v>
      </c>
      <c r="AF99" s="132">
        <f t="shared" si="195"/>
        <v>37.68181818181818</v>
      </c>
      <c r="AG99" s="183">
        <v>0</v>
      </c>
      <c r="AH99" s="58">
        <v>0</v>
      </c>
      <c r="AI99" s="209"/>
      <c r="AJ99" s="58">
        <f t="shared" si="233"/>
        <v>0</v>
      </c>
      <c r="AL99" s="173"/>
      <c r="AM99" s="183">
        <v>0</v>
      </c>
      <c r="AN99" s="58">
        <v>0</v>
      </c>
      <c r="AO99" s="80">
        <f t="shared" si="178"/>
        <v>14</v>
      </c>
      <c r="AP99" s="132">
        <f t="shared" si="196"/>
        <v>40.571428571428569</v>
      </c>
      <c r="AQ99" s="183">
        <v>0</v>
      </c>
      <c r="AR99" s="58">
        <v>0</v>
      </c>
      <c r="AS99" s="80">
        <f t="shared" si="179"/>
        <v>24</v>
      </c>
      <c r="AT99" s="132">
        <f t="shared" si="197"/>
        <v>28.5</v>
      </c>
      <c r="AU99" s="183">
        <v>0</v>
      </c>
      <c r="AV99" s="58">
        <v>0</v>
      </c>
      <c r="AW99" s="80">
        <f t="shared" si="180"/>
        <v>20</v>
      </c>
      <c r="AX99" s="132">
        <f t="shared" si="198"/>
        <v>26.3</v>
      </c>
      <c r="AY99" s="183">
        <f t="shared" si="219"/>
        <v>0</v>
      </c>
      <c r="AZ99" s="58">
        <v>0</v>
      </c>
      <c r="BA99" s="80">
        <f t="shared" si="181"/>
        <v>23</v>
      </c>
      <c r="BB99" s="132">
        <f t="shared" si="199"/>
        <v>26.695652173913043</v>
      </c>
      <c r="BC99" s="183">
        <v>0</v>
      </c>
      <c r="BD99" s="209">
        <v>0</v>
      </c>
      <c r="BE99" s="58">
        <f t="shared" si="221"/>
        <v>0</v>
      </c>
      <c r="BF99" s="80">
        <f t="shared" si="182"/>
        <v>69</v>
      </c>
      <c r="BG99" s="132">
        <f t="shared" si="200"/>
        <v>8.8695652173913047</v>
      </c>
      <c r="BH99" s="183">
        <v>0</v>
      </c>
      <c r="BI99" s="58">
        <f t="shared" si="222"/>
        <v>0</v>
      </c>
      <c r="BJ99" s="58"/>
      <c r="BK99" s="173"/>
      <c r="BL99" s="183">
        <v>0</v>
      </c>
      <c r="BM99" s="58">
        <v>0</v>
      </c>
      <c r="BN99" s="80">
        <f t="shared" si="183"/>
        <v>21</v>
      </c>
      <c r="BO99" s="132">
        <f t="shared" si="202"/>
        <v>24.238095238095237</v>
      </c>
      <c r="BP99" s="183">
        <v>0</v>
      </c>
      <c r="BQ99" s="58">
        <v>0</v>
      </c>
      <c r="BR99" s="209"/>
      <c r="BS99" s="58">
        <f t="shared" si="223"/>
        <v>0</v>
      </c>
      <c r="BT99" s="80">
        <f t="shared" si="184"/>
        <v>46</v>
      </c>
      <c r="BU99" s="132">
        <f t="shared" si="203"/>
        <v>7.7173913043478262</v>
      </c>
      <c r="BV99" s="183">
        <f t="shared" si="224"/>
        <v>0</v>
      </c>
      <c r="BW99" s="195">
        <v>0</v>
      </c>
      <c r="BY99" s="173"/>
      <c r="BZ99" s="212">
        <v>0</v>
      </c>
      <c r="CA99" s="195">
        <v>0</v>
      </c>
      <c r="CB99" s="195"/>
      <c r="CD99" s="212">
        <v>0</v>
      </c>
      <c r="CE99" s="58">
        <v>7044</v>
      </c>
      <c r="CF99" s="209"/>
      <c r="CG99" s="58">
        <f t="shared" si="225"/>
        <v>7044</v>
      </c>
      <c r="CH99" s="194">
        <f t="shared" si="226"/>
        <v>2113.1999999999998</v>
      </c>
      <c r="CI99" s="58">
        <v>0</v>
      </c>
      <c r="CJ99" s="209"/>
      <c r="CK99" s="58">
        <f t="shared" si="227"/>
        <v>0</v>
      </c>
      <c r="CL99" s="80">
        <f t="shared" si="186"/>
        <v>17</v>
      </c>
      <c r="CM99" s="135">
        <f t="shared" si="205"/>
        <v>30.588235294117649</v>
      </c>
      <c r="CN99" s="183">
        <f t="shared" si="210"/>
        <v>0</v>
      </c>
      <c r="CO99" s="58">
        <f t="shared" si="172"/>
        <v>0</v>
      </c>
      <c r="CP99" s="58"/>
      <c r="CQ99" s="58"/>
      <c r="CR99" s="195">
        <f t="shared" si="235"/>
        <v>0</v>
      </c>
      <c r="CS99" s="80">
        <f t="shared" si="187"/>
        <v>31</v>
      </c>
      <c r="CT99" s="327">
        <f t="shared" si="206"/>
        <v>22.29032258064516</v>
      </c>
      <c r="CU99" s="183">
        <f t="shared" si="211"/>
        <v>0</v>
      </c>
      <c r="CV99" s="58">
        <v>83</v>
      </c>
      <c r="CW99" s="80">
        <f t="shared" si="188"/>
        <v>17</v>
      </c>
      <c r="CX99" s="135">
        <f t="shared" si="207"/>
        <v>30.588235294117649</v>
      </c>
      <c r="CY99" s="183">
        <f t="shared" si="228"/>
        <v>2538.8235294117649</v>
      </c>
      <c r="CZ99" s="58">
        <v>0</v>
      </c>
      <c r="DA99" s="80">
        <f t="shared" si="189"/>
        <v>29</v>
      </c>
      <c r="DB99" s="327">
        <f t="shared" si="208"/>
        <v>22.413793103448278</v>
      </c>
      <c r="DC99" s="183">
        <f t="shared" si="229"/>
        <v>0</v>
      </c>
      <c r="DD99" s="58">
        <v>0</v>
      </c>
      <c r="DE99" s="58">
        <v>0</v>
      </c>
      <c r="DF99" s="209"/>
      <c r="DG99" s="58">
        <f t="shared" si="230"/>
        <v>0</v>
      </c>
      <c r="DH99" s="58">
        <f t="shared" si="236"/>
        <v>0</v>
      </c>
      <c r="DI99" s="80">
        <f t="shared" si="190"/>
        <v>26</v>
      </c>
      <c r="DJ99" s="332">
        <f t="shared" si="209"/>
        <v>33.384615384615387</v>
      </c>
      <c r="DK99" s="183">
        <f t="shared" si="212"/>
        <v>0</v>
      </c>
    </row>
    <row r="100" spans="1:115">
      <c r="A100" s="213">
        <v>1919</v>
      </c>
      <c r="B100" s="58">
        <v>37982</v>
      </c>
      <c r="C100" s="209"/>
      <c r="D100" s="58">
        <f t="shared" si="213"/>
        <v>37982</v>
      </c>
      <c r="E100" s="194">
        <f t="shared" si="214"/>
        <v>26587.399999999998</v>
      </c>
      <c r="F100" s="58">
        <v>0</v>
      </c>
      <c r="G100" s="209"/>
      <c r="H100" s="209">
        <f t="shared" si="215"/>
        <v>0</v>
      </c>
      <c r="I100" s="214">
        <v>18</v>
      </c>
      <c r="J100" s="132">
        <f t="shared" si="191"/>
        <v>28.888888888888889</v>
      </c>
      <c r="K100" s="183">
        <f t="shared" si="216"/>
        <v>0</v>
      </c>
      <c r="L100" s="58">
        <v>0</v>
      </c>
      <c r="M100" s="209"/>
      <c r="N100" s="209"/>
      <c r="O100" s="58">
        <f t="shared" si="217"/>
        <v>0</v>
      </c>
      <c r="P100" s="80">
        <f t="shared" si="173"/>
        <v>12</v>
      </c>
      <c r="Q100" s="132">
        <f t="shared" si="192"/>
        <v>49.583333333333336</v>
      </c>
      <c r="R100" s="193">
        <f t="shared" si="174"/>
        <v>0</v>
      </c>
      <c r="S100" s="58">
        <v>249944</v>
      </c>
      <c r="T100" s="209"/>
      <c r="U100" s="209"/>
      <c r="V100" s="58">
        <f t="shared" si="231"/>
        <v>249944</v>
      </c>
      <c r="W100" s="80">
        <f t="shared" si="175"/>
        <v>28</v>
      </c>
      <c r="X100" s="132">
        <f t="shared" si="193"/>
        <v>21.785714285714285</v>
      </c>
      <c r="Y100" s="183">
        <f t="shared" si="218"/>
        <v>5445208.5714285709</v>
      </c>
      <c r="Z100" s="58">
        <v>0</v>
      </c>
      <c r="AA100" s="80">
        <f t="shared" si="176"/>
        <v>17</v>
      </c>
      <c r="AB100" s="132">
        <f t="shared" si="194"/>
        <v>32.235294117647058</v>
      </c>
      <c r="AC100" s="183">
        <v>0</v>
      </c>
      <c r="AD100" s="58">
        <v>0</v>
      </c>
      <c r="AE100" s="80">
        <f t="shared" si="177"/>
        <v>22</v>
      </c>
      <c r="AF100" s="132">
        <f t="shared" si="195"/>
        <v>37.68181818181818</v>
      </c>
      <c r="AG100" s="183">
        <v>0</v>
      </c>
      <c r="AH100" s="58">
        <v>0</v>
      </c>
      <c r="AI100" s="209"/>
      <c r="AJ100" s="58">
        <f t="shared" si="233"/>
        <v>0</v>
      </c>
      <c r="AL100" s="173"/>
      <c r="AM100" s="183">
        <v>0</v>
      </c>
      <c r="AN100" s="58">
        <v>0</v>
      </c>
      <c r="AO100" s="80">
        <f t="shared" si="178"/>
        <v>12</v>
      </c>
      <c r="AP100" s="132">
        <f t="shared" si="196"/>
        <v>47.333333333333336</v>
      </c>
      <c r="AQ100" s="183">
        <v>0</v>
      </c>
      <c r="AR100" s="58">
        <v>0</v>
      </c>
      <c r="AS100" s="80">
        <f t="shared" si="179"/>
        <v>22</v>
      </c>
      <c r="AT100" s="132">
        <f t="shared" si="197"/>
        <v>31.09090909090909</v>
      </c>
      <c r="AU100" s="183">
        <v>0</v>
      </c>
      <c r="AV100" s="58">
        <v>0</v>
      </c>
      <c r="AW100" s="80">
        <f t="shared" si="180"/>
        <v>18</v>
      </c>
      <c r="AX100" s="132">
        <f t="shared" si="198"/>
        <v>29.222222222222221</v>
      </c>
      <c r="AY100" s="183">
        <f t="shared" si="219"/>
        <v>0</v>
      </c>
      <c r="AZ100" s="58">
        <v>0</v>
      </c>
      <c r="BA100" s="80">
        <f t="shared" si="181"/>
        <v>23</v>
      </c>
      <c r="BB100" s="132">
        <f t="shared" si="199"/>
        <v>26.695652173913043</v>
      </c>
      <c r="BC100" s="183">
        <v>0</v>
      </c>
      <c r="BD100" s="209">
        <v>0</v>
      </c>
      <c r="BE100" s="58">
        <f t="shared" si="221"/>
        <v>0</v>
      </c>
      <c r="BF100" s="80">
        <f t="shared" si="182"/>
        <v>64</v>
      </c>
      <c r="BG100" s="132">
        <f t="shared" si="200"/>
        <v>9.5625</v>
      </c>
      <c r="BH100" s="183">
        <v>0</v>
      </c>
      <c r="BI100" s="58">
        <f t="shared" si="222"/>
        <v>0</v>
      </c>
      <c r="BJ100" s="58"/>
      <c r="BK100" s="173"/>
      <c r="BL100" s="183">
        <v>0</v>
      </c>
      <c r="BM100" s="58">
        <v>0</v>
      </c>
      <c r="BN100" s="80">
        <f t="shared" si="183"/>
        <v>20</v>
      </c>
      <c r="BO100" s="132">
        <f t="shared" si="202"/>
        <v>25.45</v>
      </c>
      <c r="BP100" s="183">
        <v>0</v>
      </c>
      <c r="BQ100" s="58">
        <v>0</v>
      </c>
      <c r="BR100" s="209"/>
      <c r="BS100" s="58">
        <f t="shared" si="223"/>
        <v>0</v>
      </c>
      <c r="BT100" s="80">
        <f t="shared" si="184"/>
        <v>44</v>
      </c>
      <c r="BU100" s="132">
        <f t="shared" si="203"/>
        <v>8.0681818181818183</v>
      </c>
      <c r="BV100" s="183">
        <f t="shared" si="224"/>
        <v>0</v>
      </c>
      <c r="BW100" s="195">
        <v>0</v>
      </c>
      <c r="BY100" s="173"/>
      <c r="BZ100" s="212">
        <v>0</v>
      </c>
      <c r="CA100" s="195">
        <v>0</v>
      </c>
      <c r="CB100" s="195"/>
      <c r="CD100" s="212">
        <v>0</v>
      </c>
      <c r="CE100" s="58">
        <v>37982</v>
      </c>
      <c r="CF100" s="209"/>
      <c r="CG100" s="58">
        <f t="shared" si="225"/>
        <v>37982</v>
      </c>
      <c r="CH100" s="194">
        <f t="shared" si="226"/>
        <v>11394.6</v>
      </c>
      <c r="CI100" s="58">
        <v>0</v>
      </c>
      <c r="CJ100" s="209"/>
      <c r="CK100" s="58">
        <f t="shared" si="227"/>
        <v>0</v>
      </c>
      <c r="CL100" s="80">
        <f t="shared" si="186"/>
        <v>18</v>
      </c>
      <c r="CM100" s="135">
        <f t="shared" si="205"/>
        <v>28.888888888888889</v>
      </c>
      <c r="CN100" s="183">
        <f t="shared" si="210"/>
        <v>0</v>
      </c>
      <c r="CO100" s="58">
        <f t="shared" si="172"/>
        <v>0</v>
      </c>
      <c r="CP100" s="58"/>
      <c r="CQ100" s="58"/>
      <c r="CR100" s="195">
        <f t="shared" si="235"/>
        <v>0</v>
      </c>
      <c r="CS100" s="80">
        <f t="shared" si="187"/>
        <v>27</v>
      </c>
      <c r="CT100" s="327">
        <f t="shared" si="206"/>
        <v>25.592592592592592</v>
      </c>
      <c r="CU100" s="183">
        <f t="shared" si="211"/>
        <v>0</v>
      </c>
      <c r="CV100" s="58">
        <v>435</v>
      </c>
      <c r="CW100" s="80">
        <f t="shared" si="188"/>
        <v>18</v>
      </c>
      <c r="CX100" s="135">
        <f t="shared" si="207"/>
        <v>28.888888888888889</v>
      </c>
      <c r="CY100" s="183">
        <f t="shared" si="228"/>
        <v>12566.666666666666</v>
      </c>
      <c r="CZ100" s="58">
        <v>0</v>
      </c>
      <c r="DA100" s="80">
        <f t="shared" si="189"/>
        <v>25</v>
      </c>
      <c r="DB100" s="327">
        <f t="shared" si="208"/>
        <v>26</v>
      </c>
      <c r="DC100" s="183">
        <f t="shared" si="229"/>
        <v>0</v>
      </c>
      <c r="DD100" s="58">
        <v>0</v>
      </c>
      <c r="DE100" s="58">
        <v>0</v>
      </c>
      <c r="DF100" s="209"/>
      <c r="DG100" s="58">
        <f t="shared" si="230"/>
        <v>0</v>
      </c>
      <c r="DH100" s="58">
        <f t="shared" si="236"/>
        <v>0</v>
      </c>
      <c r="DI100" s="80">
        <f t="shared" si="190"/>
        <v>23</v>
      </c>
      <c r="DJ100" s="332">
        <f t="shared" si="209"/>
        <v>37.739130434782609</v>
      </c>
      <c r="DK100" s="183">
        <f t="shared" si="212"/>
        <v>0</v>
      </c>
    </row>
    <row r="101" spans="1:115">
      <c r="A101" s="213">
        <v>1918</v>
      </c>
      <c r="B101" s="58">
        <v>621</v>
      </c>
      <c r="C101" s="209"/>
      <c r="D101" s="58">
        <f t="shared" si="213"/>
        <v>621</v>
      </c>
      <c r="E101" s="194">
        <f t="shared" si="214"/>
        <v>434.7</v>
      </c>
      <c r="F101" s="58">
        <v>0</v>
      </c>
      <c r="G101" s="209"/>
      <c r="H101" s="209">
        <f t="shared" si="215"/>
        <v>0</v>
      </c>
      <c r="I101" s="214">
        <v>18</v>
      </c>
      <c r="J101" s="132">
        <f t="shared" si="191"/>
        <v>28.888888888888889</v>
      </c>
      <c r="K101" s="183">
        <f t="shared" si="216"/>
        <v>0</v>
      </c>
      <c r="L101" s="58">
        <v>0</v>
      </c>
      <c r="M101" s="209"/>
      <c r="N101" s="209"/>
      <c r="O101" s="58">
        <f t="shared" si="217"/>
        <v>0</v>
      </c>
      <c r="P101" s="80">
        <f t="shared" si="173"/>
        <v>10</v>
      </c>
      <c r="Q101" s="132">
        <f t="shared" si="192"/>
        <v>59.5</v>
      </c>
      <c r="R101" s="193">
        <f t="shared" si="174"/>
        <v>0</v>
      </c>
      <c r="S101" s="58">
        <v>0</v>
      </c>
      <c r="T101" s="209"/>
      <c r="U101" s="209"/>
      <c r="V101" s="58">
        <f t="shared" si="231"/>
        <v>0</v>
      </c>
      <c r="W101" s="80">
        <f t="shared" si="175"/>
        <v>28</v>
      </c>
      <c r="X101" s="132">
        <f t="shared" si="193"/>
        <v>21.785714285714285</v>
      </c>
      <c r="Y101" s="183">
        <f t="shared" si="218"/>
        <v>0</v>
      </c>
      <c r="Z101" s="58">
        <v>0</v>
      </c>
      <c r="AA101" s="80">
        <f t="shared" si="176"/>
        <v>15</v>
      </c>
      <c r="AB101" s="132">
        <f t="shared" si="194"/>
        <v>36.533333333333331</v>
      </c>
      <c r="AC101" s="183">
        <v>0</v>
      </c>
      <c r="AD101" s="58">
        <v>0</v>
      </c>
      <c r="AE101" s="80">
        <f t="shared" si="177"/>
        <v>20</v>
      </c>
      <c r="AF101" s="132">
        <f t="shared" si="195"/>
        <v>41.45</v>
      </c>
      <c r="AG101" s="183">
        <v>0</v>
      </c>
      <c r="AH101" s="58">
        <v>0</v>
      </c>
      <c r="AI101" s="209"/>
      <c r="AJ101" s="58">
        <f t="shared" si="233"/>
        <v>0</v>
      </c>
      <c r="AL101" s="173"/>
      <c r="AM101" s="183">
        <v>0</v>
      </c>
      <c r="AN101" s="58">
        <v>0</v>
      </c>
      <c r="AO101" s="80">
        <f t="shared" si="178"/>
        <v>11</v>
      </c>
      <c r="AP101" s="132">
        <f t="shared" si="196"/>
        <v>51.636363636363633</v>
      </c>
      <c r="AQ101" s="183">
        <v>0</v>
      </c>
      <c r="AR101" s="58">
        <v>0</v>
      </c>
      <c r="AS101" s="80">
        <f t="shared" si="179"/>
        <v>22</v>
      </c>
      <c r="AT101" s="132">
        <f t="shared" si="197"/>
        <v>31.09090909090909</v>
      </c>
      <c r="AU101" s="183">
        <v>0</v>
      </c>
      <c r="AV101" s="58">
        <v>849</v>
      </c>
      <c r="AW101" s="80">
        <f t="shared" si="180"/>
        <v>16</v>
      </c>
      <c r="AX101" s="132">
        <f t="shared" si="198"/>
        <v>32.875</v>
      </c>
      <c r="AY101" s="183">
        <f t="shared" si="219"/>
        <v>27910.875</v>
      </c>
      <c r="AZ101" s="58">
        <v>0</v>
      </c>
      <c r="BA101" s="80">
        <f t="shared" si="181"/>
        <v>21</v>
      </c>
      <c r="BB101" s="132">
        <f t="shared" si="199"/>
        <v>29.238095238095237</v>
      </c>
      <c r="BC101" s="183">
        <v>0</v>
      </c>
      <c r="BD101" s="209">
        <v>0</v>
      </c>
      <c r="BE101" s="58">
        <f t="shared" si="221"/>
        <v>0</v>
      </c>
      <c r="BF101" s="80">
        <f t="shared" si="182"/>
        <v>62</v>
      </c>
      <c r="BG101" s="132">
        <f t="shared" si="200"/>
        <v>9.870967741935484</v>
      </c>
      <c r="BH101" s="183">
        <v>0</v>
      </c>
      <c r="BI101" s="58">
        <f t="shared" si="222"/>
        <v>0</v>
      </c>
      <c r="BJ101" s="58"/>
      <c r="BK101" s="173"/>
      <c r="BL101" s="183">
        <v>0</v>
      </c>
      <c r="BM101" s="58">
        <v>0</v>
      </c>
      <c r="BN101" s="80">
        <f t="shared" si="183"/>
        <v>19</v>
      </c>
      <c r="BO101" s="132">
        <f t="shared" si="202"/>
        <v>26.789473684210527</v>
      </c>
      <c r="BP101" s="183">
        <v>0</v>
      </c>
      <c r="BQ101" s="58">
        <v>0</v>
      </c>
      <c r="BR101" s="209"/>
      <c r="BS101" s="58">
        <f t="shared" si="223"/>
        <v>0</v>
      </c>
      <c r="BT101" s="80">
        <f t="shared" si="184"/>
        <v>39</v>
      </c>
      <c r="BU101" s="132">
        <f t="shared" si="203"/>
        <v>9.1025641025641022</v>
      </c>
      <c r="BV101" s="183">
        <f t="shared" si="224"/>
        <v>0</v>
      </c>
      <c r="BW101" s="195">
        <v>0</v>
      </c>
      <c r="BY101" s="173"/>
      <c r="BZ101" s="212">
        <v>0</v>
      </c>
      <c r="CA101" s="195">
        <v>0</v>
      </c>
      <c r="CB101" s="195"/>
      <c r="CD101" s="212">
        <v>0</v>
      </c>
      <c r="CE101" s="58">
        <v>621</v>
      </c>
      <c r="CF101" s="209"/>
      <c r="CG101" s="58">
        <f t="shared" si="225"/>
        <v>621</v>
      </c>
      <c r="CH101" s="194">
        <f t="shared" si="226"/>
        <v>186.29999999999998</v>
      </c>
      <c r="CI101" s="58">
        <v>0</v>
      </c>
      <c r="CJ101" s="209"/>
      <c r="CK101" s="58">
        <f t="shared" si="227"/>
        <v>0</v>
      </c>
      <c r="CL101" s="80">
        <f t="shared" si="186"/>
        <v>18</v>
      </c>
      <c r="CM101" s="135">
        <f t="shared" si="205"/>
        <v>28.888888888888889</v>
      </c>
      <c r="CN101" s="183">
        <f t="shared" si="210"/>
        <v>0</v>
      </c>
      <c r="CO101" s="58">
        <f t="shared" si="172"/>
        <v>0</v>
      </c>
      <c r="CP101" s="58"/>
      <c r="CQ101" s="58"/>
      <c r="CR101" s="195">
        <f t="shared" si="235"/>
        <v>0</v>
      </c>
      <c r="CS101" s="80">
        <f t="shared" si="187"/>
        <v>25</v>
      </c>
      <c r="CT101" s="327">
        <f t="shared" si="206"/>
        <v>27.64</v>
      </c>
      <c r="CU101" s="183">
        <f t="shared" si="211"/>
        <v>0</v>
      </c>
      <c r="CV101" s="58">
        <v>0</v>
      </c>
      <c r="CW101" s="80">
        <f t="shared" si="188"/>
        <v>18</v>
      </c>
      <c r="CX101" s="135">
        <f t="shared" si="207"/>
        <v>28.888888888888889</v>
      </c>
      <c r="CY101" s="183">
        <f t="shared" si="228"/>
        <v>0</v>
      </c>
      <c r="CZ101" s="58">
        <v>0</v>
      </c>
      <c r="DA101" s="80">
        <f t="shared" si="189"/>
        <v>23</v>
      </c>
      <c r="DB101" s="327">
        <f t="shared" si="208"/>
        <v>28.260869565217391</v>
      </c>
      <c r="DC101" s="183">
        <f t="shared" si="229"/>
        <v>0</v>
      </c>
      <c r="DD101" s="58">
        <v>0</v>
      </c>
      <c r="DE101" s="58">
        <v>0</v>
      </c>
      <c r="DF101" s="209"/>
      <c r="DG101" s="58">
        <f t="shared" si="230"/>
        <v>0</v>
      </c>
      <c r="DH101" s="58">
        <f t="shared" si="236"/>
        <v>0</v>
      </c>
      <c r="DI101" s="80">
        <f t="shared" si="190"/>
        <v>20</v>
      </c>
      <c r="DJ101" s="332">
        <f t="shared" si="209"/>
        <v>43.4</v>
      </c>
      <c r="DK101" s="183">
        <f t="shared" si="212"/>
        <v>0</v>
      </c>
    </row>
    <row r="102" spans="1:115">
      <c r="A102" s="213">
        <v>1917</v>
      </c>
      <c r="B102" s="58">
        <v>0</v>
      </c>
      <c r="C102" s="209"/>
      <c r="D102" s="58">
        <f t="shared" si="213"/>
        <v>0</v>
      </c>
      <c r="E102" s="194">
        <f t="shared" si="214"/>
        <v>0</v>
      </c>
      <c r="F102" s="58">
        <v>0</v>
      </c>
      <c r="G102" s="209"/>
      <c r="H102" s="209">
        <f t="shared" si="215"/>
        <v>0</v>
      </c>
      <c r="I102" s="214">
        <v>16</v>
      </c>
      <c r="J102" s="132">
        <f t="shared" si="191"/>
        <v>32.5</v>
      </c>
      <c r="K102" s="183">
        <f t="shared" si="216"/>
        <v>0</v>
      </c>
      <c r="L102" s="58">
        <v>0</v>
      </c>
      <c r="M102" s="209"/>
      <c r="N102" s="209"/>
      <c r="O102" s="58">
        <f t="shared" si="217"/>
        <v>0</v>
      </c>
      <c r="P102" s="80">
        <f t="shared" si="173"/>
        <v>9</v>
      </c>
      <c r="Q102" s="132">
        <f t="shared" si="192"/>
        <v>66.111111111111114</v>
      </c>
      <c r="R102" s="193">
        <f t="shared" si="174"/>
        <v>0</v>
      </c>
      <c r="S102" s="58">
        <v>0</v>
      </c>
      <c r="T102" s="209"/>
      <c r="U102" s="209"/>
      <c r="V102" s="58">
        <f t="shared" si="231"/>
        <v>0</v>
      </c>
      <c r="W102" s="80">
        <f t="shared" si="175"/>
        <v>25</v>
      </c>
      <c r="X102" s="132">
        <f t="shared" si="193"/>
        <v>24.4</v>
      </c>
      <c r="Y102" s="183">
        <f t="shared" si="218"/>
        <v>0</v>
      </c>
      <c r="Z102" s="58">
        <v>0</v>
      </c>
      <c r="AA102" s="80">
        <f t="shared" si="176"/>
        <v>12</v>
      </c>
      <c r="AB102" s="132">
        <f t="shared" si="194"/>
        <v>45.666666666666664</v>
      </c>
      <c r="AC102" s="183">
        <v>0</v>
      </c>
      <c r="AD102" s="58">
        <v>0</v>
      </c>
      <c r="AE102" s="80">
        <f t="shared" si="177"/>
        <v>18</v>
      </c>
      <c r="AF102" s="132">
        <f t="shared" si="195"/>
        <v>46.055555555555557</v>
      </c>
      <c r="AG102" s="183">
        <v>0</v>
      </c>
      <c r="AH102" s="58">
        <v>0</v>
      </c>
      <c r="AI102" s="209"/>
      <c r="AJ102" s="58">
        <f t="shared" si="233"/>
        <v>0</v>
      </c>
      <c r="AL102" s="173"/>
      <c r="AM102" s="183">
        <v>0</v>
      </c>
      <c r="AN102" s="58">
        <v>0</v>
      </c>
      <c r="AO102" s="80">
        <f t="shared" si="178"/>
        <v>9</v>
      </c>
      <c r="AP102" s="132">
        <f t="shared" si="196"/>
        <v>63.111111111111114</v>
      </c>
      <c r="AQ102" s="183">
        <v>0</v>
      </c>
      <c r="AR102" s="58">
        <v>0</v>
      </c>
      <c r="AS102" s="80">
        <f t="shared" si="179"/>
        <v>19</v>
      </c>
      <c r="AT102" s="132">
        <f t="shared" si="197"/>
        <v>36</v>
      </c>
      <c r="AU102" s="183">
        <v>0</v>
      </c>
      <c r="AV102" s="58">
        <v>5840</v>
      </c>
      <c r="AW102" s="80">
        <f t="shared" si="180"/>
        <v>13</v>
      </c>
      <c r="AX102" s="132">
        <f t="shared" si="198"/>
        <v>40.46153846153846</v>
      </c>
      <c r="AY102" s="183">
        <f t="shared" si="219"/>
        <v>236295.3846153846</v>
      </c>
      <c r="AZ102" s="58">
        <v>0</v>
      </c>
      <c r="BA102" s="80">
        <f t="shared" si="181"/>
        <v>19</v>
      </c>
      <c r="BB102" s="132">
        <f t="shared" si="199"/>
        <v>32.315789473684212</v>
      </c>
      <c r="BC102" s="183">
        <v>0</v>
      </c>
      <c r="BD102" s="209">
        <v>0</v>
      </c>
      <c r="BE102" s="58">
        <f t="shared" si="221"/>
        <v>0</v>
      </c>
      <c r="BF102" s="80">
        <f t="shared" si="182"/>
        <v>46</v>
      </c>
      <c r="BG102" s="132">
        <f t="shared" si="200"/>
        <v>13.304347826086957</v>
      </c>
      <c r="BH102" s="183">
        <v>0</v>
      </c>
      <c r="BI102" s="58">
        <f t="shared" si="222"/>
        <v>0</v>
      </c>
      <c r="BJ102" s="58"/>
      <c r="BK102" s="173"/>
      <c r="BL102" s="183">
        <v>0</v>
      </c>
      <c r="BM102" s="58">
        <v>0</v>
      </c>
      <c r="BN102" s="80">
        <f t="shared" si="183"/>
        <v>17</v>
      </c>
      <c r="BO102" s="132">
        <f t="shared" si="202"/>
        <v>29.941176470588236</v>
      </c>
      <c r="BP102" s="183">
        <v>0</v>
      </c>
      <c r="BQ102" s="58">
        <v>0</v>
      </c>
      <c r="BR102" s="209"/>
      <c r="BS102" s="58">
        <f t="shared" si="223"/>
        <v>0</v>
      </c>
      <c r="BT102" s="80">
        <f t="shared" si="184"/>
        <v>35</v>
      </c>
      <c r="BU102" s="132">
        <f t="shared" si="203"/>
        <v>10.142857142857142</v>
      </c>
      <c r="BV102" s="183">
        <f t="shared" si="224"/>
        <v>0</v>
      </c>
      <c r="BW102" s="195">
        <v>0</v>
      </c>
      <c r="BY102" s="173"/>
      <c r="BZ102" s="212">
        <v>0</v>
      </c>
      <c r="CA102" s="195">
        <v>0</v>
      </c>
      <c r="CB102" s="195"/>
      <c r="CD102" s="212">
        <v>0</v>
      </c>
      <c r="CE102" s="58">
        <v>0</v>
      </c>
      <c r="CF102" s="209"/>
      <c r="CG102" s="58">
        <f t="shared" si="225"/>
        <v>0</v>
      </c>
      <c r="CH102" s="194">
        <f t="shared" si="226"/>
        <v>0</v>
      </c>
      <c r="CI102" s="58">
        <v>0</v>
      </c>
      <c r="CJ102" s="209"/>
      <c r="CK102" s="58">
        <f t="shared" si="227"/>
        <v>0</v>
      </c>
      <c r="CL102" s="80">
        <f t="shared" si="186"/>
        <v>16</v>
      </c>
      <c r="CM102" s="135">
        <f t="shared" si="205"/>
        <v>32.5</v>
      </c>
      <c r="CN102" s="183">
        <f t="shared" si="210"/>
        <v>0</v>
      </c>
      <c r="CO102" s="58">
        <f t="shared" si="172"/>
        <v>0</v>
      </c>
      <c r="CP102" s="58"/>
      <c r="CQ102" s="58"/>
      <c r="CR102" s="195">
        <f t="shared" si="235"/>
        <v>0</v>
      </c>
      <c r="CS102" s="80">
        <f t="shared" si="187"/>
        <v>20</v>
      </c>
      <c r="CT102" s="327">
        <f t="shared" si="206"/>
        <v>34.549999999999997</v>
      </c>
      <c r="CU102" s="183">
        <f t="shared" si="211"/>
        <v>0</v>
      </c>
      <c r="CV102" s="58">
        <v>7606</v>
      </c>
      <c r="CW102" s="80">
        <f t="shared" si="188"/>
        <v>16</v>
      </c>
      <c r="CX102" s="135">
        <f t="shared" si="207"/>
        <v>32.5</v>
      </c>
      <c r="CY102" s="183">
        <f t="shared" si="228"/>
        <v>247195</v>
      </c>
      <c r="CZ102" s="58">
        <v>0</v>
      </c>
      <c r="DA102" s="80">
        <f t="shared" si="189"/>
        <v>20</v>
      </c>
      <c r="DB102" s="327">
        <f t="shared" si="208"/>
        <v>32.5</v>
      </c>
      <c r="DC102" s="183">
        <f t="shared" si="229"/>
        <v>0</v>
      </c>
      <c r="DD102" s="58">
        <v>0</v>
      </c>
      <c r="DE102" s="58">
        <v>0</v>
      </c>
      <c r="DF102" s="209"/>
      <c r="DG102" s="58">
        <f t="shared" si="230"/>
        <v>0</v>
      </c>
      <c r="DH102" s="58">
        <f t="shared" si="236"/>
        <v>0</v>
      </c>
      <c r="DI102" s="80">
        <f t="shared" si="190"/>
        <v>17</v>
      </c>
      <c r="DJ102" s="332">
        <f t="shared" si="209"/>
        <v>51.058823529411768</v>
      </c>
      <c r="DK102" s="183">
        <f t="shared" si="212"/>
        <v>0</v>
      </c>
    </row>
    <row r="103" spans="1:115">
      <c r="A103" s="213">
        <v>1916</v>
      </c>
      <c r="B103" s="58">
        <v>0</v>
      </c>
      <c r="C103" s="209"/>
      <c r="D103" s="58">
        <f t="shared" si="213"/>
        <v>0</v>
      </c>
      <c r="E103" s="194">
        <f t="shared" si="214"/>
        <v>0</v>
      </c>
      <c r="F103" s="58">
        <v>0</v>
      </c>
      <c r="G103" s="209"/>
      <c r="H103" s="209">
        <f t="shared" si="215"/>
        <v>0</v>
      </c>
      <c r="I103" s="214">
        <v>13</v>
      </c>
      <c r="J103" s="132">
        <f t="shared" si="191"/>
        <v>40</v>
      </c>
      <c r="K103" s="183">
        <f t="shared" si="216"/>
        <v>0</v>
      </c>
      <c r="L103" s="58">
        <v>0</v>
      </c>
      <c r="M103" s="209"/>
      <c r="N103" s="209"/>
      <c r="O103" s="58">
        <f t="shared" si="217"/>
        <v>0</v>
      </c>
      <c r="P103" s="80">
        <f t="shared" si="173"/>
        <v>7</v>
      </c>
      <c r="Q103" s="132">
        <f t="shared" si="192"/>
        <v>85</v>
      </c>
      <c r="R103" s="193">
        <f t="shared" si="174"/>
        <v>0</v>
      </c>
      <c r="S103" s="58">
        <v>0</v>
      </c>
      <c r="T103" s="209"/>
      <c r="U103" s="209"/>
      <c r="V103" s="58">
        <f t="shared" si="231"/>
        <v>0</v>
      </c>
      <c r="W103" s="80">
        <f t="shared" si="175"/>
        <v>22</v>
      </c>
      <c r="X103" s="132">
        <f t="shared" si="193"/>
        <v>27.727272727272727</v>
      </c>
      <c r="Y103" s="183">
        <f t="shared" si="218"/>
        <v>0</v>
      </c>
      <c r="Z103" s="58">
        <v>0</v>
      </c>
      <c r="AA103" s="80">
        <f t="shared" si="176"/>
        <v>8</v>
      </c>
      <c r="AB103" s="132">
        <f t="shared" si="194"/>
        <v>68.5</v>
      </c>
      <c r="AC103" s="183">
        <v>0</v>
      </c>
      <c r="AD103" s="58">
        <v>0</v>
      </c>
      <c r="AE103" s="80">
        <f t="shared" si="177"/>
        <v>16</v>
      </c>
      <c r="AF103" s="132">
        <f t="shared" si="195"/>
        <v>51.8125</v>
      </c>
      <c r="AG103" s="183">
        <v>0</v>
      </c>
      <c r="AH103" s="58">
        <v>0</v>
      </c>
      <c r="AI103" s="209"/>
      <c r="AJ103" s="58">
        <f t="shared" si="233"/>
        <v>0</v>
      </c>
      <c r="AL103" s="173"/>
      <c r="AM103" s="183">
        <v>0</v>
      </c>
      <c r="AN103" s="58">
        <v>0</v>
      </c>
      <c r="AO103" s="80">
        <f t="shared" si="178"/>
        <v>8</v>
      </c>
      <c r="AP103" s="132">
        <f t="shared" si="196"/>
        <v>71</v>
      </c>
      <c r="AQ103" s="183">
        <v>0</v>
      </c>
      <c r="AR103" s="58">
        <v>0</v>
      </c>
      <c r="AS103" s="80">
        <f t="shared" si="179"/>
        <v>17</v>
      </c>
      <c r="AT103" s="132">
        <f t="shared" si="197"/>
        <v>40.235294117647058</v>
      </c>
      <c r="AU103" s="183">
        <v>0</v>
      </c>
      <c r="AV103" s="58">
        <v>7164</v>
      </c>
      <c r="AW103" s="80">
        <f t="shared" si="180"/>
        <v>9</v>
      </c>
      <c r="AX103" s="132">
        <f t="shared" si="198"/>
        <v>58.444444444444443</v>
      </c>
      <c r="AY103" s="183">
        <f t="shared" si="219"/>
        <v>418696</v>
      </c>
      <c r="AZ103" s="58">
        <v>0</v>
      </c>
      <c r="BA103" s="80">
        <f t="shared" si="181"/>
        <v>17</v>
      </c>
      <c r="BB103" s="132">
        <f t="shared" si="199"/>
        <v>36.117647058823529</v>
      </c>
      <c r="BC103" s="183">
        <v>0</v>
      </c>
      <c r="BD103" s="209">
        <v>0</v>
      </c>
      <c r="BE103" s="58">
        <f t="shared" si="221"/>
        <v>0</v>
      </c>
      <c r="BF103" s="80">
        <f t="shared" si="182"/>
        <v>43</v>
      </c>
      <c r="BG103" s="132">
        <f t="shared" si="200"/>
        <v>14.232558139534884</v>
      </c>
      <c r="BH103" s="183">
        <v>0</v>
      </c>
      <c r="BI103" s="58">
        <f t="shared" si="222"/>
        <v>0</v>
      </c>
      <c r="BJ103" s="58"/>
      <c r="BK103" s="173"/>
      <c r="BL103" s="183">
        <v>0</v>
      </c>
      <c r="BM103" s="58">
        <v>0</v>
      </c>
      <c r="BN103" s="80">
        <f t="shared" si="183"/>
        <v>15</v>
      </c>
      <c r="BO103" s="132">
        <f t="shared" si="202"/>
        <v>33.93333333333333</v>
      </c>
      <c r="BP103" s="183">
        <v>0</v>
      </c>
      <c r="BQ103" s="58">
        <v>0</v>
      </c>
      <c r="BR103" s="209"/>
      <c r="BS103" s="58">
        <f t="shared" si="223"/>
        <v>0</v>
      </c>
      <c r="BT103" s="80">
        <f t="shared" si="184"/>
        <v>31</v>
      </c>
      <c r="BU103" s="132">
        <f t="shared" si="203"/>
        <v>11.451612903225806</v>
      </c>
      <c r="BV103" s="183">
        <f t="shared" si="224"/>
        <v>0</v>
      </c>
      <c r="BW103" s="195">
        <v>0</v>
      </c>
      <c r="BY103" s="173"/>
      <c r="BZ103" s="212">
        <v>0</v>
      </c>
      <c r="CA103" s="195">
        <v>0</v>
      </c>
      <c r="CB103" s="195"/>
      <c r="CD103" s="212">
        <v>0</v>
      </c>
      <c r="CE103" s="58">
        <v>0</v>
      </c>
      <c r="CF103" s="209"/>
      <c r="CG103" s="58">
        <f t="shared" si="225"/>
        <v>0</v>
      </c>
      <c r="CH103" s="194">
        <f t="shared" si="226"/>
        <v>0</v>
      </c>
      <c r="CI103" s="58">
        <v>0</v>
      </c>
      <c r="CJ103" s="209"/>
      <c r="CK103" s="58">
        <f t="shared" si="227"/>
        <v>0</v>
      </c>
      <c r="CL103" s="80">
        <f t="shared" si="186"/>
        <v>13</v>
      </c>
      <c r="CM103" s="135">
        <f t="shared" si="205"/>
        <v>40</v>
      </c>
      <c r="CN103" s="183">
        <f t="shared" si="210"/>
        <v>0</v>
      </c>
      <c r="CO103" s="58">
        <f t="shared" si="172"/>
        <v>0</v>
      </c>
      <c r="CP103" s="58"/>
      <c r="CQ103" s="58"/>
      <c r="CR103" s="195">
        <f t="shared" si="235"/>
        <v>0</v>
      </c>
      <c r="CS103" s="80">
        <f t="shared" si="187"/>
        <v>17</v>
      </c>
      <c r="CT103" s="327">
        <f t="shared" si="206"/>
        <v>40.647058823529413</v>
      </c>
      <c r="CU103" s="183">
        <f t="shared" si="211"/>
        <v>0</v>
      </c>
      <c r="CV103" s="58">
        <v>1094</v>
      </c>
      <c r="CW103" s="80">
        <f t="shared" si="188"/>
        <v>13</v>
      </c>
      <c r="CX103" s="135">
        <f t="shared" si="207"/>
        <v>40</v>
      </c>
      <c r="CY103" s="183">
        <f t="shared" si="228"/>
        <v>43760</v>
      </c>
      <c r="CZ103" s="58">
        <v>0</v>
      </c>
      <c r="DA103" s="80">
        <f t="shared" si="189"/>
        <v>17</v>
      </c>
      <c r="DB103" s="327">
        <f t="shared" si="208"/>
        <v>38.235294117647058</v>
      </c>
      <c r="DC103" s="183">
        <f t="shared" si="229"/>
        <v>0</v>
      </c>
      <c r="DD103" s="58">
        <v>0</v>
      </c>
      <c r="DE103" s="58">
        <v>0</v>
      </c>
      <c r="DF103" s="209"/>
      <c r="DG103" s="58">
        <f t="shared" si="230"/>
        <v>0</v>
      </c>
      <c r="DH103" s="58">
        <f t="shared" si="236"/>
        <v>0</v>
      </c>
      <c r="DI103" s="80">
        <f t="shared" si="190"/>
        <v>15</v>
      </c>
      <c r="DJ103" s="332">
        <f t="shared" si="209"/>
        <v>57.866666666666667</v>
      </c>
      <c r="DK103" s="183">
        <f t="shared" si="212"/>
        <v>0</v>
      </c>
    </row>
    <row r="104" spans="1:115">
      <c r="A104" s="213">
        <v>1915</v>
      </c>
      <c r="B104" s="58">
        <v>108</v>
      </c>
      <c r="C104" s="209"/>
      <c r="D104" s="58">
        <f t="shared" si="213"/>
        <v>108</v>
      </c>
      <c r="E104" s="194">
        <f t="shared" si="214"/>
        <v>75.599999999999994</v>
      </c>
      <c r="F104" s="58">
        <v>0</v>
      </c>
      <c r="G104" s="209"/>
      <c r="H104" s="209">
        <f t="shared" si="215"/>
        <v>0</v>
      </c>
      <c r="I104" s="214">
        <v>9</v>
      </c>
      <c r="J104" s="132">
        <f t="shared" si="191"/>
        <v>57.777777777777779</v>
      </c>
      <c r="K104" s="183">
        <f t="shared" si="216"/>
        <v>0</v>
      </c>
      <c r="L104" s="58">
        <v>0</v>
      </c>
      <c r="M104" s="209"/>
      <c r="N104" s="209"/>
      <c r="O104" s="58">
        <f t="shared" si="217"/>
        <v>0</v>
      </c>
      <c r="P104" s="80">
        <f t="shared" si="173"/>
        <v>6</v>
      </c>
      <c r="Q104" s="132">
        <f t="shared" si="192"/>
        <v>99.166666666666671</v>
      </c>
      <c r="R104" s="193">
        <f t="shared" si="174"/>
        <v>0</v>
      </c>
      <c r="S104" s="58">
        <v>0</v>
      </c>
      <c r="T104" s="209"/>
      <c r="U104" s="209"/>
      <c r="V104" s="58">
        <f t="shared" si="231"/>
        <v>0</v>
      </c>
      <c r="W104" s="80">
        <f t="shared" si="175"/>
        <v>14</v>
      </c>
      <c r="X104" s="132">
        <f t="shared" si="193"/>
        <v>43.571428571428569</v>
      </c>
      <c r="Y104" s="183">
        <f t="shared" si="218"/>
        <v>0</v>
      </c>
      <c r="Z104" s="58">
        <v>0</v>
      </c>
      <c r="AA104" s="80">
        <f t="shared" si="176"/>
        <v>8</v>
      </c>
      <c r="AB104" s="132">
        <f t="shared" si="194"/>
        <v>68.5</v>
      </c>
      <c r="AC104" s="183">
        <v>0</v>
      </c>
      <c r="AD104" s="58">
        <v>0</v>
      </c>
      <c r="AE104" s="80">
        <f t="shared" si="177"/>
        <v>11</v>
      </c>
      <c r="AF104" s="132">
        <f t="shared" si="195"/>
        <v>75.36363636363636</v>
      </c>
      <c r="AG104" s="183">
        <v>0</v>
      </c>
      <c r="AH104" s="58">
        <v>0</v>
      </c>
      <c r="AI104" s="209"/>
      <c r="AJ104" s="58">
        <f t="shared" si="233"/>
        <v>0</v>
      </c>
      <c r="AL104" s="173"/>
      <c r="AM104" s="183">
        <v>0</v>
      </c>
      <c r="AN104" s="58">
        <v>0</v>
      </c>
      <c r="AO104" s="80">
        <f t="shared" si="178"/>
        <v>6</v>
      </c>
      <c r="AP104" s="132">
        <f t="shared" si="196"/>
        <v>94.666666666666671</v>
      </c>
      <c r="AQ104" s="183">
        <v>0</v>
      </c>
      <c r="AR104" s="58">
        <v>0</v>
      </c>
      <c r="AS104" s="80">
        <f t="shared" si="179"/>
        <v>11</v>
      </c>
      <c r="AT104" s="132">
        <f t="shared" si="197"/>
        <v>62.18181818181818</v>
      </c>
      <c r="AU104" s="183">
        <v>0</v>
      </c>
      <c r="AV104" s="58">
        <v>82563</v>
      </c>
      <c r="AW104" s="80">
        <f t="shared" si="180"/>
        <v>9</v>
      </c>
      <c r="AX104" s="132">
        <f t="shared" si="198"/>
        <v>58.444444444444443</v>
      </c>
      <c r="AY104" s="183">
        <f t="shared" si="219"/>
        <v>4825348.666666667</v>
      </c>
      <c r="AZ104" s="58">
        <v>0</v>
      </c>
      <c r="BA104" s="80">
        <f t="shared" si="181"/>
        <v>12</v>
      </c>
      <c r="BB104" s="132">
        <f t="shared" si="199"/>
        <v>51.166666666666664</v>
      </c>
      <c r="BC104" s="183">
        <v>0</v>
      </c>
      <c r="BD104" s="209">
        <v>0</v>
      </c>
      <c r="BE104" s="58">
        <f t="shared" si="221"/>
        <v>0</v>
      </c>
      <c r="BF104" s="80">
        <f t="shared" si="182"/>
        <v>43</v>
      </c>
      <c r="BG104" s="132">
        <f t="shared" si="200"/>
        <v>14.232558139534884</v>
      </c>
      <c r="BH104" s="183">
        <v>0</v>
      </c>
      <c r="BI104" s="58">
        <f t="shared" si="222"/>
        <v>0</v>
      </c>
      <c r="BJ104" s="58"/>
      <c r="BK104" s="173"/>
      <c r="BL104" s="183">
        <v>0</v>
      </c>
      <c r="BM104" s="58">
        <v>0</v>
      </c>
      <c r="BN104" s="80">
        <f t="shared" si="183"/>
        <v>10</v>
      </c>
      <c r="BO104" s="132">
        <f t="shared" si="202"/>
        <v>50.9</v>
      </c>
      <c r="BP104" s="183">
        <v>0</v>
      </c>
      <c r="BQ104" s="58">
        <v>0</v>
      </c>
      <c r="BR104" s="209"/>
      <c r="BS104" s="58">
        <f t="shared" si="223"/>
        <v>0</v>
      </c>
      <c r="BT104" s="80">
        <f t="shared" si="184"/>
        <v>31</v>
      </c>
      <c r="BU104" s="132">
        <f t="shared" si="203"/>
        <v>11.451612903225806</v>
      </c>
      <c r="BV104" s="183">
        <f t="shared" si="224"/>
        <v>0</v>
      </c>
      <c r="BW104" s="195">
        <v>0</v>
      </c>
      <c r="BY104" s="173"/>
      <c r="BZ104" s="212">
        <v>0</v>
      </c>
      <c r="CA104" s="195">
        <v>0</v>
      </c>
      <c r="CB104" s="195"/>
      <c r="CD104" s="212">
        <v>0</v>
      </c>
      <c r="CE104" s="58">
        <v>108</v>
      </c>
      <c r="CF104" s="209"/>
      <c r="CG104" s="58">
        <f t="shared" si="225"/>
        <v>108</v>
      </c>
      <c r="CH104" s="194">
        <f t="shared" si="226"/>
        <v>32.4</v>
      </c>
      <c r="CI104" s="58">
        <v>0</v>
      </c>
      <c r="CJ104" s="209"/>
      <c r="CK104" s="58">
        <f t="shared" si="227"/>
        <v>0</v>
      </c>
      <c r="CL104" s="80">
        <f t="shared" si="186"/>
        <v>9</v>
      </c>
      <c r="CM104" s="135">
        <f t="shared" si="205"/>
        <v>57.777777777777779</v>
      </c>
      <c r="CN104" s="183">
        <f t="shared" si="210"/>
        <v>0</v>
      </c>
      <c r="CO104" s="58">
        <f t="shared" si="172"/>
        <v>0</v>
      </c>
      <c r="CP104" s="58"/>
      <c r="CQ104" s="58"/>
      <c r="CR104" s="195">
        <f t="shared" si="235"/>
        <v>0</v>
      </c>
      <c r="CS104" s="80">
        <f t="shared" si="187"/>
        <v>15</v>
      </c>
      <c r="CT104" s="327">
        <f t="shared" si="206"/>
        <v>46.06666666666667</v>
      </c>
      <c r="CU104" s="183">
        <f t="shared" si="211"/>
        <v>0</v>
      </c>
      <c r="CV104" s="58">
        <v>2428</v>
      </c>
      <c r="CW104" s="80">
        <f t="shared" si="188"/>
        <v>9</v>
      </c>
      <c r="CX104" s="135">
        <f t="shared" si="207"/>
        <v>57.777777777777779</v>
      </c>
      <c r="CY104" s="183">
        <f t="shared" si="228"/>
        <v>140284.44444444444</v>
      </c>
      <c r="CZ104" s="58">
        <v>0</v>
      </c>
      <c r="DA104" s="80">
        <f t="shared" si="189"/>
        <v>16</v>
      </c>
      <c r="DB104" s="327">
        <f t="shared" si="208"/>
        <v>40.625</v>
      </c>
      <c r="DC104" s="183">
        <f t="shared" si="229"/>
        <v>0</v>
      </c>
      <c r="DD104" s="58">
        <v>0</v>
      </c>
      <c r="DE104" s="58">
        <v>0</v>
      </c>
      <c r="DF104" s="209"/>
      <c r="DG104" s="58">
        <f t="shared" si="230"/>
        <v>0</v>
      </c>
      <c r="DH104" s="58">
        <f t="shared" si="236"/>
        <v>0</v>
      </c>
      <c r="DI104" s="80">
        <f t="shared" si="190"/>
        <v>14</v>
      </c>
      <c r="DJ104" s="332">
        <f t="shared" si="209"/>
        <v>62</v>
      </c>
      <c r="DK104" s="183">
        <f t="shared" si="212"/>
        <v>0</v>
      </c>
    </row>
    <row r="105" spans="1:115">
      <c r="A105" s="213">
        <v>1914</v>
      </c>
      <c r="B105" s="58">
        <v>877</v>
      </c>
      <c r="C105" s="209"/>
      <c r="D105" s="58">
        <f t="shared" si="213"/>
        <v>877</v>
      </c>
      <c r="E105" s="194">
        <f t="shared" si="214"/>
        <v>613.9</v>
      </c>
      <c r="F105" s="58">
        <v>0</v>
      </c>
      <c r="G105" s="209"/>
      <c r="H105" s="209">
        <f t="shared" si="215"/>
        <v>0</v>
      </c>
      <c r="I105" s="214">
        <v>9</v>
      </c>
      <c r="J105" s="132">
        <f t="shared" si="191"/>
        <v>57.777777777777779</v>
      </c>
      <c r="K105" s="183">
        <f t="shared" si="216"/>
        <v>0</v>
      </c>
      <c r="L105" s="58">
        <v>0</v>
      </c>
      <c r="M105" s="209"/>
      <c r="N105" s="209"/>
      <c r="O105" s="58">
        <f t="shared" si="217"/>
        <v>0</v>
      </c>
      <c r="P105" s="80">
        <f t="shared" si="173"/>
        <v>6</v>
      </c>
      <c r="Q105" s="132">
        <f t="shared" si="192"/>
        <v>99.166666666666671</v>
      </c>
      <c r="R105" s="193">
        <f t="shared" si="174"/>
        <v>0</v>
      </c>
      <c r="S105" s="58">
        <v>0</v>
      </c>
      <c r="T105" s="209"/>
      <c r="U105" s="209"/>
      <c r="V105" s="58">
        <f t="shared" si="231"/>
        <v>0</v>
      </c>
      <c r="W105" s="80">
        <f t="shared" si="175"/>
        <v>14</v>
      </c>
      <c r="X105" s="132">
        <f t="shared" si="193"/>
        <v>43.571428571428569</v>
      </c>
      <c r="Y105" s="183">
        <f t="shared" si="218"/>
        <v>0</v>
      </c>
      <c r="Z105" s="58">
        <v>0</v>
      </c>
      <c r="AA105" s="80">
        <f t="shared" si="176"/>
        <v>8</v>
      </c>
      <c r="AB105" s="132">
        <f t="shared" si="194"/>
        <v>68.5</v>
      </c>
      <c r="AC105" s="183">
        <v>0</v>
      </c>
      <c r="AD105" s="58">
        <v>0</v>
      </c>
      <c r="AE105" s="80">
        <f t="shared" si="177"/>
        <v>11</v>
      </c>
      <c r="AF105" s="132">
        <f t="shared" si="195"/>
        <v>75.36363636363636</v>
      </c>
      <c r="AG105" s="183">
        <v>0</v>
      </c>
      <c r="AH105" s="58">
        <v>0</v>
      </c>
      <c r="AI105" s="209"/>
      <c r="AJ105" s="58">
        <f t="shared" si="233"/>
        <v>0</v>
      </c>
      <c r="AL105" s="173"/>
      <c r="AM105" s="183">
        <v>0</v>
      </c>
      <c r="AN105" s="58">
        <v>0</v>
      </c>
      <c r="AO105" s="80">
        <f t="shared" si="178"/>
        <v>6</v>
      </c>
      <c r="AP105" s="132">
        <f t="shared" si="196"/>
        <v>94.666666666666671</v>
      </c>
      <c r="AQ105" s="183">
        <v>0</v>
      </c>
      <c r="AR105" s="58">
        <v>0</v>
      </c>
      <c r="AS105" s="80">
        <f t="shared" si="179"/>
        <v>11</v>
      </c>
      <c r="AT105" s="132">
        <f t="shared" si="197"/>
        <v>62.18181818181818</v>
      </c>
      <c r="AU105" s="183">
        <v>0</v>
      </c>
      <c r="AV105" s="58">
        <v>1881</v>
      </c>
      <c r="AW105" s="80">
        <f t="shared" ref="AW105:AW113" si="237">INDEX(HW_Data,MATCH(A105,HW_Year,0),$AW$1)</f>
        <v>8</v>
      </c>
      <c r="AX105" s="132">
        <f t="shared" si="198"/>
        <v>65.75</v>
      </c>
      <c r="AY105" s="183">
        <f t="shared" si="219"/>
        <v>123675.75</v>
      </c>
      <c r="AZ105" s="58">
        <v>0</v>
      </c>
      <c r="BA105" s="80">
        <f t="shared" si="181"/>
        <v>11</v>
      </c>
      <c r="BB105" s="132">
        <f t="shared" si="199"/>
        <v>55.81818181818182</v>
      </c>
      <c r="BC105" s="183">
        <v>0</v>
      </c>
      <c r="BD105" s="209">
        <v>0</v>
      </c>
      <c r="BE105" s="58">
        <f t="shared" si="221"/>
        <v>0</v>
      </c>
      <c r="BF105" s="80">
        <f t="shared" si="182"/>
        <v>43</v>
      </c>
      <c r="BG105" s="132">
        <f t="shared" si="200"/>
        <v>14.232558139534884</v>
      </c>
      <c r="BH105" s="183">
        <v>0</v>
      </c>
      <c r="BI105" s="58">
        <f t="shared" si="222"/>
        <v>0</v>
      </c>
      <c r="BJ105" s="58"/>
      <c r="BK105" s="173"/>
      <c r="BL105" s="183">
        <v>0</v>
      </c>
      <c r="BM105" s="58">
        <v>0</v>
      </c>
      <c r="BN105" s="80">
        <f t="shared" si="183"/>
        <v>10</v>
      </c>
      <c r="BO105" s="132">
        <f t="shared" si="202"/>
        <v>50.9</v>
      </c>
      <c r="BP105" s="183">
        <v>0</v>
      </c>
      <c r="BQ105" s="58">
        <v>0</v>
      </c>
      <c r="BR105" s="209"/>
      <c r="BS105" s="58">
        <f t="shared" si="223"/>
        <v>0</v>
      </c>
      <c r="BT105" s="80">
        <f t="shared" si="184"/>
        <v>31</v>
      </c>
      <c r="BU105" s="132">
        <f t="shared" si="203"/>
        <v>11.451612903225806</v>
      </c>
      <c r="BV105" s="183">
        <f t="shared" si="224"/>
        <v>0</v>
      </c>
      <c r="BW105" s="195">
        <v>0</v>
      </c>
      <c r="BY105" s="173"/>
      <c r="BZ105" s="212">
        <v>0</v>
      </c>
      <c r="CA105" s="195">
        <v>0</v>
      </c>
      <c r="CB105" s="195"/>
      <c r="CD105" s="212">
        <v>0</v>
      </c>
      <c r="CE105" s="58">
        <v>877</v>
      </c>
      <c r="CF105" s="209"/>
      <c r="CG105" s="58">
        <f t="shared" si="225"/>
        <v>877</v>
      </c>
      <c r="CH105" s="194">
        <f t="shared" si="226"/>
        <v>263.09999999999997</v>
      </c>
      <c r="CI105" s="58">
        <v>0</v>
      </c>
      <c r="CJ105" s="209"/>
      <c r="CK105" s="58">
        <f t="shared" si="227"/>
        <v>0</v>
      </c>
      <c r="CL105" s="80">
        <f t="shared" si="186"/>
        <v>9</v>
      </c>
      <c r="CM105" s="135">
        <f t="shared" si="205"/>
        <v>57.777777777777779</v>
      </c>
      <c r="CN105" s="183">
        <f t="shared" si="210"/>
        <v>0</v>
      </c>
      <c r="CO105" s="58">
        <f t="shared" si="172"/>
        <v>0</v>
      </c>
      <c r="CP105" s="58"/>
      <c r="CQ105" s="58"/>
      <c r="CR105" s="195">
        <f t="shared" si="235"/>
        <v>0</v>
      </c>
      <c r="CS105" s="80">
        <f t="shared" si="187"/>
        <v>15</v>
      </c>
      <c r="CT105" s="327">
        <f t="shared" si="206"/>
        <v>46.06666666666667</v>
      </c>
      <c r="CU105" s="183">
        <f t="shared" si="211"/>
        <v>0</v>
      </c>
      <c r="CV105" s="58">
        <v>0</v>
      </c>
      <c r="CW105" s="80">
        <f t="shared" si="188"/>
        <v>9</v>
      </c>
      <c r="CX105" s="135">
        <f t="shared" si="207"/>
        <v>57.777777777777779</v>
      </c>
      <c r="CY105" s="183">
        <f t="shared" si="228"/>
        <v>0</v>
      </c>
      <c r="CZ105" s="58">
        <v>0</v>
      </c>
      <c r="DA105" s="80">
        <f t="shared" si="189"/>
        <v>16</v>
      </c>
      <c r="DB105" s="327">
        <f t="shared" si="208"/>
        <v>40.625</v>
      </c>
      <c r="DC105" s="183">
        <f t="shared" si="229"/>
        <v>0</v>
      </c>
      <c r="DD105" s="58">
        <v>0</v>
      </c>
      <c r="DE105" s="58">
        <v>0</v>
      </c>
      <c r="DF105" s="209"/>
      <c r="DG105" s="58">
        <f t="shared" si="230"/>
        <v>0</v>
      </c>
      <c r="DH105" s="58">
        <f t="shared" si="236"/>
        <v>0</v>
      </c>
      <c r="DI105" s="80">
        <f t="shared" si="190"/>
        <v>14</v>
      </c>
      <c r="DJ105" s="332">
        <f t="shared" si="209"/>
        <v>62</v>
      </c>
      <c r="DK105" s="183">
        <f t="shared" si="212"/>
        <v>0</v>
      </c>
    </row>
    <row r="106" spans="1:115">
      <c r="A106" s="213">
        <v>1913</v>
      </c>
      <c r="B106" s="58">
        <v>0</v>
      </c>
      <c r="C106" s="209"/>
      <c r="D106" s="58">
        <f t="shared" si="213"/>
        <v>0</v>
      </c>
      <c r="E106" s="194">
        <f t="shared" si="214"/>
        <v>0</v>
      </c>
      <c r="F106" s="58">
        <v>0</v>
      </c>
      <c r="G106" s="209"/>
      <c r="H106" s="209">
        <f t="shared" si="215"/>
        <v>0</v>
      </c>
      <c r="I106" s="214">
        <v>9</v>
      </c>
      <c r="J106" s="132">
        <f t="shared" si="191"/>
        <v>57.777777777777779</v>
      </c>
      <c r="K106" s="183">
        <f t="shared" si="216"/>
        <v>0</v>
      </c>
      <c r="L106" s="58">
        <v>0</v>
      </c>
      <c r="M106" s="209"/>
      <c r="N106" s="209"/>
      <c r="O106" s="58">
        <f t="shared" si="217"/>
        <v>0</v>
      </c>
      <c r="P106" s="80">
        <f t="shared" si="173"/>
        <v>6</v>
      </c>
      <c r="Q106" s="132">
        <f t="shared" si="192"/>
        <v>99.166666666666671</v>
      </c>
      <c r="R106" s="193">
        <f t="shared" si="174"/>
        <v>0</v>
      </c>
      <c r="S106" s="58">
        <v>0</v>
      </c>
      <c r="T106" s="209"/>
      <c r="U106" s="209"/>
      <c r="V106" s="58">
        <f t="shared" si="231"/>
        <v>0</v>
      </c>
      <c r="W106" s="80">
        <f t="shared" si="175"/>
        <v>15</v>
      </c>
      <c r="X106" s="132">
        <f t="shared" si="193"/>
        <v>40.666666666666664</v>
      </c>
      <c r="Y106" s="183">
        <f t="shared" si="218"/>
        <v>0</v>
      </c>
      <c r="Z106" s="58">
        <v>0</v>
      </c>
      <c r="AA106" s="80">
        <f t="shared" si="176"/>
        <v>8</v>
      </c>
      <c r="AB106" s="132">
        <f t="shared" si="194"/>
        <v>68.5</v>
      </c>
      <c r="AC106" s="183">
        <v>0</v>
      </c>
      <c r="AD106" s="58">
        <v>0</v>
      </c>
      <c r="AE106" s="80">
        <f t="shared" si="177"/>
        <v>12</v>
      </c>
      <c r="AF106" s="132">
        <f t="shared" si="195"/>
        <v>69.083333333333329</v>
      </c>
      <c r="AG106" s="183">
        <v>0</v>
      </c>
      <c r="AH106" s="58">
        <v>0</v>
      </c>
      <c r="AI106" s="209"/>
      <c r="AJ106" s="58">
        <f t="shared" si="233"/>
        <v>0</v>
      </c>
      <c r="AL106" s="173"/>
      <c r="AM106" s="183">
        <v>0</v>
      </c>
      <c r="AN106" s="58">
        <v>0</v>
      </c>
      <c r="AO106" s="80">
        <f t="shared" si="178"/>
        <v>7</v>
      </c>
      <c r="AP106" s="132">
        <f t="shared" si="196"/>
        <v>81.142857142857139</v>
      </c>
      <c r="AQ106" s="183">
        <v>0</v>
      </c>
      <c r="AR106" s="58">
        <v>0</v>
      </c>
      <c r="AS106" s="80">
        <f t="shared" si="179"/>
        <v>12</v>
      </c>
      <c r="AT106" s="132">
        <f t="shared" si="197"/>
        <v>57</v>
      </c>
      <c r="AU106" s="183">
        <v>0</v>
      </c>
      <c r="AV106" s="58">
        <v>5603</v>
      </c>
      <c r="AW106" s="80">
        <f t="shared" si="237"/>
        <v>8</v>
      </c>
      <c r="AX106" s="132">
        <f t="shared" si="198"/>
        <v>65.75</v>
      </c>
      <c r="AY106" s="183">
        <f t="shared" si="219"/>
        <v>368397.25</v>
      </c>
      <c r="AZ106" s="58">
        <v>0</v>
      </c>
      <c r="BA106" s="80">
        <f t="shared" si="181"/>
        <v>12</v>
      </c>
      <c r="BB106" s="132">
        <f t="shared" si="199"/>
        <v>51.166666666666664</v>
      </c>
      <c r="BC106" s="183">
        <v>0</v>
      </c>
      <c r="BD106" s="209">
        <v>0</v>
      </c>
      <c r="BE106" s="58">
        <f t="shared" si="221"/>
        <v>0</v>
      </c>
      <c r="BF106" s="80">
        <f t="shared" si="182"/>
        <v>43</v>
      </c>
      <c r="BG106" s="132">
        <f t="shared" si="200"/>
        <v>14.232558139534884</v>
      </c>
      <c r="BH106" s="183">
        <v>0</v>
      </c>
      <c r="BI106" s="58">
        <f t="shared" si="222"/>
        <v>0</v>
      </c>
      <c r="BJ106" s="58"/>
      <c r="BK106" s="173"/>
      <c r="BL106" s="183">
        <v>0</v>
      </c>
      <c r="BM106" s="58">
        <v>0</v>
      </c>
      <c r="BN106" s="80">
        <f t="shared" si="183"/>
        <v>11</v>
      </c>
      <c r="BO106" s="132">
        <f t="shared" si="202"/>
        <v>46.272727272727273</v>
      </c>
      <c r="BP106" s="183">
        <v>0</v>
      </c>
      <c r="BQ106" s="58">
        <v>0</v>
      </c>
      <c r="BR106" s="209"/>
      <c r="BS106" s="58">
        <f t="shared" si="223"/>
        <v>0</v>
      </c>
      <c r="BT106" s="80">
        <f t="shared" si="184"/>
        <v>31</v>
      </c>
      <c r="BU106" s="132">
        <f t="shared" si="203"/>
        <v>11.451612903225806</v>
      </c>
      <c r="BV106" s="183">
        <f t="shared" si="224"/>
        <v>0</v>
      </c>
      <c r="BW106" s="195">
        <v>0</v>
      </c>
      <c r="BY106" s="173"/>
      <c r="BZ106" s="212">
        <v>0</v>
      </c>
      <c r="CA106" s="195">
        <v>0</v>
      </c>
      <c r="CB106" s="195"/>
      <c r="CD106" s="212">
        <v>0</v>
      </c>
      <c r="CE106" s="58">
        <v>0</v>
      </c>
      <c r="CF106" s="209"/>
      <c r="CG106" s="58">
        <f t="shared" si="225"/>
        <v>0</v>
      </c>
      <c r="CH106" s="194">
        <f t="shared" si="226"/>
        <v>0</v>
      </c>
      <c r="CI106" s="58">
        <v>0</v>
      </c>
      <c r="CJ106" s="209"/>
      <c r="CK106" s="58">
        <f t="shared" si="227"/>
        <v>0</v>
      </c>
      <c r="CL106" s="80">
        <f t="shared" si="186"/>
        <v>9</v>
      </c>
      <c r="CM106" s="135">
        <f t="shared" si="205"/>
        <v>57.777777777777779</v>
      </c>
      <c r="CN106" s="183">
        <f t="shared" si="210"/>
        <v>0</v>
      </c>
      <c r="CO106" s="58">
        <f t="shared" si="172"/>
        <v>0</v>
      </c>
      <c r="CP106" s="58"/>
      <c r="CQ106" s="58"/>
      <c r="CR106" s="195">
        <f t="shared" si="235"/>
        <v>0</v>
      </c>
      <c r="CS106" s="80">
        <f t="shared" si="187"/>
        <v>16</v>
      </c>
      <c r="CT106" s="327">
        <f t="shared" si="206"/>
        <v>43.1875</v>
      </c>
      <c r="CU106" s="183">
        <f t="shared" si="211"/>
        <v>0</v>
      </c>
      <c r="CV106" s="58">
        <v>0</v>
      </c>
      <c r="CW106" s="80">
        <f t="shared" si="188"/>
        <v>9</v>
      </c>
      <c r="CX106" s="135">
        <f t="shared" si="207"/>
        <v>57.777777777777779</v>
      </c>
      <c r="CY106" s="183">
        <f t="shared" si="228"/>
        <v>0</v>
      </c>
      <c r="CZ106" s="58">
        <v>0</v>
      </c>
      <c r="DA106" s="80">
        <f t="shared" si="189"/>
        <v>16</v>
      </c>
      <c r="DB106" s="327">
        <f t="shared" si="208"/>
        <v>40.625</v>
      </c>
      <c r="DC106" s="183">
        <f t="shared" si="229"/>
        <v>0</v>
      </c>
      <c r="DD106" s="58">
        <v>0</v>
      </c>
      <c r="DE106" s="58">
        <v>0</v>
      </c>
      <c r="DF106" s="209"/>
      <c r="DG106" s="58">
        <f t="shared" si="230"/>
        <v>0</v>
      </c>
      <c r="DH106" s="58">
        <f t="shared" si="236"/>
        <v>0</v>
      </c>
      <c r="DI106" s="80">
        <f t="shared" si="190"/>
        <v>14</v>
      </c>
      <c r="DJ106" s="332">
        <f t="shared" si="209"/>
        <v>62</v>
      </c>
      <c r="DK106" s="183">
        <f t="shared" si="212"/>
        <v>0</v>
      </c>
    </row>
    <row r="107" spans="1:115">
      <c r="A107" s="213">
        <v>1912</v>
      </c>
      <c r="B107" s="58">
        <v>0</v>
      </c>
      <c r="C107" s="209"/>
      <c r="D107" s="58">
        <f t="shared" si="213"/>
        <v>0</v>
      </c>
      <c r="E107" s="194">
        <f t="shared" si="214"/>
        <v>0</v>
      </c>
      <c r="F107" s="58">
        <v>0</v>
      </c>
      <c r="G107" s="209"/>
      <c r="H107" s="209">
        <f t="shared" si="215"/>
        <v>0</v>
      </c>
      <c r="I107" s="214">
        <v>9</v>
      </c>
      <c r="J107" s="132">
        <f t="shared" si="191"/>
        <v>57.777777777777779</v>
      </c>
      <c r="K107" s="183">
        <f t="shared" si="216"/>
        <v>0</v>
      </c>
      <c r="L107" s="58">
        <v>0</v>
      </c>
      <c r="M107" s="209"/>
      <c r="N107" s="209"/>
      <c r="O107" s="58">
        <f t="shared" si="217"/>
        <v>0</v>
      </c>
      <c r="P107" s="80">
        <f t="shared" si="173"/>
        <v>6</v>
      </c>
      <c r="Q107" s="132">
        <f t="shared" si="192"/>
        <v>99.166666666666671</v>
      </c>
      <c r="R107" s="193">
        <f t="shared" si="174"/>
        <v>0</v>
      </c>
      <c r="S107" s="58">
        <v>0</v>
      </c>
      <c r="T107" s="209"/>
      <c r="U107" s="209"/>
      <c r="V107" s="58">
        <f t="shared" si="231"/>
        <v>0</v>
      </c>
      <c r="W107" s="80">
        <f t="shared" si="175"/>
        <v>16</v>
      </c>
      <c r="X107" s="132">
        <f t="shared" si="193"/>
        <v>38.125</v>
      </c>
      <c r="Y107" s="183">
        <f t="shared" si="218"/>
        <v>0</v>
      </c>
      <c r="Z107" s="58">
        <v>0</v>
      </c>
      <c r="AA107" s="80">
        <f t="shared" si="176"/>
        <v>8</v>
      </c>
      <c r="AB107" s="132">
        <f t="shared" si="194"/>
        <v>68.5</v>
      </c>
      <c r="AC107" s="183">
        <v>0</v>
      </c>
      <c r="AD107" s="58">
        <v>0</v>
      </c>
      <c r="AE107" s="80">
        <f t="shared" si="177"/>
        <v>12</v>
      </c>
      <c r="AF107" s="132">
        <f t="shared" si="195"/>
        <v>69.083333333333329</v>
      </c>
      <c r="AG107" s="183">
        <v>0</v>
      </c>
      <c r="AH107" s="58">
        <v>0</v>
      </c>
      <c r="AI107" s="209"/>
      <c r="AJ107" s="58">
        <f t="shared" si="233"/>
        <v>0</v>
      </c>
      <c r="AL107" s="173"/>
      <c r="AM107" s="183">
        <v>0</v>
      </c>
      <c r="AN107" s="58">
        <v>0</v>
      </c>
      <c r="AO107" s="80">
        <f t="shared" si="178"/>
        <v>6</v>
      </c>
      <c r="AP107" s="132">
        <f t="shared" si="196"/>
        <v>94.666666666666671</v>
      </c>
      <c r="AQ107" s="183">
        <v>0</v>
      </c>
      <c r="AR107" s="58">
        <v>0</v>
      </c>
      <c r="AS107" s="80">
        <f t="shared" si="179"/>
        <v>12</v>
      </c>
      <c r="AT107" s="132">
        <f t="shared" si="197"/>
        <v>57</v>
      </c>
      <c r="AU107" s="183">
        <v>0</v>
      </c>
      <c r="AV107" s="58">
        <v>9176</v>
      </c>
      <c r="AW107" s="80">
        <f t="shared" si="237"/>
        <v>8</v>
      </c>
      <c r="AX107" s="132">
        <f t="shared" si="198"/>
        <v>65.75</v>
      </c>
      <c r="AY107" s="183">
        <f t="shared" si="219"/>
        <v>603322</v>
      </c>
      <c r="AZ107" s="58">
        <v>0</v>
      </c>
      <c r="BA107" s="80">
        <f t="shared" si="181"/>
        <v>13</v>
      </c>
      <c r="BB107" s="132">
        <f t="shared" si="199"/>
        <v>47.230769230769234</v>
      </c>
      <c r="BC107" s="183">
        <v>0</v>
      </c>
      <c r="BD107" s="209">
        <v>0</v>
      </c>
      <c r="BE107" s="58">
        <f t="shared" si="221"/>
        <v>0</v>
      </c>
      <c r="BF107" s="80">
        <f t="shared" si="182"/>
        <v>43</v>
      </c>
      <c r="BG107" s="132">
        <f t="shared" si="200"/>
        <v>14.232558139534884</v>
      </c>
      <c r="BH107" s="183">
        <v>0</v>
      </c>
      <c r="BI107" s="58">
        <f t="shared" si="222"/>
        <v>0</v>
      </c>
      <c r="BJ107" s="58"/>
      <c r="BK107" s="173"/>
      <c r="BL107" s="183">
        <v>0</v>
      </c>
      <c r="BM107" s="58">
        <v>0</v>
      </c>
      <c r="BN107" s="80">
        <f t="shared" si="183"/>
        <v>11</v>
      </c>
      <c r="BO107" s="132">
        <f t="shared" si="202"/>
        <v>46.272727272727273</v>
      </c>
      <c r="BP107" s="183">
        <v>0</v>
      </c>
      <c r="BQ107" s="58">
        <v>0</v>
      </c>
      <c r="BR107" s="209"/>
      <c r="BS107" s="58">
        <f t="shared" si="223"/>
        <v>0</v>
      </c>
      <c r="BT107" s="80">
        <f t="shared" si="184"/>
        <v>31</v>
      </c>
      <c r="BU107" s="132">
        <f t="shared" si="203"/>
        <v>11.451612903225806</v>
      </c>
      <c r="BV107" s="183">
        <f t="shared" si="224"/>
        <v>0</v>
      </c>
      <c r="BW107" s="195">
        <v>0</v>
      </c>
      <c r="BY107" s="173"/>
      <c r="BZ107" s="212">
        <v>0</v>
      </c>
      <c r="CA107" s="195">
        <v>0</v>
      </c>
      <c r="CB107" s="195"/>
      <c r="CD107" s="212">
        <v>0</v>
      </c>
      <c r="CE107" s="58">
        <v>0</v>
      </c>
      <c r="CF107" s="209"/>
      <c r="CG107" s="58">
        <f t="shared" si="225"/>
        <v>0</v>
      </c>
      <c r="CH107" s="194">
        <f t="shared" si="226"/>
        <v>0</v>
      </c>
      <c r="CI107" s="58">
        <v>0</v>
      </c>
      <c r="CJ107" s="209"/>
      <c r="CK107" s="58">
        <f t="shared" si="227"/>
        <v>0</v>
      </c>
      <c r="CL107" s="80">
        <f t="shared" si="186"/>
        <v>9</v>
      </c>
      <c r="CM107" s="135">
        <f t="shared" si="205"/>
        <v>57.777777777777779</v>
      </c>
      <c r="CN107" s="183">
        <f t="shared" si="210"/>
        <v>0</v>
      </c>
      <c r="CO107" s="58">
        <f t="shared" si="172"/>
        <v>0</v>
      </c>
      <c r="CP107" s="58"/>
      <c r="CQ107" s="58"/>
      <c r="CR107" s="195">
        <f t="shared" si="235"/>
        <v>0</v>
      </c>
      <c r="CS107" s="80">
        <f t="shared" si="187"/>
        <v>16</v>
      </c>
      <c r="CT107" s="327">
        <f t="shared" si="206"/>
        <v>43.1875</v>
      </c>
      <c r="CU107" s="183">
        <f t="shared" si="211"/>
        <v>0</v>
      </c>
      <c r="CV107" s="58">
        <v>204440</v>
      </c>
      <c r="CW107" s="80">
        <f t="shared" si="188"/>
        <v>9</v>
      </c>
      <c r="CX107" s="135">
        <f t="shared" si="207"/>
        <v>57.777777777777779</v>
      </c>
      <c r="CY107" s="183">
        <f t="shared" si="228"/>
        <v>11812088.88888889</v>
      </c>
      <c r="CZ107" s="58">
        <v>0</v>
      </c>
      <c r="DA107" s="80">
        <f t="shared" si="189"/>
        <v>16</v>
      </c>
      <c r="DB107" s="327">
        <f t="shared" si="208"/>
        <v>40.625</v>
      </c>
      <c r="DC107" s="183">
        <f t="shared" si="229"/>
        <v>0</v>
      </c>
      <c r="DD107" s="58">
        <v>0</v>
      </c>
      <c r="DE107" s="58">
        <v>0</v>
      </c>
      <c r="DF107" s="209"/>
      <c r="DG107" s="58">
        <f t="shared" si="230"/>
        <v>0</v>
      </c>
      <c r="DH107" s="58">
        <f t="shared" si="236"/>
        <v>0</v>
      </c>
      <c r="DI107" s="80">
        <f t="shared" si="190"/>
        <v>14</v>
      </c>
      <c r="DJ107" s="332">
        <f t="shared" si="209"/>
        <v>62</v>
      </c>
      <c r="DK107" s="183">
        <f t="shared" si="212"/>
        <v>0</v>
      </c>
    </row>
    <row r="108" spans="1:115">
      <c r="A108" s="213">
        <v>1911</v>
      </c>
      <c r="B108" s="58">
        <v>17228</v>
      </c>
      <c r="C108" s="209"/>
      <c r="D108" s="58">
        <f t="shared" si="213"/>
        <v>17228</v>
      </c>
      <c r="E108" s="194">
        <f t="shared" si="214"/>
        <v>12059.599999999999</v>
      </c>
      <c r="F108" s="58">
        <v>0</v>
      </c>
      <c r="G108" s="209"/>
      <c r="H108" s="209">
        <f t="shared" si="215"/>
        <v>0</v>
      </c>
      <c r="I108" s="214">
        <v>9</v>
      </c>
      <c r="J108" s="132">
        <f t="shared" si="191"/>
        <v>57.777777777777779</v>
      </c>
      <c r="K108" s="183">
        <f t="shared" si="216"/>
        <v>0</v>
      </c>
      <c r="L108" s="58">
        <v>0</v>
      </c>
      <c r="M108" s="209"/>
      <c r="N108" s="209"/>
      <c r="O108" s="58">
        <f t="shared" si="217"/>
        <v>0</v>
      </c>
      <c r="Q108" s="173"/>
      <c r="R108" s="193">
        <f t="shared" si="174"/>
        <v>0</v>
      </c>
      <c r="S108" s="58">
        <v>0</v>
      </c>
      <c r="T108" s="209"/>
      <c r="U108" s="209"/>
      <c r="V108" s="58">
        <f t="shared" si="231"/>
        <v>0</v>
      </c>
      <c r="X108" s="173"/>
      <c r="Y108" s="183">
        <f t="shared" si="218"/>
        <v>0</v>
      </c>
      <c r="Z108" s="58">
        <v>0</v>
      </c>
      <c r="AB108" s="173"/>
      <c r="AC108" s="183">
        <v>0</v>
      </c>
      <c r="AD108" s="58">
        <v>0</v>
      </c>
      <c r="AF108" s="173"/>
      <c r="AG108" s="183">
        <v>0</v>
      </c>
      <c r="AH108" s="58">
        <v>0</v>
      </c>
      <c r="AI108" s="209"/>
      <c r="AJ108" s="58">
        <f t="shared" si="233"/>
        <v>0</v>
      </c>
      <c r="AL108" s="173"/>
      <c r="AM108" s="183">
        <v>0</v>
      </c>
      <c r="AN108" s="58">
        <v>0</v>
      </c>
      <c r="AP108" s="173"/>
      <c r="AQ108" s="183">
        <v>0</v>
      </c>
      <c r="AR108" s="58">
        <v>0</v>
      </c>
      <c r="AT108" s="173"/>
      <c r="AU108" s="183">
        <v>0</v>
      </c>
      <c r="AV108" s="58">
        <v>52305</v>
      </c>
      <c r="AW108" s="80">
        <f t="shared" si="237"/>
        <v>8</v>
      </c>
      <c r="AX108" s="132">
        <f t="shared" si="198"/>
        <v>65.75</v>
      </c>
      <c r="AY108" s="183">
        <f t="shared" si="219"/>
        <v>3439053.75</v>
      </c>
      <c r="AZ108" s="58">
        <v>0</v>
      </c>
      <c r="BB108" s="173"/>
      <c r="BC108" s="183">
        <v>0</v>
      </c>
      <c r="BD108" s="209">
        <v>0</v>
      </c>
      <c r="BE108" s="58">
        <f t="shared" si="221"/>
        <v>0</v>
      </c>
      <c r="BG108" s="173"/>
      <c r="BH108" s="183">
        <v>0</v>
      </c>
      <c r="BI108" s="58">
        <f t="shared" si="222"/>
        <v>0</v>
      </c>
      <c r="BJ108" s="58"/>
      <c r="BK108" s="173"/>
      <c r="BL108" s="183">
        <v>0</v>
      </c>
      <c r="BM108" s="58">
        <v>0</v>
      </c>
      <c r="BO108" s="173"/>
      <c r="BP108" s="183">
        <v>0</v>
      </c>
      <c r="BQ108" s="58">
        <v>0</v>
      </c>
      <c r="BR108" s="209"/>
      <c r="BS108" s="58">
        <f t="shared" si="223"/>
        <v>0</v>
      </c>
      <c r="BU108" s="173"/>
      <c r="BV108" s="183">
        <f t="shared" si="224"/>
        <v>0</v>
      </c>
      <c r="BW108" s="195">
        <v>0</v>
      </c>
      <c r="BY108" s="173"/>
      <c r="BZ108" s="212">
        <v>0</v>
      </c>
      <c r="CA108" s="195">
        <v>0</v>
      </c>
      <c r="CB108" s="195"/>
      <c r="CD108" s="212">
        <v>0</v>
      </c>
      <c r="CE108" s="58">
        <v>17228</v>
      </c>
      <c r="CF108" s="209"/>
      <c r="CG108" s="58">
        <f t="shared" si="225"/>
        <v>17228</v>
      </c>
      <c r="CH108" s="194">
        <f t="shared" si="226"/>
        <v>5168.3999999999996</v>
      </c>
      <c r="CI108" s="58">
        <v>0</v>
      </c>
      <c r="CJ108" s="209"/>
      <c r="CK108" s="58">
        <f t="shared" si="227"/>
        <v>0</v>
      </c>
      <c r="CL108" s="80">
        <f t="shared" si="186"/>
        <v>9</v>
      </c>
      <c r="CM108" s="135">
        <f t="shared" si="205"/>
        <v>57.777777777777779</v>
      </c>
      <c r="CN108" s="183">
        <f>CK108*CM108</f>
        <v>0</v>
      </c>
      <c r="CO108" s="58">
        <f t="shared" si="172"/>
        <v>0</v>
      </c>
      <c r="CP108" s="58"/>
      <c r="CQ108" s="58"/>
      <c r="CR108" s="195">
        <f t="shared" si="235"/>
        <v>0</v>
      </c>
      <c r="CT108" s="173"/>
      <c r="CU108" s="183">
        <f>CR108*CT108</f>
        <v>0</v>
      </c>
      <c r="CV108" s="58">
        <v>0</v>
      </c>
      <c r="CW108" s="80">
        <f t="shared" si="188"/>
        <v>9</v>
      </c>
      <c r="CX108" s="135">
        <f t="shared" si="207"/>
        <v>57.777777777777779</v>
      </c>
      <c r="CY108" s="183">
        <v>0</v>
      </c>
      <c r="CZ108" s="58">
        <v>0</v>
      </c>
      <c r="DA108" s="80">
        <f t="shared" si="189"/>
        <v>15</v>
      </c>
      <c r="DB108" s="327">
        <f t="shared" si="208"/>
        <v>43.333333333333336</v>
      </c>
      <c r="DC108" s="183">
        <f t="shared" si="229"/>
        <v>0</v>
      </c>
      <c r="DD108" s="58">
        <v>0</v>
      </c>
      <c r="DE108" s="58">
        <v>0</v>
      </c>
      <c r="DF108" s="209"/>
      <c r="DG108" s="58">
        <f t="shared" si="230"/>
        <v>0</v>
      </c>
      <c r="DH108" s="58">
        <f t="shared" si="236"/>
        <v>0</v>
      </c>
      <c r="DK108" s="183">
        <f>DH108*DJ108</f>
        <v>0</v>
      </c>
    </row>
    <row r="109" spans="1:115">
      <c r="A109" s="213">
        <v>1910</v>
      </c>
      <c r="B109" s="58">
        <v>18681</v>
      </c>
      <c r="C109" s="209"/>
      <c r="D109" s="58">
        <f t="shared" si="213"/>
        <v>18681</v>
      </c>
      <c r="E109" s="194">
        <f t="shared" si="214"/>
        <v>13076.699999999999</v>
      </c>
      <c r="F109" s="58">
        <v>108256</v>
      </c>
      <c r="G109" s="209"/>
      <c r="H109" s="209">
        <f t="shared" si="215"/>
        <v>108256</v>
      </c>
      <c r="I109" s="214">
        <v>9</v>
      </c>
      <c r="J109" s="132">
        <f t="shared" si="191"/>
        <v>57.777777777777779</v>
      </c>
      <c r="K109" s="183">
        <f t="shared" si="216"/>
        <v>6254791.111111111</v>
      </c>
      <c r="L109" s="58">
        <v>0</v>
      </c>
      <c r="M109" s="209"/>
      <c r="N109" s="209"/>
      <c r="O109" s="58">
        <f t="shared" si="217"/>
        <v>0</v>
      </c>
      <c r="Q109" s="173"/>
      <c r="R109" s="193">
        <f t="shared" si="174"/>
        <v>0</v>
      </c>
      <c r="S109" s="58">
        <v>0</v>
      </c>
      <c r="T109" s="209"/>
      <c r="U109" s="209"/>
      <c r="V109" s="58">
        <f t="shared" si="231"/>
        <v>0</v>
      </c>
      <c r="X109" s="173"/>
      <c r="Y109" s="183">
        <f t="shared" si="218"/>
        <v>0</v>
      </c>
      <c r="Z109" s="58">
        <v>0</v>
      </c>
      <c r="AB109" s="173"/>
      <c r="AC109" s="183">
        <v>0</v>
      </c>
      <c r="AD109" s="58">
        <v>0</v>
      </c>
      <c r="AF109" s="173"/>
      <c r="AG109" s="183">
        <v>0</v>
      </c>
      <c r="AH109" s="58">
        <v>0</v>
      </c>
      <c r="AI109" s="209"/>
      <c r="AJ109" s="58">
        <f t="shared" si="233"/>
        <v>0</v>
      </c>
      <c r="AL109" s="173"/>
      <c r="AM109" s="183">
        <v>0</v>
      </c>
      <c r="AN109" s="58">
        <v>0</v>
      </c>
      <c r="AP109" s="173"/>
      <c r="AQ109" s="183">
        <v>0</v>
      </c>
      <c r="AR109" s="58">
        <v>0</v>
      </c>
      <c r="AT109" s="173"/>
      <c r="AU109" s="183">
        <v>0</v>
      </c>
      <c r="AV109" s="58">
        <v>96957</v>
      </c>
      <c r="AW109" s="80">
        <f t="shared" si="237"/>
        <v>8</v>
      </c>
      <c r="AX109" s="132">
        <f t="shared" si="198"/>
        <v>65.75</v>
      </c>
      <c r="AY109" s="183">
        <f t="shared" si="219"/>
        <v>6374922.75</v>
      </c>
      <c r="AZ109" s="58">
        <v>0</v>
      </c>
      <c r="BB109" s="173"/>
      <c r="BC109" s="183">
        <v>0</v>
      </c>
      <c r="BD109" s="209">
        <v>0</v>
      </c>
      <c r="BE109" s="58">
        <f t="shared" si="221"/>
        <v>0</v>
      </c>
      <c r="BG109" s="173"/>
      <c r="BH109" s="183">
        <v>0</v>
      </c>
      <c r="BI109" s="58">
        <f t="shared" si="222"/>
        <v>0</v>
      </c>
      <c r="BJ109" s="58"/>
      <c r="BK109" s="173"/>
      <c r="BL109" s="183">
        <v>0</v>
      </c>
      <c r="BM109" s="58">
        <v>0</v>
      </c>
      <c r="BO109" s="173"/>
      <c r="BP109" s="183">
        <v>0</v>
      </c>
      <c r="BQ109" s="58">
        <v>0</v>
      </c>
      <c r="BR109" s="209"/>
      <c r="BS109" s="58">
        <f t="shared" si="223"/>
        <v>0</v>
      </c>
      <c r="BU109" s="173"/>
      <c r="BV109" s="183">
        <f t="shared" si="224"/>
        <v>0</v>
      </c>
      <c r="BW109" s="195">
        <v>0</v>
      </c>
      <c r="BY109" s="173"/>
      <c r="BZ109" s="212">
        <v>0</v>
      </c>
      <c r="CA109" s="195">
        <v>0</v>
      </c>
      <c r="CB109" s="195"/>
      <c r="CD109" s="212">
        <v>0</v>
      </c>
      <c r="CE109" s="58">
        <v>18681</v>
      </c>
      <c r="CF109" s="209"/>
      <c r="CG109" s="58">
        <f t="shared" si="225"/>
        <v>18681</v>
      </c>
      <c r="CH109" s="194">
        <f t="shared" si="226"/>
        <v>5604.3</v>
      </c>
      <c r="CI109" s="58">
        <v>0</v>
      </c>
      <c r="CJ109" s="209"/>
      <c r="CK109" s="58">
        <f t="shared" si="227"/>
        <v>0</v>
      </c>
      <c r="CL109" s="80">
        <f t="shared" si="186"/>
        <v>9</v>
      </c>
      <c r="CM109" s="135">
        <f t="shared" si="205"/>
        <v>57.777777777777779</v>
      </c>
      <c r="CN109" s="183">
        <f>CK109*CM109</f>
        <v>0</v>
      </c>
      <c r="CO109" s="58">
        <f t="shared" si="172"/>
        <v>0</v>
      </c>
      <c r="CP109" s="58"/>
      <c r="CQ109" s="58"/>
      <c r="CR109" s="195">
        <f t="shared" si="235"/>
        <v>0</v>
      </c>
      <c r="CT109" s="173"/>
      <c r="CU109" s="183">
        <f>CR109*CT109</f>
        <v>0</v>
      </c>
      <c r="CV109" s="58">
        <v>0</v>
      </c>
      <c r="CW109" s="80">
        <f t="shared" si="188"/>
        <v>9</v>
      </c>
      <c r="CX109" s="135">
        <f t="shared" si="207"/>
        <v>57.777777777777779</v>
      </c>
      <c r="CY109" s="183">
        <v>0</v>
      </c>
      <c r="CZ109" s="58">
        <v>0</v>
      </c>
      <c r="DA109" s="80">
        <f t="shared" si="189"/>
        <v>15</v>
      </c>
      <c r="DB109" s="327">
        <f t="shared" si="208"/>
        <v>43.333333333333336</v>
      </c>
      <c r="DC109" s="183">
        <f t="shared" si="229"/>
        <v>0</v>
      </c>
      <c r="DD109" s="58">
        <v>0</v>
      </c>
      <c r="DE109" s="58">
        <v>0</v>
      </c>
      <c r="DF109" s="209"/>
      <c r="DG109" s="58">
        <f t="shared" si="230"/>
        <v>0</v>
      </c>
      <c r="DH109" s="58">
        <f t="shared" si="236"/>
        <v>0</v>
      </c>
      <c r="DK109" s="183">
        <f>DH109*DJ109</f>
        <v>0</v>
      </c>
    </row>
    <row r="110" spans="1:115">
      <c r="A110" s="213">
        <v>1909</v>
      </c>
      <c r="B110" s="195">
        <v>0</v>
      </c>
      <c r="C110" s="209"/>
      <c r="D110" s="58">
        <f t="shared" si="213"/>
        <v>0</v>
      </c>
      <c r="E110" s="194">
        <f t="shared" si="214"/>
        <v>0</v>
      </c>
      <c r="F110" s="58">
        <v>0</v>
      </c>
      <c r="G110" s="209"/>
      <c r="H110" s="209">
        <f t="shared" si="215"/>
        <v>0</v>
      </c>
      <c r="K110" s="183">
        <f t="shared" si="216"/>
        <v>0</v>
      </c>
      <c r="L110" s="58">
        <v>0</v>
      </c>
      <c r="M110" s="209"/>
      <c r="N110" s="209"/>
      <c r="O110" s="58">
        <f t="shared" si="217"/>
        <v>0</v>
      </c>
      <c r="Q110" s="173"/>
      <c r="R110" s="193">
        <f t="shared" si="174"/>
        <v>0</v>
      </c>
      <c r="S110" s="58">
        <v>0</v>
      </c>
      <c r="T110" s="209"/>
      <c r="U110" s="209"/>
      <c r="V110" s="58">
        <f t="shared" si="231"/>
        <v>0</v>
      </c>
      <c r="X110" s="173"/>
      <c r="Y110" s="183">
        <f t="shared" si="218"/>
        <v>0</v>
      </c>
      <c r="Z110" s="58">
        <v>0</v>
      </c>
      <c r="AB110" s="173"/>
      <c r="AC110" s="183">
        <v>0</v>
      </c>
      <c r="AD110" s="58">
        <v>0</v>
      </c>
      <c r="AF110" s="173"/>
      <c r="AG110" s="183">
        <v>0</v>
      </c>
      <c r="AH110" s="58">
        <v>0</v>
      </c>
      <c r="AI110" s="209"/>
      <c r="AJ110" s="58">
        <f t="shared" si="233"/>
        <v>0</v>
      </c>
      <c r="AL110" s="173"/>
      <c r="AM110" s="183">
        <v>0</v>
      </c>
      <c r="AN110" s="58">
        <v>0</v>
      </c>
      <c r="AP110" s="173"/>
      <c r="AQ110" s="183">
        <v>0</v>
      </c>
      <c r="AR110" s="58">
        <v>0</v>
      </c>
      <c r="AT110" s="173"/>
      <c r="AU110" s="183">
        <v>0</v>
      </c>
      <c r="AV110" s="195">
        <v>120884</v>
      </c>
      <c r="AW110" s="80">
        <f t="shared" si="237"/>
        <v>8</v>
      </c>
      <c r="AX110" s="132">
        <f t="shared" si="198"/>
        <v>65.75</v>
      </c>
      <c r="AY110" s="183">
        <f t="shared" si="219"/>
        <v>7948123</v>
      </c>
      <c r="AZ110" s="58">
        <v>0</v>
      </c>
      <c r="BB110" s="173"/>
      <c r="BC110" s="183">
        <v>0</v>
      </c>
      <c r="BD110" s="209">
        <v>0</v>
      </c>
      <c r="BE110" s="58">
        <f t="shared" si="221"/>
        <v>0</v>
      </c>
      <c r="BG110" s="173"/>
      <c r="BH110" s="183">
        <v>0</v>
      </c>
      <c r="BI110" s="58">
        <f t="shared" si="222"/>
        <v>0</v>
      </c>
      <c r="BJ110" s="58"/>
      <c r="BK110" s="173"/>
      <c r="BL110" s="183">
        <v>0</v>
      </c>
      <c r="BM110" s="58">
        <v>0</v>
      </c>
      <c r="BO110" s="173"/>
      <c r="BP110" s="183">
        <v>0</v>
      </c>
      <c r="BQ110" s="58">
        <v>0</v>
      </c>
      <c r="BR110" s="209"/>
      <c r="BS110" s="58">
        <f t="shared" si="223"/>
        <v>0</v>
      </c>
      <c r="BU110" s="173"/>
      <c r="BV110" s="183">
        <f t="shared" si="224"/>
        <v>0</v>
      </c>
      <c r="BW110" s="195">
        <v>0</v>
      </c>
      <c r="BY110" s="173"/>
      <c r="BZ110" s="212">
        <v>0</v>
      </c>
      <c r="CA110" s="195">
        <v>0</v>
      </c>
      <c r="CB110" s="195"/>
      <c r="CD110" s="212">
        <v>0</v>
      </c>
      <c r="CE110" s="195">
        <v>0</v>
      </c>
      <c r="CF110" s="209"/>
      <c r="CG110" s="58">
        <f t="shared" si="225"/>
        <v>0</v>
      </c>
      <c r="CH110" s="194">
        <f t="shared" si="226"/>
        <v>0</v>
      </c>
      <c r="CI110" s="58">
        <v>0</v>
      </c>
      <c r="CJ110" s="209"/>
      <c r="CK110" s="58">
        <f t="shared" si="227"/>
        <v>0</v>
      </c>
      <c r="CL110" s="214"/>
      <c r="CM110" s="173"/>
      <c r="CN110" s="183">
        <f>CK110*CM110</f>
        <v>0</v>
      </c>
      <c r="CO110" s="195">
        <f t="shared" si="172"/>
        <v>0</v>
      </c>
      <c r="CP110" s="195"/>
      <c r="CQ110" s="195"/>
      <c r="CR110" s="195">
        <f t="shared" si="235"/>
        <v>0</v>
      </c>
      <c r="CT110" s="173"/>
      <c r="CU110" s="183">
        <f>CR110*CT110</f>
        <v>0</v>
      </c>
      <c r="CV110" s="58">
        <v>0</v>
      </c>
      <c r="CW110" s="214"/>
      <c r="CX110" s="173"/>
      <c r="CY110" s="183">
        <v>0</v>
      </c>
      <c r="CZ110" s="58">
        <v>0</v>
      </c>
      <c r="DB110" s="173"/>
      <c r="DC110" s="212">
        <v>0</v>
      </c>
      <c r="DD110" s="58">
        <v>0</v>
      </c>
      <c r="DE110" s="58">
        <v>0</v>
      </c>
      <c r="DF110" s="209"/>
      <c r="DG110" s="58">
        <f t="shared" si="230"/>
        <v>0</v>
      </c>
      <c r="DH110" s="58">
        <f t="shared" si="236"/>
        <v>0</v>
      </c>
      <c r="DK110" s="183">
        <f>DH110*DJ110</f>
        <v>0</v>
      </c>
    </row>
    <row r="111" spans="1:115">
      <c r="A111" s="213">
        <v>1908</v>
      </c>
      <c r="B111" s="195">
        <v>0</v>
      </c>
      <c r="C111" s="209"/>
      <c r="D111" s="58">
        <f t="shared" si="213"/>
        <v>0</v>
      </c>
      <c r="E111" s="194">
        <f t="shared" si="214"/>
        <v>0</v>
      </c>
      <c r="F111" s="58">
        <v>0</v>
      </c>
      <c r="G111" s="209"/>
      <c r="H111" s="209">
        <f t="shared" si="215"/>
        <v>0</v>
      </c>
      <c r="K111" s="183">
        <f t="shared" si="216"/>
        <v>0</v>
      </c>
      <c r="L111" s="58">
        <v>0</v>
      </c>
      <c r="M111" s="209"/>
      <c r="N111" s="209"/>
      <c r="O111" s="58">
        <f t="shared" si="217"/>
        <v>0</v>
      </c>
      <c r="Q111" s="173"/>
      <c r="R111" s="193">
        <f t="shared" si="174"/>
        <v>0</v>
      </c>
      <c r="S111" s="58">
        <v>0</v>
      </c>
      <c r="T111" s="209"/>
      <c r="U111" s="209"/>
      <c r="V111" s="58">
        <f t="shared" si="231"/>
        <v>0</v>
      </c>
      <c r="X111" s="173"/>
      <c r="Y111" s="183">
        <f t="shared" si="218"/>
        <v>0</v>
      </c>
      <c r="Z111" s="58">
        <v>0</v>
      </c>
      <c r="AB111" s="173"/>
      <c r="AC111" s="183">
        <v>0</v>
      </c>
      <c r="AD111" s="58">
        <v>0</v>
      </c>
      <c r="AF111" s="173"/>
      <c r="AG111" s="183">
        <v>0</v>
      </c>
      <c r="AH111" s="58">
        <v>0</v>
      </c>
      <c r="AI111" s="209"/>
      <c r="AJ111" s="58">
        <f t="shared" si="233"/>
        <v>0</v>
      </c>
      <c r="AL111" s="173"/>
      <c r="AM111" s="183">
        <v>0</v>
      </c>
      <c r="AN111" s="58">
        <v>0</v>
      </c>
      <c r="AP111" s="173"/>
      <c r="AQ111" s="183">
        <v>0</v>
      </c>
      <c r="AR111" s="58">
        <v>0</v>
      </c>
      <c r="AT111" s="173"/>
      <c r="AU111" s="183">
        <v>0</v>
      </c>
      <c r="AV111" s="195">
        <v>9768</v>
      </c>
      <c r="AW111" s="80">
        <f t="shared" si="237"/>
        <v>8</v>
      </c>
      <c r="AX111" s="132">
        <f t="shared" si="198"/>
        <v>65.75</v>
      </c>
      <c r="AY111" s="183">
        <f t="shared" si="219"/>
        <v>642246</v>
      </c>
      <c r="AZ111" s="58">
        <v>0</v>
      </c>
      <c r="BB111" s="173"/>
      <c r="BC111" s="183">
        <v>0</v>
      </c>
      <c r="BD111" s="209">
        <v>0</v>
      </c>
      <c r="BE111" s="58">
        <f t="shared" si="221"/>
        <v>0</v>
      </c>
      <c r="BG111" s="173"/>
      <c r="BH111" s="183">
        <v>0</v>
      </c>
      <c r="BI111" s="58">
        <f t="shared" si="222"/>
        <v>0</v>
      </c>
      <c r="BJ111" s="58"/>
      <c r="BK111" s="173"/>
      <c r="BL111" s="183">
        <v>0</v>
      </c>
      <c r="BM111" s="58">
        <v>0</v>
      </c>
      <c r="BO111" s="173"/>
      <c r="BP111" s="183">
        <v>0</v>
      </c>
      <c r="BQ111" s="58">
        <v>0</v>
      </c>
      <c r="BR111" s="209"/>
      <c r="BS111" s="58">
        <f t="shared" si="223"/>
        <v>0</v>
      </c>
      <c r="BU111" s="173"/>
      <c r="BV111" s="183">
        <f t="shared" si="224"/>
        <v>0</v>
      </c>
      <c r="BW111" s="195">
        <v>0</v>
      </c>
      <c r="BY111" s="173"/>
      <c r="BZ111" s="212">
        <v>0</v>
      </c>
      <c r="CA111" s="195">
        <v>0</v>
      </c>
      <c r="CB111" s="195"/>
      <c r="CD111" s="212">
        <v>0</v>
      </c>
      <c r="CE111" s="195">
        <v>0</v>
      </c>
      <c r="CF111" s="209"/>
      <c r="CG111" s="58">
        <f t="shared" si="225"/>
        <v>0</v>
      </c>
      <c r="CH111" s="194">
        <f t="shared" si="226"/>
        <v>0</v>
      </c>
      <c r="CI111" s="58">
        <v>0</v>
      </c>
      <c r="CJ111" s="209"/>
      <c r="CK111" s="58">
        <f t="shared" si="227"/>
        <v>0</v>
      </c>
      <c r="CL111" s="214"/>
      <c r="CM111" s="173"/>
      <c r="CN111" s="183">
        <f>CK111*CM111</f>
        <v>0</v>
      </c>
      <c r="CO111" s="195">
        <f t="shared" si="172"/>
        <v>0</v>
      </c>
      <c r="CP111" s="195"/>
      <c r="CQ111" s="195"/>
      <c r="CR111" s="195">
        <f t="shared" si="235"/>
        <v>0</v>
      </c>
      <c r="CT111" s="173"/>
      <c r="CU111" s="183">
        <f>CR111*CT111</f>
        <v>0</v>
      </c>
      <c r="CV111" s="58">
        <v>0</v>
      </c>
      <c r="CW111" s="214"/>
      <c r="CX111" s="173"/>
      <c r="CY111" s="183">
        <v>0</v>
      </c>
      <c r="CZ111" s="58">
        <v>0</v>
      </c>
      <c r="DB111" s="173"/>
      <c r="DC111" s="212">
        <v>0</v>
      </c>
      <c r="DD111" s="58">
        <v>0</v>
      </c>
      <c r="DE111" s="58">
        <v>0</v>
      </c>
      <c r="DF111" s="209"/>
      <c r="DG111" s="58">
        <f t="shared" si="230"/>
        <v>0</v>
      </c>
      <c r="DH111" s="58">
        <f t="shared" si="236"/>
        <v>0</v>
      </c>
      <c r="DK111" s="183">
        <f>DH111*DJ111</f>
        <v>0</v>
      </c>
    </row>
    <row r="112" spans="1:115">
      <c r="A112" s="213">
        <v>1907</v>
      </c>
      <c r="B112" s="195">
        <v>100</v>
      </c>
      <c r="C112" s="209"/>
      <c r="D112" s="58">
        <f t="shared" si="213"/>
        <v>100</v>
      </c>
      <c r="E112" s="194">
        <f t="shared" si="214"/>
        <v>70</v>
      </c>
      <c r="F112" s="58">
        <v>0</v>
      </c>
      <c r="G112" s="209"/>
      <c r="H112" s="209">
        <f t="shared" si="215"/>
        <v>0</v>
      </c>
      <c r="K112" s="183">
        <f t="shared" si="216"/>
        <v>0</v>
      </c>
      <c r="L112" s="58">
        <v>0</v>
      </c>
      <c r="M112" s="209"/>
      <c r="N112" s="209"/>
      <c r="O112" s="58">
        <f t="shared" si="217"/>
        <v>0</v>
      </c>
      <c r="Q112" s="173"/>
      <c r="R112" s="193">
        <f t="shared" si="174"/>
        <v>0</v>
      </c>
      <c r="S112" s="58">
        <v>0</v>
      </c>
      <c r="T112" s="209"/>
      <c r="U112" s="209"/>
      <c r="V112" s="58">
        <f t="shared" si="231"/>
        <v>0</v>
      </c>
      <c r="X112" s="173"/>
      <c r="Y112" s="183">
        <v>0</v>
      </c>
      <c r="Z112" s="58">
        <v>0</v>
      </c>
      <c r="AB112" s="173"/>
      <c r="AC112" s="183">
        <v>0</v>
      </c>
      <c r="AD112" s="58">
        <v>0</v>
      </c>
      <c r="AF112" s="173"/>
      <c r="AG112" s="183">
        <v>0</v>
      </c>
      <c r="AH112" s="58">
        <v>0</v>
      </c>
      <c r="AI112" s="209"/>
      <c r="AJ112" s="58">
        <f t="shared" si="233"/>
        <v>0</v>
      </c>
      <c r="AL112" s="173"/>
      <c r="AM112" s="183">
        <v>0</v>
      </c>
      <c r="AN112" s="58">
        <v>0</v>
      </c>
      <c r="AP112" s="173"/>
      <c r="AQ112" s="183">
        <v>0</v>
      </c>
      <c r="AR112" s="58">
        <v>0</v>
      </c>
      <c r="AT112" s="173"/>
      <c r="AU112" s="183">
        <v>0</v>
      </c>
      <c r="AV112" s="195">
        <v>97331</v>
      </c>
      <c r="AW112" s="80">
        <f t="shared" si="237"/>
        <v>8</v>
      </c>
      <c r="AX112" s="132">
        <f t="shared" si="198"/>
        <v>65.75</v>
      </c>
      <c r="AY112" s="183">
        <f t="shared" si="219"/>
        <v>6399513.25</v>
      </c>
      <c r="AZ112" s="58">
        <v>0</v>
      </c>
      <c r="BB112" s="173"/>
      <c r="BC112" s="183">
        <v>0</v>
      </c>
      <c r="BD112" s="209">
        <v>0</v>
      </c>
      <c r="BE112" s="58">
        <f t="shared" si="221"/>
        <v>0</v>
      </c>
      <c r="BG112" s="173"/>
      <c r="BH112" s="183">
        <v>0</v>
      </c>
      <c r="BI112" s="58">
        <f t="shared" si="222"/>
        <v>0</v>
      </c>
      <c r="BJ112" s="58"/>
      <c r="BK112" s="173"/>
      <c r="BL112" s="183">
        <v>0</v>
      </c>
      <c r="BM112" s="58">
        <v>0</v>
      </c>
      <c r="BO112" s="173"/>
      <c r="BP112" s="183">
        <v>0</v>
      </c>
      <c r="BQ112" s="58">
        <v>0</v>
      </c>
      <c r="BR112" s="209"/>
      <c r="BS112" s="58">
        <f t="shared" si="223"/>
        <v>0</v>
      </c>
      <c r="BU112" s="173"/>
      <c r="BV112" s="183">
        <f t="shared" si="224"/>
        <v>0</v>
      </c>
      <c r="BW112" s="195">
        <v>0</v>
      </c>
      <c r="BY112" s="173"/>
      <c r="BZ112" s="212">
        <v>0</v>
      </c>
      <c r="CA112" s="195">
        <v>0</v>
      </c>
      <c r="CB112" s="195"/>
      <c r="CD112" s="212">
        <v>0</v>
      </c>
      <c r="CE112" s="195">
        <v>100</v>
      </c>
      <c r="CF112" s="209"/>
      <c r="CG112" s="58">
        <f t="shared" si="225"/>
        <v>100</v>
      </c>
      <c r="CH112" s="194">
        <f t="shared" si="226"/>
        <v>30</v>
      </c>
      <c r="CI112" s="58">
        <v>0</v>
      </c>
      <c r="CJ112" s="209"/>
      <c r="CK112" s="58">
        <f t="shared" si="227"/>
        <v>0</v>
      </c>
      <c r="CL112" s="214"/>
      <c r="CM112" s="173"/>
      <c r="CN112" s="183">
        <f>CK112*CM112</f>
        <v>0</v>
      </c>
      <c r="CO112" s="195">
        <f t="shared" si="172"/>
        <v>0</v>
      </c>
      <c r="CP112" s="195"/>
      <c r="CQ112" s="195"/>
      <c r="CR112" s="195">
        <f t="shared" si="235"/>
        <v>0</v>
      </c>
      <c r="CT112" s="173"/>
      <c r="CU112" s="183">
        <f>CR112*CT112</f>
        <v>0</v>
      </c>
      <c r="CV112" s="58">
        <v>0</v>
      </c>
      <c r="CW112" s="214"/>
      <c r="CX112" s="173"/>
      <c r="CY112" s="183">
        <v>0</v>
      </c>
      <c r="CZ112" s="58">
        <v>0</v>
      </c>
      <c r="DB112" s="173"/>
      <c r="DC112" s="212">
        <v>0</v>
      </c>
      <c r="DD112" s="58">
        <v>0</v>
      </c>
      <c r="DE112" s="58">
        <v>0</v>
      </c>
      <c r="DF112" s="209"/>
      <c r="DG112" s="58">
        <f t="shared" si="230"/>
        <v>0</v>
      </c>
      <c r="DH112" s="58">
        <f t="shared" si="236"/>
        <v>0</v>
      </c>
      <c r="DK112" s="183">
        <f>DH112*DJ112</f>
        <v>0</v>
      </c>
    </row>
    <row r="113" spans="1:126" ht="13.5" thickBot="1">
      <c r="A113" s="213">
        <v>1906</v>
      </c>
      <c r="B113" s="216">
        <v>14</v>
      </c>
      <c r="C113" s="217"/>
      <c r="D113" s="58">
        <f t="shared" si="213"/>
        <v>14</v>
      </c>
      <c r="E113" s="194">
        <f t="shared" si="214"/>
        <v>9.7999999999999989</v>
      </c>
      <c r="F113" s="218">
        <v>0</v>
      </c>
      <c r="G113" s="217"/>
      <c r="H113" s="209">
        <f t="shared" si="215"/>
        <v>0</v>
      </c>
      <c r="I113" s="219"/>
      <c r="K113" s="183">
        <f t="shared" si="216"/>
        <v>0</v>
      </c>
      <c r="L113" s="218">
        <v>0</v>
      </c>
      <c r="M113" s="217"/>
      <c r="N113" s="217"/>
      <c r="O113" s="58">
        <f t="shared" si="217"/>
        <v>0</v>
      </c>
      <c r="P113" s="219"/>
      <c r="Q113" s="173"/>
      <c r="R113" s="193">
        <f t="shared" si="174"/>
        <v>0</v>
      </c>
      <c r="S113" s="218">
        <v>0</v>
      </c>
      <c r="T113" s="217"/>
      <c r="U113" s="217"/>
      <c r="V113" s="58">
        <f t="shared" si="231"/>
        <v>0</v>
      </c>
      <c r="W113" s="219"/>
      <c r="X113" s="173"/>
      <c r="Y113" s="220">
        <v>0</v>
      </c>
      <c r="Z113" s="218">
        <v>0</v>
      </c>
      <c r="AA113" s="219"/>
      <c r="AB113" s="173"/>
      <c r="AC113" s="220">
        <v>0</v>
      </c>
      <c r="AD113" s="218">
        <v>0</v>
      </c>
      <c r="AE113" s="219"/>
      <c r="AF113" s="173"/>
      <c r="AG113" s="220">
        <v>0</v>
      </c>
      <c r="AH113" s="218">
        <v>0</v>
      </c>
      <c r="AI113" s="217"/>
      <c r="AJ113" s="58">
        <f t="shared" si="233"/>
        <v>0</v>
      </c>
      <c r="AK113" s="219"/>
      <c r="AL113" s="173"/>
      <c r="AM113" s="220">
        <v>0</v>
      </c>
      <c r="AN113" s="218">
        <v>0</v>
      </c>
      <c r="AO113" s="219"/>
      <c r="AP113" s="173"/>
      <c r="AQ113" s="220">
        <v>0</v>
      </c>
      <c r="AR113" s="218">
        <v>0</v>
      </c>
      <c r="AS113" s="219"/>
      <c r="AT113" s="173"/>
      <c r="AU113" s="220">
        <v>0</v>
      </c>
      <c r="AV113" s="216">
        <v>1529</v>
      </c>
      <c r="AW113" s="80">
        <f t="shared" si="237"/>
        <v>8</v>
      </c>
      <c r="AX113" s="132">
        <f t="shared" si="198"/>
        <v>65.75</v>
      </c>
      <c r="AY113" s="183">
        <f t="shared" si="219"/>
        <v>100531.75</v>
      </c>
      <c r="AZ113" s="218">
        <v>0</v>
      </c>
      <c r="BA113" s="219"/>
      <c r="BB113" s="173"/>
      <c r="BC113" s="220">
        <v>0</v>
      </c>
      <c r="BD113" s="217">
        <v>0</v>
      </c>
      <c r="BE113" s="58">
        <f t="shared" si="221"/>
        <v>0</v>
      </c>
      <c r="BF113" s="219"/>
      <c r="BG113" s="173"/>
      <c r="BH113" s="220">
        <v>0</v>
      </c>
      <c r="BI113" s="221">
        <f t="shared" si="222"/>
        <v>0</v>
      </c>
      <c r="BJ113" s="218"/>
      <c r="BK113" s="173"/>
      <c r="BL113" s="220">
        <v>0</v>
      </c>
      <c r="BM113" s="218">
        <v>0</v>
      </c>
      <c r="BN113" s="219"/>
      <c r="BO113" s="173"/>
      <c r="BP113" s="220">
        <v>0</v>
      </c>
      <c r="BQ113" s="218">
        <v>0</v>
      </c>
      <c r="BR113" s="217"/>
      <c r="BS113" s="58">
        <f t="shared" si="223"/>
        <v>0</v>
      </c>
      <c r="BT113" s="219"/>
      <c r="BU113" s="173"/>
      <c r="BV113" s="220">
        <v>0</v>
      </c>
      <c r="BW113" s="216">
        <v>0</v>
      </c>
      <c r="BX113" s="219"/>
      <c r="BY113" s="173"/>
      <c r="BZ113" s="222">
        <v>0</v>
      </c>
      <c r="CA113" s="216">
        <v>0</v>
      </c>
      <c r="CB113" s="216"/>
      <c r="CC113" s="223"/>
      <c r="CD113" s="222">
        <v>0</v>
      </c>
      <c r="CE113" s="216">
        <v>14</v>
      </c>
      <c r="CF113" s="217"/>
      <c r="CG113" s="58">
        <f t="shared" si="225"/>
        <v>14</v>
      </c>
      <c r="CH113" s="194">
        <f t="shared" si="226"/>
        <v>4.2</v>
      </c>
      <c r="CI113" s="218">
        <v>0</v>
      </c>
      <c r="CJ113" s="217"/>
      <c r="CK113" s="218">
        <v>0</v>
      </c>
      <c r="CL113" s="219"/>
      <c r="CM113" s="173"/>
      <c r="CN113" s="220">
        <v>0</v>
      </c>
      <c r="CO113" s="216">
        <f t="shared" si="172"/>
        <v>0</v>
      </c>
      <c r="CP113" s="216"/>
      <c r="CQ113" s="216"/>
      <c r="CR113" s="216">
        <v>0</v>
      </c>
      <c r="CS113" s="219"/>
      <c r="CT113" s="173"/>
      <c r="CU113" s="222">
        <v>0</v>
      </c>
      <c r="CV113" s="218">
        <v>0</v>
      </c>
      <c r="CW113" s="219"/>
      <c r="CX113" s="173"/>
      <c r="CY113" s="220">
        <v>0</v>
      </c>
      <c r="CZ113" s="58">
        <v>0</v>
      </c>
      <c r="DA113" s="219"/>
      <c r="DB113" s="173"/>
      <c r="DC113" s="222">
        <v>0</v>
      </c>
      <c r="DD113" s="218">
        <v>0</v>
      </c>
      <c r="DE113" s="218">
        <v>0</v>
      </c>
      <c r="DF113" s="217"/>
      <c r="DG113" s="58">
        <f t="shared" si="230"/>
        <v>0</v>
      </c>
      <c r="DH113" s="58">
        <f>DD113/2</f>
        <v>0</v>
      </c>
      <c r="DI113" s="224"/>
      <c r="DK113" s="220">
        <v>0</v>
      </c>
    </row>
    <row r="114" spans="1:126">
      <c r="A114" s="11" t="s">
        <v>38</v>
      </c>
      <c r="B114" s="19">
        <f t="shared" ref="B114:H114" si="238">SUM(B19:B113)</f>
        <v>9465129</v>
      </c>
      <c r="C114" s="19">
        <f t="shared" si="238"/>
        <v>628357</v>
      </c>
      <c r="D114" s="19">
        <f t="shared" si="238"/>
        <v>8836772</v>
      </c>
      <c r="E114" s="19">
        <f t="shared" si="238"/>
        <v>6185740.4000000013</v>
      </c>
      <c r="F114" s="19">
        <f t="shared" si="238"/>
        <v>17042745</v>
      </c>
      <c r="G114" s="19">
        <f t="shared" si="238"/>
        <v>12277314</v>
      </c>
      <c r="H114" s="19">
        <f t="shared" si="238"/>
        <v>4765431</v>
      </c>
      <c r="I114" s="66"/>
      <c r="J114" s="42"/>
      <c r="K114" s="19">
        <f>SUM(K11:K113)</f>
        <v>24569392.7050611</v>
      </c>
      <c r="L114" s="19">
        <f>SUM(L19:L113)</f>
        <v>72356524.769999996</v>
      </c>
      <c r="M114" s="19">
        <f>SUM(M19:M113)</f>
        <v>6441</v>
      </c>
      <c r="N114" s="19">
        <f>SUM(N19:N113)</f>
        <v>980</v>
      </c>
      <c r="O114" s="19">
        <f>SUM(O19:O113)</f>
        <v>72360434.769999996</v>
      </c>
      <c r="P114" s="66"/>
      <c r="Q114" s="42"/>
      <c r="R114" s="193">
        <f t="shared" si="174"/>
        <v>0</v>
      </c>
      <c r="S114" s="19">
        <f>SUM(S19:S113)</f>
        <v>62673731</v>
      </c>
      <c r="T114" s="19">
        <f>SUM(T19:T113)</f>
        <v>12496050</v>
      </c>
      <c r="U114" s="19">
        <f>SUM(U19:U113)</f>
        <v>1070</v>
      </c>
      <c r="V114" s="19">
        <f>SUM(V19:V113)</f>
        <v>50188434</v>
      </c>
      <c r="W114" s="66"/>
      <c r="X114" s="42"/>
      <c r="Y114" s="39">
        <f>SUM(Y19:Y113)</f>
        <v>247102792.35902819</v>
      </c>
      <c r="Z114" s="19">
        <f>SUM(Z19:Z113)</f>
        <v>559443</v>
      </c>
      <c r="AA114" s="66"/>
      <c r="AB114" s="42"/>
      <c r="AC114" s="39">
        <f>SUM(AC19:AC113)</f>
        <v>1930524.5240029646</v>
      </c>
      <c r="AD114" s="19">
        <f>SUM(AD19:AD113)</f>
        <v>1317535</v>
      </c>
      <c r="AE114" s="66"/>
      <c r="AF114" s="42"/>
      <c r="AG114" s="39">
        <f>SUM(AG19:AG113)</f>
        <v>5548725.4580794089</v>
      </c>
      <c r="AH114" s="19">
        <f>SUM(AH19:AH113)</f>
        <v>1814402</v>
      </c>
      <c r="AI114" s="19">
        <f>SUM(AI19:AI113)</f>
        <v>78835</v>
      </c>
      <c r="AJ114" s="19">
        <f>SUM(AJ19:AJ113)</f>
        <v>1724134</v>
      </c>
      <c r="AK114" s="66"/>
      <c r="AL114" s="42"/>
      <c r="AM114" s="39">
        <f>SUM(AM19:AM113)</f>
        <v>3995823.7233417695</v>
      </c>
      <c r="AN114" s="19">
        <f>SUM(AN19:AN113)</f>
        <v>138032857</v>
      </c>
      <c r="AO114" s="66"/>
      <c r="AP114" s="42"/>
      <c r="AQ114" s="39">
        <f>SUM(AQ19:AQ113)</f>
        <v>432607656.2033304</v>
      </c>
      <c r="AR114" s="19">
        <f>SUM(AR19:AR113)</f>
        <v>95317502</v>
      </c>
      <c r="AS114" s="66"/>
      <c r="AT114" s="42"/>
      <c r="AU114" s="39">
        <f>SUM(AU19:AU113)</f>
        <v>403390096.33797783</v>
      </c>
      <c r="AV114" s="19">
        <f>SUM(AV19:AV113)</f>
        <v>41732920</v>
      </c>
      <c r="AW114" s="66"/>
      <c r="AX114" s="42"/>
      <c r="AY114" s="39">
        <f>SUM(AY19:AY113)</f>
        <v>118167948.86209576</v>
      </c>
      <c r="AZ114" s="19">
        <f>SUM(AZ19:AZ113)</f>
        <v>72930957</v>
      </c>
      <c r="BA114" s="66"/>
      <c r="BB114" s="42"/>
      <c r="BC114" s="49">
        <f>SUM(BC19:BC113)</f>
        <v>162108716.20953423</v>
      </c>
      <c r="BD114" s="47">
        <f>SUM(BD19:BD113)</f>
        <v>113205611</v>
      </c>
      <c r="BE114" s="19">
        <f>SUM(BE19:BE113)</f>
        <v>93281423.464000002</v>
      </c>
      <c r="BF114" s="66"/>
      <c r="BG114" s="42"/>
      <c r="BH114" s="39">
        <f>SUM(BH19:BH113)</f>
        <v>311921297.3586657</v>
      </c>
      <c r="BI114" s="19">
        <f>SUM(BI19:BI113)</f>
        <v>19924187.535999995</v>
      </c>
      <c r="BJ114" s="19"/>
      <c r="BK114" s="42"/>
      <c r="BL114" s="39">
        <f>SUM(BL19:BL113)</f>
        <v>67581004.207238033</v>
      </c>
      <c r="BM114" s="19">
        <f>SUM(BM19:BM113)</f>
        <v>75270173</v>
      </c>
      <c r="BN114" s="66"/>
      <c r="BO114" s="42"/>
      <c r="BP114" s="39">
        <f>SUM(BP19:BP113)</f>
        <v>208986333.68689993</v>
      </c>
      <c r="BQ114" s="19">
        <f>SUM(BQ19:BQ113)</f>
        <v>23087379</v>
      </c>
      <c r="BR114" s="19">
        <f>SUM(BR19:BR113)</f>
        <v>-1785</v>
      </c>
      <c r="BS114" s="19">
        <f>SUM(BS19:BS113)</f>
        <v>23089164</v>
      </c>
      <c r="BT114" s="66"/>
      <c r="BU114" s="42"/>
      <c r="BV114" s="49">
        <f>SUM(BV19:BV113)</f>
        <v>48652932.179274544</v>
      </c>
      <c r="BW114" s="19">
        <f>SUM(BW19:BW113)</f>
        <v>9515471</v>
      </c>
      <c r="BX114" s="66"/>
      <c r="BY114" s="42"/>
      <c r="BZ114" s="39">
        <f>SUM(BZ19:BZ113)</f>
        <v>35609452.314809918</v>
      </c>
      <c r="CA114" s="19">
        <f>SUM(CA19:CA113)</f>
        <v>7995604</v>
      </c>
      <c r="CB114" s="19"/>
      <c r="CC114" s="42"/>
      <c r="CD114" s="39">
        <f t="shared" ref="CD114:CK114" si="239">SUM(CD19:CD113)</f>
        <v>17098446.406689819</v>
      </c>
      <c r="CE114" s="19">
        <f t="shared" si="239"/>
        <v>9465129</v>
      </c>
      <c r="CF114" s="19">
        <f t="shared" si="239"/>
        <v>628357</v>
      </c>
      <c r="CG114" s="19">
        <f t="shared" si="239"/>
        <v>8836772</v>
      </c>
      <c r="CH114" s="39">
        <f t="shared" si="239"/>
        <v>2651031.6</v>
      </c>
      <c r="CI114" s="19">
        <f t="shared" si="239"/>
        <v>8632954</v>
      </c>
      <c r="CJ114" s="19">
        <f t="shared" si="239"/>
        <v>0</v>
      </c>
      <c r="CK114" s="19">
        <f t="shared" si="239"/>
        <v>8632954</v>
      </c>
      <c r="CL114" s="19"/>
      <c r="CM114" s="42"/>
      <c r="CN114" s="39">
        <f>SUM(CN19:CN113)</f>
        <v>22579572.992780175</v>
      </c>
      <c r="CO114" s="19">
        <f>SUM(CO19:CO113)</f>
        <v>103768292</v>
      </c>
      <c r="CP114" s="19">
        <f>SUM(CP19:CP113)</f>
        <v>8809875</v>
      </c>
      <c r="CQ114" s="19">
        <f>SUM(CQ19:CQ113)</f>
        <v>577</v>
      </c>
      <c r="CR114" s="19">
        <f>SUM(CR19:CR113)</f>
        <v>95137539</v>
      </c>
      <c r="CS114" s="66"/>
      <c r="CT114" s="42"/>
      <c r="CU114" s="39">
        <f>SUM(CU19:CU113)</f>
        <v>330521251.79177701</v>
      </c>
      <c r="CV114" s="19">
        <f>SUM(CV19:CV113)</f>
        <v>9157525</v>
      </c>
      <c r="CW114" s="19"/>
      <c r="CX114" s="42"/>
      <c r="CY114" s="39">
        <f>SUM(CY19:CY113)</f>
        <v>37389083.082105599</v>
      </c>
      <c r="CZ114" s="19">
        <f>SUM(CZ19:CZ113)</f>
        <v>62733348</v>
      </c>
      <c r="DA114" s="66"/>
      <c r="DB114" s="42"/>
      <c r="DC114" s="39">
        <f>SUM(DC19:DC113)</f>
        <v>212579330.12530449</v>
      </c>
      <c r="DD114" s="19">
        <f>SUM(DD19:DD113)</f>
        <v>30141499</v>
      </c>
      <c r="DE114" s="19"/>
      <c r="DF114" s="19">
        <f>SUM(DF19:DF113)</f>
        <v>2412107</v>
      </c>
      <c r="DG114" s="47">
        <f>SUM(DG19:DG113)</f>
        <v>27729392</v>
      </c>
      <c r="DH114" s="19">
        <f>SUM(DH19:DH113)</f>
        <v>8412438.5</v>
      </c>
      <c r="DI114" s="38"/>
      <c r="DJ114" s="42"/>
      <c r="DK114" s="49">
        <f>SUM(DK19:DK113)</f>
        <v>22150930.196109641</v>
      </c>
    </row>
    <row r="115" spans="1:126">
      <c r="A115" s="225"/>
      <c r="F115" s="195"/>
      <c r="G115" s="209"/>
      <c r="H115" s="209"/>
      <c r="K115" s="212"/>
      <c r="L115" s="195"/>
      <c r="M115" s="209"/>
      <c r="N115" s="209"/>
      <c r="O115" s="195"/>
      <c r="R115" s="212"/>
      <c r="S115" s="195"/>
      <c r="T115" s="209"/>
      <c r="U115" s="209"/>
      <c r="V115" s="195"/>
      <c r="Y115" s="212"/>
      <c r="Z115" s="195"/>
      <c r="AC115" s="212"/>
      <c r="AD115" s="195"/>
      <c r="AG115" s="212"/>
      <c r="AH115" s="195"/>
      <c r="AI115" s="209"/>
      <c r="AJ115" s="195"/>
      <c r="AM115" s="212"/>
      <c r="AN115" s="195"/>
      <c r="AQ115" s="212"/>
      <c r="AR115" s="195"/>
      <c r="AU115" s="212"/>
      <c r="AV115" s="195"/>
      <c r="AY115" s="212"/>
      <c r="AZ115" s="195"/>
      <c r="BC115" s="212"/>
      <c r="BD115" s="209"/>
      <c r="BE115" s="195"/>
      <c r="BH115" s="212"/>
      <c r="BI115" s="195"/>
      <c r="BJ115" s="195"/>
      <c r="BL115" s="212"/>
      <c r="BM115" s="195"/>
      <c r="BP115" s="212"/>
      <c r="BQ115" s="195"/>
      <c r="BR115" s="209"/>
      <c r="BS115" s="195"/>
      <c r="BV115" s="183"/>
      <c r="BW115" s="195"/>
      <c r="BZ115" s="212"/>
      <c r="CA115" s="195"/>
      <c r="CB115" s="195"/>
      <c r="CD115" s="212"/>
      <c r="CI115" s="195"/>
      <c r="CJ115" s="209"/>
      <c r="CK115" s="195"/>
      <c r="CL115" s="195"/>
      <c r="CN115" s="212"/>
      <c r="CO115" s="195"/>
      <c r="CP115" s="195"/>
      <c r="CQ115" s="195"/>
      <c r="CR115" s="195"/>
      <c r="CU115" s="212"/>
      <c r="CV115" s="195"/>
      <c r="CW115" s="195"/>
      <c r="CY115" s="212"/>
      <c r="CZ115" s="195"/>
      <c r="DC115" s="212"/>
    </row>
    <row r="116" spans="1:126">
      <c r="F116" s="195"/>
      <c r="G116" s="209"/>
      <c r="H116" s="209"/>
      <c r="K116" s="212"/>
      <c r="L116" s="195"/>
      <c r="M116" s="209"/>
      <c r="N116" s="209"/>
      <c r="O116" s="195"/>
      <c r="R116" s="212"/>
      <c r="S116" s="195"/>
      <c r="T116" s="209"/>
      <c r="U116" s="209"/>
      <c r="V116" s="195"/>
      <c r="Y116" s="212"/>
      <c r="Z116" s="195"/>
      <c r="AC116" s="212"/>
      <c r="AD116" s="195"/>
      <c r="AG116" s="212"/>
      <c r="AH116" s="195"/>
      <c r="AI116" s="209"/>
      <c r="AJ116" s="195"/>
      <c r="AM116" s="212"/>
      <c r="AN116" s="195"/>
      <c r="AQ116" s="212"/>
      <c r="AR116" s="195"/>
      <c r="AU116" s="212"/>
      <c r="AV116" s="195"/>
      <c r="AY116" s="212"/>
      <c r="AZ116" s="195"/>
      <c r="BC116" s="212"/>
      <c r="BD116" s="209"/>
      <c r="BE116" s="195"/>
      <c r="BH116" s="212"/>
      <c r="BI116" s="195"/>
      <c r="BJ116" s="195"/>
      <c r="BL116" s="212"/>
      <c r="BM116" s="195"/>
      <c r="BP116" s="212"/>
      <c r="BQ116" s="195"/>
      <c r="BR116" s="209"/>
      <c r="BS116" s="195"/>
      <c r="BV116" s="183"/>
      <c r="BW116" s="195"/>
      <c r="BZ116" s="212"/>
      <c r="CA116" s="195"/>
      <c r="CB116" s="195"/>
      <c r="CD116" s="212"/>
      <c r="CI116" s="195"/>
      <c r="CJ116" s="209"/>
      <c r="CK116" s="195"/>
      <c r="CL116" s="195"/>
      <c r="CN116" s="212"/>
      <c r="CO116" s="195"/>
      <c r="CP116" s="195"/>
      <c r="CQ116" s="195"/>
      <c r="CR116" s="195"/>
      <c r="CU116" s="212"/>
      <c r="CV116" s="195"/>
      <c r="CW116" s="195"/>
      <c r="CY116" s="212"/>
      <c r="CZ116" s="195"/>
      <c r="DC116" s="212"/>
    </row>
    <row r="117" spans="1:126">
      <c r="F117" s="195"/>
      <c r="G117" s="209"/>
      <c r="H117" s="209"/>
      <c r="K117" s="212"/>
      <c r="L117" s="195"/>
      <c r="M117" s="209"/>
      <c r="N117" s="209"/>
      <c r="O117" s="195"/>
      <c r="R117" s="212"/>
      <c r="S117" s="195"/>
      <c r="T117" s="209"/>
      <c r="U117" s="209"/>
      <c r="V117" s="195"/>
      <c r="Y117" s="212"/>
      <c r="Z117" s="195"/>
      <c r="AC117" s="212"/>
      <c r="AD117" s="195"/>
      <c r="AG117" s="212"/>
      <c r="AH117" s="195"/>
      <c r="AI117" s="209"/>
      <c r="AJ117" s="195"/>
      <c r="AL117" s="227" t="s">
        <v>48</v>
      </c>
      <c r="AM117" s="228">
        <f>E114+K114+R114+Y114+AC114+AG114+AM114</f>
        <v>289332999.1695134</v>
      </c>
      <c r="AN117" s="195"/>
      <c r="AQ117" s="212"/>
      <c r="AR117" s="195"/>
      <c r="AU117" s="212"/>
      <c r="AV117" s="195"/>
      <c r="AY117" s="212"/>
      <c r="AZ117" s="195"/>
      <c r="BC117" s="212"/>
      <c r="BD117" s="209"/>
      <c r="BE117" s="195"/>
      <c r="BH117" s="212"/>
      <c r="BI117" s="195"/>
      <c r="BJ117" s="195"/>
      <c r="BL117" s="212"/>
      <c r="BM117" s="195"/>
      <c r="BP117" s="212"/>
      <c r="BQ117" s="195"/>
      <c r="BR117" s="209"/>
      <c r="BS117" s="195"/>
      <c r="BV117" s="183"/>
      <c r="BW117" s="195"/>
      <c r="BZ117" s="212"/>
      <c r="CA117" s="195"/>
      <c r="CB117" s="195"/>
      <c r="CC117" s="227" t="s">
        <v>50</v>
      </c>
      <c r="CD117" s="228">
        <f>AY114+AU114+AQ114+BC114+BH114+BL114+BP114+BV114+BZ114+CD114</f>
        <v>1806123883.766516</v>
      </c>
      <c r="CI117" s="195"/>
      <c r="CJ117" s="209"/>
      <c r="CK117" s="195"/>
      <c r="CL117" s="195"/>
      <c r="CN117" s="212"/>
      <c r="CO117" s="195"/>
      <c r="CP117" s="195"/>
      <c r="CQ117" s="195"/>
      <c r="CR117" s="195"/>
      <c r="CU117" s="212"/>
      <c r="CV117" s="195"/>
      <c r="CW117" s="195"/>
      <c r="CY117" s="212"/>
      <c r="CZ117" s="195"/>
      <c r="DC117" s="212"/>
      <c r="DJ117" s="227" t="s">
        <v>52</v>
      </c>
      <c r="DK117" s="228">
        <f>BX114+CH114+CN114+CU114+CY114+DC114+DK114</f>
        <v>627871199.78807688</v>
      </c>
    </row>
    <row r="118" spans="1:126">
      <c r="F118" s="195"/>
      <c r="G118" s="209"/>
      <c r="H118" s="209"/>
      <c r="K118" s="212"/>
      <c r="L118" s="195"/>
      <c r="M118" s="209"/>
      <c r="N118" s="209"/>
      <c r="O118" s="195"/>
      <c r="R118" s="212"/>
      <c r="S118" s="195"/>
      <c r="T118" s="209"/>
      <c r="U118" s="209"/>
      <c r="V118" s="195"/>
      <c r="Y118" s="212"/>
      <c r="Z118" s="195"/>
      <c r="AC118" s="212"/>
      <c r="AD118" s="195"/>
      <c r="AG118" s="212"/>
      <c r="AH118" s="195"/>
      <c r="AI118" s="209"/>
      <c r="AJ118" s="195"/>
      <c r="AL118" s="227" t="s">
        <v>49</v>
      </c>
      <c r="AM118" s="228">
        <f>D114*0.7+H114+O114+V114+Z114+AD114+AJ114</f>
        <v>137101152.16999999</v>
      </c>
      <c r="AN118" s="195"/>
      <c r="AQ118" s="212"/>
      <c r="AR118" s="195"/>
      <c r="AU118" s="212"/>
      <c r="AV118" s="195"/>
      <c r="AY118" s="212"/>
      <c r="AZ118" s="195"/>
      <c r="BC118" s="212"/>
      <c r="BD118" s="209"/>
      <c r="BE118" s="195"/>
      <c r="BH118" s="212"/>
      <c r="BI118" s="195"/>
      <c r="BJ118" s="195"/>
      <c r="BL118" s="212"/>
      <c r="BM118" s="195"/>
      <c r="BP118" s="212"/>
      <c r="BQ118" s="195"/>
      <c r="BR118" s="209"/>
      <c r="BS118" s="195"/>
      <c r="BV118" s="183"/>
      <c r="BW118" s="195"/>
      <c r="BZ118" s="212"/>
      <c r="CA118" s="195"/>
      <c r="CB118" s="195"/>
      <c r="CC118" s="227" t="s">
        <v>51</v>
      </c>
      <c r="CD118" s="228">
        <f>AZ114+AV114+AR114+AN114+BE114+BI114+BM114+BS114+BW114+CA114</f>
        <v>577090259</v>
      </c>
      <c r="CI118" s="195"/>
      <c r="CJ118" s="209"/>
      <c r="CK118" s="195"/>
      <c r="CL118" s="195"/>
      <c r="CN118" s="212"/>
      <c r="CO118" s="195"/>
      <c r="CP118" s="195"/>
      <c r="CQ118" s="195"/>
      <c r="CR118" s="195"/>
      <c r="CU118" s="212"/>
      <c r="CV118" s="195"/>
      <c r="CW118" s="195"/>
      <c r="CY118" s="212"/>
      <c r="CZ118" s="195"/>
      <c r="DC118" s="212"/>
      <c r="DJ118" s="227" t="s">
        <v>53</v>
      </c>
      <c r="DK118" s="228">
        <f>BX115+CG114+CK114+CR114+CV114+CZ114+DH114</f>
        <v>192910576.5</v>
      </c>
    </row>
    <row r="119" spans="1:126">
      <c r="A119" s="230" t="s">
        <v>38</v>
      </c>
      <c r="B119" s="231">
        <v>9465129</v>
      </c>
      <c r="C119" s="129">
        <v>628357</v>
      </c>
      <c r="D119" s="231">
        <v>8836772</v>
      </c>
      <c r="E119" s="232">
        <v>6185740.4000000013</v>
      </c>
      <c r="F119" s="231">
        <v>17042745</v>
      </c>
      <c r="G119" s="129">
        <v>12277314</v>
      </c>
      <c r="H119" s="129">
        <v>4765431</v>
      </c>
      <c r="I119" s="233"/>
      <c r="J119" s="233"/>
      <c r="K119" s="232">
        <v>15680183.341132862</v>
      </c>
      <c r="L119" s="231">
        <v>72356524.769999996</v>
      </c>
      <c r="M119" s="129">
        <v>6441</v>
      </c>
      <c r="N119" s="129">
        <v>980</v>
      </c>
      <c r="O119" s="231">
        <v>72360434.769999996</v>
      </c>
      <c r="P119" s="129"/>
      <c r="Q119" s="129"/>
      <c r="R119" s="232">
        <v>159609725.88702926</v>
      </c>
      <c r="S119" s="231">
        <v>62673731</v>
      </c>
      <c r="T119" s="129">
        <v>12496050</v>
      </c>
      <c r="U119" s="129">
        <v>1070</v>
      </c>
      <c r="V119" s="231">
        <v>50188434</v>
      </c>
      <c r="W119" s="129"/>
      <c r="X119" s="129"/>
      <c r="Y119" s="232">
        <v>157118594.51014552</v>
      </c>
      <c r="Z119" s="231">
        <v>559443</v>
      </c>
      <c r="AA119" s="129"/>
      <c r="AB119" s="129"/>
      <c r="AC119" s="232">
        <v>1247098.3598940826</v>
      </c>
      <c r="AD119" s="231">
        <v>1317535</v>
      </c>
      <c r="AE119" s="129"/>
      <c r="AF119" s="129"/>
      <c r="AG119" s="232">
        <v>3072215.2612657277</v>
      </c>
      <c r="AH119" s="231">
        <v>1814402</v>
      </c>
      <c r="AI119" s="129">
        <v>78835</v>
      </c>
      <c r="AJ119" s="231">
        <v>1724134</v>
      </c>
      <c r="AK119" s="129"/>
      <c r="AL119" s="129"/>
      <c r="AM119" s="232">
        <v>2778052.818206212</v>
      </c>
      <c r="AN119" s="231">
        <v>138032857</v>
      </c>
      <c r="AO119" s="129"/>
      <c r="AP119" s="129"/>
      <c r="AQ119" s="232">
        <v>302368632.64484638</v>
      </c>
      <c r="AR119" s="231">
        <v>95317502</v>
      </c>
      <c r="AS119" s="129"/>
      <c r="AT119" s="129"/>
      <c r="AU119" s="232">
        <v>238274706.84936181</v>
      </c>
      <c r="AV119" s="231">
        <v>41732920</v>
      </c>
      <c r="AW119" s="129"/>
      <c r="AX119" s="129"/>
      <c r="AY119" s="232">
        <v>80172489.748981535</v>
      </c>
      <c r="AZ119" s="231">
        <v>72930957</v>
      </c>
      <c r="BA119" s="129"/>
      <c r="BB119" s="129"/>
      <c r="BC119" s="232">
        <v>88464689.919418842</v>
      </c>
      <c r="BD119" s="129">
        <v>113205611</v>
      </c>
      <c r="BE119" s="231">
        <v>93281423.464000002</v>
      </c>
      <c r="BF119" s="129"/>
      <c r="BG119" s="129"/>
      <c r="BH119" s="232">
        <v>117723026.12144899</v>
      </c>
      <c r="BI119" s="231">
        <v>19924187.535999995</v>
      </c>
      <c r="BJ119" s="231"/>
      <c r="BK119" s="129"/>
      <c r="BL119" s="232">
        <v>34412413.185280703</v>
      </c>
      <c r="BM119" s="231">
        <v>75270173</v>
      </c>
      <c r="BN119" s="129"/>
      <c r="BO119" s="129"/>
      <c r="BP119" s="232">
        <v>140010727.32015753</v>
      </c>
      <c r="BQ119" s="231">
        <v>23087379</v>
      </c>
      <c r="BR119" s="129">
        <v>-1785</v>
      </c>
      <c r="BS119" s="231">
        <v>23089164</v>
      </c>
      <c r="BT119" s="129"/>
      <c r="BU119" s="129"/>
      <c r="BV119" s="234">
        <v>29160524.617529612</v>
      </c>
      <c r="BW119" s="231">
        <v>9515471</v>
      </c>
      <c r="BX119" s="129"/>
      <c r="BY119" s="129"/>
      <c r="BZ119" s="232">
        <v>19998084.839738742</v>
      </c>
      <c r="CA119" s="231">
        <v>7995604</v>
      </c>
      <c r="CB119" s="231"/>
      <c r="CC119" s="129"/>
      <c r="CD119" s="232">
        <v>9600291.1021443196</v>
      </c>
      <c r="CE119" s="231">
        <v>9465129</v>
      </c>
      <c r="CF119" s="129">
        <v>628357</v>
      </c>
      <c r="CG119" s="231">
        <v>8836772</v>
      </c>
      <c r="CH119" s="232">
        <v>2651031.6</v>
      </c>
      <c r="CI119" s="231">
        <v>8632954</v>
      </c>
      <c r="CJ119" s="129">
        <v>0</v>
      </c>
      <c r="CK119" s="231">
        <v>8632954</v>
      </c>
      <c r="CL119" s="231"/>
      <c r="CM119" s="129"/>
      <c r="CN119" s="232">
        <v>16016610.642133482</v>
      </c>
      <c r="CO119" s="231">
        <v>103768292</v>
      </c>
      <c r="CP119" s="231">
        <v>8809875</v>
      </c>
      <c r="CQ119" s="231">
        <v>577</v>
      </c>
      <c r="CR119" s="231">
        <v>95137539</v>
      </c>
      <c r="CS119" s="129"/>
      <c r="CT119" s="129"/>
      <c r="CU119" s="232">
        <v>196166343.40176052</v>
      </c>
      <c r="CV119" s="231">
        <v>9157525</v>
      </c>
      <c r="CW119" s="231"/>
      <c r="CX119" s="129"/>
      <c r="CY119" s="232">
        <v>26517151.440283034</v>
      </c>
      <c r="CZ119" s="231">
        <v>62733348</v>
      </c>
      <c r="DA119" s="129"/>
      <c r="DB119" s="129"/>
      <c r="DC119" s="232">
        <v>123950101.71921596</v>
      </c>
      <c r="DD119" s="231">
        <v>30141499</v>
      </c>
      <c r="DE119" s="231"/>
      <c r="DF119" s="129">
        <v>2412107</v>
      </c>
      <c r="DG119" s="129">
        <v>27729392</v>
      </c>
      <c r="DH119" s="231">
        <v>8412438.5</v>
      </c>
      <c r="DI119" s="129"/>
      <c r="DJ119" s="233"/>
      <c r="DK119" s="234">
        <v>11667398.169111909</v>
      </c>
    </row>
    <row r="120" spans="1:126">
      <c r="F120" s="195"/>
      <c r="G120" s="209"/>
      <c r="H120" s="209"/>
      <c r="K120" s="212"/>
      <c r="L120" s="195"/>
      <c r="M120" s="209"/>
      <c r="N120" s="209"/>
      <c r="O120" s="195"/>
      <c r="R120" s="212"/>
      <c r="S120" s="195"/>
      <c r="T120" s="209"/>
      <c r="U120" s="209"/>
      <c r="V120" s="195"/>
      <c r="Y120" s="212"/>
      <c r="Z120" s="195"/>
      <c r="AC120" s="212"/>
      <c r="AD120" s="195"/>
      <c r="AG120" s="212"/>
      <c r="AH120" s="195"/>
      <c r="AI120" s="209"/>
      <c r="AJ120" s="195"/>
      <c r="AM120" s="212"/>
      <c r="AN120" s="195"/>
      <c r="AQ120" s="212"/>
      <c r="AR120" s="195"/>
      <c r="AU120" s="212"/>
      <c r="AV120" s="195"/>
      <c r="AY120" s="212"/>
      <c r="AZ120" s="195"/>
      <c r="BC120" s="212"/>
      <c r="BD120" s="209"/>
      <c r="BE120" s="195"/>
      <c r="BH120" s="212"/>
      <c r="BI120" s="195"/>
      <c r="BJ120" s="195"/>
      <c r="BL120" s="212"/>
      <c r="BM120" s="195"/>
      <c r="BP120" s="212"/>
      <c r="BQ120" s="195"/>
      <c r="BR120" s="209"/>
      <c r="BS120" s="195"/>
      <c r="BV120" s="183"/>
      <c r="BW120" s="195"/>
      <c r="BZ120" s="212"/>
      <c r="CA120" s="195"/>
      <c r="CB120" s="195"/>
      <c r="CD120" s="212"/>
      <c r="CI120" s="195"/>
      <c r="CJ120" s="209"/>
      <c r="CK120" s="195"/>
      <c r="CL120" s="195"/>
      <c r="CN120" s="212"/>
      <c r="CO120" s="195"/>
      <c r="CP120" s="195"/>
      <c r="CQ120" s="195"/>
      <c r="CR120" s="195"/>
      <c r="CU120" s="212"/>
      <c r="CV120" s="195"/>
      <c r="CW120" s="195"/>
      <c r="CY120" s="212"/>
      <c r="CZ120" s="195"/>
      <c r="DC120" s="212"/>
    </row>
    <row r="121" spans="1:126" ht="13.5" thickBot="1">
      <c r="F121" s="195"/>
      <c r="G121" s="209"/>
      <c r="H121" s="209"/>
      <c r="K121" s="212"/>
      <c r="L121" s="195"/>
      <c r="M121" s="209"/>
      <c r="N121" s="209"/>
      <c r="O121" s="195"/>
      <c r="R121" s="212"/>
      <c r="S121" s="195"/>
      <c r="T121" s="209"/>
      <c r="U121" s="209"/>
      <c r="V121" s="195"/>
      <c r="Y121" s="212"/>
      <c r="Z121" s="195"/>
      <c r="AC121" s="212"/>
      <c r="AD121" s="195"/>
      <c r="AG121" s="212"/>
      <c r="AH121" s="195"/>
      <c r="AI121" s="209"/>
      <c r="AJ121" s="195"/>
      <c r="AM121" s="212"/>
      <c r="AN121" s="195"/>
      <c r="AQ121" s="212"/>
      <c r="AR121" s="195"/>
      <c r="AU121" s="212"/>
      <c r="AV121" s="195"/>
      <c r="AY121" s="212"/>
      <c r="AZ121" s="195"/>
      <c r="BC121" s="212"/>
      <c r="BD121" s="209"/>
      <c r="BE121" s="195"/>
      <c r="BH121" s="212"/>
      <c r="BI121" s="195"/>
      <c r="BJ121" s="195"/>
      <c r="BL121" s="212"/>
      <c r="BM121" s="195"/>
      <c r="BP121" s="212"/>
      <c r="BQ121" s="195"/>
      <c r="BR121" s="209"/>
      <c r="BS121" s="195"/>
      <c r="BV121" s="183"/>
      <c r="BW121" s="195"/>
      <c r="BZ121" s="212"/>
      <c r="CA121" s="195"/>
      <c r="CB121" s="195"/>
      <c r="CD121" s="212"/>
      <c r="CI121" s="195"/>
      <c r="CJ121" s="209"/>
      <c r="CK121" s="195"/>
      <c r="CL121" s="195"/>
      <c r="CN121" s="212"/>
      <c r="CO121" s="195"/>
      <c r="CP121" s="195"/>
      <c r="CQ121" s="195"/>
      <c r="CR121" s="195"/>
      <c r="CU121" s="212"/>
      <c r="CV121" s="195"/>
      <c r="CW121" s="195"/>
      <c r="CY121" s="212"/>
      <c r="CZ121" s="195"/>
      <c r="DC121" s="212"/>
    </row>
    <row r="122" spans="1:126" s="68" customFormat="1">
      <c r="A122" s="226"/>
      <c r="B122" s="92"/>
      <c r="C122" s="170"/>
      <c r="D122" s="92"/>
      <c r="E122" s="171"/>
      <c r="F122" s="195"/>
      <c r="G122" s="209"/>
      <c r="H122" s="209"/>
      <c r="I122" s="214"/>
      <c r="J122" s="173"/>
      <c r="K122" s="212"/>
      <c r="L122" s="195"/>
      <c r="M122" s="209"/>
      <c r="N122" s="209"/>
      <c r="O122" s="195"/>
      <c r="P122" s="175"/>
      <c r="Q122" s="135"/>
      <c r="R122" s="212"/>
      <c r="S122" s="195"/>
      <c r="T122" s="209"/>
      <c r="U122" s="209"/>
      <c r="V122" s="195"/>
      <c r="W122" s="175"/>
      <c r="X122" s="135"/>
      <c r="Y122" s="212"/>
      <c r="Z122" s="195"/>
      <c r="AA122" s="175"/>
      <c r="AB122" s="135"/>
      <c r="AC122" s="212"/>
      <c r="AD122" s="195"/>
      <c r="AE122" s="175"/>
      <c r="AF122" s="135"/>
      <c r="AG122" s="212"/>
      <c r="AH122" s="195"/>
      <c r="AI122" s="209"/>
      <c r="AJ122" s="195"/>
      <c r="AK122" s="175"/>
      <c r="AL122" s="135"/>
      <c r="AM122" s="212"/>
      <c r="AN122" s="195"/>
      <c r="AO122" s="175"/>
      <c r="AP122" s="135"/>
      <c r="AQ122" s="212"/>
      <c r="AR122" s="195"/>
      <c r="AS122" s="175"/>
      <c r="AT122" s="135"/>
      <c r="AU122" s="212"/>
      <c r="AV122" s="195"/>
      <c r="AW122" s="175"/>
      <c r="AX122" s="135"/>
      <c r="AY122" s="212"/>
      <c r="AZ122" s="195"/>
      <c r="BA122" s="175"/>
      <c r="BB122" s="135"/>
      <c r="BC122" s="212"/>
      <c r="BD122" s="209"/>
      <c r="BE122" s="195"/>
      <c r="BF122" s="175"/>
      <c r="BG122" s="135"/>
      <c r="BH122" s="212"/>
      <c r="BI122" s="195"/>
      <c r="BJ122" s="195"/>
      <c r="BK122" s="135"/>
      <c r="BL122" s="212"/>
      <c r="BM122" s="195"/>
      <c r="BN122" s="175"/>
      <c r="BO122" s="135"/>
      <c r="BP122" s="212"/>
      <c r="BQ122" s="195"/>
      <c r="BR122" s="209"/>
      <c r="BS122" s="195"/>
      <c r="BT122" s="175"/>
      <c r="BU122" s="135"/>
      <c r="BV122" s="183"/>
      <c r="BW122" s="195"/>
      <c r="BX122" s="175"/>
      <c r="BY122" s="135"/>
      <c r="BZ122" s="212"/>
      <c r="CA122" s="195"/>
      <c r="CB122" s="195"/>
      <c r="CC122" s="135"/>
      <c r="CD122" s="212"/>
      <c r="CE122" s="92"/>
      <c r="CF122" s="170"/>
      <c r="CG122" s="92"/>
      <c r="CH122" s="171"/>
      <c r="CI122" s="195"/>
      <c r="CJ122" s="209"/>
      <c r="CK122" s="195"/>
      <c r="CL122" s="195"/>
      <c r="CM122" s="135"/>
      <c r="CN122" s="212"/>
      <c r="CO122" s="195"/>
      <c r="CP122" s="195"/>
      <c r="CQ122" s="195"/>
      <c r="CR122" s="195"/>
      <c r="CS122" s="175"/>
      <c r="CT122" s="135"/>
      <c r="CU122" s="212"/>
      <c r="CV122" s="195"/>
      <c r="CW122" s="195"/>
      <c r="CX122" s="135"/>
      <c r="CY122" s="212"/>
      <c r="CZ122" s="195"/>
      <c r="DA122" s="175"/>
      <c r="DB122" s="135"/>
      <c r="DC122" s="212"/>
      <c r="DD122" s="92"/>
      <c r="DE122" s="92"/>
      <c r="DF122" s="170"/>
      <c r="DG122" s="170"/>
      <c r="DH122" s="92"/>
      <c r="DI122" s="182"/>
      <c r="DJ122" s="173"/>
      <c r="DK122" s="183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</row>
    <row r="123" spans="1:126">
      <c r="F123" s="195"/>
      <c r="G123" s="209"/>
      <c r="H123" s="209"/>
      <c r="K123" s="212"/>
      <c r="L123" s="195"/>
      <c r="M123" s="209"/>
      <c r="N123" s="209"/>
      <c r="O123" s="195"/>
      <c r="R123" s="212"/>
      <c r="S123" s="195"/>
      <c r="T123" s="209"/>
      <c r="U123" s="209"/>
      <c r="V123" s="195"/>
      <c r="Y123" s="212"/>
      <c r="Z123" s="195"/>
      <c r="AC123" s="212"/>
      <c r="AD123" s="195"/>
      <c r="AG123" s="212"/>
      <c r="AH123" s="195"/>
      <c r="AI123" s="209"/>
      <c r="AJ123" s="195"/>
      <c r="AM123" s="212"/>
      <c r="AN123" s="195"/>
      <c r="AQ123" s="212"/>
      <c r="AR123" s="195"/>
      <c r="AU123" s="212"/>
      <c r="AV123" s="195"/>
      <c r="AY123" s="212"/>
      <c r="AZ123" s="195"/>
      <c r="BC123" s="212"/>
      <c r="BD123" s="209"/>
      <c r="BE123" s="195"/>
      <c r="BH123" s="212"/>
      <c r="BI123" s="195"/>
      <c r="BJ123" s="195"/>
      <c r="BL123" s="212"/>
      <c r="BM123" s="195"/>
      <c r="BP123" s="212"/>
      <c r="BQ123" s="195"/>
      <c r="BR123" s="209"/>
      <c r="BS123" s="195"/>
      <c r="BV123" s="183"/>
      <c r="BW123" s="195"/>
      <c r="BZ123" s="212"/>
      <c r="CA123" s="195"/>
      <c r="CB123" s="195"/>
      <c r="CD123" s="212"/>
      <c r="CI123" s="195"/>
      <c r="CJ123" s="209"/>
      <c r="CK123" s="195"/>
      <c r="CL123" s="195"/>
      <c r="CN123" s="212"/>
      <c r="CO123" s="195"/>
      <c r="CP123" s="195"/>
      <c r="CQ123" s="195"/>
      <c r="CR123" s="195"/>
      <c r="CU123" s="212"/>
      <c r="CV123" s="195"/>
      <c r="CW123" s="195"/>
      <c r="CY123" s="212"/>
      <c r="CZ123" s="195"/>
      <c r="DC123" s="212"/>
    </row>
    <row r="124" spans="1:126">
      <c r="F124" s="195"/>
      <c r="G124" s="209"/>
      <c r="H124" s="209"/>
      <c r="K124" s="212"/>
      <c r="L124" s="195"/>
      <c r="M124" s="209"/>
      <c r="N124" s="209"/>
      <c r="O124" s="195"/>
      <c r="R124" s="212"/>
      <c r="S124" s="195"/>
      <c r="T124" s="209"/>
      <c r="U124" s="209"/>
      <c r="V124" s="195"/>
      <c r="Y124" s="212"/>
      <c r="Z124" s="195"/>
      <c r="AC124" s="212"/>
      <c r="AD124" s="195"/>
      <c r="AG124" s="212"/>
      <c r="AH124" s="195"/>
      <c r="AI124" s="209"/>
      <c r="AJ124" s="195"/>
      <c r="AM124" s="212"/>
      <c r="AN124" s="195"/>
      <c r="AQ124" s="212"/>
      <c r="AR124" s="195"/>
      <c r="AU124" s="212"/>
      <c r="AV124" s="195"/>
      <c r="AY124" s="212"/>
      <c r="AZ124" s="195"/>
      <c r="BC124" s="212"/>
      <c r="BD124" s="209"/>
      <c r="BE124" s="195"/>
      <c r="BH124" s="212"/>
      <c r="BI124" s="195"/>
      <c r="BJ124" s="195"/>
      <c r="BL124" s="212"/>
      <c r="BM124" s="195"/>
      <c r="BP124" s="212"/>
      <c r="BQ124" s="195"/>
      <c r="BR124" s="209"/>
      <c r="BS124" s="195"/>
      <c r="BV124" s="183"/>
      <c r="BW124" s="195"/>
      <c r="BZ124" s="212"/>
      <c r="CA124" s="195"/>
      <c r="CB124" s="195"/>
      <c r="CD124" s="212"/>
      <c r="CI124" s="195"/>
      <c r="CJ124" s="209"/>
      <c r="CK124" s="195"/>
      <c r="CL124" s="195"/>
      <c r="CN124" s="212"/>
      <c r="CO124" s="195"/>
      <c r="CP124" s="195"/>
      <c r="CQ124" s="195"/>
      <c r="CR124" s="195"/>
      <c r="CU124" s="212"/>
      <c r="CV124" s="195"/>
      <c r="CW124" s="195"/>
      <c r="CY124" s="212"/>
      <c r="CZ124" s="195"/>
      <c r="DC124" s="212"/>
    </row>
    <row r="125" spans="1:126">
      <c r="F125" s="195"/>
      <c r="G125" s="209"/>
      <c r="H125" s="209"/>
      <c r="K125" s="212"/>
      <c r="L125" s="195"/>
      <c r="M125" s="209"/>
      <c r="N125" s="209"/>
      <c r="O125" s="195"/>
      <c r="R125" s="212"/>
      <c r="S125" s="195"/>
      <c r="T125" s="209"/>
      <c r="U125" s="209"/>
      <c r="V125" s="195"/>
      <c r="Y125" s="212"/>
      <c r="Z125" s="195"/>
      <c r="AC125" s="212"/>
      <c r="AD125" s="195"/>
      <c r="AG125" s="212"/>
      <c r="AH125" s="195"/>
      <c r="AI125" s="209"/>
      <c r="AJ125" s="195"/>
      <c r="AM125" s="212"/>
      <c r="AN125" s="195"/>
      <c r="AQ125" s="212"/>
      <c r="AR125" s="195"/>
      <c r="AU125" s="212"/>
      <c r="AV125" s="195"/>
      <c r="AY125" s="212"/>
      <c r="AZ125" s="195"/>
      <c r="BC125" s="212"/>
      <c r="BD125" s="209"/>
      <c r="BE125" s="195"/>
      <c r="BH125" s="212"/>
      <c r="BI125" s="195"/>
      <c r="BJ125" s="195"/>
      <c r="BL125" s="212"/>
      <c r="BM125" s="195"/>
      <c r="BP125" s="212"/>
      <c r="BQ125" s="195"/>
      <c r="BR125" s="209"/>
      <c r="BS125" s="195"/>
      <c r="BV125" s="183"/>
      <c r="BW125" s="195"/>
      <c r="BZ125" s="212"/>
      <c r="CA125" s="195"/>
      <c r="CB125" s="195"/>
      <c r="CD125" s="212"/>
      <c r="CI125" s="195"/>
      <c r="CJ125" s="209"/>
      <c r="CK125" s="195"/>
      <c r="CL125" s="195"/>
      <c r="CN125" s="212"/>
      <c r="CO125" s="195"/>
      <c r="CP125" s="195"/>
      <c r="CQ125" s="195"/>
      <c r="CR125" s="195"/>
      <c r="CU125" s="212"/>
      <c r="CV125" s="195"/>
      <c r="CW125" s="195"/>
      <c r="CY125" s="212"/>
      <c r="CZ125" s="195"/>
      <c r="DC125" s="212"/>
    </row>
    <row r="126" spans="1:126">
      <c r="F126" s="195"/>
      <c r="G126" s="209"/>
      <c r="H126" s="209"/>
      <c r="K126" s="212"/>
      <c r="L126" s="195"/>
      <c r="M126" s="209"/>
      <c r="N126" s="209"/>
      <c r="O126" s="195"/>
      <c r="R126" s="212"/>
      <c r="S126" s="195"/>
      <c r="T126" s="209"/>
      <c r="U126" s="209"/>
      <c r="V126" s="195"/>
      <c r="Y126" s="212"/>
      <c r="Z126" s="195"/>
      <c r="AC126" s="212"/>
      <c r="AD126" s="195"/>
      <c r="AG126" s="212"/>
      <c r="AH126" s="195"/>
      <c r="AI126" s="209"/>
      <c r="AJ126" s="195"/>
      <c r="AM126" s="212"/>
      <c r="AN126" s="195"/>
      <c r="AQ126" s="212"/>
      <c r="AR126" s="195"/>
      <c r="AU126" s="212"/>
      <c r="AV126" s="195"/>
      <c r="AY126" s="212"/>
      <c r="AZ126" s="195"/>
      <c r="BC126" s="212"/>
      <c r="BD126" s="209"/>
      <c r="BE126" s="195"/>
      <c r="BH126" s="212"/>
      <c r="BI126" s="195"/>
      <c r="BJ126" s="195"/>
      <c r="BL126" s="212"/>
      <c r="BM126" s="195"/>
      <c r="BP126" s="212"/>
      <c r="BQ126" s="195"/>
      <c r="BR126" s="209"/>
      <c r="BS126" s="195"/>
      <c r="BV126" s="183"/>
      <c r="BW126" s="195"/>
      <c r="BZ126" s="212"/>
      <c r="CA126" s="195"/>
      <c r="CB126" s="195"/>
      <c r="CD126" s="212"/>
      <c r="CI126" s="195"/>
      <c r="CJ126" s="209"/>
      <c r="CK126" s="195"/>
      <c r="CL126" s="195"/>
      <c r="CN126" s="212"/>
      <c r="CO126" s="195"/>
      <c r="CP126" s="195"/>
      <c r="CQ126" s="195"/>
      <c r="CR126" s="195"/>
      <c r="CU126" s="212"/>
      <c r="CV126" s="195"/>
      <c r="CW126" s="195"/>
      <c r="CY126" s="212"/>
      <c r="CZ126" s="195"/>
      <c r="DC126" s="212"/>
    </row>
    <row r="127" spans="1:126" s="231" customFormat="1">
      <c r="A127" s="226"/>
      <c r="B127" s="92"/>
      <c r="C127" s="170"/>
      <c r="D127" s="92"/>
      <c r="E127" s="171"/>
      <c r="F127" s="195"/>
      <c r="G127" s="209"/>
      <c r="H127" s="209"/>
      <c r="I127" s="214"/>
      <c r="J127" s="173"/>
      <c r="K127" s="212"/>
      <c r="L127" s="195"/>
      <c r="M127" s="209"/>
      <c r="N127" s="209"/>
      <c r="O127" s="195"/>
      <c r="P127" s="175"/>
      <c r="Q127" s="135"/>
      <c r="R127" s="212"/>
      <c r="S127" s="195"/>
      <c r="T127" s="209"/>
      <c r="U127" s="209"/>
      <c r="V127" s="195"/>
      <c r="W127" s="175"/>
      <c r="X127" s="135"/>
      <c r="Y127" s="212"/>
      <c r="Z127" s="195"/>
      <c r="AA127" s="175"/>
      <c r="AB127" s="135"/>
      <c r="AC127" s="212"/>
      <c r="AD127" s="195"/>
      <c r="AE127" s="175"/>
      <c r="AF127" s="135"/>
      <c r="AG127" s="212"/>
      <c r="AH127" s="195"/>
      <c r="AI127" s="209"/>
      <c r="AJ127" s="195"/>
      <c r="AK127" s="175"/>
      <c r="AL127" s="135"/>
      <c r="AM127" s="212"/>
      <c r="AN127" s="195"/>
      <c r="AO127" s="175"/>
      <c r="AP127" s="135"/>
      <c r="AQ127" s="212"/>
      <c r="AR127" s="195"/>
      <c r="AS127" s="175"/>
      <c r="AT127" s="135"/>
      <c r="AU127" s="212"/>
      <c r="AV127" s="195"/>
      <c r="AW127" s="175"/>
      <c r="AX127" s="135"/>
      <c r="AY127" s="212"/>
      <c r="AZ127" s="195"/>
      <c r="BA127" s="175"/>
      <c r="BB127" s="135"/>
      <c r="BC127" s="212"/>
      <c r="BD127" s="209"/>
      <c r="BE127" s="195"/>
      <c r="BF127" s="175"/>
      <c r="BG127" s="135"/>
      <c r="BH127" s="212"/>
      <c r="BI127" s="195"/>
      <c r="BJ127" s="195"/>
      <c r="BK127" s="135"/>
      <c r="BL127" s="212"/>
      <c r="BM127" s="195"/>
      <c r="BN127" s="175"/>
      <c r="BO127" s="135"/>
      <c r="BP127" s="212"/>
      <c r="BQ127" s="195"/>
      <c r="BR127" s="209"/>
      <c r="BS127" s="195"/>
      <c r="BT127" s="175"/>
      <c r="BU127" s="135"/>
      <c r="BV127" s="183"/>
      <c r="BW127" s="195"/>
      <c r="BX127" s="175"/>
      <c r="BY127" s="135"/>
      <c r="BZ127" s="212"/>
      <c r="CA127" s="195"/>
      <c r="CB127" s="195"/>
      <c r="CC127" s="135"/>
      <c r="CD127" s="212"/>
      <c r="CE127" s="92"/>
      <c r="CF127" s="170"/>
      <c r="CG127" s="92"/>
      <c r="CH127" s="171"/>
      <c r="CI127" s="195"/>
      <c r="CJ127" s="209"/>
      <c r="CK127" s="195"/>
      <c r="CL127" s="195"/>
      <c r="CM127" s="135"/>
      <c r="CN127" s="212"/>
      <c r="CO127" s="195"/>
      <c r="CP127" s="195"/>
      <c r="CQ127" s="195"/>
      <c r="CR127" s="195"/>
      <c r="CS127" s="175"/>
      <c r="CT127" s="135"/>
      <c r="CU127" s="212"/>
      <c r="CV127" s="195"/>
      <c r="CW127" s="195"/>
      <c r="CX127" s="135"/>
      <c r="CY127" s="212"/>
      <c r="CZ127" s="195"/>
      <c r="DA127" s="175"/>
      <c r="DB127" s="135"/>
      <c r="DC127" s="212"/>
      <c r="DD127" s="92"/>
      <c r="DE127" s="92"/>
      <c r="DF127" s="170"/>
      <c r="DG127" s="170"/>
      <c r="DH127" s="92"/>
      <c r="DI127" s="182"/>
      <c r="DJ127" s="173"/>
      <c r="DK127" s="183"/>
    </row>
    <row r="128" spans="1:126">
      <c r="F128" s="195"/>
      <c r="G128" s="209"/>
      <c r="H128" s="209"/>
      <c r="K128" s="212"/>
      <c r="L128" s="195"/>
      <c r="M128" s="209"/>
      <c r="N128" s="209"/>
      <c r="O128" s="195"/>
      <c r="R128" s="212"/>
      <c r="S128" s="195"/>
      <c r="T128" s="209"/>
      <c r="U128" s="209"/>
      <c r="V128" s="195"/>
      <c r="Y128" s="212"/>
      <c r="Z128" s="195"/>
      <c r="AC128" s="212"/>
      <c r="AD128" s="195"/>
      <c r="AG128" s="212"/>
      <c r="AH128" s="195"/>
      <c r="AI128" s="209"/>
      <c r="AJ128" s="195"/>
      <c r="AM128" s="212"/>
      <c r="AN128" s="195"/>
      <c r="AQ128" s="212"/>
      <c r="AR128" s="195"/>
      <c r="AU128" s="212"/>
      <c r="AV128" s="195"/>
      <c r="AY128" s="212"/>
      <c r="AZ128" s="195"/>
      <c r="BC128" s="212"/>
      <c r="BD128" s="209"/>
      <c r="BE128" s="195"/>
      <c r="BH128" s="212"/>
      <c r="BI128" s="195"/>
      <c r="BJ128" s="195"/>
      <c r="BL128" s="212"/>
      <c r="BM128" s="195"/>
      <c r="BP128" s="212"/>
      <c r="BQ128" s="195"/>
      <c r="BR128" s="209"/>
      <c r="BS128" s="195"/>
      <c r="BV128" s="183"/>
      <c r="BW128" s="195"/>
      <c r="BZ128" s="212"/>
      <c r="CA128" s="195"/>
      <c r="CB128" s="195"/>
      <c r="CD128" s="212"/>
      <c r="CI128" s="195"/>
      <c r="CJ128" s="209"/>
      <c r="CK128" s="195"/>
      <c r="CL128" s="195"/>
      <c r="CN128" s="212"/>
      <c r="CO128" s="195"/>
      <c r="CP128" s="195"/>
      <c r="CQ128" s="195"/>
      <c r="CR128" s="195"/>
      <c r="CU128" s="212"/>
      <c r="CV128" s="195"/>
      <c r="CW128" s="195"/>
      <c r="CY128" s="212"/>
      <c r="CZ128" s="195"/>
      <c r="DC128" s="212"/>
    </row>
    <row r="129" spans="1:107">
      <c r="A129" s="235" t="s">
        <v>57</v>
      </c>
      <c r="F129" s="195"/>
      <c r="G129" s="209"/>
      <c r="H129" s="209"/>
      <c r="K129" s="212"/>
      <c r="L129" s="195"/>
      <c r="M129" s="209"/>
      <c r="N129" s="209"/>
      <c r="O129" s="195"/>
      <c r="R129" s="212"/>
      <c r="S129" s="195"/>
      <c r="T129" s="209"/>
      <c r="U129" s="209"/>
      <c r="V129" s="195"/>
      <c r="Y129" s="212"/>
      <c r="Z129" s="195"/>
      <c r="AC129" s="212"/>
      <c r="AD129" s="195"/>
      <c r="AG129" s="212"/>
      <c r="AH129" s="195"/>
      <c r="AI129" s="209"/>
      <c r="AJ129" s="195"/>
      <c r="AM129" s="212"/>
      <c r="AN129" s="195"/>
      <c r="AQ129" s="212"/>
      <c r="AR129" s="195"/>
      <c r="AU129" s="212"/>
      <c r="AV129" s="195"/>
      <c r="AY129" s="212"/>
      <c r="AZ129" s="195"/>
      <c r="BC129" s="212"/>
      <c r="BD129" s="209"/>
      <c r="BE129" s="195"/>
      <c r="BH129" s="212"/>
      <c r="BI129" s="195"/>
      <c r="BJ129" s="195"/>
      <c r="BL129" s="212"/>
      <c r="BM129" s="195"/>
      <c r="BP129" s="212"/>
      <c r="BQ129" s="195"/>
      <c r="BR129" s="209"/>
      <c r="BS129" s="195"/>
      <c r="BV129" s="183"/>
      <c r="BW129" s="195"/>
      <c r="BZ129" s="212"/>
      <c r="CA129" s="195"/>
      <c r="CB129" s="195"/>
      <c r="CD129" s="212"/>
      <c r="CI129" s="195"/>
      <c r="CJ129" s="209"/>
      <c r="CK129" s="195"/>
      <c r="CL129" s="195"/>
      <c r="CN129" s="212"/>
      <c r="CO129" s="195"/>
      <c r="CP129" s="195"/>
      <c r="CQ129" s="195"/>
      <c r="CR129" s="195"/>
      <c r="CU129" s="212"/>
      <c r="CV129" s="195"/>
      <c r="CW129" s="195"/>
      <c r="CY129" s="212"/>
      <c r="CZ129" s="195"/>
      <c r="DC129" s="212"/>
    </row>
    <row r="130" spans="1:107">
      <c r="F130" s="195"/>
      <c r="G130" s="209"/>
      <c r="H130" s="209"/>
      <c r="K130" s="212"/>
      <c r="L130" s="195"/>
      <c r="M130" s="209"/>
      <c r="N130" s="209"/>
      <c r="O130" s="195"/>
      <c r="R130" s="212"/>
      <c r="S130" s="195"/>
      <c r="T130" s="209"/>
      <c r="U130" s="209"/>
      <c r="V130" s="195"/>
      <c r="Y130" s="212"/>
      <c r="Z130" s="195"/>
      <c r="AC130" s="212"/>
      <c r="AD130" s="195"/>
      <c r="AG130" s="212"/>
      <c r="AH130" s="195"/>
      <c r="AI130" s="209"/>
      <c r="AJ130" s="195"/>
      <c r="AM130" s="212"/>
      <c r="AN130" s="195"/>
      <c r="AQ130" s="212"/>
      <c r="AR130" s="195"/>
      <c r="AU130" s="212"/>
      <c r="AV130" s="195"/>
      <c r="AY130" s="212"/>
      <c r="AZ130" s="195"/>
      <c r="BC130" s="212"/>
      <c r="BD130" s="209"/>
      <c r="BE130" s="195"/>
      <c r="BH130" s="212"/>
      <c r="BI130" s="195"/>
      <c r="BJ130" s="195"/>
      <c r="BL130" s="212"/>
      <c r="BM130" s="195"/>
      <c r="BP130" s="212"/>
      <c r="BQ130" s="195"/>
      <c r="BR130" s="209"/>
      <c r="BS130" s="195"/>
      <c r="BV130" s="183"/>
      <c r="BW130" s="195"/>
      <c r="BZ130" s="212"/>
      <c r="CA130" s="195"/>
      <c r="CB130" s="195"/>
      <c r="CD130" s="212"/>
      <c r="CI130" s="195"/>
      <c r="CJ130" s="209"/>
      <c r="CK130" s="195"/>
      <c r="CL130" s="195"/>
      <c r="CN130" s="212"/>
      <c r="CO130" s="195"/>
      <c r="CP130" s="195"/>
      <c r="CQ130" s="195"/>
      <c r="CR130" s="195"/>
      <c r="CU130" s="212"/>
      <c r="CV130" s="195"/>
      <c r="CW130" s="195"/>
      <c r="CY130" s="212"/>
      <c r="CZ130" s="195"/>
      <c r="DC130" s="212"/>
    </row>
    <row r="131" spans="1:107">
      <c r="F131" s="195"/>
      <c r="G131" s="209"/>
      <c r="H131" s="209"/>
      <c r="K131" s="212"/>
      <c r="L131" s="195"/>
      <c r="M131" s="209"/>
      <c r="N131" s="209"/>
      <c r="O131" s="195"/>
      <c r="R131" s="212"/>
      <c r="S131" s="195"/>
      <c r="T131" s="209"/>
      <c r="U131" s="209"/>
      <c r="V131" s="195"/>
      <c r="Y131" s="212"/>
      <c r="Z131" s="195"/>
      <c r="AC131" s="212"/>
      <c r="AD131" s="195"/>
      <c r="AG131" s="212"/>
      <c r="AH131" s="195"/>
      <c r="AI131" s="209"/>
      <c r="AJ131" s="195"/>
      <c r="AM131" s="212"/>
      <c r="AN131" s="195"/>
      <c r="AQ131" s="212"/>
      <c r="AR131" s="195"/>
      <c r="AU131" s="212"/>
      <c r="AV131" s="195"/>
      <c r="AY131" s="212"/>
      <c r="AZ131" s="195"/>
      <c r="BC131" s="212"/>
      <c r="BD131" s="209"/>
      <c r="BE131" s="195"/>
      <c r="BH131" s="212"/>
      <c r="BI131" s="195"/>
      <c r="BJ131" s="195"/>
      <c r="BL131" s="212"/>
      <c r="BM131" s="195"/>
      <c r="BP131" s="212"/>
      <c r="BQ131" s="195"/>
      <c r="BR131" s="209"/>
      <c r="BS131" s="195"/>
      <c r="BV131" s="183"/>
      <c r="BW131" s="195"/>
      <c r="BZ131" s="212"/>
      <c r="CA131" s="195"/>
      <c r="CB131" s="195"/>
      <c r="CD131" s="212"/>
      <c r="CI131" s="195"/>
      <c r="CJ131" s="209"/>
      <c r="CK131" s="195"/>
      <c r="CL131" s="195"/>
      <c r="CN131" s="212"/>
      <c r="CO131" s="195"/>
      <c r="CP131" s="195"/>
      <c r="CQ131" s="195"/>
      <c r="CR131" s="195"/>
      <c r="CU131" s="212"/>
      <c r="CV131" s="195"/>
      <c r="CW131" s="195"/>
      <c r="CY131" s="212"/>
      <c r="CZ131" s="195"/>
      <c r="DC131" s="212"/>
    </row>
    <row r="132" spans="1:107">
      <c r="F132" s="195"/>
      <c r="G132" s="209"/>
      <c r="H132" s="209"/>
      <c r="K132" s="212"/>
      <c r="L132" s="195"/>
      <c r="M132" s="209"/>
      <c r="N132" s="209"/>
      <c r="O132" s="195"/>
      <c r="R132" s="212"/>
      <c r="S132" s="195"/>
      <c r="T132" s="209"/>
      <c r="U132" s="209"/>
      <c r="V132" s="195"/>
      <c r="Y132" s="212"/>
      <c r="Z132" s="195"/>
      <c r="AC132" s="212"/>
      <c r="AD132" s="195"/>
      <c r="AG132" s="212"/>
      <c r="AH132" s="195"/>
      <c r="AI132" s="209"/>
      <c r="AJ132" s="195"/>
      <c r="AM132" s="212"/>
      <c r="AN132" s="195"/>
      <c r="AQ132" s="212"/>
      <c r="AR132" s="195"/>
      <c r="AU132" s="212"/>
      <c r="AV132" s="195"/>
      <c r="AY132" s="212"/>
      <c r="AZ132" s="195"/>
      <c r="BC132" s="212"/>
      <c r="BD132" s="209"/>
      <c r="BE132" s="195"/>
      <c r="BH132" s="212"/>
      <c r="BI132" s="195"/>
      <c r="BJ132" s="195"/>
      <c r="BL132" s="212"/>
      <c r="BM132" s="195"/>
      <c r="BP132" s="212"/>
      <c r="BQ132" s="195"/>
      <c r="BR132" s="209"/>
      <c r="BS132" s="195"/>
      <c r="BV132" s="183"/>
      <c r="BW132" s="195"/>
      <c r="BZ132" s="212"/>
      <c r="CA132" s="195"/>
      <c r="CB132" s="195"/>
      <c r="CD132" s="212"/>
      <c r="CI132" s="195"/>
      <c r="CJ132" s="209"/>
      <c r="CK132" s="195"/>
      <c r="CL132" s="195"/>
      <c r="CN132" s="212"/>
      <c r="CO132" s="195"/>
      <c r="CP132" s="195"/>
      <c r="CQ132" s="195"/>
      <c r="CR132" s="195"/>
      <c r="CU132" s="212"/>
      <c r="CV132" s="195"/>
      <c r="CW132" s="195"/>
      <c r="CY132" s="212"/>
      <c r="CZ132" s="195"/>
      <c r="DC132" s="212"/>
    </row>
    <row r="133" spans="1:107">
      <c r="F133" s="195"/>
      <c r="G133" s="209"/>
      <c r="H133" s="209"/>
      <c r="K133" s="212"/>
      <c r="L133" s="195"/>
      <c r="M133" s="209"/>
      <c r="N133" s="209"/>
      <c r="O133" s="195"/>
      <c r="R133" s="212"/>
      <c r="S133" s="195"/>
      <c r="T133" s="209"/>
      <c r="U133" s="209"/>
      <c r="V133" s="195"/>
      <c r="Y133" s="212"/>
      <c r="Z133" s="195"/>
      <c r="AC133" s="212"/>
      <c r="AD133" s="195"/>
      <c r="AG133" s="212"/>
      <c r="AH133" s="195"/>
      <c r="AI133" s="209"/>
      <c r="AJ133" s="195"/>
      <c r="AM133" s="212"/>
      <c r="AN133" s="195"/>
      <c r="AQ133" s="212"/>
      <c r="AR133" s="195"/>
      <c r="AU133" s="212"/>
      <c r="AV133" s="195"/>
      <c r="AY133" s="212"/>
      <c r="AZ133" s="195"/>
      <c r="BC133" s="212"/>
      <c r="BD133" s="209"/>
      <c r="BE133" s="195"/>
      <c r="BH133" s="212"/>
      <c r="BI133" s="195"/>
      <c r="BJ133" s="195"/>
      <c r="BL133" s="212"/>
      <c r="BM133" s="195"/>
      <c r="BP133" s="212"/>
      <c r="BQ133" s="195"/>
      <c r="BR133" s="209"/>
      <c r="BS133" s="195"/>
      <c r="BV133" s="183"/>
      <c r="BW133" s="195"/>
      <c r="BZ133" s="212"/>
      <c r="CA133" s="195"/>
      <c r="CB133" s="195"/>
      <c r="CD133" s="212"/>
      <c r="CI133" s="195"/>
      <c r="CJ133" s="209"/>
      <c r="CK133" s="195"/>
      <c r="CL133" s="195"/>
      <c r="CN133" s="212"/>
      <c r="CO133" s="195"/>
      <c r="CP133" s="195"/>
      <c r="CQ133" s="195"/>
      <c r="CR133" s="195"/>
      <c r="CU133" s="212"/>
      <c r="CV133" s="195"/>
      <c r="CW133" s="195"/>
      <c r="CY133" s="212"/>
      <c r="CZ133" s="195"/>
      <c r="DC133" s="212"/>
    </row>
    <row r="134" spans="1:107">
      <c r="F134" s="195"/>
      <c r="G134" s="209"/>
      <c r="H134" s="209"/>
      <c r="K134" s="212"/>
      <c r="L134" s="195"/>
      <c r="M134" s="209"/>
      <c r="N134" s="209"/>
      <c r="O134" s="195"/>
      <c r="R134" s="212"/>
      <c r="S134" s="195"/>
      <c r="T134" s="209"/>
      <c r="U134" s="209"/>
      <c r="V134" s="195"/>
      <c r="Y134" s="212"/>
      <c r="Z134" s="195"/>
      <c r="AC134" s="212"/>
      <c r="AD134" s="195"/>
      <c r="AG134" s="212"/>
      <c r="AH134" s="195"/>
      <c r="AI134" s="209"/>
      <c r="AJ134" s="195"/>
      <c r="AM134" s="212"/>
      <c r="AN134" s="195"/>
      <c r="AQ134" s="212"/>
      <c r="AR134" s="195"/>
      <c r="AU134" s="212"/>
      <c r="AV134" s="195"/>
      <c r="AY134" s="212"/>
      <c r="AZ134" s="195"/>
      <c r="BC134" s="212"/>
      <c r="BD134" s="209"/>
      <c r="BE134" s="195"/>
      <c r="BH134" s="212"/>
      <c r="BI134" s="195"/>
      <c r="BJ134" s="195"/>
      <c r="BL134" s="212"/>
      <c r="BM134" s="195"/>
      <c r="BP134" s="212"/>
      <c r="BQ134" s="195"/>
      <c r="BR134" s="209"/>
      <c r="BS134" s="195"/>
      <c r="BV134" s="183"/>
      <c r="BW134" s="195"/>
      <c r="BZ134" s="212"/>
      <c r="CA134" s="195"/>
      <c r="CB134" s="195"/>
      <c r="CD134" s="212"/>
      <c r="CI134" s="195"/>
      <c r="CJ134" s="209"/>
      <c r="CK134" s="195"/>
      <c r="CL134" s="195"/>
      <c r="CN134" s="212"/>
      <c r="CO134" s="195"/>
      <c r="CP134" s="195"/>
      <c r="CQ134" s="195"/>
      <c r="CR134" s="195"/>
      <c r="CU134" s="212"/>
      <c r="CV134" s="195"/>
      <c r="CW134" s="195"/>
      <c r="CY134" s="212"/>
      <c r="CZ134" s="195"/>
      <c r="DC134" s="212"/>
    </row>
    <row r="135" spans="1:107">
      <c r="F135" s="195"/>
      <c r="G135" s="209"/>
      <c r="H135" s="209"/>
      <c r="K135" s="212"/>
      <c r="L135" s="195"/>
      <c r="M135" s="209"/>
      <c r="N135" s="209"/>
      <c r="O135" s="195"/>
      <c r="R135" s="212"/>
      <c r="S135" s="195"/>
      <c r="T135" s="209"/>
      <c r="U135" s="209"/>
      <c r="V135" s="195"/>
      <c r="Y135" s="212"/>
      <c r="Z135" s="195"/>
      <c r="AC135" s="212"/>
      <c r="AD135" s="195"/>
      <c r="AG135" s="212"/>
      <c r="AH135" s="195"/>
      <c r="AI135" s="209"/>
      <c r="AJ135" s="195"/>
      <c r="AM135" s="212"/>
      <c r="AN135" s="195"/>
      <c r="AQ135" s="212"/>
      <c r="AR135" s="195"/>
      <c r="AU135" s="212"/>
      <c r="AV135" s="195"/>
      <c r="AY135" s="212"/>
      <c r="AZ135" s="195"/>
      <c r="BC135" s="212"/>
      <c r="BD135" s="209"/>
      <c r="BE135" s="195"/>
      <c r="BH135" s="212"/>
      <c r="BI135" s="195"/>
      <c r="BJ135" s="195"/>
      <c r="BL135" s="212"/>
      <c r="BM135" s="195"/>
      <c r="BP135" s="212"/>
      <c r="BQ135" s="195"/>
      <c r="BR135" s="209"/>
      <c r="BS135" s="195"/>
      <c r="BV135" s="183"/>
      <c r="BW135" s="195"/>
      <c r="BZ135" s="212"/>
      <c r="CA135" s="195"/>
      <c r="CB135" s="195"/>
      <c r="CD135" s="212"/>
      <c r="CI135" s="195"/>
      <c r="CJ135" s="209"/>
      <c r="CK135" s="195"/>
      <c r="CL135" s="195"/>
      <c r="CN135" s="212"/>
      <c r="CO135" s="195"/>
      <c r="CP135" s="195"/>
      <c r="CQ135" s="195"/>
      <c r="CR135" s="195"/>
      <c r="CU135" s="212"/>
      <c r="CV135" s="195"/>
      <c r="CW135" s="195"/>
      <c r="CY135" s="212"/>
      <c r="CZ135" s="195"/>
      <c r="DC135" s="212"/>
    </row>
    <row r="136" spans="1:107">
      <c r="F136" s="195"/>
      <c r="G136" s="209"/>
      <c r="H136" s="209"/>
      <c r="K136" s="212"/>
      <c r="L136" s="195"/>
      <c r="M136" s="209"/>
      <c r="N136" s="209"/>
      <c r="O136" s="195"/>
      <c r="R136" s="212"/>
      <c r="S136" s="195"/>
      <c r="T136" s="209"/>
      <c r="U136" s="209"/>
      <c r="V136" s="195"/>
      <c r="Y136" s="212"/>
      <c r="Z136" s="195"/>
      <c r="AC136" s="212"/>
      <c r="AD136" s="195"/>
      <c r="AG136" s="212"/>
      <c r="AH136" s="195"/>
      <c r="AI136" s="209"/>
      <c r="AJ136" s="195"/>
      <c r="AM136" s="212"/>
      <c r="AN136" s="195"/>
      <c r="AQ136" s="212"/>
      <c r="AR136" s="195"/>
      <c r="AU136" s="212"/>
      <c r="AV136" s="195"/>
      <c r="AY136" s="212"/>
      <c r="AZ136" s="195"/>
      <c r="BC136" s="212"/>
      <c r="BD136" s="209"/>
      <c r="BE136" s="195"/>
      <c r="BH136" s="212"/>
      <c r="BI136" s="195"/>
      <c r="BJ136" s="195"/>
      <c r="BL136" s="212"/>
      <c r="BM136" s="195"/>
      <c r="BP136" s="212"/>
      <c r="BQ136" s="195"/>
      <c r="BR136" s="209"/>
      <c r="BS136" s="195"/>
      <c r="BV136" s="183"/>
      <c r="BW136" s="195"/>
      <c r="BZ136" s="212"/>
      <c r="CA136" s="195"/>
      <c r="CB136" s="195"/>
      <c r="CD136" s="212"/>
      <c r="CI136" s="195"/>
      <c r="CJ136" s="209"/>
      <c r="CK136" s="195"/>
      <c r="CL136" s="195"/>
      <c r="CN136" s="212"/>
      <c r="CO136" s="195"/>
      <c r="CP136" s="195"/>
      <c r="CQ136" s="195"/>
      <c r="CR136" s="195"/>
      <c r="CU136" s="212"/>
      <c r="CV136" s="195"/>
      <c r="CW136" s="195"/>
      <c r="CY136" s="212"/>
      <c r="CZ136" s="195"/>
      <c r="DC136" s="212"/>
    </row>
    <row r="137" spans="1:107">
      <c r="F137" s="195"/>
      <c r="G137" s="209"/>
      <c r="H137" s="209"/>
      <c r="K137" s="212"/>
      <c r="L137" s="195"/>
      <c r="M137" s="209"/>
      <c r="N137" s="209"/>
      <c r="O137" s="195"/>
      <c r="R137" s="212"/>
      <c r="S137" s="195"/>
      <c r="T137" s="209"/>
      <c r="U137" s="209"/>
      <c r="V137" s="195"/>
      <c r="Y137" s="212"/>
      <c r="Z137" s="195"/>
      <c r="AC137" s="212"/>
      <c r="AD137" s="195"/>
      <c r="AG137" s="212"/>
      <c r="AH137" s="195"/>
      <c r="AI137" s="209"/>
      <c r="AJ137" s="195"/>
      <c r="AM137" s="212"/>
      <c r="AN137" s="195"/>
      <c r="AQ137" s="212"/>
      <c r="AR137" s="195"/>
      <c r="AU137" s="212"/>
      <c r="AV137" s="195"/>
      <c r="AY137" s="212"/>
      <c r="AZ137" s="195"/>
      <c r="BC137" s="212"/>
      <c r="BD137" s="209"/>
      <c r="BE137" s="195"/>
      <c r="BH137" s="212"/>
      <c r="BI137" s="195"/>
      <c r="BJ137" s="195"/>
      <c r="BL137" s="212"/>
      <c r="BM137" s="195"/>
      <c r="BP137" s="212"/>
      <c r="BQ137" s="195"/>
      <c r="BR137" s="209"/>
      <c r="BS137" s="195"/>
      <c r="BV137" s="183"/>
      <c r="BW137" s="195"/>
      <c r="BZ137" s="212"/>
      <c r="CA137" s="195"/>
      <c r="CB137" s="195"/>
      <c r="CD137" s="212"/>
      <c r="CI137" s="195"/>
      <c r="CJ137" s="209"/>
      <c r="CK137" s="195"/>
      <c r="CL137" s="195"/>
      <c r="CN137" s="212"/>
      <c r="CO137" s="195"/>
      <c r="CP137" s="195"/>
      <c r="CQ137" s="195"/>
      <c r="CR137" s="195"/>
      <c r="CU137" s="212"/>
      <c r="CV137" s="195"/>
      <c r="CW137" s="195"/>
      <c r="CY137" s="212"/>
      <c r="CZ137" s="195"/>
      <c r="DC137" s="212"/>
    </row>
    <row r="138" spans="1:107">
      <c r="F138" s="195"/>
      <c r="G138" s="209"/>
      <c r="H138" s="209"/>
      <c r="K138" s="212"/>
      <c r="L138" s="195"/>
      <c r="M138" s="209"/>
      <c r="N138" s="209"/>
      <c r="O138" s="195"/>
      <c r="R138" s="212"/>
      <c r="S138" s="195"/>
      <c r="T138" s="209"/>
      <c r="U138" s="209"/>
      <c r="V138" s="195"/>
      <c r="Y138" s="212"/>
      <c r="Z138" s="195"/>
      <c r="AC138" s="212"/>
      <c r="AD138" s="195"/>
      <c r="AG138" s="212"/>
      <c r="AH138" s="195"/>
      <c r="AI138" s="209"/>
      <c r="AJ138" s="195"/>
      <c r="AM138" s="212"/>
      <c r="AN138" s="195"/>
      <c r="AQ138" s="212"/>
      <c r="AR138" s="195"/>
      <c r="AU138" s="212"/>
      <c r="AV138" s="195"/>
      <c r="AY138" s="212"/>
      <c r="AZ138" s="195"/>
      <c r="BC138" s="212"/>
      <c r="BD138" s="209"/>
      <c r="BE138" s="195"/>
      <c r="BH138" s="212"/>
      <c r="BI138" s="195"/>
      <c r="BJ138" s="195"/>
      <c r="BL138" s="212"/>
      <c r="BM138" s="195"/>
      <c r="BP138" s="212"/>
      <c r="BQ138" s="195"/>
      <c r="BR138" s="209"/>
      <c r="BS138" s="195"/>
      <c r="BV138" s="183"/>
      <c r="BW138" s="195"/>
      <c r="BZ138" s="212"/>
      <c r="CA138" s="195"/>
      <c r="CB138" s="195"/>
      <c r="CD138" s="212"/>
      <c r="CI138" s="195"/>
      <c r="CJ138" s="209"/>
      <c r="CK138" s="195"/>
      <c r="CL138" s="195"/>
      <c r="CN138" s="212"/>
      <c r="CO138" s="195"/>
      <c r="CP138" s="195"/>
      <c r="CQ138" s="195"/>
      <c r="CR138" s="195"/>
      <c r="CU138" s="212"/>
      <c r="CV138" s="195"/>
      <c r="CW138" s="195"/>
      <c r="CY138" s="212"/>
      <c r="CZ138" s="195"/>
      <c r="DC138" s="212"/>
    </row>
    <row r="139" spans="1:107">
      <c r="F139" s="195"/>
      <c r="G139" s="209"/>
      <c r="H139" s="209"/>
      <c r="K139" s="212"/>
      <c r="L139" s="195"/>
      <c r="M139" s="209"/>
      <c r="N139" s="209"/>
      <c r="O139" s="195"/>
      <c r="R139" s="212"/>
      <c r="S139" s="195"/>
      <c r="T139" s="209"/>
      <c r="U139" s="209"/>
      <c r="V139" s="195"/>
      <c r="Y139" s="212"/>
      <c r="Z139" s="195"/>
      <c r="AC139" s="212"/>
      <c r="AD139" s="195"/>
      <c r="AG139" s="212"/>
      <c r="AH139" s="195"/>
      <c r="AI139" s="209"/>
      <c r="AJ139" s="195"/>
      <c r="AM139" s="212"/>
      <c r="AN139" s="195"/>
      <c r="AQ139" s="212"/>
      <c r="AR139" s="195"/>
      <c r="AU139" s="212"/>
      <c r="AV139" s="195"/>
      <c r="AY139" s="212"/>
      <c r="AZ139" s="195"/>
      <c r="BC139" s="212"/>
      <c r="BD139" s="209"/>
      <c r="BE139" s="195"/>
      <c r="BH139" s="212"/>
      <c r="BI139" s="195"/>
      <c r="BJ139" s="195"/>
      <c r="BL139" s="212"/>
      <c r="BM139" s="195"/>
      <c r="BP139" s="212"/>
      <c r="BQ139" s="195"/>
      <c r="BR139" s="209"/>
      <c r="BS139" s="195"/>
      <c r="BV139" s="183"/>
      <c r="BW139" s="195"/>
      <c r="BZ139" s="212"/>
      <c r="CA139" s="195"/>
      <c r="CB139" s="195"/>
      <c r="CD139" s="212"/>
      <c r="CI139" s="195"/>
      <c r="CJ139" s="209"/>
      <c r="CK139" s="195"/>
      <c r="CL139" s="195"/>
      <c r="CN139" s="212"/>
      <c r="CO139" s="195"/>
      <c r="CP139" s="195"/>
      <c r="CQ139" s="195"/>
      <c r="CR139" s="195"/>
      <c r="CU139" s="212"/>
      <c r="CV139" s="195"/>
      <c r="CW139" s="195"/>
      <c r="CY139" s="212"/>
      <c r="CZ139" s="195"/>
      <c r="DC139" s="212"/>
    </row>
    <row r="140" spans="1:107">
      <c r="F140" s="195"/>
      <c r="G140" s="209"/>
      <c r="H140" s="209"/>
      <c r="K140" s="212"/>
      <c r="L140" s="195"/>
      <c r="M140" s="209"/>
      <c r="N140" s="209"/>
      <c r="O140" s="195"/>
      <c r="R140" s="212"/>
      <c r="S140" s="195"/>
      <c r="T140" s="209"/>
      <c r="U140" s="209"/>
      <c r="V140" s="195"/>
      <c r="Y140" s="212"/>
      <c r="Z140" s="195"/>
      <c r="AC140" s="212"/>
      <c r="AD140" s="195"/>
      <c r="AG140" s="212"/>
      <c r="AH140" s="195"/>
      <c r="AI140" s="209"/>
      <c r="AJ140" s="195"/>
      <c r="AM140" s="212"/>
      <c r="AN140" s="195"/>
      <c r="AQ140" s="212"/>
      <c r="AR140" s="195"/>
      <c r="AU140" s="212"/>
      <c r="AV140" s="195"/>
      <c r="AY140" s="212"/>
      <c r="AZ140" s="195"/>
      <c r="BC140" s="212"/>
      <c r="BD140" s="209"/>
      <c r="BE140" s="195"/>
      <c r="BH140" s="212"/>
      <c r="BI140" s="195"/>
      <c r="BJ140" s="195"/>
      <c r="BL140" s="212"/>
      <c r="BM140" s="195"/>
      <c r="BP140" s="212"/>
      <c r="BQ140" s="195"/>
      <c r="BR140" s="209"/>
      <c r="BS140" s="195"/>
      <c r="BV140" s="183"/>
      <c r="BW140" s="195"/>
      <c r="BZ140" s="212"/>
      <c r="CA140" s="195"/>
      <c r="CB140" s="195"/>
      <c r="CD140" s="212"/>
      <c r="CI140" s="195"/>
      <c r="CJ140" s="209"/>
      <c r="CK140" s="195"/>
      <c r="CL140" s="195"/>
      <c r="CN140" s="212"/>
      <c r="CO140" s="195"/>
      <c r="CP140" s="195"/>
      <c r="CQ140" s="195"/>
      <c r="CR140" s="195"/>
      <c r="CU140" s="212"/>
      <c r="CV140" s="195"/>
      <c r="CW140" s="195"/>
      <c r="CY140" s="212"/>
      <c r="CZ140" s="195"/>
      <c r="DC140" s="212"/>
    </row>
    <row r="141" spans="1:107">
      <c r="F141" s="195"/>
      <c r="G141" s="209"/>
      <c r="H141" s="209"/>
      <c r="K141" s="212"/>
      <c r="L141" s="195"/>
      <c r="M141" s="209"/>
      <c r="N141" s="209"/>
      <c r="O141" s="195"/>
      <c r="R141" s="212"/>
      <c r="S141" s="195"/>
      <c r="T141" s="209"/>
      <c r="U141" s="209"/>
      <c r="V141" s="195"/>
      <c r="Y141" s="212"/>
      <c r="Z141" s="195"/>
      <c r="AC141" s="212"/>
      <c r="AD141" s="195"/>
      <c r="AG141" s="212"/>
      <c r="AH141" s="195"/>
      <c r="AI141" s="209"/>
      <c r="AJ141" s="195"/>
      <c r="AM141" s="212"/>
      <c r="AN141" s="195"/>
      <c r="AQ141" s="212"/>
      <c r="AR141" s="195"/>
      <c r="AU141" s="212"/>
      <c r="AV141" s="195"/>
      <c r="AY141" s="212"/>
      <c r="AZ141" s="195"/>
      <c r="BC141" s="212"/>
      <c r="BD141" s="209"/>
      <c r="BE141" s="195"/>
      <c r="BH141" s="212"/>
      <c r="BI141" s="195"/>
      <c r="BJ141" s="195"/>
      <c r="BL141" s="212"/>
      <c r="BM141" s="195"/>
      <c r="BP141" s="212"/>
      <c r="BQ141" s="195"/>
      <c r="BR141" s="209"/>
      <c r="BS141" s="195"/>
      <c r="BV141" s="183"/>
      <c r="BW141" s="195"/>
      <c r="BZ141" s="212"/>
      <c r="CA141" s="195"/>
      <c r="CB141" s="195"/>
      <c r="CD141" s="212"/>
      <c r="CI141" s="195"/>
      <c r="CJ141" s="209"/>
      <c r="CK141" s="195"/>
      <c r="CL141" s="195"/>
      <c r="CN141" s="212"/>
      <c r="CO141" s="195"/>
      <c r="CP141" s="195"/>
      <c r="CQ141" s="195"/>
      <c r="CR141" s="195"/>
      <c r="CU141" s="212"/>
      <c r="CV141" s="195"/>
      <c r="CW141" s="195"/>
      <c r="CY141" s="212"/>
      <c r="CZ141" s="195"/>
      <c r="DC141" s="212"/>
    </row>
    <row r="142" spans="1:107">
      <c r="F142" s="195"/>
      <c r="G142" s="209"/>
      <c r="H142" s="209"/>
      <c r="K142" s="212"/>
      <c r="L142" s="195"/>
      <c r="M142" s="209"/>
      <c r="N142" s="209"/>
      <c r="O142" s="195"/>
      <c r="R142" s="212"/>
      <c r="S142" s="195"/>
      <c r="T142" s="209"/>
      <c r="U142" s="209"/>
      <c r="V142" s="195"/>
      <c r="Y142" s="212"/>
      <c r="Z142" s="195"/>
      <c r="AC142" s="212"/>
      <c r="AD142" s="195"/>
      <c r="AG142" s="212"/>
      <c r="AH142" s="195"/>
      <c r="AI142" s="209"/>
      <c r="AJ142" s="195"/>
      <c r="AM142" s="212"/>
      <c r="AN142" s="195"/>
      <c r="AQ142" s="212"/>
      <c r="AR142" s="195"/>
      <c r="AU142" s="212"/>
      <c r="AV142" s="195"/>
      <c r="AY142" s="212"/>
      <c r="AZ142" s="195"/>
      <c r="BC142" s="212"/>
      <c r="BD142" s="209"/>
      <c r="BE142" s="195"/>
      <c r="BH142" s="212"/>
      <c r="BI142" s="195"/>
      <c r="BJ142" s="195"/>
      <c r="BL142" s="212"/>
      <c r="BM142" s="195"/>
      <c r="BP142" s="212"/>
      <c r="BQ142" s="195"/>
      <c r="BR142" s="209"/>
      <c r="BS142" s="195"/>
      <c r="BV142" s="183"/>
      <c r="BW142" s="195"/>
      <c r="BZ142" s="212"/>
      <c r="CA142" s="195"/>
      <c r="CB142" s="195"/>
      <c r="CD142" s="212"/>
      <c r="CI142" s="195"/>
      <c r="CJ142" s="209"/>
      <c r="CK142" s="195"/>
      <c r="CL142" s="195"/>
      <c r="CN142" s="212"/>
      <c r="CO142" s="195"/>
      <c r="CP142" s="195"/>
      <c r="CQ142" s="195"/>
      <c r="CR142" s="195"/>
      <c r="CU142" s="212"/>
      <c r="CV142" s="195"/>
      <c r="CW142" s="195"/>
      <c r="CY142" s="212"/>
      <c r="CZ142" s="195"/>
      <c r="DC142" s="212"/>
    </row>
    <row r="143" spans="1:107">
      <c r="F143" s="195"/>
      <c r="G143" s="209"/>
      <c r="H143" s="209"/>
      <c r="K143" s="212"/>
      <c r="L143" s="195"/>
      <c r="M143" s="209"/>
      <c r="N143" s="209"/>
      <c r="O143" s="195"/>
      <c r="R143" s="212"/>
      <c r="S143" s="195"/>
      <c r="T143" s="209"/>
      <c r="U143" s="209"/>
      <c r="V143" s="195"/>
      <c r="Y143" s="212"/>
      <c r="Z143" s="195"/>
      <c r="AC143" s="212"/>
      <c r="AD143" s="195"/>
      <c r="AG143" s="212"/>
      <c r="AH143" s="195"/>
      <c r="AI143" s="209"/>
      <c r="AJ143" s="195"/>
      <c r="AM143" s="212"/>
      <c r="AN143" s="195"/>
      <c r="AQ143" s="212"/>
      <c r="AR143" s="195"/>
      <c r="AU143" s="212"/>
      <c r="AV143" s="195"/>
      <c r="AY143" s="212"/>
      <c r="AZ143" s="195"/>
      <c r="BC143" s="212"/>
      <c r="BD143" s="209"/>
      <c r="BE143" s="195"/>
      <c r="BH143" s="212"/>
      <c r="BI143" s="195"/>
      <c r="BJ143" s="195"/>
      <c r="BL143" s="212"/>
      <c r="BM143" s="195"/>
      <c r="BP143" s="212"/>
      <c r="BQ143" s="195"/>
      <c r="BR143" s="209"/>
      <c r="BS143" s="195"/>
      <c r="BV143" s="183"/>
      <c r="BW143" s="195"/>
      <c r="BZ143" s="212"/>
      <c r="CA143" s="195"/>
      <c r="CB143" s="195"/>
      <c r="CD143" s="212"/>
      <c r="CI143" s="195"/>
      <c r="CJ143" s="209"/>
      <c r="CK143" s="195"/>
      <c r="CL143" s="195"/>
      <c r="CN143" s="212"/>
      <c r="CO143" s="195"/>
      <c r="CP143" s="195"/>
      <c r="CQ143" s="195"/>
      <c r="CR143" s="195"/>
      <c r="CU143" s="212"/>
      <c r="CV143" s="195"/>
      <c r="CW143" s="195"/>
      <c r="CY143" s="212"/>
      <c r="CZ143" s="195"/>
      <c r="DC143" s="212"/>
    </row>
    <row r="144" spans="1:107">
      <c r="F144" s="195"/>
      <c r="G144" s="209"/>
      <c r="H144" s="209"/>
      <c r="K144" s="212"/>
      <c r="L144" s="195"/>
      <c r="M144" s="209"/>
      <c r="N144" s="209"/>
      <c r="O144" s="195"/>
      <c r="R144" s="212"/>
      <c r="S144" s="195"/>
      <c r="T144" s="209"/>
      <c r="U144" s="209"/>
      <c r="V144" s="195"/>
      <c r="Y144" s="212"/>
      <c r="Z144" s="195"/>
      <c r="AC144" s="212"/>
      <c r="AD144" s="195"/>
      <c r="AG144" s="212"/>
      <c r="AH144" s="195"/>
      <c r="AI144" s="209"/>
      <c r="AJ144" s="195"/>
      <c r="AM144" s="212"/>
      <c r="AN144" s="195"/>
      <c r="AQ144" s="212"/>
      <c r="AR144" s="195"/>
      <c r="AU144" s="212"/>
      <c r="AV144" s="195"/>
      <c r="AY144" s="212"/>
      <c r="AZ144" s="195"/>
      <c r="BC144" s="212"/>
      <c r="BD144" s="209"/>
      <c r="BE144" s="195"/>
      <c r="BH144" s="212"/>
      <c r="BI144" s="195"/>
      <c r="BJ144" s="195"/>
      <c r="BL144" s="212"/>
      <c r="BM144" s="195"/>
      <c r="BP144" s="212"/>
      <c r="BQ144" s="195"/>
      <c r="BR144" s="209"/>
      <c r="BS144" s="195"/>
      <c r="BV144" s="183"/>
      <c r="BW144" s="195"/>
      <c r="BZ144" s="212"/>
      <c r="CA144" s="195"/>
      <c r="CB144" s="195"/>
      <c r="CD144" s="212"/>
      <c r="CI144" s="195"/>
      <c r="CJ144" s="209"/>
      <c r="CK144" s="195"/>
      <c r="CL144" s="195"/>
      <c r="CN144" s="212"/>
      <c r="CO144" s="195"/>
      <c r="CP144" s="195"/>
      <c r="CQ144" s="195"/>
      <c r="CR144" s="195"/>
      <c r="CU144" s="212"/>
      <c r="CV144" s="195"/>
      <c r="CW144" s="195"/>
      <c r="CY144" s="212"/>
      <c r="CZ144" s="195"/>
      <c r="DC144" s="212"/>
    </row>
    <row r="145" spans="6:107">
      <c r="F145" s="236"/>
      <c r="G145" s="237"/>
      <c r="H145" s="237"/>
      <c r="K145" s="238"/>
      <c r="L145" s="236"/>
      <c r="M145" s="237"/>
      <c r="N145" s="237"/>
      <c r="O145" s="236"/>
      <c r="R145" s="238"/>
      <c r="S145" s="236"/>
      <c r="T145" s="237"/>
      <c r="U145" s="237"/>
      <c r="V145" s="236"/>
      <c r="Y145" s="238"/>
      <c r="Z145" s="236"/>
      <c r="AC145" s="238"/>
      <c r="AD145" s="236"/>
      <c r="AG145" s="238"/>
      <c r="AH145" s="236"/>
      <c r="AI145" s="237"/>
      <c r="AJ145" s="236"/>
      <c r="AM145" s="238"/>
      <c r="AN145" s="236"/>
      <c r="AQ145" s="238"/>
      <c r="AR145" s="236"/>
      <c r="AU145" s="238"/>
      <c r="AV145" s="236"/>
      <c r="AY145" s="238"/>
      <c r="AZ145" s="236"/>
      <c r="BC145" s="238"/>
      <c r="BD145" s="237"/>
      <c r="BE145" s="236"/>
      <c r="BH145" s="238"/>
      <c r="BI145" s="236"/>
      <c r="BJ145" s="236"/>
      <c r="BL145" s="238"/>
      <c r="BM145" s="236"/>
      <c r="BP145" s="238"/>
      <c r="BQ145" s="236"/>
      <c r="BR145" s="237"/>
      <c r="BS145" s="236"/>
      <c r="BV145" s="239"/>
      <c r="BW145" s="236"/>
      <c r="BZ145" s="238"/>
      <c r="CA145" s="236"/>
      <c r="CB145" s="236"/>
      <c r="CD145" s="238"/>
      <c r="CI145" s="236"/>
      <c r="CJ145" s="237"/>
      <c r="CK145" s="236"/>
      <c r="CL145" s="236"/>
      <c r="CN145" s="238"/>
      <c r="CO145" s="236"/>
      <c r="CP145" s="236"/>
      <c r="CQ145" s="236"/>
      <c r="CR145" s="236"/>
      <c r="CU145" s="238"/>
      <c r="CV145" s="236"/>
      <c r="CW145" s="236"/>
      <c r="CY145" s="238"/>
      <c r="CZ145" s="236"/>
      <c r="DC145" s="238"/>
    </row>
    <row r="146" spans="6:107">
      <c r="F146" s="236"/>
      <c r="G146" s="237"/>
      <c r="H146" s="237"/>
      <c r="K146" s="238"/>
      <c r="L146" s="236"/>
      <c r="M146" s="237"/>
      <c r="N146" s="237"/>
      <c r="O146" s="236"/>
      <c r="R146" s="238"/>
      <c r="S146" s="236"/>
      <c r="T146" s="237"/>
      <c r="U146" s="237"/>
      <c r="V146" s="236"/>
      <c r="Y146" s="238"/>
      <c r="Z146" s="236"/>
      <c r="AC146" s="238"/>
      <c r="AD146" s="236"/>
      <c r="AG146" s="238"/>
      <c r="AH146" s="236"/>
      <c r="AI146" s="237"/>
      <c r="AJ146" s="236"/>
      <c r="AM146" s="238"/>
      <c r="AN146" s="236"/>
      <c r="AQ146" s="238"/>
      <c r="AR146" s="236"/>
      <c r="AU146" s="238"/>
      <c r="AV146" s="236"/>
      <c r="AY146" s="238"/>
      <c r="AZ146" s="236"/>
      <c r="BC146" s="238"/>
      <c r="BD146" s="237"/>
      <c r="BE146" s="236"/>
      <c r="BH146" s="238"/>
      <c r="BI146" s="236"/>
      <c r="BJ146" s="236"/>
      <c r="BL146" s="238"/>
      <c r="BM146" s="236"/>
      <c r="BP146" s="238"/>
      <c r="BQ146" s="236"/>
      <c r="BR146" s="237"/>
      <c r="BS146" s="236"/>
      <c r="BV146" s="239"/>
      <c r="BW146" s="236"/>
      <c r="BZ146" s="238"/>
      <c r="CA146" s="236"/>
      <c r="CB146" s="236"/>
      <c r="CD146" s="238"/>
      <c r="CI146" s="236"/>
      <c r="CJ146" s="237"/>
      <c r="CK146" s="236"/>
      <c r="CL146" s="236"/>
      <c r="CN146" s="238"/>
      <c r="CO146" s="236"/>
      <c r="CP146" s="236"/>
      <c r="CQ146" s="236"/>
      <c r="CR146" s="236"/>
      <c r="CU146" s="238"/>
      <c r="CV146" s="236"/>
      <c r="CW146" s="236"/>
      <c r="CY146" s="238"/>
      <c r="CZ146" s="236"/>
      <c r="DC146" s="238"/>
    </row>
    <row r="147" spans="6:107">
      <c r="F147" s="236"/>
      <c r="G147" s="237"/>
      <c r="H147" s="237"/>
      <c r="K147" s="238"/>
      <c r="L147" s="236"/>
      <c r="M147" s="237"/>
      <c r="N147" s="237"/>
      <c r="O147" s="236"/>
      <c r="R147" s="238"/>
      <c r="S147" s="236"/>
      <c r="T147" s="237"/>
      <c r="U147" s="237"/>
      <c r="V147" s="236"/>
      <c r="Y147" s="238"/>
      <c r="Z147" s="236"/>
      <c r="AC147" s="238"/>
      <c r="AD147" s="236"/>
      <c r="AG147" s="238"/>
      <c r="AH147" s="236"/>
      <c r="AI147" s="237"/>
      <c r="AJ147" s="236"/>
      <c r="AM147" s="238"/>
      <c r="AN147" s="236"/>
      <c r="AQ147" s="238"/>
      <c r="AR147" s="236"/>
      <c r="AU147" s="238"/>
      <c r="AV147" s="236"/>
      <c r="AY147" s="238"/>
      <c r="AZ147" s="236"/>
      <c r="BC147" s="238"/>
      <c r="BD147" s="237"/>
      <c r="BE147" s="236"/>
      <c r="BH147" s="238"/>
      <c r="BI147" s="236"/>
      <c r="BJ147" s="236"/>
      <c r="BL147" s="238"/>
      <c r="BM147" s="236"/>
      <c r="BP147" s="238"/>
      <c r="BQ147" s="236"/>
      <c r="BR147" s="237"/>
      <c r="BS147" s="236"/>
      <c r="BV147" s="239"/>
      <c r="BW147" s="236"/>
      <c r="BZ147" s="238"/>
      <c r="CA147" s="236"/>
      <c r="CB147" s="236"/>
      <c r="CD147" s="238"/>
      <c r="CI147" s="236"/>
      <c r="CJ147" s="237"/>
      <c r="CK147" s="236"/>
      <c r="CL147" s="236"/>
      <c r="CN147" s="238"/>
      <c r="CO147" s="236"/>
      <c r="CP147" s="236"/>
      <c r="CQ147" s="236"/>
      <c r="CR147" s="236"/>
      <c r="CU147" s="238"/>
      <c r="CV147" s="236"/>
      <c r="CW147" s="236"/>
      <c r="CY147" s="238"/>
      <c r="CZ147" s="236"/>
      <c r="DC147" s="238"/>
    </row>
    <row r="148" spans="6:107">
      <c r="F148" s="236"/>
      <c r="G148" s="237"/>
      <c r="H148" s="237"/>
      <c r="K148" s="238"/>
      <c r="L148" s="236"/>
      <c r="M148" s="237"/>
      <c r="N148" s="237"/>
      <c r="O148" s="236"/>
      <c r="R148" s="238"/>
      <c r="S148" s="236"/>
      <c r="T148" s="237"/>
      <c r="U148" s="237"/>
      <c r="V148" s="236"/>
      <c r="Y148" s="238"/>
      <c r="Z148" s="236"/>
      <c r="AC148" s="238"/>
      <c r="AD148" s="236"/>
      <c r="AG148" s="238"/>
      <c r="AH148" s="236"/>
      <c r="AI148" s="237"/>
      <c r="AJ148" s="236"/>
      <c r="AM148" s="238"/>
      <c r="AN148" s="236"/>
      <c r="AQ148" s="238"/>
      <c r="AR148" s="236"/>
      <c r="AU148" s="238"/>
      <c r="AV148" s="236"/>
      <c r="AY148" s="238"/>
      <c r="AZ148" s="236"/>
      <c r="BC148" s="238"/>
      <c r="BD148" s="237"/>
      <c r="BE148" s="236"/>
      <c r="BH148" s="238"/>
      <c r="BI148" s="236"/>
      <c r="BJ148" s="236"/>
      <c r="BL148" s="238"/>
      <c r="BM148" s="236"/>
      <c r="BP148" s="238"/>
      <c r="BQ148" s="236"/>
      <c r="BR148" s="237"/>
      <c r="BS148" s="236"/>
      <c r="BV148" s="239"/>
      <c r="BW148" s="236"/>
      <c r="BZ148" s="238"/>
      <c r="CA148" s="236"/>
      <c r="CB148" s="236"/>
      <c r="CD148" s="238"/>
      <c r="CI148" s="236"/>
      <c r="CJ148" s="237"/>
      <c r="CK148" s="236"/>
      <c r="CL148" s="236"/>
      <c r="CN148" s="238"/>
      <c r="CO148" s="236"/>
      <c r="CP148" s="236"/>
      <c r="CQ148" s="236"/>
      <c r="CR148" s="236"/>
      <c r="CU148" s="238"/>
      <c r="CV148" s="236"/>
      <c r="CW148" s="236"/>
      <c r="CY148" s="238"/>
      <c r="CZ148" s="236"/>
      <c r="DC148" s="238"/>
    </row>
    <row r="149" spans="6:107">
      <c r="F149" s="236"/>
      <c r="G149" s="237"/>
      <c r="H149" s="237"/>
      <c r="K149" s="238"/>
      <c r="L149" s="236"/>
      <c r="M149" s="237"/>
      <c r="N149" s="237"/>
      <c r="O149" s="236"/>
      <c r="R149" s="238"/>
      <c r="S149" s="236"/>
      <c r="T149" s="237"/>
      <c r="U149" s="237"/>
      <c r="V149" s="236"/>
      <c r="Y149" s="238"/>
      <c r="Z149" s="236"/>
      <c r="AC149" s="238"/>
      <c r="AD149" s="236"/>
      <c r="AG149" s="238"/>
      <c r="AH149" s="236"/>
      <c r="AI149" s="237"/>
      <c r="AJ149" s="236"/>
      <c r="AM149" s="238"/>
      <c r="AN149" s="236"/>
      <c r="AQ149" s="238"/>
      <c r="AR149" s="236"/>
      <c r="AU149" s="238"/>
      <c r="AV149" s="236"/>
      <c r="AY149" s="238"/>
      <c r="AZ149" s="236"/>
      <c r="BC149" s="238"/>
      <c r="BD149" s="237"/>
      <c r="BE149" s="236"/>
      <c r="BH149" s="238"/>
      <c r="BI149" s="236"/>
      <c r="BJ149" s="236"/>
      <c r="BL149" s="238"/>
      <c r="BM149" s="236"/>
      <c r="BP149" s="238"/>
      <c r="BQ149" s="236"/>
      <c r="BR149" s="237"/>
      <c r="BS149" s="236"/>
      <c r="BV149" s="239"/>
      <c r="BW149" s="236"/>
      <c r="BZ149" s="238"/>
      <c r="CA149" s="236"/>
      <c r="CB149" s="236"/>
      <c r="CD149" s="238"/>
      <c r="CI149" s="236"/>
      <c r="CJ149" s="237"/>
      <c r="CK149" s="236"/>
      <c r="CL149" s="236"/>
      <c r="CN149" s="238"/>
      <c r="CO149" s="236"/>
      <c r="CP149" s="236"/>
      <c r="CQ149" s="236"/>
      <c r="CR149" s="236"/>
      <c r="CU149" s="238"/>
      <c r="CV149" s="236"/>
      <c r="CW149" s="236"/>
      <c r="CY149" s="238"/>
      <c r="CZ149" s="236"/>
      <c r="DC149" s="238"/>
    </row>
    <row r="150" spans="6:107">
      <c r="F150" s="236"/>
      <c r="G150" s="237"/>
      <c r="H150" s="237"/>
      <c r="K150" s="238"/>
      <c r="L150" s="236"/>
      <c r="M150" s="237"/>
      <c r="N150" s="237"/>
      <c r="O150" s="236"/>
      <c r="R150" s="238"/>
      <c r="S150" s="236"/>
      <c r="T150" s="237"/>
      <c r="U150" s="237"/>
      <c r="V150" s="236"/>
      <c r="Y150" s="238"/>
      <c r="Z150" s="236"/>
      <c r="AC150" s="238"/>
      <c r="AD150" s="236"/>
      <c r="AG150" s="238"/>
      <c r="AH150" s="236"/>
      <c r="AI150" s="237"/>
      <c r="AJ150" s="236"/>
      <c r="AM150" s="238"/>
      <c r="AN150" s="236"/>
      <c r="AQ150" s="238"/>
      <c r="AR150" s="236"/>
      <c r="AU150" s="238"/>
      <c r="AV150" s="236"/>
      <c r="AY150" s="238"/>
      <c r="AZ150" s="236"/>
      <c r="BC150" s="238"/>
      <c r="BD150" s="237"/>
      <c r="BE150" s="236"/>
      <c r="BH150" s="238"/>
      <c r="BI150" s="236"/>
      <c r="BJ150" s="236"/>
      <c r="BL150" s="238"/>
      <c r="BM150" s="236"/>
      <c r="BP150" s="238"/>
      <c r="BQ150" s="236"/>
      <c r="BR150" s="237"/>
      <c r="BS150" s="236"/>
      <c r="BV150" s="239"/>
      <c r="BW150" s="236"/>
      <c r="BZ150" s="238"/>
      <c r="CA150" s="236"/>
      <c r="CB150" s="236"/>
      <c r="CD150" s="238"/>
      <c r="CI150" s="236"/>
      <c r="CJ150" s="237"/>
      <c r="CK150" s="236"/>
      <c r="CL150" s="236"/>
      <c r="CN150" s="238"/>
      <c r="CO150" s="236"/>
      <c r="CP150" s="236"/>
      <c r="CQ150" s="236"/>
      <c r="CR150" s="236"/>
      <c r="CU150" s="238"/>
      <c r="CV150" s="236"/>
      <c r="CW150" s="236"/>
      <c r="CY150" s="238"/>
      <c r="CZ150" s="236"/>
      <c r="DC150" s="238"/>
    </row>
    <row r="151" spans="6:107">
      <c r="F151" s="236"/>
      <c r="G151" s="237"/>
      <c r="H151" s="237"/>
      <c r="K151" s="238"/>
      <c r="L151" s="236"/>
      <c r="M151" s="237"/>
      <c r="N151" s="237"/>
      <c r="O151" s="236"/>
      <c r="R151" s="238"/>
      <c r="S151" s="236"/>
      <c r="T151" s="237"/>
      <c r="U151" s="237"/>
      <c r="V151" s="236"/>
      <c r="Y151" s="238"/>
      <c r="Z151" s="236"/>
      <c r="AC151" s="238"/>
      <c r="AD151" s="236"/>
      <c r="AG151" s="238"/>
      <c r="AH151" s="236"/>
      <c r="AI151" s="237"/>
      <c r="AJ151" s="236"/>
      <c r="AM151" s="238"/>
      <c r="AN151" s="236"/>
      <c r="AQ151" s="238"/>
      <c r="AR151" s="236"/>
      <c r="AU151" s="238"/>
      <c r="AV151" s="236"/>
      <c r="AY151" s="238"/>
      <c r="AZ151" s="236"/>
      <c r="BC151" s="238"/>
      <c r="BD151" s="237"/>
      <c r="BE151" s="236"/>
      <c r="BH151" s="238"/>
      <c r="BI151" s="236"/>
      <c r="BJ151" s="236"/>
      <c r="BL151" s="238"/>
      <c r="BM151" s="236"/>
      <c r="BP151" s="238"/>
      <c r="BQ151" s="236"/>
      <c r="BR151" s="237"/>
      <c r="BS151" s="236"/>
      <c r="BV151" s="239"/>
      <c r="BW151" s="236"/>
      <c r="BZ151" s="238"/>
      <c r="CA151" s="236"/>
      <c r="CB151" s="236"/>
      <c r="CD151" s="238"/>
      <c r="CI151" s="236"/>
      <c r="CJ151" s="237"/>
      <c r="CK151" s="236"/>
      <c r="CL151" s="236"/>
      <c r="CN151" s="238"/>
      <c r="CO151" s="236"/>
      <c r="CP151" s="236"/>
      <c r="CQ151" s="236"/>
      <c r="CR151" s="236"/>
      <c r="CU151" s="238"/>
      <c r="CV151" s="236"/>
      <c r="CW151" s="236"/>
      <c r="CY151" s="238"/>
      <c r="CZ151" s="236"/>
      <c r="DC151" s="238"/>
    </row>
    <row r="152" spans="6:107">
      <c r="F152" s="236"/>
      <c r="G152" s="237"/>
      <c r="H152" s="237"/>
      <c r="K152" s="238"/>
      <c r="L152" s="236"/>
      <c r="M152" s="237"/>
      <c r="N152" s="237"/>
      <c r="O152" s="236"/>
      <c r="R152" s="238"/>
      <c r="S152" s="236"/>
      <c r="T152" s="237"/>
      <c r="U152" s="237"/>
      <c r="V152" s="236"/>
      <c r="Y152" s="238"/>
      <c r="Z152" s="236"/>
      <c r="AC152" s="238"/>
      <c r="AD152" s="236"/>
      <c r="AG152" s="238"/>
      <c r="AH152" s="236"/>
      <c r="AI152" s="237"/>
      <c r="AJ152" s="236"/>
      <c r="AM152" s="238"/>
      <c r="AN152" s="236"/>
      <c r="AQ152" s="238"/>
      <c r="AR152" s="236"/>
      <c r="AU152" s="238"/>
      <c r="AV152" s="236"/>
      <c r="AY152" s="238"/>
      <c r="AZ152" s="236"/>
      <c r="BC152" s="238"/>
      <c r="BD152" s="237"/>
      <c r="BE152" s="236"/>
      <c r="BH152" s="238"/>
      <c r="BI152" s="236"/>
      <c r="BJ152" s="236"/>
      <c r="BL152" s="238"/>
      <c r="BM152" s="236"/>
      <c r="BP152" s="238"/>
      <c r="BQ152" s="236"/>
      <c r="BR152" s="237"/>
      <c r="BS152" s="236"/>
      <c r="BV152" s="239"/>
      <c r="BW152" s="236"/>
      <c r="BZ152" s="238"/>
      <c r="CA152" s="236"/>
      <c r="CB152" s="236"/>
      <c r="CD152" s="238"/>
      <c r="CI152" s="236"/>
      <c r="CJ152" s="237"/>
      <c r="CK152" s="236"/>
      <c r="CL152" s="236"/>
      <c r="CN152" s="238"/>
      <c r="CO152" s="236"/>
      <c r="CP152" s="236"/>
      <c r="CQ152" s="236"/>
      <c r="CR152" s="236"/>
      <c r="CU152" s="238"/>
      <c r="CV152" s="236"/>
      <c r="CW152" s="236"/>
      <c r="CY152" s="238"/>
      <c r="CZ152" s="236"/>
      <c r="DC152" s="238"/>
    </row>
    <row r="153" spans="6:107">
      <c r="F153" s="236"/>
      <c r="G153" s="237"/>
      <c r="H153" s="237"/>
      <c r="K153" s="238"/>
      <c r="L153" s="236"/>
      <c r="M153" s="237"/>
      <c r="N153" s="237"/>
      <c r="O153" s="236"/>
      <c r="R153" s="238"/>
      <c r="S153" s="236"/>
      <c r="T153" s="237"/>
      <c r="U153" s="237"/>
      <c r="V153" s="236"/>
      <c r="Y153" s="238"/>
      <c r="Z153" s="236"/>
      <c r="AC153" s="238"/>
      <c r="AD153" s="236"/>
      <c r="AG153" s="238"/>
      <c r="AH153" s="236"/>
      <c r="AI153" s="237"/>
      <c r="AJ153" s="236"/>
      <c r="AM153" s="238"/>
      <c r="AN153" s="236"/>
      <c r="AQ153" s="238"/>
      <c r="AR153" s="236"/>
      <c r="AU153" s="238"/>
      <c r="AV153" s="236"/>
      <c r="AY153" s="238"/>
      <c r="AZ153" s="236"/>
      <c r="BC153" s="238"/>
      <c r="BD153" s="237"/>
      <c r="BE153" s="236"/>
      <c r="BH153" s="238"/>
      <c r="BI153" s="236"/>
      <c r="BJ153" s="236"/>
      <c r="BL153" s="238"/>
      <c r="BM153" s="236"/>
      <c r="BP153" s="238"/>
      <c r="BQ153" s="236"/>
      <c r="BR153" s="237"/>
      <c r="BS153" s="236"/>
      <c r="BV153" s="239"/>
      <c r="BW153" s="236"/>
      <c r="BZ153" s="238"/>
      <c r="CA153" s="236"/>
      <c r="CB153" s="236"/>
      <c r="CD153" s="238"/>
      <c r="CI153" s="236"/>
      <c r="CJ153" s="237"/>
      <c r="CK153" s="236"/>
      <c r="CL153" s="236"/>
      <c r="CN153" s="238"/>
      <c r="CO153" s="236"/>
      <c r="CP153" s="236"/>
      <c r="CQ153" s="236"/>
      <c r="CR153" s="236"/>
      <c r="CU153" s="238"/>
      <c r="CV153" s="236"/>
      <c r="CW153" s="236"/>
      <c r="CY153" s="238"/>
      <c r="CZ153" s="236"/>
      <c r="DC153" s="238"/>
    </row>
    <row r="154" spans="6:107">
      <c r="F154" s="236"/>
      <c r="G154" s="237"/>
      <c r="H154" s="237"/>
      <c r="K154" s="238"/>
      <c r="L154" s="236"/>
      <c r="M154" s="237"/>
      <c r="N154" s="237"/>
      <c r="O154" s="236"/>
      <c r="R154" s="238"/>
      <c r="S154" s="236"/>
      <c r="T154" s="237"/>
      <c r="U154" s="237"/>
      <c r="V154" s="236"/>
      <c r="Y154" s="238"/>
      <c r="Z154" s="236"/>
      <c r="AC154" s="238"/>
      <c r="AD154" s="236"/>
      <c r="AG154" s="238"/>
      <c r="AH154" s="236"/>
      <c r="AI154" s="237"/>
      <c r="AJ154" s="236"/>
      <c r="AM154" s="238"/>
      <c r="AN154" s="236"/>
      <c r="AQ154" s="238"/>
      <c r="AR154" s="236"/>
      <c r="AU154" s="238"/>
      <c r="AV154" s="236"/>
      <c r="AY154" s="238"/>
      <c r="AZ154" s="236"/>
      <c r="BC154" s="238"/>
      <c r="BD154" s="237"/>
      <c r="BE154" s="236"/>
      <c r="BH154" s="238"/>
      <c r="BI154" s="236"/>
      <c r="BJ154" s="236"/>
      <c r="BL154" s="238"/>
      <c r="BM154" s="236"/>
      <c r="BP154" s="238"/>
      <c r="BQ154" s="236"/>
      <c r="BR154" s="237"/>
      <c r="BS154" s="236"/>
      <c r="BV154" s="239"/>
      <c r="BW154" s="236"/>
      <c r="BZ154" s="238"/>
      <c r="CA154" s="236"/>
      <c r="CB154" s="236"/>
      <c r="CD154" s="238"/>
      <c r="CI154" s="236"/>
      <c r="CJ154" s="237"/>
      <c r="CK154" s="236"/>
      <c r="CL154" s="236"/>
      <c r="CN154" s="238"/>
      <c r="CO154" s="236"/>
      <c r="CP154" s="236"/>
      <c r="CQ154" s="236"/>
      <c r="CR154" s="236"/>
      <c r="CU154" s="238"/>
      <c r="CV154" s="236"/>
      <c r="CW154" s="236"/>
      <c r="CY154" s="238"/>
      <c r="CZ154" s="236"/>
      <c r="DC154" s="238"/>
    </row>
    <row r="155" spans="6:107">
      <c r="F155" s="236"/>
      <c r="G155" s="237"/>
      <c r="H155" s="237"/>
      <c r="K155" s="238"/>
      <c r="L155" s="236"/>
      <c r="M155" s="237"/>
      <c r="N155" s="237"/>
      <c r="O155" s="236"/>
      <c r="R155" s="238"/>
      <c r="S155" s="236"/>
      <c r="T155" s="237"/>
      <c r="U155" s="237"/>
      <c r="V155" s="236"/>
      <c r="Y155" s="238"/>
      <c r="Z155" s="236"/>
      <c r="AC155" s="238"/>
      <c r="AD155" s="236"/>
      <c r="AG155" s="238"/>
      <c r="AH155" s="236"/>
      <c r="AI155" s="237"/>
      <c r="AJ155" s="236"/>
      <c r="AM155" s="238"/>
      <c r="AN155" s="236"/>
      <c r="AQ155" s="238"/>
      <c r="AR155" s="236"/>
      <c r="AU155" s="238"/>
      <c r="AV155" s="236"/>
      <c r="AY155" s="238"/>
      <c r="AZ155" s="236"/>
      <c r="BC155" s="238"/>
      <c r="BD155" s="237"/>
      <c r="BE155" s="236"/>
      <c r="BH155" s="238"/>
      <c r="BI155" s="236"/>
      <c r="BJ155" s="236"/>
      <c r="BL155" s="238"/>
      <c r="BM155" s="236"/>
      <c r="BP155" s="238"/>
      <c r="BQ155" s="236"/>
      <c r="BR155" s="237"/>
      <c r="BS155" s="236"/>
      <c r="BV155" s="239"/>
      <c r="BW155" s="236"/>
      <c r="BZ155" s="238"/>
      <c r="CA155" s="236"/>
      <c r="CB155" s="236"/>
      <c r="CD155" s="238"/>
      <c r="CI155" s="236"/>
      <c r="CJ155" s="237"/>
      <c r="CK155" s="236"/>
      <c r="CL155" s="236"/>
      <c r="CN155" s="238"/>
      <c r="CO155" s="236"/>
      <c r="CP155" s="236"/>
      <c r="CQ155" s="236"/>
      <c r="CR155" s="236"/>
      <c r="CU155" s="238"/>
      <c r="CV155" s="236"/>
      <c r="CW155" s="236"/>
      <c r="CY155" s="238"/>
      <c r="CZ155" s="236"/>
      <c r="DC155" s="238"/>
    </row>
    <row r="156" spans="6:107">
      <c r="F156" s="236"/>
      <c r="G156" s="237"/>
      <c r="H156" s="237"/>
      <c r="K156" s="238"/>
      <c r="L156" s="236"/>
      <c r="M156" s="237"/>
      <c r="N156" s="237"/>
      <c r="O156" s="236"/>
      <c r="R156" s="238"/>
      <c r="S156" s="236"/>
      <c r="T156" s="237"/>
      <c r="U156" s="237"/>
      <c r="V156" s="236"/>
      <c r="Y156" s="238"/>
      <c r="Z156" s="236"/>
      <c r="AC156" s="238"/>
      <c r="AD156" s="236"/>
      <c r="AG156" s="238"/>
      <c r="AH156" s="236"/>
      <c r="AI156" s="237"/>
      <c r="AJ156" s="236"/>
      <c r="AM156" s="238"/>
      <c r="AN156" s="236"/>
      <c r="AQ156" s="238"/>
      <c r="AR156" s="236"/>
      <c r="AU156" s="238"/>
      <c r="AV156" s="236"/>
      <c r="AY156" s="238"/>
      <c r="AZ156" s="236"/>
      <c r="BC156" s="238"/>
      <c r="BD156" s="237"/>
      <c r="BE156" s="236"/>
      <c r="BH156" s="238"/>
      <c r="BI156" s="236"/>
      <c r="BJ156" s="236"/>
      <c r="BL156" s="238"/>
      <c r="BM156" s="236"/>
      <c r="BP156" s="238"/>
      <c r="BQ156" s="236"/>
      <c r="BR156" s="237"/>
      <c r="BS156" s="236"/>
      <c r="BV156" s="239"/>
      <c r="BW156" s="236"/>
      <c r="BZ156" s="238"/>
      <c r="CA156" s="236"/>
      <c r="CB156" s="236"/>
      <c r="CD156" s="238"/>
      <c r="CI156" s="236"/>
      <c r="CJ156" s="237"/>
      <c r="CK156" s="236"/>
      <c r="CL156" s="236"/>
      <c r="CN156" s="238"/>
      <c r="CO156" s="236"/>
      <c r="CP156" s="236"/>
      <c r="CQ156" s="236"/>
      <c r="CR156" s="236"/>
      <c r="CU156" s="238"/>
      <c r="CV156" s="236"/>
      <c r="CW156" s="236"/>
      <c r="CY156" s="238"/>
      <c r="CZ156" s="236"/>
      <c r="DC156" s="238"/>
    </row>
    <row r="157" spans="6:107">
      <c r="F157" s="236"/>
      <c r="G157" s="237"/>
      <c r="H157" s="237"/>
      <c r="K157" s="238"/>
      <c r="L157" s="236"/>
      <c r="M157" s="237"/>
      <c r="N157" s="237"/>
      <c r="O157" s="236"/>
      <c r="R157" s="238"/>
      <c r="S157" s="236"/>
      <c r="T157" s="237"/>
      <c r="U157" s="237"/>
      <c r="V157" s="236"/>
      <c r="Y157" s="238"/>
      <c r="Z157" s="236"/>
      <c r="AC157" s="238"/>
      <c r="AD157" s="236"/>
      <c r="AG157" s="238"/>
      <c r="AH157" s="236"/>
      <c r="AI157" s="237"/>
      <c r="AJ157" s="236"/>
      <c r="AM157" s="238"/>
      <c r="AN157" s="236"/>
      <c r="AQ157" s="238"/>
      <c r="AR157" s="236"/>
      <c r="AU157" s="238"/>
      <c r="AV157" s="236"/>
      <c r="AY157" s="238"/>
      <c r="AZ157" s="236"/>
      <c r="BC157" s="238"/>
      <c r="BD157" s="237"/>
      <c r="BE157" s="236"/>
      <c r="BH157" s="238"/>
      <c r="BI157" s="236"/>
      <c r="BJ157" s="236"/>
      <c r="BL157" s="238"/>
      <c r="BM157" s="236"/>
      <c r="BP157" s="238"/>
      <c r="BQ157" s="236"/>
      <c r="BR157" s="237"/>
      <c r="BS157" s="236"/>
      <c r="BV157" s="239"/>
      <c r="BW157" s="236"/>
      <c r="BZ157" s="238"/>
      <c r="CA157" s="236"/>
      <c r="CB157" s="236"/>
      <c r="CD157" s="238"/>
      <c r="CI157" s="236"/>
      <c r="CJ157" s="237"/>
      <c r="CK157" s="236"/>
      <c r="CL157" s="236"/>
      <c r="CN157" s="238"/>
      <c r="CO157" s="236"/>
      <c r="CP157" s="236"/>
      <c r="CQ157" s="236"/>
      <c r="CR157" s="236"/>
      <c r="CU157" s="238"/>
      <c r="CV157" s="236"/>
      <c r="CW157" s="236"/>
      <c r="CY157" s="238"/>
      <c r="CZ157" s="236"/>
      <c r="DC157" s="238"/>
    </row>
    <row r="158" spans="6:107">
      <c r="F158" s="236"/>
      <c r="G158" s="237"/>
      <c r="H158" s="237"/>
      <c r="K158" s="238"/>
      <c r="L158" s="236"/>
      <c r="M158" s="237"/>
      <c r="N158" s="237"/>
      <c r="O158" s="236"/>
      <c r="R158" s="238"/>
      <c r="S158" s="236"/>
      <c r="T158" s="237"/>
      <c r="U158" s="237"/>
      <c r="V158" s="236"/>
      <c r="Y158" s="238"/>
      <c r="Z158" s="236"/>
      <c r="AC158" s="238"/>
      <c r="AD158" s="236"/>
      <c r="AG158" s="238"/>
      <c r="AH158" s="236"/>
      <c r="AI158" s="237"/>
      <c r="AJ158" s="236"/>
      <c r="AM158" s="238"/>
      <c r="AN158" s="236"/>
      <c r="AQ158" s="238"/>
      <c r="AR158" s="236"/>
      <c r="AU158" s="238"/>
      <c r="AV158" s="236"/>
      <c r="AY158" s="238"/>
      <c r="AZ158" s="236"/>
      <c r="BC158" s="238"/>
      <c r="BD158" s="237"/>
      <c r="BE158" s="236"/>
      <c r="BH158" s="238"/>
      <c r="BI158" s="236"/>
      <c r="BJ158" s="236"/>
      <c r="BL158" s="238"/>
      <c r="BM158" s="236"/>
      <c r="BP158" s="238"/>
      <c r="BQ158" s="236"/>
      <c r="BR158" s="237"/>
      <c r="BS158" s="236"/>
      <c r="BV158" s="239"/>
      <c r="BW158" s="236"/>
      <c r="BZ158" s="238"/>
      <c r="CA158" s="236"/>
      <c r="CB158" s="236"/>
      <c r="CD158" s="238"/>
      <c r="CI158" s="236"/>
      <c r="CJ158" s="237"/>
      <c r="CK158" s="236"/>
      <c r="CL158" s="236"/>
      <c r="CN158" s="238"/>
      <c r="CO158" s="236"/>
      <c r="CP158" s="236"/>
      <c r="CQ158" s="236"/>
      <c r="CR158" s="236"/>
      <c r="CU158" s="238"/>
      <c r="CV158" s="236"/>
      <c r="CW158" s="236"/>
      <c r="CY158" s="238"/>
      <c r="CZ158" s="236"/>
      <c r="DC158" s="238"/>
    </row>
    <row r="159" spans="6:107">
      <c r="F159" s="236"/>
      <c r="G159" s="237"/>
      <c r="H159" s="237"/>
      <c r="K159" s="238"/>
      <c r="L159" s="236"/>
      <c r="M159" s="237"/>
      <c r="N159" s="237"/>
      <c r="O159" s="236"/>
      <c r="R159" s="238"/>
      <c r="S159" s="236"/>
      <c r="T159" s="237"/>
      <c r="U159" s="237"/>
      <c r="V159" s="236"/>
      <c r="Y159" s="238"/>
      <c r="Z159" s="236"/>
      <c r="AC159" s="238"/>
      <c r="AD159" s="236"/>
      <c r="AG159" s="238"/>
      <c r="AH159" s="236"/>
      <c r="AI159" s="237"/>
      <c r="AJ159" s="236"/>
      <c r="AM159" s="238"/>
      <c r="AN159" s="236"/>
      <c r="AQ159" s="238"/>
      <c r="AR159" s="236"/>
      <c r="AU159" s="238"/>
      <c r="AV159" s="236"/>
      <c r="AY159" s="238"/>
      <c r="AZ159" s="236"/>
      <c r="BC159" s="238"/>
      <c r="BD159" s="237"/>
      <c r="BE159" s="236"/>
      <c r="BH159" s="238"/>
      <c r="BI159" s="236"/>
      <c r="BJ159" s="236"/>
      <c r="BL159" s="238"/>
      <c r="BM159" s="236"/>
      <c r="BP159" s="238"/>
      <c r="BQ159" s="236"/>
      <c r="BR159" s="237"/>
      <c r="BS159" s="236"/>
      <c r="BV159" s="239"/>
      <c r="BW159" s="236"/>
      <c r="BZ159" s="238"/>
      <c r="CA159" s="236"/>
      <c r="CB159" s="236"/>
      <c r="CD159" s="238"/>
      <c r="CI159" s="236"/>
      <c r="CJ159" s="237"/>
      <c r="CK159" s="236"/>
      <c r="CL159" s="236"/>
      <c r="CN159" s="238"/>
      <c r="CO159" s="236"/>
      <c r="CP159" s="236"/>
      <c r="CQ159" s="236"/>
      <c r="CR159" s="236"/>
      <c r="CU159" s="238"/>
      <c r="CV159" s="236"/>
      <c r="CW159" s="236"/>
      <c r="CY159" s="238"/>
      <c r="CZ159" s="236"/>
      <c r="DC159" s="238"/>
    </row>
    <row r="160" spans="6:107">
      <c r="F160" s="236"/>
      <c r="G160" s="237"/>
      <c r="H160" s="237"/>
      <c r="K160" s="238"/>
      <c r="L160" s="236"/>
      <c r="M160" s="237"/>
      <c r="N160" s="237"/>
      <c r="O160" s="236"/>
      <c r="R160" s="238"/>
      <c r="S160" s="236"/>
      <c r="T160" s="237"/>
      <c r="U160" s="237"/>
      <c r="V160" s="236"/>
      <c r="Y160" s="238"/>
      <c r="Z160" s="236"/>
      <c r="AC160" s="238"/>
      <c r="AD160" s="236"/>
      <c r="AG160" s="238"/>
      <c r="AH160" s="236"/>
      <c r="AI160" s="237"/>
      <c r="AJ160" s="236"/>
      <c r="AM160" s="238"/>
      <c r="AN160" s="236"/>
      <c r="AQ160" s="238"/>
      <c r="AR160" s="236"/>
      <c r="AU160" s="238"/>
      <c r="AV160" s="236"/>
      <c r="AY160" s="238"/>
      <c r="AZ160" s="236"/>
      <c r="BC160" s="238"/>
      <c r="BD160" s="237"/>
      <c r="BE160" s="236"/>
      <c r="BH160" s="238"/>
      <c r="BI160" s="236"/>
      <c r="BJ160" s="236"/>
      <c r="BL160" s="238"/>
      <c r="BM160" s="236"/>
      <c r="BP160" s="238"/>
      <c r="BQ160" s="236"/>
      <c r="BR160" s="237"/>
      <c r="BS160" s="236"/>
      <c r="BV160" s="239"/>
      <c r="BW160" s="236"/>
      <c r="BZ160" s="238"/>
      <c r="CA160" s="236"/>
      <c r="CB160" s="236"/>
      <c r="CD160" s="238"/>
      <c r="CI160" s="236"/>
      <c r="CJ160" s="237"/>
      <c r="CK160" s="236"/>
      <c r="CL160" s="236"/>
      <c r="CN160" s="238"/>
      <c r="CO160" s="236"/>
      <c r="CP160" s="236"/>
      <c r="CQ160" s="236"/>
      <c r="CR160" s="236"/>
      <c r="CU160" s="238"/>
      <c r="CV160" s="236"/>
      <c r="CW160" s="236"/>
      <c r="CY160" s="238"/>
      <c r="CZ160" s="236"/>
      <c r="DC160" s="238"/>
    </row>
    <row r="161" spans="6:107">
      <c r="F161" s="236"/>
      <c r="G161" s="237"/>
      <c r="H161" s="237"/>
      <c r="K161" s="238"/>
      <c r="L161" s="236"/>
      <c r="M161" s="237"/>
      <c r="N161" s="237"/>
      <c r="O161" s="236"/>
      <c r="R161" s="238"/>
      <c r="S161" s="236"/>
      <c r="T161" s="237"/>
      <c r="U161" s="237"/>
      <c r="V161" s="236"/>
      <c r="Y161" s="238"/>
      <c r="Z161" s="236"/>
      <c r="AC161" s="238"/>
      <c r="AD161" s="236"/>
      <c r="AG161" s="238"/>
      <c r="AH161" s="236"/>
      <c r="AI161" s="237"/>
      <c r="AJ161" s="236"/>
      <c r="AM161" s="238"/>
      <c r="AN161" s="236"/>
      <c r="AQ161" s="238"/>
      <c r="AR161" s="236"/>
      <c r="AU161" s="238"/>
      <c r="AV161" s="236"/>
      <c r="AY161" s="238"/>
      <c r="AZ161" s="236"/>
      <c r="BC161" s="238"/>
      <c r="BD161" s="237"/>
      <c r="BE161" s="236"/>
      <c r="BH161" s="238"/>
      <c r="BI161" s="236"/>
      <c r="BJ161" s="236"/>
      <c r="BL161" s="238"/>
      <c r="BM161" s="236"/>
      <c r="BP161" s="238"/>
      <c r="BQ161" s="236"/>
      <c r="BR161" s="237"/>
      <c r="BS161" s="236"/>
      <c r="BV161" s="239"/>
      <c r="BW161" s="236"/>
      <c r="BZ161" s="238"/>
      <c r="CA161" s="236"/>
      <c r="CB161" s="236"/>
      <c r="CD161" s="238"/>
      <c r="CI161" s="236"/>
      <c r="CJ161" s="237"/>
      <c r="CK161" s="236"/>
      <c r="CL161" s="236"/>
      <c r="CN161" s="238"/>
      <c r="CO161" s="236"/>
      <c r="CP161" s="236"/>
      <c r="CQ161" s="236"/>
      <c r="CR161" s="236"/>
      <c r="CU161" s="238"/>
      <c r="CV161" s="236"/>
      <c r="CW161" s="236"/>
      <c r="CY161" s="238"/>
      <c r="CZ161" s="236"/>
      <c r="DC161" s="238"/>
    </row>
    <row r="162" spans="6:107">
      <c r="F162" s="236"/>
      <c r="G162" s="237"/>
      <c r="H162" s="237"/>
      <c r="K162" s="238"/>
      <c r="L162" s="236"/>
      <c r="M162" s="237"/>
      <c r="N162" s="237"/>
      <c r="O162" s="236"/>
      <c r="R162" s="238"/>
      <c r="S162" s="236"/>
      <c r="T162" s="237"/>
      <c r="U162" s="237"/>
      <c r="V162" s="236"/>
      <c r="Y162" s="238"/>
      <c r="Z162" s="236"/>
      <c r="AC162" s="238"/>
      <c r="AD162" s="236"/>
      <c r="AG162" s="238"/>
      <c r="AH162" s="236"/>
      <c r="AI162" s="237"/>
      <c r="AJ162" s="236"/>
      <c r="AM162" s="238"/>
      <c r="AN162" s="236"/>
      <c r="AQ162" s="238"/>
      <c r="AR162" s="236"/>
      <c r="AU162" s="238"/>
      <c r="AV162" s="236"/>
      <c r="AY162" s="238"/>
      <c r="AZ162" s="236"/>
      <c r="BC162" s="238"/>
      <c r="BD162" s="237"/>
      <c r="BE162" s="236"/>
      <c r="BH162" s="238"/>
      <c r="BI162" s="236"/>
      <c r="BJ162" s="236"/>
      <c r="BL162" s="238"/>
      <c r="BM162" s="236"/>
      <c r="BP162" s="238"/>
      <c r="BQ162" s="236"/>
      <c r="BR162" s="237"/>
      <c r="BS162" s="236"/>
      <c r="BV162" s="239"/>
      <c r="BW162" s="236"/>
      <c r="BZ162" s="238"/>
      <c r="CA162" s="236"/>
      <c r="CB162" s="236"/>
      <c r="CD162" s="238"/>
      <c r="CI162" s="236"/>
      <c r="CJ162" s="237"/>
      <c r="CK162" s="236"/>
      <c r="CL162" s="236"/>
      <c r="CN162" s="238"/>
      <c r="CO162" s="236"/>
      <c r="CP162" s="236"/>
      <c r="CQ162" s="236"/>
      <c r="CR162" s="236"/>
      <c r="CU162" s="238"/>
      <c r="CV162" s="236"/>
      <c r="CW162" s="236"/>
      <c r="CY162" s="238"/>
      <c r="CZ162" s="236"/>
      <c r="DC162" s="238"/>
    </row>
  </sheetData>
  <mergeCells count="11">
    <mergeCell ref="AN5:AQ5"/>
    <mergeCell ref="BM5:BP5"/>
    <mergeCell ref="CI5:CN5"/>
    <mergeCell ref="CO5:CU5"/>
    <mergeCell ref="CV5:CY5"/>
    <mergeCell ref="BQ5:BV5"/>
    <mergeCell ref="AV5:AY5"/>
    <mergeCell ref="AZ5:BC5"/>
    <mergeCell ref="AR5:AU5"/>
    <mergeCell ref="BI5:BL5"/>
    <mergeCell ref="BD5:BH5"/>
  </mergeCells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Header xml:space="preserve">&amp;C
</oddHeader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66"/>
  <sheetViews>
    <sheetView workbookViewId="0">
      <selection activeCell="H26" sqref="H26"/>
    </sheetView>
  </sheetViews>
  <sheetFormatPr defaultRowHeight="12.75"/>
  <cols>
    <col min="2" max="2" width="29.7109375" bestFit="1" customWidth="1"/>
    <col min="4" max="10" width="11.28515625" bestFit="1" customWidth="1"/>
    <col min="11" max="11" width="10.28515625" bestFit="1" customWidth="1"/>
    <col min="12" max="13" width="9.7109375" bestFit="1" customWidth="1"/>
    <col min="14" max="14" width="11.28515625" bestFit="1" customWidth="1"/>
    <col min="15" max="15" width="9.7109375" bestFit="1" customWidth="1"/>
    <col min="16" max="16" width="10.7109375" bestFit="1" customWidth="1"/>
    <col min="17" max="17" width="9.7109375" bestFit="1" customWidth="1"/>
    <col min="18" max="18" width="10.7109375" bestFit="1" customWidth="1"/>
    <col min="19" max="19" width="10.28515625" bestFit="1" customWidth="1"/>
    <col min="20" max="20" width="11.28515625" bestFit="1" customWidth="1"/>
    <col min="21" max="21" width="9.7109375" bestFit="1" customWidth="1"/>
    <col min="22" max="23" width="10.7109375" bestFit="1" customWidth="1"/>
  </cols>
  <sheetData>
    <row r="2" spans="1:10">
      <c r="B2" s="88"/>
      <c r="C2" s="88"/>
      <c r="D2" s="88">
        <v>2001</v>
      </c>
      <c r="E2" s="88">
        <v>2002</v>
      </c>
      <c r="F2" s="88">
        <v>2003</v>
      </c>
      <c r="G2" s="88">
        <v>2004</v>
      </c>
      <c r="H2" s="88">
        <v>2005</v>
      </c>
      <c r="I2" s="88">
        <v>2006</v>
      </c>
      <c r="J2" s="88">
        <v>2007</v>
      </c>
    </row>
    <row r="3" spans="1:10">
      <c r="A3" t="s">
        <v>70</v>
      </c>
      <c r="B3" t="s">
        <v>62</v>
      </c>
      <c r="C3" s="83">
        <v>364</v>
      </c>
      <c r="D3" s="81">
        <v>3340296.488635235</v>
      </c>
      <c r="E3" s="81">
        <v>3284008.503661972</v>
      </c>
      <c r="F3" s="81">
        <v>3315109.1854462237</v>
      </c>
      <c r="G3" s="81">
        <v>3355804.9645535718</v>
      </c>
      <c r="H3" s="81">
        <v>3307392.4989999994</v>
      </c>
      <c r="I3" s="81">
        <v>3295719.82967347</v>
      </c>
      <c r="J3" s="81">
        <v>3369983.94</v>
      </c>
    </row>
    <row r="4" spans="1:10">
      <c r="A4" t="s">
        <v>70</v>
      </c>
      <c r="B4" t="s">
        <v>60</v>
      </c>
      <c r="C4" s="83">
        <v>365</v>
      </c>
      <c r="D4" s="81">
        <v>1852448.6812500004</v>
      </c>
      <c r="E4" s="81">
        <v>1820754.6129061787</v>
      </c>
      <c r="F4" s="81">
        <v>1819023.6494900223</v>
      </c>
      <c r="G4" s="81">
        <v>1768948.566289308</v>
      </c>
      <c r="H4" s="81">
        <v>1670967.5326937984</v>
      </c>
      <c r="I4" s="81">
        <v>1542359.7987456445</v>
      </c>
      <c r="J4" s="81">
        <v>1537335.23</v>
      </c>
    </row>
    <row r="5" spans="1:10">
      <c r="A5" t="s">
        <v>70</v>
      </c>
      <c r="B5" t="s">
        <v>61</v>
      </c>
      <c r="C5" s="83">
        <v>366</v>
      </c>
      <c r="D5" s="81">
        <v>1093024.7602209945</v>
      </c>
      <c r="E5" s="81">
        <v>1072573.8940874035</v>
      </c>
      <c r="F5" s="81">
        <v>1113768.5116751271</v>
      </c>
      <c r="G5" s="81">
        <v>1165475.0896551725</v>
      </c>
      <c r="H5" s="81">
        <v>1181198.0896073903</v>
      </c>
      <c r="I5" s="81">
        <v>1174710.3097613882</v>
      </c>
      <c r="J5" s="81">
        <v>1195501.26</v>
      </c>
    </row>
    <row r="6" spans="1:10">
      <c r="A6" t="s">
        <v>70</v>
      </c>
      <c r="B6" t="s">
        <v>63</v>
      </c>
      <c r="C6" s="83">
        <v>367</v>
      </c>
      <c r="D6" s="81">
        <v>2874834.6187155969</v>
      </c>
      <c r="E6" s="81">
        <v>2827099.4253061228</v>
      </c>
      <c r="F6" s="81">
        <v>2877803.6489398279</v>
      </c>
      <c r="G6" s="81">
        <v>2795652.4172357726</v>
      </c>
      <c r="H6" s="81">
        <v>2559082.360074074</v>
      </c>
      <c r="I6" s="81">
        <v>2507873.5804347824</v>
      </c>
      <c r="J6" s="81">
        <v>2316004.15</v>
      </c>
    </row>
    <row r="7" spans="1:10">
      <c r="A7" t="s">
        <v>70</v>
      </c>
      <c r="B7" t="s">
        <v>69</v>
      </c>
      <c r="C7" s="83">
        <v>368</v>
      </c>
      <c r="D7" s="81">
        <v>4297583.0346756298</v>
      </c>
      <c r="E7" s="81">
        <v>4170319.2304127994</v>
      </c>
      <c r="F7" s="81">
        <v>4152417.310393774</v>
      </c>
      <c r="G7" s="81">
        <v>4128097.6313168537</v>
      </c>
      <c r="H7" s="81">
        <v>4004060.5908587407</v>
      </c>
      <c r="I7" s="81">
        <v>3325634.6410842976</v>
      </c>
      <c r="J7" s="81">
        <v>3162339.2236799998</v>
      </c>
    </row>
    <row r="8" spans="1:10">
      <c r="A8" t="s">
        <v>70</v>
      </c>
      <c r="B8" t="s">
        <v>68</v>
      </c>
      <c r="C8" s="83">
        <v>368</v>
      </c>
      <c r="D8" s="81">
        <v>1044441.5840711111</v>
      </c>
      <c r="E8" s="81">
        <v>1023779.6261102465</v>
      </c>
      <c r="F8" s="81">
        <v>1056612.1084746961</v>
      </c>
      <c r="G8" s="81">
        <v>858802.75173286966</v>
      </c>
      <c r="H8" s="81">
        <v>757281.63533933565</v>
      </c>
      <c r="I8" s="81">
        <v>662610.0469885451</v>
      </c>
      <c r="J8" s="81">
        <v>675451.0963199999</v>
      </c>
    </row>
    <row r="9" spans="1:10">
      <c r="A9" t="s">
        <v>70</v>
      </c>
      <c r="B9" t="s">
        <v>64</v>
      </c>
      <c r="C9" s="83">
        <v>369</v>
      </c>
      <c r="D9" s="81">
        <v>2280716.0396501459</v>
      </c>
      <c r="E9" s="81">
        <v>2253087.4076033058</v>
      </c>
      <c r="F9" s="81">
        <v>2283804.1343999999</v>
      </c>
      <c r="G9" s="81">
        <v>2249425.1651908397</v>
      </c>
      <c r="H9" s="81">
        <v>982533.22086956527</v>
      </c>
      <c r="I9" s="81">
        <v>922547.12311926601</v>
      </c>
      <c r="J9" s="82">
        <v>932347.37</v>
      </c>
    </row>
    <row r="10" spans="1:10">
      <c r="A10" t="s">
        <v>70</v>
      </c>
      <c r="B10" t="s">
        <v>65</v>
      </c>
      <c r="C10" s="83">
        <v>370</v>
      </c>
      <c r="D10" s="81">
        <v>1010137.9665822785</v>
      </c>
      <c r="E10" s="81">
        <v>882521.58196363633</v>
      </c>
      <c r="F10" s="81">
        <v>861013.63902439037</v>
      </c>
      <c r="G10" s="81">
        <v>786835.82098765427</v>
      </c>
      <c r="H10" s="81">
        <v>832313.24102893902</v>
      </c>
      <c r="I10" s="81">
        <v>787036.91203761753</v>
      </c>
      <c r="J10" s="81">
        <v>767552.35</v>
      </c>
    </row>
    <row r="11" spans="1:10">
      <c r="A11" t="s">
        <v>70</v>
      </c>
      <c r="B11" t="s">
        <v>66</v>
      </c>
      <c r="C11" s="83">
        <v>373</v>
      </c>
      <c r="D11" s="81">
        <v>344935.39618138428</v>
      </c>
      <c r="E11" s="81">
        <v>337692.49119999999</v>
      </c>
      <c r="F11" s="81">
        <v>335208.66502092051</v>
      </c>
      <c r="G11" s="81">
        <v>334303.49631147541</v>
      </c>
      <c r="H11" s="81">
        <v>316435.77461988304</v>
      </c>
      <c r="I11" s="81">
        <v>286250.72119127517</v>
      </c>
      <c r="J11" s="81">
        <v>292045.63</v>
      </c>
    </row>
    <row r="12" spans="1:10">
      <c r="A12" t="s">
        <v>70</v>
      </c>
      <c r="B12" t="s">
        <v>67</v>
      </c>
      <c r="C12" s="83">
        <v>373.4</v>
      </c>
      <c r="D12" s="81">
        <v>664937.15971360391</v>
      </c>
      <c r="E12" s="81">
        <v>662972.25866666669</v>
      </c>
      <c r="F12" s="81">
        <v>667892.689958159</v>
      </c>
      <c r="G12" s="81">
        <v>708521.53180327883</v>
      </c>
      <c r="H12" s="81">
        <v>779315.88584795315</v>
      </c>
      <c r="I12" s="81">
        <v>712011.07427852356</v>
      </c>
      <c r="J12" s="81">
        <v>738602.03</v>
      </c>
    </row>
    <row r="13" spans="1:10">
      <c r="C13" s="83"/>
      <c r="D13" s="81"/>
      <c r="E13" s="81"/>
      <c r="F13" s="81"/>
      <c r="G13" s="81"/>
      <c r="H13" s="81"/>
      <c r="I13" s="81"/>
      <c r="J13" s="81"/>
    </row>
    <row r="14" spans="1:10">
      <c r="B14" s="88"/>
      <c r="C14" s="88"/>
      <c r="D14" s="88">
        <v>2001</v>
      </c>
      <c r="E14" s="88">
        <v>2002</v>
      </c>
      <c r="F14" s="88">
        <v>2003</v>
      </c>
      <c r="G14" s="88">
        <v>2004</v>
      </c>
      <c r="H14" s="88">
        <v>2005</v>
      </c>
      <c r="I14" s="88">
        <v>2006</v>
      </c>
      <c r="J14" s="88">
        <v>2007</v>
      </c>
    </row>
    <row r="15" spans="1:10">
      <c r="A15" t="s">
        <v>72</v>
      </c>
      <c r="B15" s="92" t="s">
        <v>77</v>
      </c>
      <c r="C15" s="83">
        <v>350</v>
      </c>
      <c r="D15" s="84">
        <v>37490.94</v>
      </c>
      <c r="E15" s="84">
        <v>37516.572</v>
      </c>
      <c r="F15" s="84">
        <v>38422.224000000002</v>
      </c>
      <c r="G15" s="84">
        <v>39317.796000000002</v>
      </c>
      <c r="H15" s="84">
        <v>39337.398000000001</v>
      </c>
      <c r="I15" s="84">
        <v>39464.483999999997</v>
      </c>
      <c r="J15" s="84">
        <v>41732.312999999995</v>
      </c>
    </row>
    <row r="16" spans="1:10">
      <c r="A16" t="s">
        <v>72</v>
      </c>
      <c r="B16" t="s">
        <v>78</v>
      </c>
      <c r="C16" s="83">
        <v>352</v>
      </c>
      <c r="D16" s="81">
        <v>237606.3023872679</v>
      </c>
      <c r="E16" s="81">
        <v>236819.19584415585</v>
      </c>
      <c r="F16" s="81">
        <v>239632.62848329049</v>
      </c>
      <c r="G16" s="81">
        <v>241297.49535545026</v>
      </c>
      <c r="H16" s="81">
        <v>285984.57318077807</v>
      </c>
      <c r="I16" s="81">
        <v>281738.05455337692</v>
      </c>
      <c r="J16" s="81">
        <v>293722.49</v>
      </c>
    </row>
    <row r="17" spans="1:10">
      <c r="A17" t="s">
        <v>72</v>
      </c>
      <c r="B17" t="s">
        <v>79</v>
      </c>
      <c r="C17" s="83">
        <v>353</v>
      </c>
      <c r="D17" s="81">
        <v>4022377.590498812</v>
      </c>
      <c r="E17" s="81">
        <v>4083760.5953917052</v>
      </c>
      <c r="F17" s="81">
        <v>4231975.8</v>
      </c>
      <c r="G17" s="81">
        <v>4075015.555555556</v>
      </c>
      <c r="H17" s="81">
        <v>4329564.6437869826</v>
      </c>
      <c r="I17" s="81">
        <v>4277132.1355311358</v>
      </c>
      <c r="J17" s="81">
        <v>4278976.55</v>
      </c>
    </row>
    <row r="18" spans="1:10">
      <c r="A18" t="s">
        <v>72</v>
      </c>
      <c r="B18" t="s">
        <v>80</v>
      </c>
      <c r="C18" s="83">
        <v>361</v>
      </c>
      <c r="D18" s="81">
        <v>249095.65877984086</v>
      </c>
      <c r="E18" s="81">
        <v>255431.98254545452</v>
      </c>
      <c r="F18" s="81">
        <v>260581.12904884317</v>
      </c>
      <c r="G18" s="81">
        <v>242631.80132701423</v>
      </c>
      <c r="H18" s="81">
        <v>237075.19871853548</v>
      </c>
      <c r="I18" s="81">
        <v>224090.68932461875</v>
      </c>
      <c r="J18" s="81">
        <v>225329.96</v>
      </c>
    </row>
    <row r="19" spans="1:10">
      <c r="A19" t="s">
        <v>72</v>
      </c>
      <c r="B19" t="s">
        <v>81</v>
      </c>
      <c r="C19" s="83">
        <v>362</v>
      </c>
      <c r="D19" s="81">
        <v>2305327.675926893</v>
      </c>
      <c r="E19" s="81">
        <v>2377538.5478851176</v>
      </c>
      <c r="F19" s="81">
        <v>2395510.2558139535</v>
      </c>
      <c r="G19" s="81">
        <v>2148521.0152252256</v>
      </c>
      <c r="H19" s="81">
        <v>2088543.5626068374</v>
      </c>
      <c r="I19" s="81">
        <v>2031638.4161067195</v>
      </c>
      <c r="J19" s="81">
        <v>1987852.27</v>
      </c>
    </row>
    <row r="20" spans="1:10">
      <c r="A20" t="s">
        <v>72</v>
      </c>
      <c r="B20" t="s">
        <v>75</v>
      </c>
      <c r="C20" s="83">
        <v>397</v>
      </c>
      <c r="D20" s="85">
        <v>1070601.8237288136</v>
      </c>
      <c r="E20" s="85">
        <v>994277.64046966727</v>
      </c>
      <c r="F20" s="85">
        <v>1003361.6424903476</v>
      </c>
      <c r="G20" s="85">
        <v>991571.9816759777</v>
      </c>
      <c r="H20" s="85">
        <v>1007152.005229202</v>
      </c>
      <c r="I20" s="85">
        <v>1069347.0721518986</v>
      </c>
      <c r="J20" s="85">
        <v>1069240.72</v>
      </c>
    </row>
    <row r="21" spans="1:10">
      <c r="C21" s="83"/>
      <c r="D21" s="82"/>
      <c r="E21" s="82"/>
      <c r="F21" s="82"/>
      <c r="G21" s="82"/>
      <c r="H21" s="82"/>
      <c r="I21" s="82"/>
      <c r="J21" s="82"/>
    </row>
    <row r="22" spans="1:10">
      <c r="B22" s="88"/>
      <c r="C22" s="88"/>
      <c r="D22" s="88">
        <v>2001</v>
      </c>
      <c r="E22" s="88">
        <v>2002</v>
      </c>
      <c r="F22" s="88">
        <v>2003</v>
      </c>
      <c r="G22" s="88">
        <v>2004</v>
      </c>
      <c r="H22" s="88">
        <v>2005</v>
      </c>
      <c r="I22" s="88">
        <v>2006</v>
      </c>
      <c r="J22" s="88">
        <v>2007</v>
      </c>
    </row>
    <row r="23" spans="1:10">
      <c r="A23" t="s">
        <v>71</v>
      </c>
      <c r="B23" s="93" t="s">
        <v>82</v>
      </c>
      <c r="C23" s="94">
        <v>350</v>
      </c>
      <c r="D23" s="95">
        <v>87478.86</v>
      </c>
      <c r="E23" s="95">
        <v>87538.668000000005</v>
      </c>
      <c r="F23" s="95">
        <v>89651.856</v>
      </c>
      <c r="G23" s="95">
        <v>91741.524000000005</v>
      </c>
      <c r="H23" s="95">
        <v>91787.262000000002</v>
      </c>
      <c r="I23" s="95">
        <v>92083.795999999988</v>
      </c>
      <c r="J23" s="95">
        <v>97375.396999999983</v>
      </c>
    </row>
    <row r="24" spans="1:10">
      <c r="A24" t="s">
        <v>71</v>
      </c>
      <c r="B24" t="s">
        <v>58</v>
      </c>
      <c r="C24" s="83">
        <v>354</v>
      </c>
      <c r="D24" s="81">
        <v>318968.23511936341</v>
      </c>
      <c r="E24" s="81">
        <v>312528.19199999998</v>
      </c>
      <c r="F24" s="81">
        <v>310581.43588688946</v>
      </c>
      <c r="G24" s="81">
        <v>280052.27450236969</v>
      </c>
      <c r="H24" s="81">
        <v>258107.22709382154</v>
      </c>
      <c r="I24" s="81">
        <v>245737.51424836603</v>
      </c>
      <c r="J24" s="81">
        <v>239025.57</v>
      </c>
    </row>
    <row r="25" spans="1:10">
      <c r="A25" t="s">
        <v>71</v>
      </c>
      <c r="B25" t="s">
        <v>59</v>
      </c>
      <c r="C25" s="83">
        <v>355</v>
      </c>
      <c r="D25" s="81">
        <v>2730396.2475000001</v>
      </c>
      <c r="E25" s="81">
        <v>2684683.6111607142</v>
      </c>
      <c r="F25" s="81">
        <v>2683293.077368421</v>
      </c>
      <c r="G25" s="81">
        <v>2841736.1147234039</v>
      </c>
      <c r="H25" s="81">
        <v>2895113.2805964216</v>
      </c>
      <c r="I25" s="81">
        <v>3062150.15</v>
      </c>
      <c r="J25" s="81">
        <v>3334220.89</v>
      </c>
    </row>
    <row r="26" spans="1:10">
      <c r="A26" t="s">
        <v>71</v>
      </c>
      <c r="B26" s="93" t="s">
        <v>73</v>
      </c>
      <c r="C26" s="94" t="s">
        <v>74</v>
      </c>
      <c r="D26" s="96">
        <f>SUM(D24:D25)</f>
        <v>3049364.4826193633</v>
      </c>
      <c r="E26" s="96">
        <f t="shared" ref="E26:J26" si="0">SUM(E24:E25)</f>
        <v>2997211.803160714</v>
      </c>
      <c r="F26" s="96">
        <f t="shared" si="0"/>
        <v>2993874.5132553102</v>
      </c>
      <c r="G26" s="96">
        <f t="shared" si="0"/>
        <v>3121788.3892257735</v>
      </c>
      <c r="H26" s="96">
        <f t="shared" si="0"/>
        <v>3153220.507690243</v>
      </c>
      <c r="I26" s="96">
        <f t="shared" si="0"/>
        <v>3307887.6642483659</v>
      </c>
      <c r="J26" s="96">
        <f t="shared" si="0"/>
        <v>3573246.46</v>
      </c>
    </row>
    <row r="27" spans="1:10">
      <c r="A27" t="s">
        <v>71</v>
      </c>
      <c r="B27" s="93" t="s">
        <v>60</v>
      </c>
      <c r="C27" s="94">
        <v>356</v>
      </c>
      <c r="D27" s="97">
        <v>1734423.9960297768</v>
      </c>
      <c r="E27" s="97">
        <v>1746221.8862068963</v>
      </c>
      <c r="F27" s="97">
        <v>1747220.5616504855</v>
      </c>
      <c r="G27" s="97">
        <v>1643540.3946067414</v>
      </c>
      <c r="H27" s="97">
        <v>1514200.3512269936</v>
      </c>
      <c r="I27" s="97">
        <v>1372124.2727992961</v>
      </c>
      <c r="J27" s="97">
        <v>1501043.99</v>
      </c>
    </row>
    <row r="28" spans="1:10">
      <c r="A28" t="s">
        <v>71</v>
      </c>
      <c r="B28" t="s">
        <v>61</v>
      </c>
      <c r="C28" s="83">
        <v>357</v>
      </c>
      <c r="D28" s="81">
        <v>12701.018333333333</v>
      </c>
      <c r="E28" s="81">
        <v>12019.292913385827</v>
      </c>
      <c r="F28" s="81">
        <v>11781.535218508998</v>
      </c>
      <c r="G28" s="81">
        <v>10990.544096385544</v>
      </c>
      <c r="H28" s="81">
        <v>10084.319196428572</v>
      </c>
      <c r="I28" s="81">
        <v>9653.3653846153848</v>
      </c>
      <c r="J28" s="81">
        <v>9315</v>
      </c>
    </row>
    <row r="29" spans="1:10">
      <c r="A29" t="s">
        <v>71</v>
      </c>
      <c r="B29" t="s">
        <v>63</v>
      </c>
      <c r="C29" s="83">
        <v>358</v>
      </c>
      <c r="D29" s="81">
        <v>28063.05342281879</v>
      </c>
      <c r="E29" s="81">
        <v>26918.851673819743</v>
      </c>
      <c r="F29" s="81">
        <v>26465.78425263158</v>
      </c>
      <c r="G29" s="81">
        <v>23503.797954545455</v>
      </c>
      <c r="H29" s="81">
        <v>21961.961672727273</v>
      </c>
      <c r="I29" s="81">
        <v>20335.718181818182</v>
      </c>
      <c r="J29" s="81">
        <v>20032.2</v>
      </c>
    </row>
    <row r="30" spans="1:10">
      <c r="A30" t="s">
        <v>71</v>
      </c>
      <c r="B30" t="s">
        <v>76</v>
      </c>
      <c r="C30" s="83">
        <v>359</v>
      </c>
      <c r="D30" s="81">
        <v>29974.928342245988</v>
      </c>
      <c r="E30" s="81">
        <v>28689.07346938776</v>
      </c>
      <c r="F30" s="81">
        <v>28294.43819095477</v>
      </c>
      <c r="G30" s="81">
        <v>27675.815233415236</v>
      </c>
      <c r="H30" s="81">
        <v>26371.638407494145</v>
      </c>
      <c r="I30" s="81">
        <v>25361.913513513515</v>
      </c>
      <c r="J30" s="81">
        <v>24479.759999999998</v>
      </c>
    </row>
    <row r="34" spans="1:10">
      <c r="D34" s="88">
        <v>2001</v>
      </c>
      <c r="E34" s="88">
        <v>2002</v>
      </c>
      <c r="F34" s="88">
        <v>2003</v>
      </c>
      <c r="G34" s="88">
        <v>2004</v>
      </c>
      <c r="H34" s="88">
        <v>2005</v>
      </c>
      <c r="I34" s="88">
        <v>2006</v>
      </c>
      <c r="J34" s="88">
        <v>2007</v>
      </c>
    </row>
    <row r="35" spans="1:10">
      <c r="C35" s="98" t="s">
        <v>83</v>
      </c>
      <c r="D35" s="84">
        <f>SUM(D3:D12)</f>
        <v>18803355.729695983</v>
      </c>
      <c r="E35" s="84">
        <f t="shared" ref="E35:J35" si="1">SUM(E3:E12)</f>
        <v>18334809.031918332</v>
      </c>
      <c r="F35" s="84">
        <f t="shared" si="1"/>
        <v>18482653.542823143</v>
      </c>
      <c r="G35" s="84">
        <f t="shared" si="1"/>
        <v>18151867.435076796</v>
      </c>
      <c r="H35" s="84">
        <f t="shared" si="1"/>
        <v>16390580.829939678</v>
      </c>
      <c r="I35" s="84">
        <f t="shared" si="1"/>
        <v>15216754.037314812</v>
      </c>
      <c r="J35" s="84">
        <f t="shared" si="1"/>
        <v>14987162.279999997</v>
      </c>
    </row>
    <row r="36" spans="1:10">
      <c r="C36" s="98" t="s">
        <v>84</v>
      </c>
      <c r="D36" s="84">
        <f>SUM(D15:D20)</f>
        <v>7922499.991321628</v>
      </c>
      <c r="E36" s="84">
        <f t="shared" ref="E36:J36" si="2">SUM(E15:E20)</f>
        <v>7985344.5341361007</v>
      </c>
      <c r="F36" s="84">
        <f t="shared" si="2"/>
        <v>8169483.6798364343</v>
      </c>
      <c r="G36" s="84">
        <f t="shared" si="2"/>
        <v>7738355.6451392239</v>
      </c>
      <c r="H36" s="84">
        <f t="shared" si="2"/>
        <v>7987657.381522336</v>
      </c>
      <c r="I36" s="84">
        <f t="shared" si="2"/>
        <v>7923410.8516677488</v>
      </c>
      <c r="J36" s="84">
        <f t="shared" si="2"/>
        <v>7896854.3030000003</v>
      </c>
    </row>
    <row r="37" spans="1:10">
      <c r="C37" s="98" t="s">
        <v>85</v>
      </c>
      <c r="D37" s="84">
        <f>D23+D26+D27+D28+D29+D30</f>
        <v>4942006.3387475386</v>
      </c>
      <c r="E37" s="84">
        <f t="shared" ref="E37:J37" si="3">E23+E26+E27+E28+E29+E30</f>
        <v>4898599.5754242036</v>
      </c>
      <c r="F37" s="84">
        <f t="shared" si="3"/>
        <v>4897288.6885678908</v>
      </c>
      <c r="G37" s="84">
        <f t="shared" si="3"/>
        <v>4919240.4651168603</v>
      </c>
      <c r="H37" s="84">
        <f t="shared" si="3"/>
        <v>4817626.0401938856</v>
      </c>
      <c r="I37" s="84">
        <f t="shared" si="3"/>
        <v>4827446.7301276084</v>
      </c>
      <c r="J37" s="84">
        <f t="shared" si="3"/>
        <v>5225492.807</v>
      </c>
    </row>
    <row r="40" spans="1:10">
      <c r="A40" t="s">
        <v>86</v>
      </c>
      <c r="H40" t="s">
        <v>87</v>
      </c>
    </row>
    <row r="66" spans="1:8">
      <c r="A66" t="s">
        <v>88</v>
      </c>
      <c r="H66" t="s">
        <v>89</v>
      </c>
    </row>
  </sheetData>
  <phoneticPr fontId="9" type="noConversion"/>
  <pageMargins left="0.5" right="0.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workbookViewId="0">
      <pane ySplit="1" topLeftCell="A17" activePane="bottomLeft" state="frozen"/>
      <selection pane="bottomLeft" activeCell="U32" sqref="U32"/>
    </sheetView>
  </sheetViews>
  <sheetFormatPr defaultRowHeight="12.75"/>
  <cols>
    <col min="2" max="11" width="4" customWidth="1"/>
    <col min="12" max="13" width="4" bestFit="1" customWidth="1"/>
    <col min="14" max="14" width="15" customWidth="1"/>
    <col min="15" max="15" width="14.5703125" customWidth="1"/>
    <col min="16" max="19" width="4" customWidth="1"/>
  </cols>
  <sheetData>
    <row r="1" spans="1:19" ht="13.5" thickBot="1">
      <c r="A1" t="s">
        <v>54</v>
      </c>
      <c r="B1" s="141">
        <v>353</v>
      </c>
      <c r="C1" s="141">
        <v>354</v>
      </c>
      <c r="D1" s="141">
        <v>355</v>
      </c>
      <c r="E1" s="141">
        <v>356</v>
      </c>
      <c r="F1" s="144">
        <v>357</v>
      </c>
      <c r="G1" s="141">
        <v>358</v>
      </c>
      <c r="H1" s="141">
        <v>359</v>
      </c>
      <c r="I1" s="141">
        <v>362</v>
      </c>
      <c r="J1" s="141">
        <v>364</v>
      </c>
      <c r="K1" s="141">
        <v>365</v>
      </c>
      <c r="L1" s="141">
        <v>366</v>
      </c>
      <c r="M1" s="141">
        <v>367</v>
      </c>
      <c r="N1" s="142" t="s">
        <v>118</v>
      </c>
      <c r="O1" s="142" t="s">
        <v>119</v>
      </c>
      <c r="P1" s="141">
        <v>369</v>
      </c>
      <c r="Q1" s="141">
        <v>370</v>
      </c>
      <c r="R1" s="141">
        <v>373</v>
      </c>
      <c r="S1" s="141">
        <v>397</v>
      </c>
    </row>
    <row r="2" spans="1:19">
      <c r="A2" s="7">
        <v>1906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>
        <v>8</v>
      </c>
      <c r="M2" s="338"/>
      <c r="N2" s="338"/>
      <c r="O2" s="338"/>
      <c r="P2" s="338"/>
      <c r="Q2" s="338"/>
      <c r="R2" s="338"/>
      <c r="S2" s="338"/>
    </row>
    <row r="3" spans="1:19">
      <c r="A3" s="7">
        <v>1907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28">
        <v>8</v>
      </c>
      <c r="M3" s="338"/>
      <c r="N3" s="338"/>
      <c r="O3" s="338"/>
      <c r="P3" s="338"/>
      <c r="Q3" s="338"/>
      <c r="R3" s="338"/>
      <c r="S3" s="338"/>
    </row>
    <row r="4" spans="1:19">
      <c r="A4" s="7">
        <v>1908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28">
        <v>8</v>
      </c>
      <c r="M4" s="338"/>
      <c r="N4" s="338"/>
      <c r="O4" s="338"/>
      <c r="P4" s="338"/>
      <c r="Q4" s="338"/>
      <c r="R4" s="338"/>
      <c r="S4" s="338"/>
    </row>
    <row r="5" spans="1:19">
      <c r="A5" s="7">
        <v>1909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28">
        <v>8</v>
      </c>
      <c r="M5" s="338"/>
      <c r="N5" s="338"/>
      <c r="O5" s="338"/>
      <c r="P5" s="338"/>
      <c r="Q5" s="338"/>
      <c r="R5" s="338"/>
      <c r="S5" s="338"/>
    </row>
    <row r="6" spans="1:19">
      <c r="A6" s="7">
        <v>1910</v>
      </c>
      <c r="B6" s="338"/>
      <c r="C6" s="339">
        <v>9</v>
      </c>
      <c r="D6" s="338"/>
      <c r="E6" s="338"/>
      <c r="F6" s="338"/>
      <c r="G6" s="338"/>
      <c r="H6" s="338"/>
      <c r="I6" s="328">
        <v>15</v>
      </c>
      <c r="J6" s="338"/>
      <c r="K6" s="338"/>
      <c r="L6" s="328">
        <v>8</v>
      </c>
      <c r="M6" s="338"/>
      <c r="N6" s="338"/>
      <c r="O6" s="338"/>
      <c r="P6" s="338"/>
      <c r="Q6" s="338"/>
      <c r="R6" s="338"/>
      <c r="S6" s="338"/>
    </row>
    <row r="7" spans="1:19">
      <c r="A7" s="7">
        <v>1911</v>
      </c>
      <c r="B7" s="338"/>
      <c r="C7" s="339">
        <v>9</v>
      </c>
      <c r="D7" s="338"/>
      <c r="E7" s="338"/>
      <c r="F7" s="338"/>
      <c r="G7" s="338"/>
      <c r="H7" s="338"/>
      <c r="I7" s="328">
        <v>15</v>
      </c>
      <c r="J7" s="338"/>
      <c r="K7" s="338"/>
      <c r="L7" s="328">
        <v>8</v>
      </c>
      <c r="M7" s="338"/>
      <c r="N7" s="338"/>
      <c r="O7" s="338"/>
      <c r="P7" s="338"/>
      <c r="Q7" s="338"/>
      <c r="R7" s="338"/>
      <c r="S7" s="338"/>
    </row>
    <row r="8" spans="1:19">
      <c r="A8" s="7">
        <v>1912</v>
      </c>
      <c r="B8" s="328">
        <v>16</v>
      </c>
      <c r="C8" s="339">
        <v>9</v>
      </c>
      <c r="D8" s="328">
        <v>6</v>
      </c>
      <c r="E8" s="328">
        <v>16</v>
      </c>
      <c r="F8" s="328">
        <v>8</v>
      </c>
      <c r="G8" s="328">
        <v>12</v>
      </c>
      <c r="H8" s="338"/>
      <c r="I8" s="328">
        <v>16</v>
      </c>
      <c r="J8" s="328">
        <v>6</v>
      </c>
      <c r="K8" s="328">
        <v>12</v>
      </c>
      <c r="L8" s="328">
        <v>8</v>
      </c>
      <c r="M8" s="328">
        <v>13</v>
      </c>
      <c r="N8" s="328">
        <v>43</v>
      </c>
      <c r="O8" s="338"/>
      <c r="P8" s="328">
        <v>11</v>
      </c>
      <c r="Q8" s="328">
        <v>31</v>
      </c>
      <c r="R8" s="338"/>
      <c r="S8" s="331">
        <v>14</v>
      </c>
    </row>
    <row r="9" spans="1:19">
      <c r="A9" s="7">
        <v>1913</v>
      </c>
      <c r="B9" s="328">
        <v>16</v>
      </c>
      <c r="C9" s="339">
        <v>9</v>
      </c>
      <c r="D9" s="328">
        <v>6</v>
      </c>
      <c r="E9" s="328">
        <v>15</v>
      </c>
      <c r="F9" s="328">
        <v>8</v>
      </c>
      <c r="G9" s="328">
        <v>12</v>
      </c>
      <c r="H9" s="338"/>
      <c r="I9" s="328">
        <v>16</v>
      </c>
      <c r="J9" s="328">
        <v>7</v>
      </c>
      <c r="K9" s="328">
        <v>12</v>
      </c>
      <c r="L9" s="328">
        <v>8</v>
      </c>
      <c r="M9" s="328">
        <v>12</v>
      </c>
      <c r="N9" s="328">
        <v>43</v>
      </c>
      <c r="O9" s="338"/>
      <c r="P9" s="328">
        <v>11</v>
      </c>
      <c r="Q9" s="328">
        <v>31</v>
      </c>
      <c r="R9" s="338"/>
      <c r="S9" s="331">
        <v>14</v>
      </c>
    </row>
    <row r="10" spans="1:19">
      <c r="A10" s="7">
        <v>1914</v>
      </c>
      <c r="B10" s="328">
        <v>15</v>
      </c>
      <c r="C10" s="339">
        <v>9</v>
      </c>
      <c r="D10" s="328">
        <v>6</v>
      </c>
      <c r="E10" s="328">
        <v>14</v>
      </c>
      <c r="F10" s="328">
        <v>8</v>
      </c>
      <c r="G10" s="328">
        <v>11</v>
      </c>
      <c r="H10" s="338"/>
      <c r="I10" s="328">
        <v>16</v>
      </c>
      <c r="J10" s="328">
        <v>6</v>
      </c>
      <c r="K10" s="328">
        <v>11</v>
      </c>
      <c r="L10" s="328">
        <v>8</v>
      </c>
      <c r="M10" s="328">
        <v>11</v>
      </c>
      <c r="N10" s="328">
        <v>43</v>
      </c>
      <c r="O10" s="338"/>
      <c r="P10" s="328">
        <v>10</v>
      </c>
      <c r="Q10" s="328">
        <v>31</v>
      </c>
      <c r="R10" s="338"/>
      <c r="S10" s="331">
        <v>14</v>
      </c>
    </row>
    <row r="11" spans="1:19">
      <c r="A11" s="7">
        <v>1915</v>
      </c>
      <c r="B11" s="328">
        <v>15</v>
      </c>
      <c r="C11" s="339">
        <v>9</v>
      </c>
      <c r="D11" s="328">
        <v>6</v>
      </c>
      <c r="E11" s="328">
        <v>14</v>
      </c>
      <c r="F11" s="328">
        <v>8</v>
      </c>
      <c r="G11" s="328">
        <v>11</v>
      </c>
      <c r="H11" s="338"/>
      <c r="I11" s="328">
        <v>16</v>
      </c>
      <c r="J11" s="328">
        <v>6</v>
      </c>
      <c r="K11" s="328">
        <v>11</v>
      </c>
      <c r="L11" s="328">
        <v>9</v>
      </c>
      <c r="M11" s="328">
        <v>12</v>
      </c>
      <c r="N11" s="328">
        <v>43</v>
      </c>
      <c r="O11" s="338"/>
      <c r="P11" s="328">
        <v>10</v>
      </c>
      <c r="Q11" s="328">
        <v>31</v>
      </c>
      <c r="R11" s="338"/>
      <c r="S11" s="331">
        <v>14</v>
      </c>
    </row>
    <row r="12" spans="1:19">
      <c r="A12" s="7">
        <v>1916</v>
      </c>
      <c r="B12" s="328">
        <v>17</v>
      </c>
      <c r="C12" s="339">
        <v>13</v>
      </c>
      <c r="D12" s="328">
        <v>7</v>
      </c>
      <c r="E12" s="328">
        <v>22</v>
      </c>
      <c r="F12" s="328">
        <v>8</v>
      </c>
      <c r="G12" s="328">
        <v>16</v>
      </c>
      <c r="H12" s="338"/>
      <c r="I12" s="328">
        <v>17</v>
      </c>
      <c r="J12" s="328">
        <v>8</v>
      </c>
      <c r="K12" s="328">
        <v>17</v>
      </c>
      <c r="L12" s="328">
        <v>9</v>
      </c>
      <c r="M12" s="328">
        <v>17</v>
      </c>
      <c r="N12" s="328">
        <v>43</v>
      </c>
      <c r="O12" s="338"/>
      <c r="P12" s="328">
        <v>15</v>
      </c>
      <c r="Q12" s="328">
        <v>31</v>
      </c>
      <c r="R12" s="338"/>
      <c r="S12" s="331">
        <v>15</v>
      </c>
    </row>
    <row r="13" spans="1:19">
      <c r="A13" s="7">
        <v>1917</v>
      </c>
      <c r="B13" s="328">
        <v>20</v>
      </c>
      <c r="C13" s="339">
        <v>16</v>
      </c>
      <c r="D13" s="328">
        <v>9</v>
      </c>
      <c r="E13" s="328">
        <v>25</v>
      </c>
      <c r="F13" s="328">
        <v>12</v>
      </c>
      <c r="G13" s="328">
        <v>18</v>
      </c>
      <c r="H13" s="338"/>
      <c r="I13" s="328">
        <v>20</v>
      </c>
      <c r="J13" s="328">
        <v>9</v>
      </c>
      <c r="K13" s="328">
        <v>19</v>
      </c>
      <c r="L13" s="328">
        <v>13</v>
      </c>
      <c r="M13" s="328">
        <v>19</v>
      </c>
      <c r="N13" s="328">
        <v>46</v>
      </c>
      <c r="O13" s="338"/>
      <c r="P13" s="328">
        <v>17</v>
      </c>
      <c r="Q13" s="328">
        <v>35</v>
      </c>
      <c r="R13" s="338"/>
      <c r="S13" s="331">
        <v>17</v>
      </c>
    </row>
    <row r="14" spans="1:19">
      <c r="A14" s="7">
        <v>1918</v>
      </c>
      <c r="B14" s="328">
        <v>25</v>
      </c>
      <c r="C14" s="339">
        <v>18</v>
      </c>
      <c r="D14" s="328">
        <v>10</v>
      </c>
      <c r="E14" s="328">
        <v>28</v>
      </c>
      <c r="F14" s="328">
        <v>15</v>
      </c>
      <c r="G14" s="328">
        <v>20</v>
      </c>
      <c r="H14" s="338"/>
      <c r="I14" s="328">
        <v>23</v>
      </c>
      <c r="J14" s="328">
        <v>11</v>
      </c>
      <c r="K14" s="328">
        <v>22</v>
      </c>
      <c r="L14" s="328">
        <v>16</v>
      </c>
      <c r="M14" s="328">
        <v>21</v>
      </c>
      <c r="N14" s="328">
        <v>62</v>
      </c>
      <c r="O14" s="338"/>
      <c r="P14" s="328">
        <v>19</v>
      </c>
      <c r="Q14" s="328">
        <v>39</v>
      </c>
      <c r="R14" s="338"/>
      <c r="S14" s="331">
        <v>20</v>
      </c>
    </row>
    <row r="15" spans="1:19">
      <c r="A15" s="7">
        <v>1919</v>
      </c>
      <c r="B15" s="328">
        <v>27</v>
      </c>
      <c r="C15" s="339">
        <v>18</v>
      </c>
      <c r="D15" s="328">
        <v>12</v>
      </c>
      <c r="E15" s="328">
        <v>28</v>
      </c>
      <c r="F15" s="328">
        <v>17</v>
      </c>
      <c r="G15" s="328">
        <v>22</v>
      </c>
      <c r="H15" s="338"/>
      <c r="I15" s="328">
        <v>25</v>
      </c>
      <c r="J15" s="328">
        <v>12</v>
      </c>
      <c r="K15" s="328">
        <v>22</v>
      </c>
      <c r="L15" s="328">
        <v>18</v>
      </c>
      <c r="M15" s="328">
        <v>23</v>
      </c>
      <c r="N15" s="328">
        <v>64</v>
      </c>
      <c r="O15" s="338"/>
      <c r="P15" s="328">
        <v>20</v>
      </c>
      <c r="Q15" s="328">
        <v>44</v>
      </c>
      <c r="R15" s="338"/>
      <c r="S15" s="331">
        <v>23</v>
      </c>
    </row>
    <row r="16" spans="1:19">
      <c r="A16" s="7">
        <v>1920</v>
      </c>
      <c r="B16" s="328">
        <v>31</v>
      </c>
      <c r="C16" s="339">
        <v>17</v>
      </c>
      <c r="D16" s="328">
        <v>14</v>
      </c>
      <c r="E16" s="328">
        <v>30</v>
      </c>
      <c r="F16" s="328">
        <v>19</v>
      </c>
      <c r="G16" s="328">
        <v>22</v>
      </c>
      <c r="H16" s="338"/>
      <c r="I16" s="328">
        <v>29</v>
      </c>
      <c r="J16" s="328">
        <v>14</v>
      </c>
      <c r="K16" s="328">
        <v>24</v>
      </c>
      <c r="L16" s="328">
        <v>20</v>
      </c>
      <c r="M16" s="328">
        <v>23</v>
      </c>
      <c r="N16" s="328">
        <v>69</v>
      </c>
      <c r="O16" s="338"/>
      <c r="P16" s="328">
        <v>21</v>
      </c>
      <c r="Q16" s="328">
        <v>46</v>
      </c>
      <c r="R16" s="338"/>
      <c r="S16" s="331">
        <v>26</v>
      </c>
    </row>
    <row r="17" spans="1:19">
      <c r="A17" s="7">
        <v>1921</v>
      </c>
      <c r="B17" s="328">
        <v>30</v>
      </c>
      <c r="C17" s="339">
        <v>16</v>
      </c>
      <c r="D17" s="328">
        <v>15</v>
      </c>
      <c r="E17" s="328">
        <v>23</v>
      </c>
      <c r="F17" s="328">
        <v>21</v>
      </c>
      <c r="G17" s="328">
        <v>19</v>
      </c>
      <c r="H17" s="338"/>
      <c r="I17" s="328">
        <v>30</v>
      </c>
      <c r="J17" s="328">
        <v>14</v>
      </c>
      <c r="K17" s="328">
        <v>18</v>
      </c>
      <c r="L17" s="328">
        <v>22</v>
      </c>
      <c r="M17" s="328">
        <v>20</v>
      </c>
      <c r="N17" s="328">
        <v>70</v>
      </c>
      <c r="O17" s="338"/>
      <c r="P17" s="328">
        <v>17</v>
      </c>
      <c r="Q17" s="328">
        <v>49</v>
      </c>
      <c r="R17" s="338"/>
      <c r="S17" s="331">
        <v>27</v>
      </c>
    </row>
    <row r="18" spans="1:19">
      <c r="A18" s="7">
        <v>1922</v>
      </c>
      <c r="B18" s="328">
        <v>28</v>
      </c>
      <c r="C18" s="339">
        <v>15</v>
      </c>
      <c r="D18" s="328">
        <v>14</v>
      </c>
      <c r="E18" s="328">
        <v>21</v>
      </c>
      <c r="F18" s="328">
        <v>19</v>
      </c>
      <c r="G18" s="328">
        <v>18</v>
      </c>
      <c r="H18" s="338"/>
      <c r="I18" s="328">
        <v>28</v>
      </c>
      <c r="J18" s="328">
        <v>13</v>
      </c>
      <c r="K18" s="328">
        <v>16</v>
      </c>
      <c r="L18" s="328">
        <v>20</v>
      </c>
      <c r="M18" s="328">
        <v>19</v>
      </c>
      <c r="N18" s="328">
        <v>63</v>
      </c>
      <c r="O18" s="338"/>
      <c r="P18" s="328">
        <v>15</v>
      </c>
      <c r="Q18" s="328">
        <v>46</v>
      </c>
      <c r="R18" s="338"/>
      <c r="S18" s="331">
        <v>24</v>
      </c>
    </row>
    <row r="19" spans="1:19">
      <c r="A19" s="7">
        <v>1923</v>
      </c>
      <c r="B19" s="328">
        <v>28</v>
      </c>
      <c r="C19" s="339">
        <v>15</v>
      </c>
      <c r="D19" s="328">
        <v>13</v>
      </c>
      <c r="E19" s="328">
        <v>21</v>
      </c>
      <c r="F19" s="328">
        <v>18</v>
      </c>
      <c r="G19" s="328">
        <v>20</v>
      </c>
      <c r="H19" s="338"/>
      <c r="I19" s="328">
        <v>27</v>
      </c>
      <c r="J19" s="328">
        <v>13</v>
      </c>
      <c r="K19" s="328">
        <v>16</v>
      </c>
      <c r="L19" s="328">
        <v>19</v>
      </c>
      <c r="M19" s="328">
        <v>21</v>
      </c>
      <c r="N19" s="328">
        <v>60</v>
      </c>
      <c r="O19" s="338"/>
      <c r="P19" s="328">
        <v>15</v>
      </c>
      <c r="Q19" s="328">
        <v>44</v>
      </c>
      <c r="R19" s="338"/>
      <c r="S19" s="331">
        <v>24</v>
      </c>
    </row>
    <row r="20" spans="1:19">
      <c r="A20" s="7">
        <v>1924</v>
      </c>
      <c r="B20" s="328">
        <v>29</v>
      </c>
      <c r="C20" s="339">
        <v>16</v>
      </c>
      <c r="D20" s="328">
        <v>13</v>
      </c>
      <c r="E20" s="328">
        <v>21</v>
      </c>
      <c r="F20" s="328">
        <v>18</v>
      </c>
      <c r="G20" s="328">
        <v>19</v>
      </c>
      <c r="H20" s="338"/>
      <c r="I20" s="328">
        <v>28</v>
      </c>
      <c r="J20" s="328">
        <v>13</v>
      </c>
      <c r="K20" s="328">
        <v>16</v>
      </c>
      <c r="L20" s="328">
        <v>19</v>
      </c>
      <c r="M20" s="328">
        <v>20</v>
      </c>
      <c r="N20" s="328">
        <v>62</v>
      </c>
      <c r="O20" s="338"/>
      <c r="P20" s="328">
        <v>15</v>
      </c>
      <c r="Q20" s="328">
        <v>43</v>
      </c>
      <c r="R20" s="328">
        <v>20</v>
      </c>
      <c r="S20" s="331">
        <v>24</v>
      </c>
    </row>
    <row r="21" spans="1:19">
      <c r="A21" s="7">
        <v>1925</v>
      </c>
      <c r="B21" s="328">
        <v>29</v>
      </c>
      <c r="C21" s="339">
        <v>15</v>
      </c>
      <c r="D21" s="328">
        <v>13</v>
      </c>
      <c r="E21" s="328">
        <v>21</v>
      </c>
      <c r="F21" s="328">
        <v>17</v>
      </c>
      <c r="G21" s="328">
        <v>19</v>
      </c>
      <c r="H21" s="338"/>
      <c r="I21" s="328">
        <v>28</v>
      </c>
      <c r="J21" s="328">
        <v>13</v>
      </c>
      <c r="K21" s="328">
        <v>16</v>
      </c>
      <c r="L21" s="328">
        <v>18</v>
      </c>
      <c r="M21" s="328">
        <v>20</v>
      </c>
      <c r="N21" s="328">
        <v>61</v>
      </c>
      <c r="O21" s="338"/>
      <c r="P21" s="328">
        <v>15</v>
      </c>
      <c r="Q21" s="328">
        <v>41</v>
      </c>
      <c r="R21" s="328">
        <v>20</v>
      </c>
      <c r="S21" s="331">
        <v>24</v>
      </c>
    </row>
    <row r="22" spans="1:19">
      <c r="A22" s="7">
        <v>1926</v>
      </c>
      <c r="B22" s="328">
        <v>29</v>
      </c>
      <c r="C22" s="339">
        <v>15</v>
      </c>
      <c r="D22" s="328">
        <v>13</v>
      </c>
      <c r="E22" s="328">
        <v>20</v>
      </c>
      <c r="F22" s="328">
        <v>17</v>
      </c>
      <c r="G22" s="328">
        <v>19</v>
      </c>
      <c r="H22" s="328">
        <v>30</v>
      </c>
      <c r="I22" s="328">
        <v>26</v>
      </c>
      <c r="J22" s="328">
        <v>13</v>
      </c>
      <c r="K22" s="328">
        <v>16</v>
      </c>
      <c r="L22" s="328">
        <v>18</v>
      </c>
      <c r="M22" s="328">
        <v>20</v>
      </c>
      <c r="N22" s="328">
        <v>57</v>
      </c>
      <c r="O22" s="338"/>
      <c r="P22" s="328">
        <v>15</v>
      </c>
      <c r="Q22" s="328">
        <v>41</v>
      </c>
      <c r="R22" s="328">
        <v>20</v>
      </c>
      <c r="S22" s="331">
        <v>24</v>
      </c>
    </row>
    <row r="23" spans="1:19">
      <c r="A23" s="7">
        <v>1927</v>
      </c>
      <c r="B23" s="328">
        <v>29</v>
      </c>
      <c r="C23" s="339">
        <v>15</v>
      </c>
      <c r="D23" s="328">
        <v>13</v>
      </c>
      <c r="E23" s="328">
        <v>20</v>
      </c>
      <c r="F23" s="328">
        <v>18</v>
      </c>
      <c r="G23" s="328">
        <v>18</v>
      </c>
      <c r="H23" s="328"/>
      <c r="I23" s="328">
        <v>26</v>
      </c>
      <c r="J23" s="328">
        <v>13</v>
      </c>
      <c r="K23" s="328">
        <v>16</v>
      </c>
      <c r="L23" s="328">
        <v>19</v>
      </c>
      <c r="M23" s="328">
        <v>19</v>
      </c>
      <c r="N23" s="328">
        <v>53</v>
      </c>
      <c r="O23" s="338"/>
      <c r="P23" s="328">
        <v>15</v>
      </c>
      <c r="Q23" s="328">
        <v>41</v>
      </c>
      <c r="R23" s="328">
        <v>19</v>
      </c>
      <c r="S23" s="331">
        <v>24</v>
      </c>
    </row>
    <row r="24" spans="1:19">
      <c r="A24" s="7">
        <v>1928</v>
      </c>
      <c r="B24" s="328">
        <v>29</v>
      </c>
      <c r="C24" s="339">
        <v>15</v>
      </c>
      <c r="D24" s="328">
        <v>13</v>
      </c>
      <c r="E24" s="328">
        <v>21</v>
      </c>
      <c r="F24" s="328">
        <v>18</v>
      </c>
      <c r="G24" s="328">
        <v>20</v>
      </c>
      <c r="H24" s="328"/>
      <c r="I24" s="328">
        <v>26</v>
      </c>
      <c r="J24" s="328">
        <v>13</v>
      </c>
      <c r="K24" s="328">
        <v>17</v>
      </c>
      <c r="L24" s="328">
        <v>19</v>
      </c>
      <c r="M24" s="328">
        <v>21</v>
      </c>
      <c r="N24" s="328">
        <v>52</v>
      </c>
      <c r="O24" s="338"/>
      <c r="P24" s="328">
        <v>15</v>
      </c>
      <c r="Q24" s="328">
        <v>41</v>
      </c>
      <c r="R24" s="328">
        <v>20</v>
      </c>
      <c r="S24" s="331">
        <v>24</v>
      </c>
    </row>
    <row r="25" spans="1:19">
      <c r="A25" s="7">
        <v>1929</v>
      </c>
      <c r="B25" s="328">
        <v>30</v>
      </c>
      <c r="C25" s="339">
        <v>15</v>
      </c>
      <c r="D25" s="328">
        <v>13</v>
      </c>
      <c r="E25" s="328">
        <v>23</v>
      </c>
      <c r="F25" s="328">
        <v>18</v>
      </c>
      <c r="G25" s="328">
        <v>22</v>
      </c>
      <c r="H25" s="328"/>
      <c r="I25" s="328">
        <v>27</v>
      </c>
      <c r="J25" s="328">
        <v>13</v>
      </c>
      <c r="K25" s="328">
        <v>18</v>
      </c>
      <c r="L25" s="328">
        <v>19</v>
      </c>
      <c r="M25" s="328">
        <v>23</v>
      </c>
      <c r="N25" s="328">
        <v>56</v>
      </c>
      <c r="O25" s="338"/>
      <c r="P25" s="328">
        <v>17</v>
      </c>
      <c r="Q25" s="328">
        <v>41</v>
      </c>
      <c r="R25" s="328">
        <v>20</v>
      </c>
      <c r="S25" s="331">
        <v>26</v>
      </c>
    </row>
    <row r="26" spans="1:19">
      <c r="A26" s="7">
        <v>1930</v>
      </c>
      <c r="B26" s="328">
        <v>29</v>
      </c>
      <c r="C26" s="339">
        <v>15</v>
      </c>
      <c r="D26" s="328">
        <v>13</v>
      </c>
      <c r="E26" s="328">
        <v>20</v>
      </c>
      <c r="F26" s="328">
        <v>18</v>
      </c>
      <c r="G26" s="328">
        <v>18</v>
      </c>
      <c r="H26" s="328">
        <v>30</v>
      </c>
      <c r="I26" s="328">
        <v>27</v>
      </c>
      <c r="J26" s="328">
        <v>13</v>
      </c>
      <c r="K26" s="328">
        <v>15</v>
      </c>
      <c r="L26" s="328">
        <v>19</v>
      </c>
      <c r="M26" s="328">
        <v>19</v>
      </c>
      <c r="N26" s="328">
        <v>55</v>
      </c>
      <c r="O26" s="338"/>
      <c r="P26" s="328">
        <v>14</v>
      </c>
      <c r="Q26" s="328">
        <v>41</v>
      </c>
      <c r="R26" s="328">
        <v>20</v>
      </c>
      <c r="S26" s="331">
        <v>25</v>
      </c>
    </row>
    <row r="27" spans="1:19">
      <c r="A27" s="7">
        <v>1931</v>
      </c>
      <c r="B27" s="328">
        <v>29</v>
      </c>
      <c r="C27" s="339">
        <v>14</v>
      </c>
      <c r="D27" s="328">
        <v>13</v>
      </c>
      <c r="E27" s="328">
        <v>18</v>
      </c>
      <c r="F27" s="328">
        <v>17</v>
      </c>
      <c r="G27" s="328">
        <v>18</v>
      </c>
      <c r="H27" s="328"/>
      <c r="I27" s="328">
        <v>27</v>
      </c>
      <c r="J27" s="328">
        <v>12</v>
      </c>
      <c r="K27" s="328">
        <v>14</v>
      </c>
      <c r="L27" s="328">
        <v>18</v>
      </c>
      <c r="M27" s="328">
        <v>18</v>
      </c>
      <c r="N27" s="328">
        <v>53</v>
      </c>
      <c r="O27" s="338"/>
      <c r="P27" s="328">
        <v>13</v>
      </c>
      <c r="Q27" s="328">
        <v>41</v>
      </c>
      <c r="R27" s="328">
        <v>20</v>
      </c>
      <c r="S27" s="331">
        <v>25</v>
      </c>
    </row>
    <row r="28" spans="1:19">
      <c r="A28" s="7">
        <v>1932</v>
      </c>
      <c r="B28" s="328">
        <v>27</v>
      </c>
      <c r="C28" s="339">
        <v>13</v>
      </c>
      <c r="D28" s="328">
        <v>12</v>
      </c>
      <c r="E28" s="328">
        <v>16</v>
      </c>
      <c r="F28" s="328">
        <v>17</v>
      </c>
      <c r="G28" s="328">
        <v>17</v>
      </c>
      <c r="H28" s="328"/>
      <c r="I28" s="328">
        <v>25</v>
      </c>
      <c r="J28" s="328">
        <v>11</v>
      </c>
      <c r="K28" s="328">
        <v>13</v>
      </c>
      <c r="L28" s="328">
        <v>18</v>
      </c>
      <c r="M28" s="328">
        <v>17</v>
      </c>
      <c r="N28" s="328">
        <v>51</v>
      </c>
      <c r="O28" s="338"/>
      <c r="P28" s="328">
        <v>12</v>
      </c>
      <c r="Q28" s="328">
        <v>41</v>
      </c>
      <c r="R28" s="328">
        <v>19</v>
      </c>
      <c r="S28" s="331">
        <v>23</v>
      </c>
    </row>
    <row r="29" spans="1:19">
      <c r="A29" s="7">
        <v>1933</v>
      </c>
      <c r="B29" s="328">
        <v>29</v>
      </c>
      <c r="C29" s="339">
        <v>13</v>
      </c>
      <c r="D29" s="328">
        <v>12</v>
      </c>
      <c r="E29" s="328">
        <v>17</v>
      </c>
      <c r="F29" s="328">
        <v>16</v>
      </c>
      <c r="G29" s="328">
        <v>18</v>
      </c>
      <c r="H29" s="328"/>
      <c r="I29" s="328">
        <v>26</v>
      </c>
      <c r="J29" s="328">
        <v>12</v>
      </c>
      <c r="K29" s="328">
        <v>13</v>
      </c>
      <c r="L29" s="328">
        <v>17</v>
      </c>
      <c r="M29" s="328">
        <v>18</v>
      </c>
      <c r="N29" s="328">
        <v>52</v>
      </c>
      <c r="O29" s="338"/>
      <c r="P29" s="328">
        <v>13</v>
      </c>
      <c r="Q29" s="328">
        <v>43</v>
      </c>
      <c r="R29" s="328">
        <v>19</v>
      </c>
      <c r="S29" s="331">
        <v>24</v>
      </c>
    </row>
    <row r="30" spans="1:19">
      <c r="A30" s="7">
        <v>1934</v>
      </c>
      <c r="B30" s="328">
        <v>31</v>
      </c>
      <c r="C30" s="339">
        <v>14</v>
      </c>
      <c r="D30" s="328">
        <v>12</v>
      </c>
      <c r="E30" s="328">
        <v>20</v>
      </c>
      <c r="F30" s="328">
        <v>17</v>
      </c>
      <c r="G30" s="328">
        <v>19</v>
      </c>
      <c r="H30" s="328"/>
      <c r="I30" s="328">
        <v>28</v>
      </c>
      <c r="J30" s="328">
        <v>12</v>
      </c>
      <c r="K30" s="328">
        <v>15</v>
      </c>
      <c r="L30" s="328">
        <v>18</v>
      </c>
      <c r="M30" s="328">
        <v>20</v>
      </c>
      <c r="N30" s="328">
        <v>55</v>
      </c>
      <c r="O30" s="338"/>
      <c r="P30" s="328">
        <v>14</v>
      </c>
      <c r="Q30" s="328">
        <v>46</v>
      </c>
      <c r="R30" s="328">
        <v>21</v>
      </c>
      <c r="S30" s="331">
        <v>26</v>
      </c>
    </row>
    <row r="31" spans="1:19">
      <c r="A31" s="7">
        <v>1935</v>
      </c>
      <c r="B31" s="328">
        <v>32</v>
      </c>
      <c r="C31" s="339">
        <v>15</v>
      </c>
      <c r="D31" s="328">
        <v>12</v>
      </c>
      <c r="E31" s="328">
        <v>21</v>
      </c>
      <c r="F31" s="328">
        <v>17</v>
      </c>
      <c r="G31" s="328">
        <v>20</v>
      </c>
      <c r="H31" s="328"/>
      <c r="I31" s="328">
        <v>30</v>
      </c>
      <c r="J31" s="328">
        <v>12</v>
      </c>
      <c r="K31" s="328">
        <v>16</v>
      </c>
      <c r="L31" s="328">
        <v>18</v>
      </c>
      <c r="M31" s="328">
        <v>21</v>
      </c>
      <c r="N31" s="328">
        <v>55</v>
      </c>
      <c r="O31" s="338"/>
      <c r="P31" s="328">
        <v>15</v>
      </c>
      <c r="Q31" s="328">
        <v>48</v>
      </c>
      <c r="R31" s="328">
        <v>22</v>
      </c>
      <c r="S31" s="331">
        <v>27</v>
      </c>
    </row>
    <row r="32" spans="1:19">
      <c r="A32" s="7">
        <v>1936</v>
      </c>
      <c r="B32" s="328">
        <v>32</v>
      </c>
      <c r="C32" s="339">
        <v>15</v>
      </c>
      <c r="D32" s="328">
        <v>13</v>
      </c>
      <c r="E32" s="328">
        <v>21</v>
      </c>
      <c r="F32" s="328">
        <v>17</v>
      </c>
      <c r="G32" s="328">
        <v>21</v>
      </c>
      <c r="H32" s="328"/>
      <c r="I32" s="328">
        <v>30</v>
      </c>
      <c r="J32" s="328">
        <v>13</v>
      </c>
      <c r="K32" s="328">
        <v>17</v>
      </c>
      <c r="L32" s="328">
        <v>18</v>
      </c>
      <c r="M32" s="328">
        <v>22</v>
      </c>
      <c r="N32" s="328">
        <v>55</v>
      </c>
      <c r="O32" s="338"/>
      <c r="P32" s="328">
        <v>16</v>
      </c>
      <c r="Q32" s="328">
        <v>48</v>
      </c>
      <c r="R32" s="328">
        <v>22</v>
      </c>
      <c r="S32" s="331">
        <v>28</v>
      </c>
    </row>
    <row r="33" spans="1:19">
      <c r="A33" s="7">
        <v>1937</v>
      </c>
      <c r="B33" s="328">
        <v>35</v>
      </c>
      <c r="C33" s="339">
        <v>17</v>
      </c>
      <c r="D33" s="328">
        <v>14</v>
      </c>
      <c r="E33" s="328">
        <v>23</v>
      </c>
      <c r="F33" s="328">
        <v>18</v>
      </c>
      <c r="G33" s="328">
        <v>23</v>
      </c>
      <c r="H33" s="328"/>
      <c r="I33" s="328">
        <v>32</v>
      </c>
      <c r="J33" s="328">
        <v>15</v>
      </c>
      <c r="K33" s="328">
        <v>18</v>
      </c>
      <c r="L33" s="328">
        <v>19</v>
      </c>
      <c r="M33" s="328">
        <v>24</v>
      </c>
      <c r="N33" s="328">
        <v>60</v>
      </c>
      <c r="O33" s="338"/>
      <c r="P33" s="328">
        <v>17</v>
      </c>
      <c r="Q33" s="328">
        <v>48</v>
      </c>
      <c r="R33" s="328">
        <v>23</v>
      </c>
      <c r="S33" s="331">
        <v>30</v>
      </c>
    </row>
    <row r="34" spans="1:19">
      <c r="A34" s="7">
        <v>1938</v>
      </c>
      <c r="B34" s="328">
        <v>35</v>
      </c>
      <c r="C34" s="339">
        <v>17</v>
      </c>
      <c r="D34" s="328">
        <v>15</v>
      </c>
      <c r="E34" s="328">
        <v>22</v>
      </c>
      <c r="F34" s="328">
        <v>19</v>
      </c>
      <c r="G34" s="328">
        <v>21</v>
      </c>
      <c r="H34" s="328"/>
      <c r="I34" s="328">
        <v>32</v>
      </c>
      <c r="J34" s="328">
        <v>15</v>
      </c>
      <c r="K34" s="328">
        <v>17</v>
      </c>
      <c r="L34" s="328">
        <v>20</v>
      </c>
      <c r="M34" s="328">
        <v>22</v>
      </c>
      <c r="N34" s="328">
        <v>61</v>
      </c>
      <c r="O34" s="338"/>
      <c r="P34" s="328">
        <v>16</v>
      </c>
      <c r="Q34" s="328">
        <v>48</v>
      </c>
      <c r="R34" s="328">
        <v>23</v>
      </c>
      <c r="S34" s="331">
        <v>30</v>
      </c>
    </row>
    <row r="35" spans="1:19">
      <c r="A35" s="7">
        <v>1939</v>
      </c>
      <c r="B35" s="328">
        <v>35</v>
      </c>
      <c r="C35" s="339">
        <v>17</v>
      </c>
      <c r="D35" s="328">
        <v>15</v>
      </c>
      <c r="E35" s="328">
        <v>22</v>
      </c>
      <c r="F35" s="328">
        <v>19</v>
      </c>
      <c r="G35" s="328">
        <v>22</v>
      </c>
      <c r="H35" s="328"/>
      <c r="I35" s="328">
        <v>32</v>
      </c>
      <c r="J35" s="328">
        <v>15</v>
      </c>
      <c r="K35" s="328">
        <v>17</v>
      </c>
      <c r="L35" s="328">
        <v>20</v>
      </c>
      <c r="M35" s="328">
        <v>23</v>
      </c>
      <c r="N35" s="328">
        <v>61</v>
      </c>
      <c r="O35" s="338"/>
      <c r="P35" s="328">
        <v>16</v>
      </c>
      <c r="Q35" s="328">
        <v>48</v>
      </c>
      <c r="R35" s="328">
        <v>23</v>
      </c>
      <c r="S35" s="331">
        <v>30</v>
      </c>
    </row>
    <row r="36" spans="1:19">
      <c r="A36" s="7">
        <v>1940</v>
      </c>
      <c r="B36" s="328">
        <v>35</v>
      </c>
      <c r="C36" s="339">
        <v>17</v>
      </c>
      <c r="D36" s="328">
        <v>15</v>
      </c>
      <c r="E36" s="328">
        <v>22</v>
      </c>
      <c r="F36" s="328">
        <v>19</v>
      </c>
      <c r="G36" s="328">
        <v>22</v>
      </c>
      <c r="H36" s="328"/>
      <c r="I36" s="328">
        <v>32</v>
      </c>
      <c r="J36" s="328">
        <v>15</v>
      </c>
      <c r="K36" s="328">
        <v>17</v>
      </c>
      <c r="L36" s="328">
        <v>20</v>
      </c>
      <c r="M36" s="328">
        <v>23</v>
      </c>
      <c r="N36" s="328">
        <v>61</v>
      </c>
      <c r="O36" s="338"/>
      <c r="P36" s="328">
        <v>17</v>
      </c>
      <c r="Q36" s="328">
        <v>48</v>
      </c>
      <c r="R36" s="328">
        <v>23</v>
      </c>
      <c r="S36" s="331">
        <v>30</v>
      </c>
    </row>
    <row r="37" spans="1:19">
      <c r="A37" s="7">
        <v>1941</v>
      </c>
      <c r="B37" s="328">
        <v>36</v>
      </c>
      <c r="C37" s="339">
        <v>19</v>
      </c>
      <c r="D37" s="328">
        <v>17</v>
      </c>
      <c r="E37" s="328">
        <v>23</v>
      </c>
      <c r="F37" s="328">
        <v>21</v>
      </c>
      <c r="G37" s="328">
        <v>25</v>
      </c>
      <c r="H37" s="328"/>
      <c r="I37" s="328">
        <v>33</v>
      </c>
      <c r="J37" s="328">
        <v>17</v>
      </c>
      <c r="K37" s="328">
        <v>18</v>
      </c>
      <c r="L37" s="328">
        <v>21</v>
      </c>
      <c r="M37" s="328">
        <v>26</v>
      </c>
      <c r="N37" s="328">
        <v>63</v>
      </c>
      <c r="O37" s="338"/>
      <c r="P37" s="328">
        <v>17</v>
      </c>
      <c r="Q37" s="328">
        <v>48</v>
      </c>
      <c r="R37" s="328">
        <v>24</v>
      </c>
      <c r="S37" s="331">
        <v>31</v>
      </c>
    </row>
    <row r="38" spans="1:19">
      <c r="A38" s="7">
        <v>1942</v>
      </c>
      <c r="B38" s="328">
        <v>37</v>
      </c>
      <c r="C38" s="339">
        <v>20</v>
      </c>
      <c r="D38" s="328">
        <v>18</v>
      </c>
      <c r="E38" s="328">
        <v>25</v>
      </c>
      <c r="F38" s="328">
        <v>22</v>
      </c>
      <c r="G38" s="328">
        <v>26</v>
      </c>
      <c r="H38" s="328"/>
      <c r="I38" s="328">
        <v>35</v>
      </c>
      <c r="J38" s="328">
        <v>18</v>
      </c>
      <c r="K38" s="328">
        <v>20</v>
      </c>
      <c r="L38" s="328">
        <v>23</v>
      </c>
      <c r="M38" s="328">
        <v>28</v>
      </c>
      <c r="N38" s="328">
        <v>63</v>
      </c>
      <c r="O38" s="338"/>
      <c r="P38" s="328">
        <v>19</v>
      </c>
      <c r="Q38" s="328">
        <v>49</v>
      </c>
      <c r="R38" s="328">
        <v>25</v>
      </c>
      <c r="S38" s="331">
        <v>32</v>
      </c>
    </row>
    <row r="39" spans="1:19">
      <c r="A39" s="7">
        <v>1943</v>
      </c>
      <c r="B39" s="328">
        <v>36</v>
      </c>
      <c r="C39" s="339">
        <v>20</v>
      </c>
      <c r="D39" s="328">
        <v>19</v>
      </c>
      <c r="E39" s="328">
        <v>26</v>
      </c>
      <c r="F39" s="328">
        <v>23</v>
      </c>
      <c r="G39" s="328">
        <v>26</v>
      </c>
      <c r="H39" s="328"/>
      <c r="I39" s="328">
        <v>35</v>
      </c>
      <c r="J39" s="328">
        <v>19</v>
      </c>
      <c r="K39" s="328">
        <v>20</v>
      </c>
      <c r="L39" s="328">
        <v>23</v>
      </c>
      <c r="M39" s="328">
        <v>28</v>
      </c>
      <c r="N39" s="328">
        <v>58</v>
      </c>
      <c r="O39" s="328">
        <v>102</v>
      </c>
      <c r="P39" s="328">
        <v>20</v>
      </c>
      <c r="Q39" s="328">
        <v>49</v>
      </c>
      <c r="R39" s="328">
        <v>25</v>
      </c>
      <c r="S39" s="331">
        <v>32</v>
      </c>
    </row>
    <row r="40" spans="1:19">
      <c r="A40" s="7">
        <v>1944</v>
      </c>
      <c r="B40" s="328">
        <v>35</v>
      </c>
      <c r="C40" s="339">
        <v>21</v>
      </c>
      <c r="D40" s="328">
        <v>21</v>
      </c>
      <c r="E40" s="328">
        <v>26</v>
      </c>
      <c r="F40" s="328">
        <v>23</v>
      </c>
      <c r="G40" s="328">
        <v>25</v>
      </c>
      <c r="H40" s="328"/>
      <c r="I40" s="328">
        <v>34</v>
      </c>
      <c r="J40" s="328">
        <v>21</v>
      </c>
      <c r="K40" s="328">
        <v>20</v>
      </c>
      <c r="L40" s="328">
        <v>24</v>
      </c>
      <c r="M40" s="328">
        <v>26</v>
      </c>
      <c r="N40" s="328">
        <v>58</v>
      </c>
      <c r="O40" s="328">
        <v>102</v>
      </c>
      <c r="P40" s="328">
        <v>20</v>
      </c>
      <c r="Q40" s="328">
        <v>49</v>
      </c>
      <c r="R40" s="328">
        <v>25</v>
      </c>
      <c r="S40" s="331">
        <v>31</v>
      </c>
    </row>
    <row r="41" spans="1:19">
      <c r="A41" s="7">
        <v>1945</v>
      </c>
      <c r="B41" s="328">
        <v>35</v>
      </c>
      <c r="C41" s="339">
        <v>21</v>
      </c>
      <c r="D41" s="328">
        <v>22</v>
      </c>
      <c r="E41" s="328">
        <v>26</v>
      </c>
      <c r="F41" s="328">
        <v>24</v>
      </c>
      <c r="G41" s="328">
        <v>25</v>
      </c>
      <c r="H41" s="328"/>
      <c r="I41" s="328">
        <v>33</v>
      </c>
      <c r="J41" s="328">
        <v>22</v>
      </c>
      <c r="K41" s="328">
        <v>20</v>
      </c>
      <c r="L41" s="328">
        <v>24</v>
      </c>
      <c r="M41" s="328">
        <v>26</v>
      </c>
      <c r="N41" s="328">
        <v>58</v>
      </c>
      <c r="O41" s="328">
        <v>102</v>
      </c>
      <c r="P41" s="328">
        <v>20</v>
      </c>
      <c r="Q41" s="328">
        <v>49</v>
      </c>
      <c r="R41" s="328">
        <v>25</v>
      </c>
      <c r="S41" s="331">
        <v>30</v>
      </c>
    </row>
    <row r="42" spans="1:19">
      <c r="A42" s="7">
        <v>1946</v>
      </c>
      <c r="B42" s="328">
        <v>39</v>
      </c>
      <c r="C42" s="339">
        <v>24</v>
      </c>
      <c r="D42" s="328">
        <v>24</v>
      </c>
      <c r="E42" s="328">
        <v>30</v>
      </c>
      <c r="F42" s="328">
        <v>27</v>
      </c>
      <c r="G42" s="328">
        <v>30</v>
      </c>
      <c r="H42" s="328"/>
      <c r="I42" s="328">
        <v>37</v>
      </c>
      <c r="J42" s="328">
        <v>24</v>
      </c>
      <c r="K42" s="328">
        <v>23</v>
      </c>
      <c r="L42" s="328">
        <v>27</v>
      </c>
      <c r="M42" s="328">
        <v>31</v>
      </c>
      <c r="N42" s="328">
        <v>66</v>
      </c>
      <c r="O42" s="328">
        <v>102</v>
      </c>
      <c r="P42" s="328">
        <v>22</v>
      </c>
      <c r="Q42" s="328">
        <v>53</v>
      </c>
      <c r="R42" s="328">
        <v>28</v>
      </c>
      <c r="S42" s="331">
        <v>34</v>
      </c>
    </row>
    <row r="43" spans="1:19">
      <c r="A43" s="7">
        <v>1947</v>
      </c>
      <c r="B43" s="328">
        <v>47</v>
      </c>
      <c r="C43" s="339">
        <v>28</v>
      </c>
      <c r="D43" s="328">
        <v>29</v>
      </c>
      <c r="E43" s="328">
        <v>35</v>
      </c>
      <c r="F43" s="328">
        <v>31</v>
      </c>
      <c r="G43" s="328">
        <v>35</v>
      </c>
      <c r="H43" s="328"/>
      <c r="I43" s="328">
        <v>42</v>
      </c>
      <c r="J43" s="328">
        <v>29</v>
      </c>
      <c r="K43" s="328">
        <v>28</v>
      </c>
      <c r="L43" s="328">
        <v>31</v>
      </c>
      <c r="M43" s="328">
        <v>37</v>
      </c>
      <c r="N43" s="328">
        <v>82</v>
      </c>
      <c r="O43" s="328">
        <v>102</v>
      </c>
      <c r="P43" s="328">
        <v>26</v>
      </c>
      <c r="Q43" s="328">
        <v>61</v>
      </c>
      <c r="R43" s="328">
        <v>34</v>
      </c>
      <c r="S43" s="331">
        <v>40</v>
      </c>
    </row>
    <row r="44" spans="1:19">
      <c r="A44" s="7">
        <v>1948</v>
      </c>
      <c r="B44" s="328">
        <v>49</v>
      </c>
      <c r="C44" s="339">
        <v>31</v>
      </c>
      <c r="D44" s="328">
        <v>32</v>
      </c>
      <c r="E44" s="328">
        <v>39</v>
      </c>
      <c r="F44" s="328">
        <v>35</v>
      </c>
      <c r="G44" s="328">
        <v>42</v>
      </c>
      <c r="H44" s="328"/>
      <c r="I44" s="328">
        <v>46</v>
      </c>
      <c r="J44" s="328">
        <v>32</v>
      </c>
      <c r="K44" s="328">
        <v>30</v>
      </c>
      <c r="L44" s="328">
        <v>34</v>
      </c>
      <c r="M44" s="328">
        <v>44</v>
      </c>
      <c r="N44" s="328">
        <v>84</v>
      </c>
      <c r="O44" s="328">
        <v>102</v>
      </c>
      <c r="P44" s="328">
        <v>29</v>
      </c>
      <c r="Q44" s="328">
        <v>65</v>
      </c>
      <c r="R44" s="328">
        <v>38</v>
      </c>
      <c r="S44" s="331">
        <v>43</v>
      </c>
    </row>
    <row r="45" spans="1:19">
      <c r="A45" s="7">
        <v>1949</v>
      </c>
      <c r="B45" s="328">
        <v>52</v>
      </c>
      <c r="C45" s="339">
        <v>32</v>
      </c>
      <c r="D45" s="328">
        <v>32</v>
      </c>
      <c r="E45" s="328">
        <v>39</v>
      </c>
      <c r="F45" s="328">
        <v>35</v>
      </c>
      <c r="G45" s="328">
        <v>46</v>
      </c>
      <c r="H45" s="328"/>
      <c r="I45" s="328">
        <v>48</v>
      </c>
      <c r="J45" s="328">
        <v>32</v>
      </c>
      <c r="K45" s="328">
        <v>30</v>
      </c>
      <c r="L45" s="328">
        <v>36</v>
      </c>
      <c r="M45" s="328">
        <v>49</v>
      </c>
      <c r="N45" s="328">
        <v>87</v>
      </c>
      <c r="O45" s="328">
        <v>102</v>
      </c>
      <c r="P45" s="328">
        <v>29</v>
      </c>
      <c r="Q45" s="328">
        <v>70</v>
      </c>
      <c r="R45" s="328">
        <v>41</v>
      </c>
      <c r="S45" s="331">
        <v>44</v>
      </c>
    </row>
    <row r="46" spans="1:19">
      <c r="A46" s="7">
        <v>1950</v>
      </c>
      <c r="B46" s="328">
        <v>56</v>
      </c>
      <c r="C46" s="339">
        <v>34</v>
      </c>
      <c r="D46" s="328">
        <v>33</v>
      </c>
      <c r="E46" s="328">
        <v>41</v>
      </c>
      <c r="F46" s="328">
        <v>37</v>
      </c>
      <c r="G46" s="328">
        <v>49</v>
      </c>
      <c r="H46" s="328"/>
      <c r="I46" s="328">
        <v>50</v>
      </c>
      <c r="J46" s="328">
        <v>33</v>
      </c>
      <c r="K46" s="328">
        <v>32</v>
      </c>
      <c r="L46" s="328">
        <v>37</v>
      </c>
      <c r="M46" s="328">
        <v>52</v>
      </c>
      <c r="N46" s="328">
        <v>91</v>
      </c>
      <c r="O46" s="328">
        <v>102</v>
      </c>
      <c r="P46" s="328">
        <v>31</v>
      </c>
      <c r="Q46" s="328">
        <v>70</v>
      </c>
      <c r="R46" s="328">
        <v>43</v>
      </c>
      <c r="S46" s="331">
        <v>47</v>
      </c>
    </row>
    <row r="47" spans="1:19">
      <c r="A47" s="7">
        <v>1951</v>
      </c>
      <c r="B47" s="328">
        <v>63</v>
      </c>
      <c r="C47" s="339">
        <v>37</v>
      </c>
      <c r="D47" s="328">
        <v>36</v>
      </c>
      <c r="E47" s="328">
        <v>47</v>
      </c>
      <c r="F47" s="328">
        <v>39</v>
      </c>
      <c r="G47" s="328">
        <v>61</v>
      </c>
      <c r="H47" s="328"/>
      <c r="I47" s="328">
        <v>57</v>
      </c>
      <c r="J47" s="328">
        <v>35</v>
      </c>
      <c r="K47" s="328">
        <v>37</v>
      </c>
      <c r="L47" s="328">
        <v>39</v>
      </c>
      <c r="M47" s="328">
        <v>64</v>
      </c>
      <c r="N47" s="328">
        <v>103</v>
      </c>
      <c r="O47" s="328">
        <v>102</v>
      </c>
      <c r="P47" s="328">
        <v>35</v>
      </c>
      <c r="Q47" s="328">
        <v>71</v>
      </c>
      <c r="R47" s="328">
        <v>48</v>
      </c>
      <c r="S47" s="331">
        <v>55</v>
      </c>
    </row>
    <row r="48" spans="1:19">
      <c r="A48" s="7">
        <v>1952</v>
      </c>
      <c r="B48" s="328">
        <v>64</v>
      </c>
      <c r="C48" s="339">
        <v>39</v>
      </c>
      <c r="D48" s="328">
        <v>37</v>
      </c>
      <c r="E48" s="328">
        <v>49</v>
      </c>
      <c r="F48" s="328">
        <v>41</v>
      </c>
      <c r="G48" s="328">
        <v>63</v>
      </c>
      <c r="H48" s="328">
        <v>31</v>
      </c>
      <c r="I48" s="328">
        <v>58</v>
      </c>
      <c r="J48" s="328">
        <v>37</v>
      </c>
      <c r="K48" s="328">
        <v>38</v>
      </c>
      <c r="L48" s="328">
        <v>41</v>
      </c>
      <c r="M48" s="328">
        <v>66</v>
      </c>
      <c r="N48" s="328">
        <v>103</v>
      </c>
      <c r="O48" s="328">
        <v>102</v>
      </c>
      <c r="P48" s="328">
        <v>36</v>
      </c>
      <c r="Q48" s="328">
        <v>70</v>
      </c>
      <c r="R48" s="328">
        <v>49</v>
      </c>
      <c r="S48" s="331">
        <v>55</v>
      </c>
    </row>
    <row r="49" spans="1:19">
      <c r="A49" s="7">
        <v>1953</v>
      </c>
      <c r="B49" s="328">
        <v>68</v>
      </c>
      <c r="C49" s="339">
        <v>41</v>
      </c>
      <c r="D49" s="328">
        <v>39</v>
      </c>
      <c r="E49" s="328">
        <v>51</v>
      </c>
      <c r="F49" s="328">
        <v>43</v>
      </c>
      <c r="G49" s="328">
        <v>62</v>
      </c>
      <c r="H49" s="328">
        <v>33</v>
      </c>
      <c r="I49" s="328">
        <v>60</v>
      </c>
      <c r="J49" s="328">
        <v>39</v>
      </c>
      <c r="K49" s="328">
        <v>40</v>
      </c>
      <c r="L49" s="328">
        <v>42</v>
      </c>
      <c r="M49" s="328">
        <v>65</v>
      </c>
      <c r="N49" s="328">
        <v>110</v>
      </c>
      <c r="O49" s="328">
        <v>102</v>
      </c>
      <c r="P49" s="328">
        <v>38</v>
      </c>
      <c r="Q49" s="328">
        <v>73</v>
      </c>
      <c r="R49" s="328">
        <v>50</v>
      </c>
      <c r="S49" s="331">
        <v>58</v>
      </c>
    </row>
    <row r="50" spans="1:19">
      <c r="A50" s="7">
        <v>1954</v>
      </c>
      <c r="B50" s="328">
        <v>69</v>
      </c>
      <c r="C50" s="339">
        <v>42</v>
      </c>
      <c r="D50" s="328">
        <v>40</v>
      </c>
      <c r="E50" s="328">
        <v>52</v>
      </c>
      <c r="F50" s="328">
        <v>45</v>
      </c>
      <c r="G50" s="328">
        <v>63</v>
      </c>
      <c r="H50" s="328" t="s">
        <v>0</v>
      </c>
      <c r="I50" s="328">
        <v>61</v>
      </c>
      <c r="J50" s="328">
        <v>40</v>
      </c>
      <c r="K50" s="328">
        <v>40</v>
      </c>
      <c r="L50" s="328">
        <v>44</v>
      </c>
      <c r="M50" s="328">
        <v>67</v>
      </c>
      <c r="N50" s="328">
        <v>112</v>
      </c>
      <c r="O50" s="328">
        <v>102</v>
      </c>
      <c r="P50" s="328">
        <v>38</v>
      </c>
      <c r="Q50" s="328">
        <v>74</v>
      </c>
      <c r="R50" s="328">
        <v>52</v>
      </c>
      <c r="S50" s="331">
        <v>59</v>
      </c>
    </row>
    <row r="51" spans="1:19">
      <c r="A51" s="7">
        <v>1955</v>
      </c>
      <c r="B51" s="328">
        <v>70</v>
      </c>
      <c r="C51" s="339">
        <v>43</v>
      </c>
      <c r="D51" s="328">
        <v>42</v>
      </c>
      <c r="E51" s="328">
        <v>55</v>
      </c>
      <c r="F51" s="328">
        <v>47</v>
      </c>
      <c r="G51" s="328">
        <v>66</v>
      </c>
      <c r="H51" s="328" t="s">
        <v>0</v>
      </c>
      <c r="I51" s="328">
        <v>63</v>
      </c>
      <c r="J51" s="328">
        <v>42</v>
      </c>
      <c r="K51" s="328">
        <v>44</v>
      </c>
      <c r="L51" s="328">
        <v>46</v>
      </c>
      <c r="M51" s="328">
        <v>69</v>
      </c>
      <c r="N51" s="328">
        <v>112</v>
      </c>
      <c r="O51" s="328">
        <v>102</v>
      </c>
      <c r="P51" s="328">
        <v>41</v>
      </c>
      <c r="Q51" s="328">
        <v>71</v>
      </c>
      <c r="R51" s="328">
        <v>53</v>
      </c>
      <c r="S51" s="331">
        <v>60</v>
      </c>
    </row>
    <row r="52" spans="1:19">
      <c r="A52" s="7">
        <v>1956</v>
      </c>
      <c r="B52" s="328">
        <v>77</v>
      </c>
      <c r="C52" s="339">
        <v>46</v>
      </c>
      <c r="D52" s="328">
        <v>44</v>
      </c>
      <c r="E52" s="328">
        <v>61</v>
      </c>
      <c r="F52" s="328">
        <v>50</v>
      </c>
      <c r="G52" s="328">
        <v>65</v>
      </c>
      <c r="H52" s="328" t="s">
        <v>0</v>
      </c>
      <c r="I52" s="328">
        <v>69</v>
      </c>
      <c r="J52" s="328">
        <v>45</v>
      </c>
      <c r="K52" s="328">
        <v>48</v>
      </c>
      <c r="L52" s="328">
        <v>48</v>
      </c>
      <c r="M52" s="328">
        <v>68</v>
      </c>
      <c r="N52" s="328">
        <v>115</v>
      </c>
      <c r="O52" s="328">
        <v>102</v>
      </c>
      <c r="P52" s="328">
        <v>44</v>
      </c>
      <c r="Q52" s="328">
        <v>74</v>
      </c>
      <c r="R52" s="328">
        <v>56</v>
      </c>
      <c r="S52" s="331">
        <v>63</v>
      </c>
    </row>
    <row r="53" spans="1:19">
      <c r="A53" s="7">
        <v>1957</v>
      </c>
      <c r="B53" s="328">
        <v>81</v>
      </c>
      <c r="C53" s="339">
        <v>48</v>
      </c>
      <c r="D53" s="328">
        <v>47</v>
      </c>
      <c r="E53" s="328">
        <v>63</v>
      </c>
      <c r="F53" s="328">
        <v>52</v>
      </c>
      <c r="G53" s="328">
        <v>57</v>
      </c>
      <c r="H53" s="328" t="s">
        <v>0</v>
      </c>
      <c r="I53" s="328">
        <v>73</v>
      </c>
      <c r="J53" s="328">
        <v>47</v>
      </c>
      <c r="K53" s="328">
        <v>47</v>
      </c>
      <c r="L53" s="328">
        <v>50</v>
      </c>
      <c r="M53" s="328">
        <v>60</v>
      </c>
      <c r="N53" s="328">
        <v>122</v>
      </c>
      <c r="O53" s="328">
        <v>102</v>
      </c>
      <c r="P53" s="328">
        <v>43</v>
      </c>
      <c r="Q53" s="328">
        <v>78</v>
      </c>
      <c r="R53" s="328">
        <v>60</v>
      </c>
      <c r="S53" s="331">
        <v>68</v>
      </c>
    </row>
    <row r="54" spans="1:19">
      <c r="A54" s="7">
        <v>1958</v>
      </c>
      <c r="B54" s="328">
        <v>84</v>
      </c>
      <c r="C54" s="339">
        <v>51</v>
      </c>
      <c r="D54" s="328">
        <v>49</v>
      </c>
      <c r="E54" s="328">
        <v>63</v>
      </c>
      <c r="F54" s="328">
        <v>55</v>
      </c>
      <c r="G54" s="328">
        <v>57</v>
      </c>
      <c r="H54" s="328" t="s">
        <v>0</v>
      </c>
      <c r="I54" s="328">
        <v>76</v>
      </c>
      <c r="J54" s="328">
        <v>48</v>
      </c>
      <c r="K54" s="328">
        <v>48</v>
      </c>
      <c r="L54" s="328">
        <v>53</v>
      </c>
      <c r="M54" s="328">
        <v>60</v>
      </c>
      <c r="N54" s="328">
        <v>118</v>
      </c>
      <c r="O54" s="328">
        <v>102</v>
      </c>
      <c r="P54" s="328">
        <v>43</v>
      </c>
      <c r="Q54" s="328">
        <v>80</v>
      </c>
      <c r="R54" s="328">
        <v>64</v>
      </c>
      <c r="S54" s="331">
        <v>70</v>
      </c>
    </row>
    <row r="55" spans="1:19">
      <c r="A55" s="7">
        <v>1959</v>
      </c>
      <c r="B55" s="328">
        <v>83</v>
      </c>
      <c r="C55" s="339">
        <v>53</v>
      </c>
      <c r="D55" s="328">
        <v>50</v>
      </c>
      <c r="E55" s="328">
        <v>62</v>
      </c>
      <c r="F55" s="328">
        <v>57</v>
      </c>
      <c r="G55" s="328">
        <v>60</v>
      </c>
      <c r="H55" s="328" t="s">
        <v>0</v>
      </c>
      <c r="I55" s="328">
        <v>77</v>
      </c>
      <c r="J55" s="328">
        <v>50</v>
      </c>
      <c r="K55" s="328">
        <v>50</v>
      </c>
      <c r="L55" s="328">
        <v>55</v>
      </c>
      <c r="M55" s="328">
        <v>63</v>
      </c>
      <c r="N55" s="328">
        <v>115</v>
      </c>
      <c r="O55" s="328">
        <v>102</v>
      </c>
      <c r="P55" s="328">
        <v>46</v>
      </c>
      <c r="Q55" s="328">
        <v>83</v>
      </c>
      <c r="R55" s="328">
        <v>64</v>
      </c>
      <c r="S55" s="331">
        <v>71</v>
      </c>
    </row>
    <row r="56" spans="1:19">
      <c r="A56" s="7">
        <v>1960</v>
      </c>
      <c r="B56" s="328">
        <v>77</v>
      </c>
      <c r="C56" s="339">
        <v>55</v>
      </c>
      <c r="D56" s="328">
        <v>52</v>
      </c>
      <c r="E56" s="328">
        <v>63</v>
      </c>
      <c r="F56" s="328">
        <v>59</v>
      </c>
      <c r="G56" s="328">
        <v>61</v>
      </c>
      <c r="H56" s="328">
        <v>47</v>
      </c>
      <c r="I56" s="328">
        <v>76</v>
      </c>
      <c r="J56" s="328">
        <v>52</v>
      </c>
      <c r="K56" s="328">
        <v>52</v>
      </c>
      <c r="L56" s="328">
        <v>58</v>
      </c>
      <c r="M56" s="328">
        <v>65</v>
      </c>
      <c r="N56" s="328">
        <v>113</v>
      </c>
      <c r="O56" s="328">
        <v>100</v>
      </c>
      <c r="P56" s="328">
        <v>48</v>
      </c>
      <c r="Q56" s="328">
        <v>84</v>
      </c>
      <c r="R56" s="328">
        <v>65</v>
      </c>
      <c r="S56" s="331">
        <v>67</v>
      </c>
    </row>
    <row r="57" spans="1:19">
      <c r="A57" s="7">
        <v>1961</v>
      </c>
      <c r="B57" s="328">
        <v>70</v>
      </c>
      <c r="C57" s="339">
        <v>57</v>
      </c>
      <c r="D57" s="328">
        <v>53</v>
      </c>
      <c r="E57" s="328">
        <v>63</v>
      </c>
      <c r="F57" s="328">
        <v>61</v>
      </c>
      <c r="G57" s="328">
        <v>61</v>
      </c>
      <c r="H57" s="328">
        <v>49</v>
      </c>
      <c r="I57" s="328">
        <v>71</v>
      </c>
      <c r="J57" s="328">
        <v>53</v>
      </c>
      <c r="K57" s="328">
        <v>53</v>
      </c>
      <c r="L57" s="328">
        <v>59</v>
      </c>
      <c r="M57" s="328">
        <v>64</v>
      </c>
      <c r="N57" s="328">
        <v>109</v>
      </c>
      <c r="O57" s="328">
        <v>95</v>
      </c>
      <c r="P57" s="328">
        <v>49</v>
      </c>
      <c r="Q57" s="328">
        <v>83</v>
      </c>
      <c r="R57" s="328">
        <v>64</v>
      </c>
      <c r="S57" s="331">
        <v>59</v>
      </c>
    </row>
    <row r="58" spans="1:19">
      <c r="A58" s="7">
        <v>1962</v>
      </c>
      <c r="B58" s="328">
        <v>69</v>
      </c>
      <c r="C58" s="339">
        <v>57</v>
      </c>
      <c r="D58" s="328">
        <v>54</v>
      </c>
      <c r="E58" s="328">
        <v>65</v>
      </c>
      <c r="F58" s="328">
        <v>62</v>
      </c>
      <c r="G58" s="328">
        <v>61</v>
      </c>
      <c r="H58" s="328">
        <v>51</v>
      </c>
      <c r="I58" s="328">
        <v>71</v>
      </c>
      <c r="J58" s="328">
        <v>54</v>
      </c>
      <c r="K58" s="328">
        <v>53</v>
      </c>
      <c r="L58" s="328">
        <v>61</v>
      </c>
      <c r="M58" s="328">
        <v>64</v>
      </c>
      <c r="N58" s="328">
        <v>99</v>
      </c>
      <c r="O58" s="328">
        <v>94</v>
      </c>
      <c r="P58" s="328">
        <v>49</v>
      </c>
      <c r="Q58" s="328">
        <v>83</v>
      </c>
      <c r="R58" s="328">
        <v>64</v>
      </c>
      <c r="S58" s="331">
        <v>59</v>
      </c>
    </row>
    <row r="59" spans="1:19">
      <c r="A59" s="7">
        <v>1963</v>
      </c>
      <c r="B59" s="328">
        <v>65</v>
      </c>
      <c r="C59" s="339">
        <v>59</v>
      </c>
      <c r="D59" s="328">
        <v>55</v>
      </c>
      <c r="E59" s="328">
        <v>61</v>
      </c>
      <c r="F59" s="328">
        <v>63</v>
      </c>
      <c r="G59" s="328">
        <v>61</v>
      </c>
      <c r="H59" s="328">
        <v>53</v>
      </c>
      <c r="I59" s="328">
        <v>70</v>
      </c>
      <c r="J59" s="328">
        <v>55</v>
      </c>
      <c r="K59" s="328">
        <v>55</v>
      </c>
      <c r="L59" s="328">
        <v>62</v>
      </c>
      <c r="M59" s="328">
        <v>64</v>
      </c>
      <c r="N59" s="328">
        <v>94</v>
      </c>
      <c r="O59" s="328">
        <v>95</v>
      </c>
      <c r="P59" s="328">
        <v>51</v>
      </c>
      <c r="Q59" s="328">
        <v>83</v>
      </c>
      <c r="R59" s="328">
        <v>65</v>
      </c>
      <c r="S59" s="331">
        <v>59</v>
      </c>
    </row>
    <row r="60" spans="1:19">
      <c r="A60" s="7">
        <v>1964</v>
      </c>
      <c r="B60" s="328">
        <v>69</v>
      </c>
      <c r="C60" s="339">
        <v>61</v>
      </c>
      <c r="D60" s="328">
        <v>56</v>
      </c>
      <c r="E60" s="328">
        <v>64</v>
      </c>
      <c r="F60" s="328">
        <v>65</v>
      </c>
      <c r="G60" s="328">
        <v>66</v>
      </c>
      <c r="H60" s="328">
        <v>55</v>
      </c>
      <c r="I60" s="328">
        <v>73</v>
      </c>
      <c r="J60" s="328">
        <v>56</v>
      </c>
      <c r="K60" s="328">
        <v>57</v>
      </c>
      <c r="L60" s="328">
        <v>64</v>
      </c>
      <c r="M60" s="328">
        <v>69</v>
      </c>
      <c r="N60" s="328">
        <v>94</v>
      </c>
      <c r="O60" s="328">
        <v>91</v>
      </c>
      <c r="P60" s="328">
        <v>53</v>
      </c>
      <c r="Q60" s="328">
        <v>83</v>
      </c>
      <c r="R60" s="328">
        <v>67</v>
      </c>
      <c r="S60" s="331">
        <v>62</v>
      </c>
    </row>
    <row r="61" spans="1:19">
      <c r="A61" s="7">
        <v>1965</v>
      </c>
      <c r="B61" s="328">
        <v>73</v>
      </c>
      <c r="C61" s="339">
        <v>63</v>
      </c>
      <c r="D61" s="328">
        <v>58</v>
      </c>
      <c r="E61" s="328">
        <v>67</v>
      </c>
      <c r="F61" s="328">
        <v>67</v>
      </c>
      <c r="G61" s="328">
        <v>72</v>
      </c>
      <c r="H61" s="328">
        <v>58</v>
      </c>
      <c r="I61" s="328">
        <v>75</v>
      </c>
      <c r="J61" s="328">
        <v>58</v>
      </c>
      <c r="K61" s="328">
        <v>60</v>
      </c>
      <c r="L61" s="328">
        <v>66</v>
      </c>
      <c r="M61" s="328">
        <v>75</v>
      </c>
      <c r="N61" s="328">
        <v>96</v>
      </c>
      <c r="O61" s="328">
        <v>91</v>
      </c>
      <c r="P61" s="328">
        <v>56</v>
      </c>
      <c r="Q61" s="328">
        <v>82</v>
      </c>
      <c r="R61" s="328">
        <v>68</v>
      </c>
      <c r="S61" s="331">
        <v>66</v>
      </c>
    </row>
    <row r="62" spans="1:19">
      <c r="A62" s="7">
        <v>1966</v>
      </c>
      <c r="B62" s="328">
        <v>75</v>
      </c>
      <c r="C62" s="339">
        <v>67</v>
      </c>
      <c r="D62" s="328">
        <v>61</v>
      </c>
      <c r="E62" s="328">
        <v>70</v>
      </c>
      <c r="F62" s="328">
        <v>70</v>
      </c>
      <c r="G62" s="328">
        <v>73</v>
      </c>
      <c r="H62" s="328">
        <v>61</v>
      </c>
      <c r="I62" s="328">
        <v>77</v>
      </c>
      <c r="J62" s="328">
        <v>61</v>
      </c>
      <c r="K62" s="328">
        <v>63</v>
      </c>
      <c r="L62" s="328">
        <v>67</v>
      </c>
      <c r="M62" s="328">
        <v>77</v>
      </c>
      <c r="N62" s="328">
        <v>97</v>
      </c>
      <c r="O62" s="328">
        <v>93</v>
      </c>
      <c r="P62" s="328">
        <v>59</v>
      </c>
      <c r="Q62" s="328">
        <v>83</v>
      </c>
      <c r="R62" s="328">
        <v>70</v>
      </c>
      <c r="S62" s="331">
        <v>68</v>
      </c>
    </row>
    <row r="63" spans="1:19">
      <c r="A63" s="7">
        <v>1967</v>
      </c>
      <c r="B63" s="328">
        <v>79</v>
      </c>
      <c r="C63" s="339">
        <v>71</v>
      </c>
      <c r="D63" s="328">
        <v>63</v>
      </c>
      <c r="E63" s="328">
        <v>73</v>
      </c>
      <c r="F63" s="328">
        <v>73</v>
      </c>
      <c r="G63" s="328">
        <v>75</v>
      </c>
      <c r="H63" s="328">
        <v>65</v>
      </c>
      <c r="I63" s="328">
        <v>81</v>
      </c>
      <c r="J63" s="328">
        <v>63</v>
      </c>
      <c r="K63" s="328">
        <v>67</v>
      </c>
      <c r="L63" s="328">
        <v>69</v>
      </c>
      <c r="M63" s="328">
        <v>79</v>
      </c>
      <c r="N63" s="328">
        <v>100</v>
      </c>
      <c r="O63" s="328">
        <v>96</v>
      </c>
      <c r="P63" s="328">
        <v>63</v>
      </c>
      <c r="Q63" s="328">
        <v>84</v>
      </c>
      <c r="R63" s="328">
        <v>74</v>
      </c>
      <c r="S63" s="331">
        <v>73</v>
      </c>
    </row>
    <row r="64" spans="1:19">
      <c r="A64" s="7">
        <v>1968</v>
      </c>
      <c r="B64" s="328">
        <v>83</v>
      </c>
      <c r="C64" s="339">
        <v>74</v>
      </c>
      <c r="D64" s="328">
        <v>65</v>
      </c>
      <c r="E64" s="328">
        <v>73</v>
      </c>
      <c r="F64" s="328">
        <v>75</v>
      </c>
      <c r="G64" s="328">
        <v>73</v>
      </c>
      <c r="H64" s="328">
        <v>68</v>
      </c>
      <c r="I64" s="328">
        <v>84</v>
      </c>
      <c r="J64" s="328">
        <v>65</v>
      </c>
      <c r="K64" s="328">
        <v>71</v>
      </c>
      <c r="L64" s="328">
        <v>72</v>
      </c>
      <c r="M64" s="328">
        <v>76</v>
      </c>
      <c r="N64" s="328">
        <v>103</v>
      </c>
      <c r="O64" s="328">
        <v>99</v>
      </c>
      <c r="P64" s="328">
        <v>67</v>
      </c>
      <c r="Q64" s="328">
        <v>87</v>
      </c>
      <c r="R64" s="328">
        <v>76</v>
      </c>
      <c r="S64" s="331">
        <v>77</v>
      </c>
    </row>
    <row r="65" spans="1:19">
      <c r="A65" s="7">
        <v>1969</v>
      </c>
      <c r="B65" s="328">
        <v>85</v>
      </c>
      <c r="C65" s="339">
        <v>78</v>
      </c>
      <c r="D65" s="328">
        <v>69</v>
      </c>
      <c r="E65" s="328">
        <v>80</v>
      </c>
      <c r="F65" s="328">
        <v>79</v>
      </c>
      <c r="G65" s="328">
        <v>79</v>
      </c>
      <c r="H65" s="328">
        <v>73</v>
      </c>
      <c r="I65" s="328">
        <v>87</v>
      </c>
      <c r="J65" s="328">
        <v>69</v>
      </c>
      <c r="K65" s="328">
        <v>78</v>
      </c>
      <c r="L65" s="328">
        <v>76</v>
      </c>
      <c r="M65" s="328">
        <v>83</v>
      </c>
      <c r="N65" s="328">
        <v>102</v>
      </c>
      <c r="O65" s="328">
        <v>96</v>
      </c>
      <c r="P65" s="328">
        <v>74</v>
      </c>
      <c r="Q65" s="328">
        <v>91</v>
      </c>
      <c r="R65" s="328">
        <v>81</v>
      </c>
      <c r="S65" s="331">
        <v>80</v>
      </c>
    </row>
    <row r="66" spans="1:19">
      <c r="A66" s="7">
        <v>1970</v>
      </c>
      <c r="B66" s="328">
        <v>89</v>
      </c>
      <c r="C66" s="339">
        <v>82</v>
      </c>
      <c r="D66" s="328">
        <v>76</v>
      </c>
      <c r="E66" s="328">
        <v>89</v>
      </c>
      <c r="F66" s="328">
        <v>82</v>
      </c>
      <c r="G66" s="328">
        <v>82</v>
      </c>
      <c r="H66" s="328">
        <v>79</v>
      </c>
      <c r="I66" s="328">
        <v>90</v>
      </c>
      <c r="J66" s="328">
        <v>76</v>
      </c>
      <c r="K66" s="328">
        <v>87</v>
      </c>
      <c r="L66" s="328">
        <v>81</v>
      </c>
      <c r="M66" s="328">
        <v>86</v>
      </c>
      <c r="N66" s="328">
        <v>102</v>
      </c>
      <c r="O66" s="328">
        <v>95</v>
      </c>
      <c r="P66" s="328">
        <v>84</v>
      </c>
      <c r="Q66" s="328">
        <v>94</v>
      </c>
      <c r="R66" s="328">
        <v>88</v>
      </c>
      <c r="S66" s="331">
        <v>85</v>
      </c>
    </row>
    <row r="67" spans="1:19">
      <c r="A67" s="7">
        <v>1971</v>
      </c>
      <c r="B67" s="328">
        <v>91</v>
      </c>
      <c r="C67" s="339">
        <v>87</v>
      </c>
      <c r="D67" s="328">
        <v>81</v>
      </c>
      <c r="E67" s="328">
        <v>98</v>
      </c>
      <c r="F67" s="328">
        <v>89</v>
      </c>
      <c r="G67" s="328">
        <v>82</v>
      </c>
      <c r="H67" s="328">
        <v>86</v>
      </c>
      <c r="I67" s="328">
        <v>90</v>
      </c>
      <c r="J67" s="328">
        <v>82</v>
      </c>
      <c r="K67" s="328">
        <v>95</v>
      </c>
      <c r="L67" s="328">
        <v>87</v>
      </c>
      <c r="M67" s="328">
        <v>86</v>
      </c>
      <c r="N67" s="328">
        <v>101</v>
      </c>
      <c r="O67" s="328">
        <v>97</v>
      </c>
      <c r="P67" s="328">
        <v>91</v>
      </c>
      <c r="Q67" s="328">
        <v>98</v>
      </c>
      <c r="R67" s="328">
        <v>92</v>
      </c>
      <c r="S67" s="331">
        <v>90</v>
      </c>
    </row>
    <row r="68" spans="1:19">
      <c r="A68" s="7">
        <v>1972</v>
      </c>
      <c r="B68" s="328">
        <v>94</v>
      </c>
      <c r="C68" s="339">
        <v>92</v>
      </c>
      <c r="D68" s="328">
        <v>87</v>
      </c>
      <c r="E68" s="328">
        <v>99</v>
      </c>
      <c r="F68" s="328">
        <v>97</v>
      </c>
      <c r="G68" s="328">
        <v>92</v>
      </c>
      <c r="H68" s="328">
        <v>95</v>
      </c>
      <c r="I68" s="328">
        <v>93</v>
      </c>
      <c r="J68" s="328">
        <v>88</v>
      </c>
      <c r="K68" s="328">
        <v>98</v>
      </c>
      <c r="L68" s="328">
        <v>95</v>
      </c>
      <c r="M68" s="328">
        <v>99</v>
      </c>
      <c r="N68" s="328">
        <v>99</v>
      </c>
      <c r="O68" s="328">
        <v>99</v>
      </c>
      <c r="P68" s="328">
        <v>97</v>
      </c>
      <c r="Q68" s="328">
        <v>100</v>
      </c>
      <c r="R68" s="328">
        <v>97</v>
      </c>
      <c r="S68" s="331">
        <v>96</v>
      </c>
    </row>
    <row r="69" spans="1:19">
      <c r="A69" s="7">
        <v>1973</v>
      </c>
      <c r="B69" s="328">
        <v>100</v>
      </c>
      <c r="C69" s="339">
        <v>100</v>
      </c>
      <c r="D69" s="328">
        <v>100</v>
      </c>
      <c r="E69" s="328">
        <v>100</v>
      </c>
      <c r="F69" s="328">
        <v>100</v>
      </c>
      <c r="G69" s="328">
        <v>100</v>
      </c>
      <c r="H69" s="328">
        <v>100</v>
      </c>
      <c r="I69" s="328">
        <v>100</v>
      </c>
      <c r="J69" s="328">
        <v>100</v>
      </c>
      <c r="K69" s="328">
        <v>100</v>
      </c>
      <c r="L69" s="328">
        <v>100</v>
      </c>
      <c r="M69" s="328">
        <v>100</v>
      </c>
      <c r="N69" s="328">
        <v>100</v>
      </c>
      <c r="O69" s="328">
        <v>100</v>
      </c>
      <c r="P69" s="328">
        <v>100</v>
      </c>
      <c r="Q69" s="328">
        <v>100</v>
      </c>
      <c r="R69" s="328">
        <v>100</v>
      </c>
      <c r="S69" s="331">
        <v>100</v>
      </c>
    </row>
    <row r="70" spans="1:19">
      <c r="A70" s="7">
        <v>1974</v>
      </c>
      <c r="B70" s="328">
        <v>124</v>
      </c>
      <c r="C70" s="339">
        <v>123</v>
      </c>
      <c r="D70" s="328">
        <v>126</v>
      </c>
      <c r="E70" s="328">
        <v>117</v>
      </c>
      <c r="F70" s="328">
        <v>112</v>
      </c>
      <c r="G70" s="328">
        <v>134</v>
      </c>
      <c r="H70" s="328">
        <v>109</v>
      </c>
      <c r="I70" s="328">
        <v>123</v>
      </c>
      <c r="J70" s="328">
        <v>124</v>
      </c>
      <c r="K70" s="328">
        <v>115</v>
      </c>
      <c r="L70" s="328">
        <v>112</v>
      </c>
      <c r="M70" s="328">
        <v>124</v>
      </c>
      <c r="N70" s="330">
        <v>109</v>
      </c>
      <c r="O70" s="328">
        <v>103</v>
      </c>
      <c r="P70" s="328">
        <v>108</v>
      </c>
      <c r="Q70" s="328">
        <v>107</v>
      </c>
      <c r="R70" s="328">
        <v>121</v>
      </c>
      <c r="S70" s="331">
        <v>116</v>
      </c>
    </row>
    <row r="71" spans="1:19">
      <c r="A71" s="7">
        <v>1975</v>
      </c>
      <c r="B71" s="328">
        <v>148</v>
      </c>
      <c r="C71" s="339">
        <v>145</v>
      </c>
      <c r="D71" s="328">
        <v>144</v>
      </c>
      <c r="E71" s="328">
        <v>146</v>
      </c>
      <c r="F71" s="328">
        <v>128</v>
      </c>
      <c r="G71" s="328">
        <v>137</v>
      </c>
      <c r="H71" s="328">
        <v>125</v>
      </c>
      <c r="I71" s="328">
        <v>142</v>
      </c>
      <c r="J71" s="328">
        <v>146</v>
      </c>
      <c r="K71" s="328">
        <v>143</v>
      </c>
      <c r="L71" s="328">
        <v>127</v>
      </c>
      <c r="M71" s="328">
        <v>129</v>
      </c>
      <c r="N71" s="328">
        <v>130</v>
      </c>
      <c r="O71" s="328">
        <v>106</v>
      </c>
      <c r="P71" s="328">
        <v>121</v>
      </c>
      <c r="Q71" s="328">
        <v>124</v>
      </c>
      <c r="R71" s="328">
        <v>149</v>
      </c>
      <c r="S71" s="331">
        <v>135</v>
      </c>
    </row>
    <row r="72" spans="1:19">
      <c r="A72" s="7">
        <v>1976</v>
      </c>
      <c r="B72" s="328">
        <v>157</v>
      </c>
      <c r="C72" s="339">
        <v>149</v>
      </c>
      <c r="D72" s="328">
        <v>150</v>
      </c>
      <c r="E72" s="328">
        <v>172</v>
      </c>
      <c r="F72" s="328">
        <v>143</v>
      </c>
      <c r="G72" s="328">
        <v>143</v>
      </c>
      <c r="H72" s="328">
        <v>137</v>
      </c>
      <c r="I72" s="328">
        <v>150</v>
      </c>
      <c r="J72" s="328">
        <v>152</v>
      </c>
      <c r="K72" s="328">
        <v>166</v>
      </c>
      <c r="L72" s="328">
        <v>138</v>
      </c>
      <c r="M72" s="328">
        <v>138</v>
      </c>
      <c r="N72" s="328">
        <v>136</v>
      </c>
      <c r="O72" s="328">
        <v>109</v>
      </c>
      <c r="P72" s="328">
        <v>136</v>
      </c>
      <c r="Q72" s="328">
        <v>136</v>
      </c>
      <c r="R72" s="328">
        <v>161</v>
      </c>
      <c r="S72" s="331">
        <v>151</v>
      </c>
    </row>
    <row r="73" spans="1:19">
      <c r="A73" s="7">
        <v>1977</v>
      </c>
      <c r="B73" s="328">
        <v>170</v>
      </c>
      <c r="C73" s="339">
        <v>155</v>
      </c>
      <c r="D73" s="328">
        <v>160</v>
      </c>
      <c r="E73" s="328">
        <v>187</v>
      </c>
      <c r="F73" s="328">
        <v>156</v>
      </c>
      <c r="G73" s="328">
        <v>158</v>
      </c>
      <c r="H73" s="328">
        <v>145</v>
      </c>
      <c r="I73" s="328">
        <v>164</v>
      </c>
      <c r="J73" s="328">
        <v>163</v>
      </c>
      <c r="K73" s="328">
        <v>183</v>
      </c>
      <c r="L73" s="328">
        <v>150</v>
      </c>
      <c r="M73" s="328">
        <v>150</v>
      </c>
      <c r="N73" s="328">
        <v>148</v>
      </c>
      <c r="O73" s="328">
        <v>122</v>
      </c>
      <c r="P73" s="328">
        <v>152</v>
      </c>
      <c r="Q73" s="328">
        <v>143</v>
      </c>
      <c r="R73" s="328">
        <v>175</v>
      </c>
      <c r="S73" s="331">
        <v>169</v>
      </c>
    </row>
    <row r="74" spans="1:19">
      <c r="A74" s="7">
        <v>1978</v>
      </c>
      <c r="B74" s="328">
        <v>182</v>
      </c>
      <c r="C74" s="339">
        <v>169</v>
      </c>
      <c r="D74" s="328">
        <v>171</v>
      </c>
      <c r="E74" s="328">
        <v>179</v>
      </c>
      <c r="F74" s="328">
        <v>170</v>
      </c>
      <c r="G74" s="328">
        <v>160</v>
      </c>
      <c r="H74" s="328">
        <v>156</v>
      </c>
      <c r="I74" s="328">
        <v>175</v>
      </c>
      <c r="J74" s="328">
        <v>175</v>
      </c>
      <c r="K74" s="328">
        <v>181</v>
      </c>
      <c r="L74" s="328">
        <v>163</v>
      </c>
      <c r="M74" s="328">
        <v>160</v>
      </c>
      <c r="N74" s="328">
        <v>159</v>
      </c>
      <c r="O74" s="328">
        <v>135</v>
      </c>
      <c r="P74" s="328">
        <v>165</v>
      </c>
      <c r="Q74" s="328">
        <v>148</v>
      </c>
      <c r="R74" s="328">
        <v>193</v>
      </c>
      <c r="S74" s="331">
        <v>179</v>
      </c>
    </row>
    <row r="75" spans="1:19">
      <c r="A75" s="7">
        <v>1979</v>
      </c>
      <c r="B75" s="328">
        <v>197</v>
      </c>
      <c r="C75" s="339">
        <v>187</v>
      </c>
      <c r="D75" s="328">
        <v>189</v>
      </c>
      <c r="E75" s="328">
        <v>193</v>
      </c>
      <c r="F75" s="328">
        <v>185</v>
      </c>
      <c r="G75" s="328">
        <v>189</v>
      </c>
      <c r="H75" s="328">
        <v>166</v>
      </c>
      <c r="I75" s="328">
        <v>187</v>
      </c>
      <c r="J75" s="328">
        <v>197</v>
      </c>
      <c r="K75" s="328">
        <v>196</v>
      </c>
      <c r="L75" s="328">
        <v>180</v>
      </c>
      <c r="M75" s="328">
        <v>194</v>
      </c>
      <c r="N75" s="328">
        <v>168</v>
      </c>
      <c r="O75" s="328">
        <v>144</v>
      </c>
      <c r="P75" s="328">
        <v>181</v>
      </c>
      <c r="Q75" s="328">
        <v>154</v>
      </c>
      <c r="R75" s="328">
        <v>223</v>
      </c>
      <c r="S75" s="331">
        <v>195</v>
      </c>
    </row>
    <row r="76" spans="1:19">
      <c r="A76" s="7">
        <v>1980</v>
      </c>
      <c r="B76" s="328">
        <v>218</v>
      </c>
      <c r="C76" s="339">
        <v>210</v>
      </c>
      <c r="D76" s="328">
        <v>211</v>
      </c>
      <c r="E76" s="328">
        <v>220</v>
      </c>
      <c r="F76" s="328">
        <v>205</v>
      </c>
      <c r="G76" s="328">
        <v>221</v>
      </c>
      <c r="H76" s="328">
        <v>184</v>
      </c>
      <c r="I76" s="328">
        <v>204</v>
      </c>
      <c r="J76" s="328">
        <v>220</v>
      </c>
      <c r="K76" s="328">
        <v>221</v>
      </c>
      <c r="L76" s="328">
        <v>198</v>
      </c>
      <c r="M76" s="328">
        <v>224</v>
      </c>
      <c r="N76" s="328">
        <v>170</v>
      </c>
      <c r="O76" s="328">
        <v>167</v>
      </c>
      <c r="P76" s="328">
        <v>207</v>
      </c>
      <c r="Q76" s="328">
        <v>154</v>
      </c>
      <c r="R76" s="328">
        <v>245</v>
      </c>
      <c r="S76" s="331">
        <v>216</v>
      </c>
    </row>
    <row r="77" spans="1:19">
      <c r="A77" s="7">
        <v>1981</v>
      </c>
      <c r="B77" s="328">
        <v>237</v>
      </c>
      <c r="C77" s="339">
        <v>225</v>
      </c>
      <c r="D77" s="328">
        <v>233</v>
      </c>
      <c r="E77" s="328">
        <v>241</v>
      </c>
      <c r="F77" s="328">
        <v>226</v>
      </c>
      <c r="G77" s="328">
        <v>244</v>
      </c>
      <c r="H77" s="328">
        <v>203</v>
      </c>
      <c r="I77" s="328">
        <v>223</v>
      </c>
      <c r="J77" s="328">
        <v>242</v>
      </c>
      <c r="K77" s="328">
        <v>243</v>
      </c>
      <c r="L77" s="328">
        <v>217</v>
      </c>
      <c r="M77" s="328">
        <v>230</v>
      </c>
      <c r="N77" s="328">
        <v>199</v>
      </c>
      <c r="O77" s="328">
        <v>196</v>
      </c>
      <c r="P77" s="328">
        <v>224</v>
      </c>
      <c r="Q77" s="328">
        <v>172</v>
      </c>
      <c r="R77" s="328">
        <v>261</v>
      </c>
      <c r="S77" s="331">
        <v>242</v>
      </c>
    </row>
    <row r="78" spans="1:19">
      <c r="A78" s="7">
        <v>1982</v>
      </c>
      <c r="B78" s="328">
        <v>253</v>
      </c>
      <c r="C78" s="339">
        <v>229</v>
      </c>
      <c r="D78" s="328">
        <v>252</v>
      </c>
      <c r="E78" s="328">
        <v>251</v>
      </c>
      <c r="F78" s="328">
        <v>248</v>
      </c>
      <c r="G78" s="328">
        <v>269</v>
      </c>
      <c r="H78" s="328">
        <v>227</v>
      </c>
      <c r="I78" s="328">
        <v>241</v>
      </c>
      <c r="J78" s="328">
        <v>260</v>
      </c>
      <c r="K78" s="328">
        <v>261</v>
      </c>
      <c r="L78" s="328">
        <v>232</v>
      </c>
      <c r="M78" s="328">
        <v>233</v>
      </c>
      <c r="N78" s="328">
        <v>215</v>
      </c>
      <c r="O78" s="328">
        <v>197</v>
      </c>
      <c r="P78" s="328">
        <v>239</v>
      </c>
      <c r="Q78" s="328">
        <v>201</v>
      </c>
      <c r="R78" s="328">
        <v>280</v>
      </c>
      <c r="S78" s="331">
        <v>274</v>
      </c>
    </row>
    <row r="79" spans="1:19">
      <c r="A79" s="7">
        <v>1983</v>
      </c>
      <c r="B79" s="328">
        <v>256</v>
      </c>
      <c r="C79" s="339">
        <v>234</v>
      </c>
      <c r="D79" s="328">
        <v>258</v>
      </c>
      <c r="E79" s="328">
        <v>268</v>
      </c>
      <c r="F79" s="328">
        <v>254</v>
      </c>
      <c r="G79" s="328">
        <v>273</v>
      </c>
      <c r="H79" s="328">
        <v>239</v>
      </c>
      <c r="I79" s="328">
        <v>243</v>
      </c>
      <c r="J79" s="328">
        <v>265</v>
      </c>
      <c r="K79" s="328">
        <v>274</v>
      </c>
      <c r="L79" s="328">
        <v>245</v>
      </c>
      <c r="M79" s="328">
        <v>235</v>
      </c>
      <c r="N79" s="328">
        <v>218</v>
      </c>
      <c r="O79" s="328">
        <v>199</v>
      </c>
      <c r="P79" s="328">
        <v>245</v>
      </c>
      <c r="Q79" s="328">
        <v>213</v>
      </c>
      <c r="R79" s="328">
        <v>282</v>
      </c>
      <c r="S79" s="331">
        <v>284</v>
      </c>
    </row>
    <row r="80" spans="1:19">
      <c r="A80" s="7">
        <v>1984</v>
      </c>
      <c r="B80" s="328">
        <v>259</v>
      </c>
      <c r="C80" s="339">
        <v>247</v>
      </c>
      <c r="D80" s="328">
        <v>260</v>
      </c>
      <c r="E80" s="328">
        <v>258</v>
      </c>
      <c r="F80" s="328">
        <v>258</v>
      </c>
      <c r="G80" s="328">
        <v>267</v>
      </c>
      <c r="H80" s="328">
        <v>247</v>
      </c>
      <c r="I80" s="328">
        <v>244</v>
      </c>
      <c r="J80" s="328">
        <v>266</v>
      </c>
      <c r="K80" s="328">
        <v>273</v>
      </c>
      <c r="L80" s="328">
        <v>251</v>
      </c>
      <c r="M80" s="328">
        <v>233</v>
      </c>
      <c r="N80" s="328">
        <v>219</v>
      </c>
      <c r="O80" s="328">
        <v>215</v>
      </c>
      <c r="P80" s="328">
        <v>255</v>
      </c>
      <c r="Q80" s="328">
        <v>213</v>
      </c>
      <c r="R80" s="328">
        <v>290</v>
      </c>
      <c r="S80" s="331">
        <v>277</v>
      </c>
    </row>
    <row r="81" spans="1:19">
      <c r="A81" s="7">
        <v>1985</v>
      </c>
      <c r="B81" s="328">
        <v>260</v>
      </c>
      <c r="C81" s="339">
        <v>256</v>
      </c>
      <c r="D81" s="328">
        <v>256</v>
      </c>
      <c r="E81" s="328">
        <v>252</v>
      </c>
      <c r="F81" s="328">
        <v>255</v>
      </c>
      <c r="G81" s="328">
        <v>254</v>
      </c>
      <c r="H81" s="328">
        <v>251</v>
      </c>
      <c r="I81" s="328">
        <v>244</v>
      </c>
      <c r="J81" s="328">
        <v>263</v>
      </c>
      <c r="K81" s="328">
        <v>264</v>
      </c>
      <c r="L81" s="328">
        <v>249</v>
      </c>
      <c r="M81" s="328">
        <v>232</v>
      </c>
      <c r="N81" s="328">
        <v>218</v>
      </c>
      <c r="O81" s="328">
        <v>215</v>
      </c>
      <c r="P81" s="328">
        <v>244</v>
      </c>
      <c r="Q81" s="328">
        <v>212</v>
      </c>
      <c r="R81" s="328">
        <v>294</v>
      </c>
      <c r="S81" s="331">
        <v>269</v>
      </c>
    </row>
    <row r="82" spans="1:19">
      <c r="A82" s="7">
        <v>1986</v>
      </c>
      <c r="B82" s="328">
        <v>262</v>
      </c>
      <c r="C82" s="339">
        <v>261</v>
      </c>
      <c r="D82" s="328">
        <v>258</v>
      </c>
      <c r="E82" s="328">
        <v>252</v>
      </c>
      <c r="F82" s="328">
        <v>256</v>
      </c>
      <c r="G82" s="328">
        <v>275</v>
      </c>
      <c r="H82" s="328">
        <v>255</v>
      </c>
      <c r="I82" s="328">
        <v>246</v>
      </c>
      <c r="J82" s="328">
        <v>264</v>
      </c>
      <c r="K82" s="328">
        <v>263</v>
      </c>
      <c r="L82" s="328">
        <v>250</v>
      </c>
      <c r="M82" s="328">
        <v>240</v>
      </c>
      <c r="N82" s="328">
        <v>219</v>
      </c>
      <c r="O82" s="328">
        <v>221</v>
      </c>
      <c r="P82" s="328">
        <v>241</v>
      </c>
      <c r="Q82" s="328">
        <v>216</v>
      </c>
      <c r="R82" s="328">
        <v>292</v>
      </c>
      <c r="S82" s="331">
        <v>269</v>
      </c>
    </row>
    <row r="83" spans="1:19">
      <c r="A83" s="7">
        <v>1987</v>
      </c>
      <c r="B83" s="328">
        <v>269</v>
      </c>
      <c r="C83" s="339">
        <v>267</v>
      </c>
      <c r="D83" s="328">
        <v>261</v>
      </c>
      <c r="E83" s="328">
        <v>243</v>
      </c>
      <c r="F83" s="328">
        <v>263</v>
      </c>
      <c r="G83" s="328">
        <v>278</v>
      </c>
      <c r="H83" s="328">
        <v>259</v>
      </c>
      <c r="I83" s="328">
        <v>253</v>
      </c>
      <c r="J83" s="328">
        <v>265</v>
      </c>
      <c r="K83" s="328">
        <v>260</v>
      </c>
      <c r="L83" s="328">
        <v>255</v>
      </c>
      <c r="M83" s="328">
        <v>244</v>
      </c>
      <c r="N83" s="328">
        <v>218</v>
      </c>
      <c r="O83" s="328">
        <v>243</v>
      </c>
      <c r="P83" s="328">
        <v>245</v>
      </c>
      <c r="Q83" s="328">
        <v>215</v>
      </c>
      <c r="R83" s="328">
        <v>278</v>
      </c>
      <c r="S83" s="331">
        <v>270</v>
      </c>
    </row>
    <row r="84" spans="1:19">
      <c r="A84" s="7">
        <v>1988</v>
      </c>
      <c r="B84" s="328">
        <v>281</v>
      </c>
      <c r="C84" s="339">
        <v>278</v>
      </c>
      <c r="D84" s="328">
        <v>281</v>
      </c>
      <c r="E84" s="328">
        <v>311</v>
      </c>
      <c r="F84" s="328">
        <v>278</v>
      </c>
      <c r="G84" s="328">
        <v>293</v>
      </c>
      <c r="H84" s="328">
        <v>264</v>
      </c>
      <c r="I84" s="328">
        <v>276</v>
      </c>
      <c r="J84" s="328">
        <v>275</v>
      </c>
      <c r="K84" s="328">
        <v>302</v>
      </c>
      <c r="L84" s="328">
        <v>272</v>
      </c>
      <c r="M84" s="328">
        <v>249</v>
      </c>
      <c r="N84" s="328">
        <v>220</v>
      </c>
      <c r="O84" s="328">
        <v>266</v>
      </c>
      <c r="P84" s="328">
        <v>266</v>
      </c>
      <c r="Q84" s="328">
        <v>202</v>
      </c>
      <c r="R84" s="328">
        <v>282</v>
      </c>
      <c r="S84" s="331">
        <v>300</v>
      </c>
    </row>
    <row r="85" spans="1:19">
      <c r="A85" s="7">
        <v>1989</v>
      </c>
      <c r="B85" s="328">
        <v>295</v>
      </c>
      <c r="C85" s="339">
        <v>287</v>
      </c>
      <c r="D85" s="328">
        <v>301</v>
      </c>
      <c r="E85" s="328">
        <v>320</v>
      </c>
      <c r="F85" s="328">
        <v>291</v>
      </c>
      <c r="G85" s="328">
        <v>314</v>
      </c>
      <c r="H85" s="328">
        <v>272</v>
      </c>
      <c r="I85" s="328">
        <v>297</v>
      </c>
      <c r="J85" s="328">
        <v>285</v>
      </c>
      <c r="K85" s="328">
        <v>312</v>
      </c>
      <c r="L85" s="328">
        <v>296</v>
      </c>
      <c r="M85" s="328">
        <v>264</v>
      </c>
      <c r="N85" s="328">
        <v>228</v>
      </c>
      <c r="O85" s="328">
        <v>281</v>
      </c>
      <c r="P85" s="328">
        <v>279</v>
      </c>
      <c r="Q85" s="328">
        <v>193</v>
      </c>
      <c r="R85" s="328">
        <v>292</v>
      </c>
      <c r="S85" s="331">
        <v>317</v>
      </c>
    </row>
    <row r="86" spans="1:19">
      <c r="A86" s="7">
        <v>1990</v>
      </c>
      <c r="B86" s="328">
        <v>312</v>
      </c>
      <c r="C86" s="339">
        <v>288</v>
      </c>
      <c r="D86" s="328">
        <v>312</v>
      </c>
      <c r="E86" s="328">
        <v>323</v>
      </c>
      <c r="F86" s="328">
        <v>293</v>
      </c>
      <c r="G86" s="328">
        <v>364</v>
      </c>
      <c r="H86" s="328">
        <v>280</v>
      </c>
      <c r="I86" s="328">
        <v>318</v>
      </c>
      <c r="J86" s="328">
        <v>295</v>
      </c>
      <c r="K86" s="328">
        <v>315</v>
      </c>
      <c r="L86" s="328">
        <v>295</v>
      </c>
      <c r="M86" s="328">
        <v>275</v>
      </c>
      <c r="N86" s="328">
        <v>232</v>
      </c>
      <c r="O86" s="328">
        <v>287</v>
      </c>
      <c r="P86" s="328">
        <v>280</v>
      </c>
      <c r="Q86" s="328">
        <v>193</v>
      </c>
      <c r="R86" s="328">
        <v>300</v>
      </c>
      <c r="S86" s="331">
        <v>328</v>
      </c>
    </row>
    <row r="87" spans="1:19">
      <c r="A87" s="7">
        <v>1991</v>
      </c>
      <c r="B87" s="328">
        <v>315</v>
      </c>
      <c r="C87" s="339">
        <v>281</v>
      </c>
      <c r="D87" s="328">
        <v>333</v>
      </c>
      <c r="E87" s="328">
        <v>333</v>
      </c>
      <c r="F87" s="328">
        <v>295</v>
      </c>
      <c r="G87" s="328">
        <v>407</v>
      </c>
      <c r="H87" s="328">
        <v>290</v>
      </c>
      <c r="I87" s="328">
        <v>320</v>
      </c>
      <c r="J87" s="328">
        <v>307</v>
      </c>
      <c r="K87" s="328">
        <v>324</v>
      </c>
      <c r="L87" s="328">
        <v>290</v>
      </c>
      <c r="M87" s="328">
        <v>282</v>
      </c>
      <c r="N87" s="328">
        <v>231</v>
      </c>
      <c r="O87" s="328">
        <v>297</v>
      </c>
      <c r="P87" s="328">
        <v>284</v>
      </c>
      <c r="Q87" s="328">
        <v>208</v>
      </c>
      <c r="R87" s="328">
        <v>311</v>
      </c>
      <c r="S87" s="331">
        <v>336</v>
      </c>
    </row>
    <row r="88" spans="1:19">
      <c r="A88" s="7">
        <v>1992</v>
      </c>
      <c r="B88" s="328">
        <v>324</v>
      </c>
      <c r="C88" s="339">
        <v>284</v>
      </c>
      <c r="D88" s="328">
        <v>350</v>
      </c>
      <c r="E88" s="328">
        <v>318</v>
      </c>
      <c r="F88" s="328">
        <v>296</v>
      </c>
      <c r="G88" s="328">
        <v>416</v>
      </c>
      <c r="H88" s="328">
        <v>297</v>
      </c>
      <c r="I88" s="328">
        <v>323</v>
      </c>
      <c r="J88" s="328">
        <v>321</v>
      </c>
      <c r="K88" s="328">
        <v>318</v>
      </c>
      <c r="L88" s="328">
        <v>290</v>
      </c>
      <c r="M88" s="328">
        <v>286</v>
      </c>
      <c r="N88" s="328">
        <v>236</v>
      </c>
      <c r="O88" s="328">
        <v>296</v>
      </c>
      <c r="P88" s="328">
        <v>283</v>
      </c>
      <c r="Q88" s="328">
        <v>208</v>
      </c>
      <c r="R88" s="328">
        <v>321</v>
      </c>
      <c r="S88" s="331">
        <v>349</v>
      </c>
    </row>
    <row r="89" spans="1:19">
      <c r="A89" s="7">
        <v>1993</v>
      </c>
      <c r="B89" s="328">
        <v>337</v>
      </c>
      <c r="C89" s="339">
        <v>296</v>
      </c>
      <c r="D89" s="328">
        <v>360</v>
      </c>
      <c r="E89" s="328">
        <v>330</v>
      </c>
      <c r="F89" s="328">
        <v>304</v>
      </c>
      <c r="G89" s="328">
        <v>423</v>
      </c>
      <c r="H89" s="328">
        <v>304</v>
      </c>
      <c r="I89" s="328">
        <v>328</v>
      </c>
      <c r="J89" s="328">
        <v>333</v>
      </c>
      <c r="K89" s="328">
        <v>332</v>
      </c>
      <c r="L89" s="328">
        <v>298</v>
      </c>
      <c r="M89" s="328">
        <v>291</v>
      </c>
      <c r="N89" s="328">
        <v>238</v>
      </c>
      <c r="O89" s="328">
        <v>304</v>
      </c>
      <c r="P89" s="328">
        <v>293</v>
      </c>
      <c r="Q89" s="328">
        <v>211</v>
      </c>
      <c r="R89" s="328">
        <v>337</v>
      </c>
      <c r="S89" s="331">
        <v>365</v>
      </c>
    </row>
    <row r="90" spans="1:19">
      <c r="A90" s="56">
        <v>1994</v>
      </c>
      <c r="B90" s="331">
        <v>352</v>
      </c>
      <c r="C90" s="331">
        <v>312</v>
      </c>
      <c r="D90" s="331">
        <v>378</v>
      </c>
      <c r="E90" s="331">
        <v>340</v>
      </c>
      <c r="F90" s="331">
        <v>311</v>
      </c>
      <c r="G90" s="331">
        <v>424</v>
      </c>
      <c r="H90" s="331">
        <v>313</v>
      </c>
      <c r="I90" s="331">
        <v>337</v>
      </c>
      <c r="J90" s="331">
        <v>349</v>
      </c>
      <c r="K90" s="331">
        <v>343</v>
      </c>
      <c r="L90" s="331">
        <v>308</v>
      </c>
      <c r="M90" s="331">
        <v>293</v>
      </c>
      <c r="N90" s="331">
        <v>242</v>
      </c>
      <c r="O90" s="331">
        <v>305</v>
      </c>
      <c r="P90" s="331">
        <v>301</v>
      </c>
      <c r="Q90" s="331">
        <v>200</v>
      </c>
      <c r="R90" s="331">
        <v>350</v>
      </c>
      <c r="S90" s="331">
        <v>371</v>
      </c>
    </row>
    <row r="91" spans="1:19">
      <c r="A91" s="56">
        <v>1995</v>
      </c>
      <c r="B91" s="331">
        <v>364</v>
      </c>
      <c r="C91" s="331">
        <v>322</v>
      </c>
      <c r="D91" s="331">
        <v>392</v>
      </c>
      <c r="E91" s="331">
        <v>368</v>
      </c>
      <c r="F91" s="331">
        <v>318</v>
      </c>
      <c r="G91" s="331">
        <v>436</v>
      </c>
      <c r="H91" s="331">
        <v>317</v>
      </c>
      <c r="I91" s="331">
        <v>354</v>
      </c>
      <c r="J91" s="331">
        <v>364</v>
      </c>
      <c r="K91" s="331">
        <v>366</v>
      </c>
      <c r="L91" s="331">
        <v>316</v>
      </c>
      <c r="M91" s="331">
        <v>306</v>
      </c>
      <c r="N91" s="331">
        <v>238</v>
      </c>
      <c r="O91" s="331">
        <v>307</v>
      </c>
      <c r="P91" s="331">
        <v>317</v>
      </c>
      <c r="Q91" s="331">
        <v>198</v>
      </c>
      <c r="R91" s="331">
        <v>367</v>
      </c>
      <c r="S91" s="331">
        <v>388</v>
      </c>
    </row>
    <row r="92" spans="1:19">
      <c r="A92" s="56">
        <v>1996</v>
      </c>
      <c r="B92" s="331">
        <v>366</v>
      </c>
      <c r="C92" s="331">
        <v>333</v>
      </c>
      <c r="D92" s="331">
        <v>407</v>
      </c>
      <c r="E92" s="331">
        <v>374</v>
      </c>
      <c r="F92" s="331">
        <v>323</v>
      </c>
      <c r="G92" s="331">
        <v>441</v>
      </c>
      <c r="H92" s="331">
        <v>326</v>
      </c>
      <c r="I92" s="331">
        <v>352</v>
      </c>
      <c r="J92" s="331">
        <v>373</v>
      </c>
      <c r="K92" s="331">
        <v>373</v>
      </c>
      <c r="L92" s="331">
        <v>321</v>
      </c>
      <c r="M92" s="331">
        <v>312</v>
      </c>
      <c r="N92" s="331">
        <v>234</v>
      </c>
      <c r="O92" s="331">
        <v>320</v>
      </c>
      <c r="P92" s="331">
        <v>319</v>
      </c>
      <c r="Q92" s="331">
        <v>202</v>
      </c>
      <c r="R92" s="331">
        <v>386</v>
      </c>
      <c r="S92" s="331">
        <v>399</v>
      </c>
    </row>
    <row r="93" spans="1:19">
      <c r="A93" s="56">
        <v>1997</v>
      </c>
      <c r="B93" s="331">
        <v>372</v>
      </c>
      <c r="C93" s="331">
        <v>341</v>
      </c>
      <c r="D93" s="331">
        <v>420</v>
      </c>
      <c r="E93" s="331">
        <v>379</v>
      </c>
      <c r="F93" s="331">
        <v>331</v>
      </c>
      <c r="G93" s="331">
        <v>446</v>
      </c>
      <c r="H93" s="331">
        <v>337</v>
      </c>
      <c r="I93" s="331">
        <v>357</v>
      </c>
      <c r="J93" s="331">
        <v>382</v>
      </c>
      <c r="K93" s="331">
        <v>380</v>
      </c>
      <c r="L93" s="331">
        <v>330</v>
      </c>
      <c r="M93" s="331">
        <v>315</v>
      </c>
      <c r="N93" s="331">
        <v>225</v>
      </c>
      <c r="O93" s="331">
        <v>325</v>
      </c>
      <c r="P93" s="331">
        <v>323</v>
      </c>
      <c r="Q93" s="331">
        <v>216</v>
      </c>
      <c r="R93" s="331">
        <v>395</v>
      </c>
      <c r="S93" s="331">
        <v>408</v>
      </c>
    </row>
    <row r="94" spans="1:19">
      <c r="A94" s="56">
        <v>1998</v>
      </c>
      <c r="B94" s="331">
        <v>382</v>
      </c>
      <c r="C94" s="331">
        <v>347</v>
      </c>
      <c r="D94" s="331">
        <v>428</v>
      </c>
      <c r="E94" s="331">
        <v>391</v>
      </c>
      <c r="F94" s="331">
        <v>337</v>
      </c>
      <c r="G94" s="331">
        <v>450</v>
      </c>
      <c r="H94" s="331">
        <v>345</v>
      </c>
      <c r="I94" s="331">
        <v>372</v>
      </c>
      <c r="J94" s="331">
        <v>387</v>
      </c>
      <c r="K94" s="331">
        <v>391</v>
      </c>
      <c r="L94" s="331">
        <v>337</v>
      </c>
      <c r="M94" s="331">
        <v>320</v>
      </c>
      <c r="N94" s="331">
        <v>228</v>
      </c>
      <c r="O94" s="331">
        <v>327</v>
      </c>
      <c r="P94" s="331">
        <v>330</v>
      </c>
      <c r="Q94" s="331">
        <v>222</v>
      </c>
      <c r="R94" s="331">
        <v>397</v>
      </c>
      <c r="S94" s="331">
        <v>417</v>
      </c>
    </row>
    <row r="95" spans="1:19">
      <c r="A95" s="56">
        <v>1999</v>
      </c>
      <c r="B95" s="331">
        <v>388</v>
      </c>
      <c r="C95" s="331">
        <v>354</v>
      </c>
      <c r="D95" s="331">
        <v>419</v>
      </c>
      <c r="E95" s="331">
        <v>354</v>
      </c>
      <c r="F95" s="331">
        <v>346</v>
      </c>
      <c r="G95" s="331">
        <v>463</v>
      </c>
      <c r="H95" s="331">
        <v>355</v>
      </c>
      <c r="I95" s="331">
        <v>375</v>
      </c>
      <c r="J95" s="331">
        <v>391</v>
      </c>
      <c r="K95" s="331">
        <v>377</v>
      </c>
      <c r="L95" s="331">
        <v>347</v>
      </c>
      <c r="M95" s="331">
        <v>329</v>
      </c>
      <c r="N95" s="331">
        <v>228</v>
      </c>
      <c r="O95" s="331">
        <v>329</v>
      </c>
      <c r="P95" s="331">
        <v>330</v>
      </c>
      <c r="Q95" s="331">
        <v>212</v>
      </c>
      <c r="R95" s="331">
        <v>402</v>
      </c>
      <c r="S95" s="331">
        <v>428</v>
      </c>
    </row>
    <row r="96" spans="1:19">
      <c r="A96" s="56">
        <v>2000</v>
      </c>
      <c r="B96" s="331">
        <v>415</v>
      </c>
      <c r="C96" s="331">
        <v>368</v>
      </c>
      <c r="D96" s="331">
        <v>422</v>
      </c>
      <c r="E96" s="331">
        <v>398</v>
      </c>
      <c r="F96" s="331">
        <v>355</v>
      </c>
      <c r="G96" s="331">
        <v>458</v>
      </c>
      <c r="H96" s="331">
        <v>364</v>
      </c>
      <c r="I96" s="331">
        <v>379</v>
      </c>
      <c r="J96" s="331">
        <v>398</v>
      </c>
      <c r="K96" s="331">
        <v>410</v>
      </c>
      <c r="L96" s="331">
        <v>356</v>
      </c>
      <c r="M96" s="331">
        <v>335</v>
      </c>
      <c r="N96" s="331">
        <v>231</v>
      </c>
      <c r="O96" s="331">
        <v>332</v>
      </c>
      <c r="P96" s="331">
        <v>343</v>
      </c>
      <c r="Q96" s="331">
        <v>210</v>
      </c>
      <c r="R96" s="331">
        <v>410</v>
      </c>
      <c r="S96" s="331">
        <v>461</v>
      </c>
    </row>
    <row r="97" spans="1:19">
      <c r="A97" s="78">
        <v>2001</v>
      </c>
      <c r="B97" s="328">
        <v>421</v>
      </c>
      <c r="C97" s="328">
        <v>377</v>
      </c>
      <c r="D97" s="328">
        <v>432</v>
      </c>
      <c r="E97" s="328">
        <v>403</v>
      </c>
      <c r="F97" s="328">
        <v>360</v>
      </c>
      <c r="G97" s="328">
        <v>447</v>
      </c>
      <c r="H97" s="328">
        <v>374</v>
      </c>
      <c r="I97" s="328">
        <v>383</v>
      </c>
      <c r="J97" s="328">
        <v>403</v>
      </c>
      <c r="K97" s="328">
        <v>416</v>
      </c>
      <c r="L97" s="328">
        <v>362</v>
      </c>
      <c r="M97" s="328">
        <v>327</v>
      </c>
      <c r="N97" s="328">
        <v>238</v>
      </c>
      <c r="O97" s="328">
        <v>351</v>
      </c>
      <c r="P97" s="328">
        <v>343</v>
      </c>
      <c r="Q97" s="328">
        <v>237</v>
      </c>
      <c r="R97" s="328">
        <v>419</v>
      </c>
      <c r="S97" s="331">
        <v>472</v>
      </c>
    </row>
    <row r="98" spans="1:19">
      <c r="A98" s="78">
        <v>2002</v>
      </c>
      <c r="B98" s="328">
        <v>434</v>
      </c>
      <c r="C98" s="328">
        <v>385</v>
      </c>
      <c r="D98" s="328">
        <v>448</v>
      </c>
      <c r="E98" s="328">
        <v>406</v>
      </c>
      <c r="F98" s="328">
        <v>381</v>
      </c>
      <c r="G98" s="328">
        <v>466</v>
      </c>
      <c r="H98" s="328">
        <v>392</v>
      </c>
      <c r="I98" s="328">
        <v>383</v>
      </c>
      <c r="J98" s="328">
        <v>426</v>
      </c>
      <c r="K98" s="328">
        <v>437</v>
      </c>
      <c r="L98" s="328">
        <v>389</v>
      </c>
      <c r="M98" s="328">
        <v>343</v>
      </c>
      <c r="N98" s="328">
        <v>250</v>
      </c>
      <c r="O98" s="328">
        <v>365</v>
      </c>
      <c r="P98" s="328">
        <v>363</v>
      </c>
      <c r="Q98" s="328">
        <v>275</v>
      </c>
      <c r="R98" s="328">
        <v>450</v>
      </c>
      <c r="S98" s="331">
        <v>511</v>
      </c>
    </row>
    <row r="99" spans="1:19">
      <c r="A99" s="78">
        <v>2003</v>
      </c>
      <c r="B99" s="328">
        <v>432</v>
      </c>
      <c r="C99" s="328">
        <v>389</v>
      </c>
      <c r="D99" s="328">
        <v>456</v>
      </c>
      <c r="E99" s="328">
        <v>412</v>
      </c>
      <c r="F99" s="328">
        <v>389</v>
      </c>
      <c r="G99" s="328">
        <v>475</v>
      </c>
      <c r="H99" s="328">
        <v>398</v>
      </c>
      <c r="I99" s="328">
        <v>387</v>
      </c>
      <c r="J99" s="328">
        <v>437</v>
      </c>
      <c r="K99" s="328">
        <v>451</v>
      </c>
      <c r="L99" s="328">
        <v>394</v>
      </c>
      <c r="M99" s="328">
        <v>349</v>
      </c>
      <c r="N99" s="328">
        <v>257</v>
      </c>
      <c r="O99" s="328">
        <v>362</v>
      </c>
      <c r="P99" s="328">
        <v>375</v>
      </c>
      <c r="Q99" s="328">
        <v>287</v>
      </c>
      <c r="R99" s="328">
        <v>478</v>
      </c>
      <c r="S99" s="331">
        <v>518</v>
      </c>
    </row>
    <row r="100" spans="1:19">
      <c r="A100" s="78">
        <v>2004</v>
      </c>
      <c r="B100" s="328">
        <v>477</v>
      </c>
      <c r="C100" s="328">
        <v>422</v>
      </c>
      <c r="D100" s="328">
        <v>470</v>
      </c>
      <c r="E100" s="328">
        <v>445</v>
      </c>
      <c r="F100" s="328">
        <v>415</v>
      </c>
      <c r="G100" s="328">
        <v>528</v>
      </c>
      <c r="H100" s="328">
        <v>407</v>
      </c>
      <c r="I100" s="328">
        <v>444</v>
      </c>
      <c r="J100" s="328">
        <v>448</v>
      </c>
      <c r="K100" s="328">
        <v>477</v>
      </c>
      <c r="L100" s="328">
        <v>406</v>
      </c>
      <c r="M100" s="328">
        <v>369</v>
      </c>
      <c r="N100" s="328">
        <v>267</v>
      </c>
      <c r="O100" s="328">
        <v>460</v>
      </c>
      <c r="P100" s="328">
        <v>393</v>
      </c>
      <c r="Q100" s="328">
        <v>324</v>
      </c>
      <c r="R100" s="328">
        <v>488</v>
      </c>
      <c r="S100" s="331">
        <v>537</v>
      </c>
    </row>
    <row r="101" spans="1:19">
      <c r="A101" s="78">
        <v>2005</v>
      </c>
      <c r="B101" s="328">
        <v>507</v>
      </c>
      <c r="C101" s="328">
        <v>437</v>
      </c>
      <c r="D101" s="328">
        <v>503</v>
      </c>
      <c r="E101" s="328">
        <v>489</v>
      </c>
      <c r="F101" s="328">
        <v>448</v>
      </c>
      <c r="G101" s="328">
        <v>550</v>
      </c>
      <c r="H101" s="328">
        <v>427</v>
      </c>
      <c r="I101" s="328">
        <v>468</v>
      </c>
      <c r="J101" s="328">
        <v>470</v>
      </c>
      <c r="K101" s="328">
        <v>516</v>
      </c>
      <c r="L101" s="328">
        <v>433</v>
      </c>
      <c r="M101" s="328">
        <v>405</v>
      </c>
      <c r="N101" s="328">
        <v>286</v>
      </c>
      <c r="O101" s="328">
        <v>542</v>
      </c>
      <c r="P101" s="328">
        <v>414</v>
      </c>
      <c r="Q101" s="328">
        <v>311</v>
      </c>
      <c r="R101" s="328">
        <v>513</v>
      </c>
      <c r="S101" s="331">
        <v>589</v>
      </c>
    </row>
    <row r="102" spans="1:19">
      <c r="A102" s="78">
        <v>2006</v>
      </c>
      <c r="B102" s="328">
        <v>546</v>
      </c>
      <c r="C102" s="328">
        <v>459</v>
      </c>
      <c r="D102" s="328">
        <v>522</v>
      </c>
      <c r="E102" s="328">
        <v>568</v>
      </c>
      <c r="F102" s="328">
        <v>468</v>
      </c>
      <c r="G102" s="328">
        <v>594</v>
      </c>
      <c r="H102" s="328">
        <v>444</v>
      </c>
      <c r="I102" s="328">
        <v>506</v>
      </c>
      <c r="J102" s="328">
        <v>490</v>
      </c>
      <c r="K102" s="328">
        <v>574</v>
      </c>
      <c r="L102" s="328">
        <v>461</v>
      </c>
      <c r="M102" s="328">
        <v>437</v>
      </c>
      <c r="N102" s="328">
        <v>363</v>
      </c>
      <c r="O102" s="328">
        <v>653</v>
      </c>
      <c r="P102" s="328">
        <v>436</v>
      </c>
      <c r="Q102" s="328">
        <v>319</v>
      </c>
      <c r="R102" s="328">
        <v>596</v>
      </c>
      <c r="S102" s="331">
        <v>632</v>
      </c>
    </row>
    <row r="103" spans="1:19">
      <c r="A103" s="78">
        <v>2007</v>
      </c>
      <c r="B103" s="328">
        <v>597</v>
      </c>
      <c r="C103" s="328">
        <v>498</v>
      </c>
      <c r="D103" s="328">
        <v>534</v>
      </c>
      <c r="E103" s="328">
        <v>608</v>
      </c>
      <c r="F103" s="328">
        <v>479</v>
      </c>
      <c r="G103" s="328">
        <v>608</v>
      </c>
      <c r="H103" s="328">
        <v>460</v>
      </c>
      <c r="I103" s="328">
        <v>559</v>
      </c>
      <c r="J103" s="328">
        <v>504</v>
      </c>
      <c r="K103" s="328">
        <v>612</v>
      </c>
      <c r="L103" s="328">
        <v>476</v>
      </c>
      <c r="M103" s="328">
        <v>518</v>
      </c>
      <c r="N103" s="328">
        <v>417</v>
      </c>
      <c r="O103" s="328">
        <v>818</v>
      </c>
      <c r="P103" s="328">
        <v>457</v>
      </c>
      <c r="Q103" s="328">
        <v>328</v>
      </c>
      <c r="R103" s="328">
        <v>626</v>
      </c>
      <c r="S103" s="331">
        <v>697</v>
      </c>
    </row>
    <row r="104" spans="1:19">
      <c r="A104" s="128">
        <v>2008</v>
      </c>
      <c r="B104" s="328">
        <v>641</v>
      </c>
      <c r="C104" s="328">
        <v>517</v>
      </c>
      <c r="D104" s="328">
        <v>576</v>
      </c>
      <c r="E104" s="328">
        <v>716</v>
      </c>
      <c r="F104" s="328">
        <v>534</v>
      </c>
      <c r="G104" s="328">
        <v>818</v>
      </c>
      <c r="H104" s="328">
        <v>478</v>
      </c>
      <c r="I104" s="328">
        <v>602</v>
      </c>
      <c r="J104" s="328">
        <v>533</v>
      </c>
      <c r="K104" s="328">
        <v>698</v>
      </c>
      <c r="L104" s="328">
        <v>503</v>
      </c>
      <c r="M104" s="328">
        <v>588</v>
      </c>
      <c r="N104" s="328">
        <v>508</v>
      </c>
      <c r="O104" s="328">
        <v>758</v>
      </c>
      <c r="P104" s="328">
        <v>493</v>
      </c>
      <c r="Q104" s="328">
        <v>334</v>
      </c>
      <c r="R104" s="328">
        <v>674</v>
      </c>
      <c r="S104" s="331">
        <v>761</v>
      </c>
    </row>
    <row r="105" spans="1:19">
      <c r="A105" s="78">
        <v>2009</v>
      </c>
      <c r="B105" s="328">
        <v>657</v>
      </c>
      <c r="C105" s="328">
        <v>502</v>
      </c>
      <c r="D105" s="328">
        <v>596</v>
      </c>
      <c r="E105" s="328">
        <v>525</v>
      </c>
      <c r="F105" s="328">
        <v>530</v>
      </c>
      <c r="G105" s="328">
        <v>832</v>
      </c>
      <c r="H105" s="328">
        <v>498</v>
      </c>
      <c r="I105" s="328">
        <v>615</v>
      </c>
      <c r="J105" s="328">
        <v>550</v>
      </c>
      <c r="K105" s="328">
        <v>612</v>
      </c>
      <c r="L105" s="328">
        <v>520</v>
      </c>
      <c r="M105" s="328">
        <v>641</v>
      </c>
      <c r="N105" s="328">
        <v>558</v>
      </c>
      <c r="O105" s="328">
        <v>666</v>
      </c>
      <c r="P105" s="328">
        <v>468</v>
      </c>
      <c r="Q105" s="328">
        <v>338</v>
      </c>
      <c r="R105" s="328">
        <v>753</v>
      </c>
      <c r="S105" s="331">
        <v>816</v>
      </c>
    </row>
    <row r="106" spans="1:19">
      <c r="A106" s="128">
        <v>2010</v>
      </c>
      <c r="B106" s="328">
        <v>691</v>
      </c>
      <c r="C106" s="328">
        <v>520</v>
      </c>
      <c r="D106" s="328">
        <v>595</v>
      </c>
      <c r="E106" s="328">
        <v>610</v>
      </c>
      <c r="F106" s="328">
        <v>548</v>
      </c>
      <c r="G106" s="328">
        <v>829</v>
      </c>
      <c r="H106" s="328">
        <v>525</v>
      </c>
      <c r="I106" s="328">
        <v>650</v>
      </c>
      <c r="J106" s="328">
        <v>568</v>
      </c>
      <c r="K106" s="328">
        <v>684</v>
      </c>
      <c r="L106" s="328">
        <v>526</v>
      </c>
      <c r="M106" s="328">
        <v>614</v>
      </c>
      <c r="N106" s="328">
        <v>612</v>
      </c>
      <c r="O106" s="328">
        <v>652</v>
      </c>
      <c r="P106" s="328">
        <v>509</v>
      </c>
      <c r="Q106" s="328">
        <v>355</v>
      </c>
      <c r="R106" s="328">
        <v>730</v>
      </c>
      <c r="S106" s="331">
        <v>868</v>
      </c>
    </row>
  </sheetData>
  <sortState columnSort="1" ref="B1:S112">
    <sortCondition ref="B1:S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T62"/>
  <sheetViews>
    <sheetView topLeftCell="B1" workbookViewId="0">
      <selection activeCell="F11" sqref="F11"/>
    </sheetView>
  </sheetViews>
  <sheetFormatPr defaultRowHeight="12.75"/>
  <cols>
    <col min="3" max="3" width="11.28515625" bestFit="1" customWidth="1"/>
    <col min="5" max="5" width="18.7109375" customWidth="1"/>
    <col min="8" max="8" width="11.5703125" bestFit="1" customWidth="1"/>
    <col min="9" max="9" width="11.7109375" bestFit="1" customWidth="1"/>
    <col min="10" max="10" width="10.7109375" bestFit="1" customWidth="1"/>
    <col min="11" max="11" width="20.42578125" bestFit="1" customWidth="1"/>
    <col min="12" max="12" width="24.7109375" bestFit="1" customWidth="1"/>
    <col min="13" max="13" width="9.140625" customWidth="1"/>
    <col min="14" max="14" width="5.28515625" customWidth="1"/>
    <col min="15" max="15" width="4.85546875" customWidth="1"/>
    <col min="16" max="16" width="5.42578125" customWidth="1"/>
    <col min="18" max="18" width="18.7109375" customWidth="1"/>
  </cols>
  <sheetData>
    <row r="4" spans="2:20" ht="15.75">
      <c r="C4" s="5"/>
      <c r="D4" s="45"/>
      <c r="E4" s="5"/>
      <c r="F4" s="5"/>
      <c r="G4" s="28"/>
      <c r="H4" s="24"/>
      <c r="M4" s="12"/>
    </row>
    <row r="5" spans="2:20" ht="16.5" thickBot="1">
      <c r="C5" s="5" t="s">
        <v>0</v>
      </c>
      <c r="D5" s="45"/>
      <c r="E5" s="5"/>
      <c r="F5" s="5"/>
      <c r="G5" s="28"/>
      <c r="H5" s="24"/>
      <c r="M5" s="12"/>
    </row>
    <row r="6" spans="2:20" ht="13.5" thickBot="1">
      <c r="C6" s="159"/>
      <c r="D6" s="159"/>
      <c r="E6" s="165" t="s">
        <v>103</v>
      </c>
      <c r="F6" s="161">
        <f>F11</f>
        <v>559</v>
      </c>
      <c r="G6" s="163"/>
      <c r="H6" s="160"/>
      <c r="I6" s="159"/>
      <c r="J6" s="159"/>
      <c r="K6" s="159"/>
      <c r="L6" s="165" t="s">
        <v>103</v>
      </c>
      <c r="M6" s="161">
        <f>M11</f>
        <v>741</v>
      </c>
    </row>
    <row r="7" spans="2:20" ht="13.5" thickBot="1">
      <c r="C7" s="141">
        <v>352</v>
      </c>
      <c r="D7" s="142" t="s">
        <v>42</v>
      </c>
      <c r="E7" s="141"/>
      <c r="F7" s="141"/>
      <c r="G7" s="146"/>
      <c r="H7" s="144"/>
      <c r="I7" s="141">
        <v>353</v>
      </c>
      <c r="J7" s="141"/>
      <c r="K7" s="141"/>
      <c r="L7" s="141"/>
      <c r="M7" s="145"/>
    </row>
    <row r="8" spans="2:20">
      <c r="C8" s="17" t="s">
        <v>13</v>
      </c>
      <c r="D8" s="17" t="s">
        <v>47</v>
      </c>
      <c r="E8" s="17" t="s">
        <v>22</v>
      </c>
      <c r="F8" s="18" t="s">
        <v>17</v>
      </c>
      <c r="G8" s="31" t="s">
        <v>121</v>
      </c>
      <c r="H8" s="40" t="s">
        <v>122</v>
      </c>
      <c r="I8" s="17" t="s">
        <v>13</v>
      </c>
      <c r="J8" s="17" t="s">
        <v>47</v>
      </c>
      <c r="K8" s="17" t="s">
        <v>18</v>
      </c>
      <c r="L8" s="17" t="s">
        <v>22</v>
      </c>
      <c r="M8" s="18" t="s">
        <v>17</v>
      </c>
    </row>
    <row r="9" spans="2:20">
      <c r="C9" s="17"/>
      <c r="D9" s="17" t="s">
        <v>46</v>
      </c>
      <c r="E9" s="17"/>
      <c r="F9" s="6"/>
      <c r="G9" s="29"/>
      <c r="H9" s="40"/>
      <c r="I9" s="17"/>
      <c r="J9" s="17" t="s">
        <v>46</v>
      </c>
      <c r="K9" s="17"/>
      <c r="L9" s="17"/>
      <c r="M9" s="18"/>
    </row>
    <row r="10" spans="2:20">
      <c r="C10" s="17"/>
      <c r="D10" s="17"/>
      <c r="E10" s="17"/>
      <c r="F10" s="6"/>
      <c r="G10" s="29"/>
      <c r="H10" s="40"/>
      <c r="I10" s="17"/>
      <c r="J10" s="17"/>
      <c r="K10" s="17"/>
      <c r="L10" s="17"/>
      <c r="M10" s="18"/>
    </row>
    <row r="11" spans="2:20">
      <c r="B11" s="128">
        <v>2012</v>
      </c>
      <c r="C11" s="130"/>
      <c r="D11" s="130"/>
      <c r="E11" s="130"/>
      <c r="F11" s="134">
        <v>559</v>
      </c>
      <c r="G11" s="135"/>
      <c r="H11" s="131"/>
      <c r="I11" s="130"/>
      <c r="J11" s="130"/>
      <c r="K11" s="130"/>
      <c r="L11" s="130"/>
      <c r="M11" s="80">
        <v>741</v>
      </c>
    </row>
    <row r="12" spans="2:20">
      <c r="B12" s="128">
        <v>2010</v>
      </c>
      <c r="C12" s="297">
        <v>-1975662.04</v>
      </c>
      <c r="D12" s="130"/>
      <c r="E12" s="296">
        <v>-1975662.04</v>
      </c>
      <c r="F12" s="134">
        <v>520</v>
      </c>
      <c r="G12" s="139">
        <v>1</v>
      </c>
      <c r="H12" s="86">
        <v>-1975662.04</v>
      </c>
      <c r="I12" s="297">
        <v>17808204.16</v>
      </c>
      <c r="J12" s="17"/>
      <c r="K12" s="297">
        <v>-2683011.29</v>
      </c>
      <c r="L12" s="299">
        <v>15125192.870000001</v>
      </c>
      <c r="M12" s="80">
        <v>691</v>
      </c>
    </row>
    <row r="13" spans="2:20" ht="13.5" thickBot="1">
      <c r="B13" s="78">
        <v>2009</v>
      </c>
      <c r="C13" s="297">
        <v>340538.54</v>
      </c>
      <c r="D13" s="17"/>
      <c r="E13" s="296">
        <v>340538.54</v>
      </c>
      <c r="F13" s="134">
        <v>502</v>
      </c>
      <c r="G13" s="139">
        <v>1.0358565737051793</v>
      </c>
      <c r="H13" s="86">
        <v>352749.0852589641</v>
      </c>
      <c r="I13" s="297">
        <v>6723366.1100000003</v>
      </c>
      <c r="J13" s="17"/>
      <c r="K13" s="297">
        <v>-1938336.19</v>
      </c>
      <c r="L13" s="299">
        <v>4785029.92</v>
      </c>
      <c r="M13" s="80">
        <v>657</v>
      </c>
      <c r="R13">
        <v>100</v>
      </c>
      <c r="S13">
        <v>100</v>
      </c>
    </row>
    <row r="14" spans="2:20" ht="13.5" thickBot="1">
      <c r="B14" s="128">
        <v>2008</v>
      </c>
      <c r="C14" s="297">
        <v>4260749.6100000003</v>
      </c>
      <c r="D14" s="133"/>
      <c r="E14" s="296">
        <v>4260749.6100000003</v>
      </c>
      <c r="F14" s="134">
        <v>517</v>
      </c>
      <c r="G14" s="139">
        <v>1.0058027079303675</v>
      </c>
      <c r="H14" s="86">
        <v>4285473.4955512574</v>
      </c>
      <c r="I14" s="297">
        <v>5946190.6900000004</v>
      </c>
      <c r="J14" s="133"/>
      <c r="K14" s="133"/>
      <c r="L14" s="299">
        <v>5946190.6900000004</v>
      </c>
      <c r="M14" s="80">
        <v>641</v>
      </c>
      <c r="Q14" s="14" t="s">
        <v>126</v>
      </c>
      <c r="R14" s="142" t="s">
        <v>134</v>
      </c>
      <c r="S14" s="142" t="s">
        <v>135</v>
      </c>
      <c r="T14" s="146"/>
    </row>
    <row r="15" spans="2:20">
      <c r="B15" s="78">
        <v>2007</v>
      </c>
      <c r="C15" s="297">
        <v>2134090.7999999998</v>
      </c>
      <c r="D15" s="87"/>
      <c r="E15" s="296">
        <v>2134090.7999999998</v>
      </c>
      <c r="F15" s="134">
        <v>498</v>
      </c>
      <c r="G15" s="139">
        <v>1.0441767068273093</v>
      </c>
      <c r="H15" s="86">
        <v>2228367.9036144577</v>
      </c>
      <c r="I15" s="297">
        <v>10499024</v>
      </c>
      <c r="J15" s="87"/>
      <c r="K15" s="87"/>
      <c r="L15" s="299">
        <v>10499024</v>
      </c>
      <c r="M15" s="80">
        <v>597</v>
      </c>
      <c r="Q15" s="14">
        <v>1960</v>
      </c>
      <c r="R15" s="342">
        <f>F62/F6*R13</f>
        <v>9.8389982110912353</v>
      </c>
      <c r="S15" s="342">
        <f>M62/M6*S13</f>
        <v>10.39136302294197</v>
      </c>
    </row>
    <row r="16" spans="2:20">
      <c r="B16" s="78">
        <v>2006</v>
      </c>
      <c r="C16" s="87">
        <v>842668</v>
      </c>
      <c r="D16" s="87"/>
      <c r="E16" s="3">
        <v>842668</v>
      </c>
      <c r="F16" s="134">
        <v>459</v>
      </c>
      <c r="G16" s="31">
        <v>1.1328976034858387</v>
      </c>
      <c r="H16" s="86">
        <v>954656.55773420469</v>
      </c>
      <c r="I16" s="87">
        <v>8525727</v>
      </c>
      <c r="J16" s="87"/>
      <c r="K16" s="87"/>
      <c r="L16" s="2">
        <v>8525727</v>
      </c>
      <c r="M16" s="80">
        <v>546</v>
      </c>
      <c r="Q16" s="14">
        <v>1970</v>
      </c>
      <c r="R16" s="342">
        <f>F50/F6*R13</f>
        <v>16.457960644007155</v>
      </c>
      <c r="S16" s="342">
        <f>M52/M6*S13</f>
        <v>12.010796221322536</v>
      </c>
    </row>
    <row r="17" spans="2:19">
      <c r="B17" s="78">
        <v>2005</v>
      </c>
      <c r="C17" s="87">
        <v>2016753</v>
      </c>
      <c r="D17" s="87"/>
      <c r="E17" s="3">
        <v>2016753</v>
      </c>
      <c r="F17" s="134">
        <v>437</v>
      </c>
      <c r="G17" s="31">
        <v>1.1899313501144164</v>
      </c>
      <c r="H17" s="86">
        <v>2399797.6201372999</v>
      </c>
      <c r="I17" s="87">
        <v>15962275</v>
      </c>
      <c r="J17" s="87"/>
      <c r="K17" s="87"/>
      <c r="L17" s="2">
        <v>15962275</v>
      </c>
      <c r="M17" s="80">
        <v>507</v>
      </c>
      <c r="Q17" s="14">
        <v>1980</v>
      </c>
      <c r="R17" s="342">
        <f>F42/F6*R13</f>
        <v>37.567084078711986</v>
      </c>
      <c r="S17" s="342">
        <f>M42/M6*S13</f>
        <v>29.41970310391363</v>
      </c>
    </row>
    <row r="18" spans="2:19">
      <c r="B18" s="78">
        <v>2004</v>
      </c>
      <c r="C18" s="87">
        <v>1891081</v>
      </c>
      <c r="D18" s="87"/>
      <c r="E18" s="3">
        <v>1891081</v>
      </c>
      <c r="F18" s="134">
        <v>422</v>
      </c>
      <c r="G18" s="31">
        <v>1.2322274881516588</v>
      </c>
      <c r="H18" s="86">
        <v>2330241.9905213271</v>
      </c>
      <c r="I18" s="87">
        <v>14843780</v>
      </c>
      <c r="J18" s="87"/>
      <c r="K18" s="87">
        <v>-672150</v>
      </c>
      <c r="L18" s="2">
        <v>14171630</v>
      </c>
      <c r="M18" s="80">
        <v>477</v>
      </c>
      <c r="Q18" s="14">
        <v>1990</v>
      </c>
      <c r="R18" s="342">
        <f>F32/F6*R13</f>
        <v>51.520572450805012</v>
      </c>
      <c r="S18" s="342">
        <f>M32/M6*S13</f>
        <v>42.105263157894733</v>
      </c>
    </row>
    <row r="19" spans="2:19">
      <c r="B19" s="78">
        <v>2003</v>
      </c>
      <c r="C19" s="87">
        <v>95136</v>
      </c>
      <c r="D19" s="87"/>
      <c r="E19" s="3">
        <v>95136</v>
      </c>
      <c r="F19" s="134">
        <v>389</v>
      </c>
      <c r="G19" s="31">
        <v>1.3367609254498716</v>
      </c>
      <c r="H19" s="86">
        <v>127174.08740359898</v>
      </c>
      <c r="I19" s="87">
        <v>8761533</v>
      </c>
      <c r="J19" s="87"/>
      <c r="K19" s="87">
        <v>-908688</v>
      </c>
      <c r="L19" s="2">
        <v>7852845</v>
      </c>
      <c r="M19" s="80">
        <v>432</v>
      </c>
      <c r="Q19" s="14">
        <v>2000</v>
      </c>
      <c r="R19" s="342">
        <f>F22/F6*R13</f>
        <v>65.83184257602862</v>
      </c>
      <c r="S19" s="342">
        <f>M22/M6*S13</f>
        <v>56.005398110661261</v>
      </c>
    </row>
    <row r="20" spans="2:19">
      <c r="B20" s="78">
        <v>2002</v>
      </c>
      <c r="C20" s="87">
        <v>270957</v>
      </c>
      <c r="D20" s="87"/>
      <c r="E20" s="3">
        <v>270957</v>
      </c>
      <c r="F20" s="134">
        <v>385</v>
      </c>
      <c r="G20" s="31">
        <v>1.3506493506493507</v>
      </c>
      <c r="H20" s="86">
        <v>365967.89610389608</v>
      </c>
      <c r="I20" s="87">
        <v>3531429</v>
      </c>
      <c r="J20" s="87"/>
      <c r="K20" s="87">
        <v>-337391</v>
      </c>
      <c r="L20" s="2">
        <v>3194038</v>
      </c>
      <c r="M20" s="80">
        <v>434</v>
      </c>
      <c r="Q20" s="14">
        <v>2010</v>
      </c>
      <c r="R20" s="342">
        <f>F12/F6*R13</f>
        <v>93.023255813953483</v>
      </c>
      <c r="S20" s="342">
        <f>M12/M6*S13</f>
        <v>93.252361673414313</v>
      </c>
    </row>
    <row r="21" spans="2:19">
      <c r="B21" s="78">
        <v>2001</v>
      </c>
      <c r="C21" s="87">
        <v>101413</v>
      </c>
      <c r="D21" s="87"/>
      <c r="E21" s="3">
        <v>101413</v>
      </c>
      <c r="F21" s="134">
        <v>377</v>
      </c>
      <c r="G21" s="31">
        <v>1.3793103448275863</v>
      </c>
      <c r="H21" s="86">
        <v>139880</v>
      </c>
      <c r="I21" s="87">
        <v>7820078</v>
      </c>
      <c r="J21" s="87"/>
      <c r="K21" s="87">
        <v>-1023964</v>
      </c>
      <c r="L21" s="2">
        <v>6796114</v>
      </c>
      <c r="M21" s="80">
        <v>421</v>
      </c>
      <c r="Q21" s="14">
        <v>2012</v>
      </c>
      <c r="R21" s="342">
        <f>F11/F6*R13</f>
        <v>100</v>
      </c>
      <c r="S21" s="342">
        <f>M11/M6*S13</f>
        <v>100</v>
      </c>
    </row>
    <row r="22" spans="2:19">
      <c r="B22" s="56">
        <v>2000</v>
      </c>
      <c r="C22" s="90">
        <v>1058504</v>
      </c>
      <c r="D22" s="51"/>
      <c r="E22" s="3">
        <v>1058504</v>
      </c>
      <c r="F22" s="134">
        <v>368</v>
      </c>
      <c r="G22" s="31">
        <v>1.4130434782608696</v>
      </c>
      <c r="H22" s="21">
        <v>1495712.1739130435</v>
      </c>
      <c r="I22" s="90">
        <v>4471917</v>
      </c>
      <c r="J22" s="51"/>
      <c r="K22" s="51"/>
      <c r="L22" s="2">
        <v>4471917</v>
      </c>
      <c r="M22" s="80">
        <v>415</v>
      </c>
    </row>
    <row r="23" spans="2:19">
      <c r="B23" s="56">
        <v>1999</v>
      </c>
      <c r="C23" s="52">
        <v>374155</v>
      </c>
      <c r="D23" s="51"/>
      <c r="E23" s="3">
        <v>374155</v>
      </c>
      <c r="F23" s="134">
        <v>354</v>
      </c>
      <c r="G23" s="31">
        <v>1.4689265536723164</v>
      </c>
      <c r="H23" s="21">
        <v>549606.21468926559</v>
      </c>
      <c r="I23" s="52">
        <v>5002789</v>
      </c>
      <c r="J23" s="51"/>
      <c r="K23" s="51"/>
      <c r="L23" s="2">
        <v>5002789</v>
      </c>
      <c r="M23" s="80">
        <v>388</v>
      </c>
    </row>
    <row r="24" spans="2:19">
      <c r="B24" s="56">
        <v>1998</v>
      </c>
      <c r="C24" s="52">
        <v>15700</v>
      </c>
      <c r="D24" s="51"/>
      <c r="E24" s="3">
        <v>15700</v>
      </c>
      <c r="F24" s="134">
        <v>347</v>
      </c>
      <c r="G24" s="31">
        <v>1.4985590778097984</v>
      </c>
      <c r="H24" s="21">
        <v>23527.377521613835</v>
      </c>
      <c r="I24" s="52">
        <v>1748493</v>
      </c>
      <c r="J24" s="51"/>
      <c r="K24" s="51"/>
      <c r="L24" s="2">
        <v>1748493</v>
      </c>
      <c r="M24" s="80">
        <v>382</v>
      </c>
    </row>
    <row r="25" spans="2:19">
      <c r="B25" s="56">
        <v>1997</v>
      </c>
      <c r="C25" s="52">
        <v>513434</v>
      </c>
      <c r="D25" s="51"/>
      <c r="E25" s="3">
        <v>513434</v>
      </c>
      <c r="F25" s="134">
        <v>341</v>
      </c>
      <c r="G25" s="31">
        <v>1.5249266862170088</v>
      </c>
      <c r="H25" s="21">
        <v>782949.20821114373</v>
      </c>
      <c r="I25" s="52">
        <v>3073814</v>
      </c>
      <c r="J25" s="51"/>
      <c r="K25" s="51"/>
      <c r="L25" s="2">
        <v>3073814</v>
      </c>
      <c r="M25" s="80">
        <v>372</v>
      </c>
    </row>
    <row r="26" spans="2:19">
      <c r="B26" s="56">
        <v>1996</v>
      </c>
      <c r="C26" s="52">
        <v>776612</v>
      </c>
      <c r="D26" s="51"/>
      <c r="E26" s="3">
        <v>776612</v>
      </c>
      <c r="F26" s="134">
        <v>333</v>
      </c>
      <c r="G26" s="31">
        <v>1.5615615615615615</v>
      </c>
      <c r="H26" s="21">
        <v>1212727.4474474473</v>
      </c>
      <c r="I26" s="52">
        <v>1636066</v>
      </c>
      <c r="J26" s="51"/>
      <c r="K26" s="51"/>
      <c r="L26" s="2">
        <v>1636066</v>
      </c>
      <c r="M26" s="80">
        <v>366</v>
      </c>
    </row>
    <row r="27" spans="2:19">
      <c r="B27" s="56">
        <v>1995</v>
      </c>
      <c r="C27" s="52">
        <v>119887</v>
      </c>
      <c r="D27" s="51"/>
      <c r="E27" s="3">
        <v>119887</v>
      </c>
      <c r="F27" s="134">
        <v>322</v>
      </c>
      <c r="G27" s="31">
        <v>1.6149068322981366</v>
      </c>
      <c r="H27" s="21">
        <v>193606.3354037267</v>
      </c>
      <c r="I27" s="52">
        <v>2808513</v>
      </c>
      <c r="J27" s="51"/>
      <c r="K27" s="51"/>
      <c r="L27" s="2">
        <v>2808513</v>
      </c>
      <c r="M27" s="80">
        <v>364</v>
      </c>
    </row>
    <row r="28" spans="2:19">
      <c r="B28" s="56">
        <v>1994</v>
      </c>
      <c r="C28" s="52">
        <v>51295</v>
      </c>
      <c r="D28" s="51"/>
      <c r="E28" s="3">
        <v>51295</v>
      </c>
      <c r="F28" s="134">
        <v>312</v>
      </c>
      <c r="G28" s="31">
        <v>1.6666666666666667</v>
      </c>
      <c r="H28" s="21">
        <v>85491.666666666672</v>
      </c>
      <c r="I28" s="52">
        <v>4848155</v>
      </c>
      <c r="J28" s="51"/>
      <c r="K28" s="51"/>
      <c r="L28" s="2">
        <v>4848155</v>
      </c>
      <c r="M28" s="80">
        <v>352</v>
      </c>
    </row>
    <row r="29" spans="2:19">
      <c r="B29" s="7">
        <v>1993</v>
      </c>
      <c r="C29" s="3">
        <v>667711</v>
      </c>
      <c r="D29" s="3">
        <v>0</v>
      </c>
      <c r="E29" s="3">
        <v>667711</v>
      </c>
      <c r="F29" s="134">
        <v>296</v>
      </c>
      <c r="G29" s="31">
        <v>1.7567567567567568</v>
      </c>
      <c r="H29" s="21">
        <v>1173005.8108108109</v>
      </c>
      <c r="I29" s="3">
        <v>3922611</v>
      </c>
      <c r="J29" s="3">
        <v>20125</v>
      </c>
      <c r="K29" s="3">
        <v>0</v>
      </c>
      <c r="L29" s="2">
        <v>3902486</v>
      </c>
      <c r="M29" s="80">
        <v>337</v>
      </c>
    </row>
    <row r="30" spans="2:19">
      <c r="B30" s="7">
        <v>1992</v>
      </c>
      <c r="C30" s="3">
        <v>14377</v>
      </c>
      <c r="D30" s="3">
        <v>0</v>
      </c>
      <c r="E30" s="3">
        <v>14377</v>
      </c>
      <c r="F30" s="134">
        <v>284</v>
      </c>
      <c r="G30" s="31">
        <v>1.8309859154929577</v>
      </c>
      <c r="H30" s="21">
        <v>26324.084507042255</v>
      </c>
      <c r="I30" s="3">
        <v>2115437</v>
      </c>
      <c r="J30" s="3">
        <v>200679</v>
      </c>
      <c r="K30" s="3">
        <v>0</v>
      </c>
      <c r="L30" s="2">
        <v>1914758</v>
      </c>
      <c r="M30" s="80">
        <v>324</v>
      </c>
    </row>
    <row r="31" spans="2:19">
      <c r="B31" s="7">
        <v>1991</v>
      </c>
      <c r="C31" s="3">
        <v>413088</v>
      </c>
      <c r="D31" s="3">
        <v>0</v>
      </c>
      <c r="E31" s="3">
        <v>413088</v>
      </c>
      <c r="F31" s="134">
        <v>281</v>
      </c>
      <c r="G31" s="31">
        <v>1.8505338078291815</v>
      </c>
      <c r="H31" s="21">
        <v>764433.30960854096</v>
      </c>
      <c r="I31" s="3">
        <v>1900692</v>
      </c>
      <c r="J31" s="3">
        <v>15092</v>
      </c>
      <c r="K31" s="3">
        <v>0</v>
      </c>
      <c r="L31" s="2">
        <v>1885600</v>
      </c>
      <c r="M31" s="80">
        <v>315</v>
      </c>
    </row>
    <row r="32" spans="2:19">
      <c r="B32" s="7">
        <v>1990</v>
      </c>
      <c r="C32" s="3">
        <v>138288</v>
      </c>
      <c r="D32" s="3">
        <v>0</v>
      </c>
      <c r="E32" s="3">
        <v>138288</v>
      </c>
      <c r="F32" s="134">
        <v>288</v>
      </c>
      <c r="G32" s="31">
        <v>1.8055555555555556</v>
      </c>
      <c r="H32" s="21">
        <v>249686.66666666666</v>
      </c>
      <c r="I32" s="3">
        <v>971102</v>
      </c>
      <c r="J32" s="3">
        <v>8541</v>
      </c>
      <c r="K32" s="3">
        <v>0</v>
      </c>
      <c r="L32" s="2">
        <v>962561</v>
      </c>
      <c r="M32" s="80">
        <v>312</v>
      </c>
    </row>
    <row r="33" spans="2:13">
      <c r="B33" s="7">
        <v>1989</v>
      </c>
      <c r="C33" s="3">
        <v>35258</v>
      </c>
      <c r="D33" s="3">
        <v>0</v>
      </c>
      <c r="E33" s="3">
        <v>35258</v>
      </c>
      <c r="F33" s="134">
        <v>287</v>
      </c>
      <c r="G33" s="31">
        <v>1.8118466898954704</v>
      </c>
      <c r="H33" s="21">
        <v>63882.090592334498</v>
      </c>
      <c r="I33" s="3">
        <v>858820</v>
      </c>
      <c r="J33" s="3">
        <v>6362</v>
      </c>
      <c r="K33" s="3">
        <v>78</v>
      </c>
      <c r="L33" s="2">
        <v>852536</v>
      </c>
      <c r="M33" s="80">
        <v>295</v>
      </c>
    </row>
    <row r="34" spans="2:13">
      <c r="B34" s="7">
        <v>1988</v>
      </c>
      <c r="C34" s="3">
        <v>4413</v>
      </c>
      <c r="D34" s="3">
        <v>0</v>
      </c>
      <c r="E34" s="3">
        <v>4413</v>
      </c>
      <c r="F34" s="134">
        <v>278</v>
      </c>
      <c r="G34" s="31">
        <v>1.8705035971223021</v>
      </c>
      <c r="H34" s="21">
        <v>8254.5323741007196</v>
      </c>
      <c r="I34" s="3">
        <v>1136272</v>
      </c>
      <c r="J34" s="3">
        <v>6668</v>
      </c>
      <c r="K34" s="3">
        <v>78</v>
      </c>
      <c r="L34" s="2">
        <v>1129682</v>
      </c>
      <c r="M34" s="80">
        <v>281</v>
      </c>
    </row>
    <row r="35" spans="2:13">
      <c r="B35" s="7">
        <v>1987</v>
      </c>
      <c r="C35" s="3">
        <v>165094</v>
      </c>
      <c r="D35" s="3">
        <v>0</v>
      </c>
      <c r="E35" s="3">
        <v>165094</v>
      </c>
      <c r="F35" s="134">
        <v>267</v>
      </c>
      <c r="G35" s="31">
        <v>1.9475655430711611</v>
      </c>
      <c r="H35" s="21">
        <v>321531.38576779026</v>
      </c>
      <c r="I35" s="3">
        <v>2173430</v>
      </c>
      <c r="J35" s="3">
        <v>-8588</v>
      </c>
      <c r="K35" s="3">
        <v>78</v>
      </c>
      <c r="L35" s="2">
        <v>2182096</v>
      </c>
      <c r="M35" s="80">
        <v>269</v>
      </c>
    </row>
    <row r="36" spans="2:13">
      <c r="B36" s="7">
        <v>1986</v>
      </c>
      <c r="C36" s="3">
        <v>1419968</v>
      </c>
      <c r="D36" s="3">
        <v>0</v>
      </c>
      <c r="E36" s="3">
        <v>1419968</v>
      </c>
      <c r="F36" s="134">
        <v>261</v>
      </c>
      <c r="G36" s="31">
        <v>1.9923371647509578</v>
      </c>
      <c r="H36" s="21">
        <v>2829055.0191570879</v>
      </c>
      <c r="I36" s="3">
        <v>5377220</v>
      </c>
      <c r="J36" s="3">
        <v>172802</v>
      </c>
      <c r="K36" s="3">
        <v>78</v>
      </c>
      <c r="L36" s="2">
        <v>5204496</v>
      </c>
      <c r="M36" s="80">
        <v>262</v>
      </c>
    </row>
    <row r="37" spans="2:13">
      <c r="B37" s="7">
        <v>1985</v>
      </c>
      <c r="C37" s="3">
        <v>982142</v>
      </c>
      <c r="D37" s="3">
        <v>0</v>
      </c>
      <c r="E37" s="3">
        <v>982142</v>
      </c>
      <c r="F37" s="134">
        <v>256</v>
      </c>
      <c r="G37" s="31">
        <v>2.03125</v>
      </c>
      <c r="H37" s="21">
        <v>1994975.9375</v>
      </c>
      <c r="I37" s="3">
        <v>9237356</v>
      </c>
      <c r="J37" s="3">
        <v>178228</v>
      </c>
      <c r="K37" s="3">
        <v>78</v>
      </c>
      <c r="L37" s="2">
        <v>9059206</v>
      </c>
      <c r="M37" s="80">
        <v>260</v>
      </c>
    </row>
    <row r="38" spans="2:13">
      <c r="B38" s="7">
        <v>1984</v>
      </c>
      <c r="C38" s="3">
        <v>82411</v>
      </c>
      <c r="D38" s="3">
        <v>0</v>
      </c>
      <c r="E38" s="3">
        <v>82411</v>
      </c>
      <c r="F38" s="134">
        <v>247</v>
      </c>
      <c r="G38" s="31">
        <v>2.1052631578947367</v>
      </c>
      <c r="H38" s="21">
        <v>173496.84210526315</v>
      </c>
      <c r="I38" s="3">
        <v>10247376</v>
      </c>
      <c r="J38" s="3">
        <v>8209100</v>
      </c>
      <c r="K38" s="3">
        <v>187</v>
      </c>
      <c r="L38" s="2">
        <v>2038463</v>
      </c>
      <c r="M38" s="80">
        <v>259</v>
      </c>
    </row>
    <row r="39" spans="2:13">
      <c r="B39" s="7">
        <v>1983</v>
      </c>
      <c r="C39" s="3">
        <v>499290</v>
      </c>
      <c r="D39" s="3">
        <v>0</v>
      </c>
      <c r="E39" s="3">
        <v>499290</v>
      </c>
      <c r="F39" s="134">
        <v>234</v>
      </c>
      <c r="G39" s="31">
        <v>2.2222222222222223</v>
      </c>
      <c r="H39" s="21">
        <v>1109533.3333333335</v>
      </c>
      <c r="I39" s="3">
        <v>5646138</v>
      </c>
      <c r="J39" s="3">
        <v>866</v>
      </c>
      <c r="K39" s="59">
        <v>0</v>
      </c>
      <c r="L39" s="2">
        <v>5645272</v>
      </c>
      <c r="M39" s="80">
        <v>256</v>
      </c>
    </row>
    <row r="40" spans="2:13">
      <c r="B40" s="7">
        <v>1982</v>
      </c>
      <c r="C40" s="3">
        <v>63211</v>
      </c>
      <c r="D40" s="3">
        <v>0</v>
      </c>
      <c r="E40" s="3">
        <v>63211</v>
      </c>
      <c r="F40" s="134">
        <v>229</v>
      </c>
      <c r="G40" s="31">
        <v>2.2707423580786026</v>
      </c>
      <c r="H40" s="21">
        <v>143535.89519650655</v>
      </c>
      <c r="I40" s="3">
        <v>2655032</v>
      </c>
      <c r="J40" s="3">
        <v>0</v>
      </c>
      <c r="K40" s="59">
        <v>0</v>
      </c>
      <c r="L40" s="2">
        <v>2655032</v>
      </c>
      <c r="M40" s="80">
        <v>253</v>
      </c>
    </row>
    <row r="41" spans="2:13">
      <c r="B41" s="7">
        <v>1981</v>
      </c>
      <c r="C41" s="3">
        <v>23069</v>
      </c>
      <c r="D41" s="3">
        <v>0</v>
      </c>
      <c r="E41" s="3">
        <v>23069</v>
      </c>
      <c r="F41" s="134">
        <v>225</v>
      </c>
      <c r="G41" s="31">
        <v>2.3111111111111109</v>
      </c>
      <c r="H41" s="21">
        <v>53315.022222222215</v>
      </c>
      <c r="I41" s="3">
        <v>5435268</v>
      </c>
      <c r="J41" s="3">
        <v>0</v>
      </c>
      <c r="K41" s="59">
        <v>0</v>
      </c>
      <c r="L41" s="2">
        <v>5435268</v>
      </c>
      <c r="M41" s="80">
        <v>237</v>
      </c>
    </row>
    <row r="42" spans="2:13">
      <c r="B42" s="7">
        <v>1980</v>
      </c>
      <c r="C42" s="3">
        <v>108841</v>
      </c>
      <c r="D42" s="3">
        <v>0</v>
      </c>
      <c r="E42" s="3">
        <v>108841</v>
      </c>
      <c r="F42" s="134">
        <v>210</v>
      </c>
      <c r="G42" s="31">
        <v>2.4761904761904763</v>
      </c>
      <c r="H42" s="21">
        <v>269511.04761904763</v>
      </c>
      <c r="I42" s="3">
        <v>3017757</v>
      </c>
      <c r="J42" s="3">
        <v>0</v>
      </c>
      <c r="K42" s="59">
        <v>0</v>
      </c>
      <c r="L42" s="2">
        <v>3017757</v>
      </c>
      <c r="M42" s="80">
        <v>218</v>
      </c>
    </row>
    <row r="43" spans="2:13">
      <c r="B43" s="7">
        <v>1979</v>
      </c>
      <c r="C43" s="3">
        <v>0</v>
      </c>
      <c r="D43" s="3">
        <v>0</v>
      </c>
      <c r="E43" s="3">
        <v>0</v>
      </c>
      <c r="F43" s="134">
        <v>187</v>
      </c>
      <c r="G43" s="31">
        <v>2.7807486631016043</v>
      </c>
      <c r="H43" s="21">
        <v>0</v>
      </c>
      <c r="I43" s="3">
        <v>1364524</v>
      </c>
      <c r="J43" s="3">
        <v>0</v>
      </c>
      <c r="K43" s="59">
        <v>0</v>
      </c>
      <c r="L43" s="2">
        <v>1364524</v>
      </c>
      <c r="M43" s="80">
        <v>197</v>
      </c>
    </row>
    <row r="44" spans="2:13">
      <c r="B44" s="7">
        <v>1978</v>
      </c>
      <c r="C44" s="3">
        <v>179060</v>
      </c>
      <c r="D44" s="3">
        <v>0</v>
      </c>
      <c r="E44" s="3">
        <v>179060</v>
      </c>
      <c r="F44" s="134">
        <v>169</v>
      </c>
      <c r="G44" s="31">
        <v>3.0769230769230771</v>
      </c>
      <c r="H44" s="21">
        <v>550953.84615384613</v>
      </c>
      <c r="I44" s="3">
        <v>4302405</v>
      </c>
      <c r="J44" s="3">
        <v>0</v>
      </c>
      <c r="K44" s="59">
        <v>0</v>
      </c>
      <c r="L44" s="2">
        <v>4302405</v>
      </c>
      <c r="M44" s="80">
        <v>182</v>
      </c>
    </row>
    <row r="45" spans="2:13">
      <c r="B45" s="7">
        <v>1977</v>
      </c>
      <c r="C45" s="3">
        <v>109761</v>
      </c>
      <c r="D45" s="3">
        <v>0</v>
      </c>
      <c r="E45" s="3">
        <v>109761</v>
      </c>
      <c r="F45" s="134">
        <v>155</v>
      </c>
      <c r="G45" s="31">
        <v>3.3548387096774195</v>
      </c>
      <c r="H45" s="21">
        <v>368230.45161290321</v>
      </c>
      <c r="I45" s="3">
        <v>2024135</v>
      </c>
      <c r="J45" s="3">
        <v>0</v>
      </c>
      <c r="K45" s="59">
        <v>0</v>
      </c>
      <c r="L45" s="2">
        <v>2024135</v>
      </c>
      <c r="M45" s="80">
        <v>170</v>
      </c>
    </row>
    <row r="46" spans="2:13">
      <c r="B46" s="7">
        <v>1976</v>
      </c>
      <c r="C46" s="3">
        <v>96383</v>
      </c>
      <c r="D46" s="3">
        <v>0</v>
      </c>
      <c r="E46" s="3">
        <v>96383</v>
      </c>
      <c r="F46" s="134">
        <v>149</v>
      </c>
      <c r="G46" s="31">
        <v>3.4899328859060401</v>
      </c>
      <c r="H46" s="21">
        <v>336370.20134228189</v>
      </c>
      <c r="I46" s="3">
        <v>2361158</v>
      </c>
      <c r="J46" s="3">
        <v>0</v>
      </c>
      <c r="K46" s="59">
        <v>0</v>
      </c>
      <c r="L46" s="2">
        <v>2361158</v>
      </c>
      <c r="M46" s="80">
        <v>157</v>
      </c>
    </row>
    <row r="47" spans="2:13">
      <c r="B47" s="7">
        <v>1975</v>
      </c>
      <c r="C47" s="3">
        <v>79373</v>
      </c>
      <c r="D47" s="3">
        <v>0</v>
      </c>
      <c r="E47" s="3">
        <v>79373</v>
      </c>
      <c r="F47" s="134">
        <v>145</v>
      </c>
      <c r="G47" s="31">
        <v>3.5862068965517242</v>
      </c>
      <c r="H47" s="21">
        <v>284648</v>
      </c>
      <c r="I47" s="3">
        <v>1195516</v>
      </c>
      <c r="J47" s="3">
        <v>0</v>
      </c>
      <c r="K47" s="59">
        <v>0</v>
      </c>
      <c r="L47" s="2">
        <v>1195516</v>
      </c>
      <c r="M47" s="80">
        <v>148</v>
      </c>
    </row>
    <row r="48" spans="2:13">
      <c r="B48" s="7">
        <v>1974</v>
      </c>
      <c r="C48" s="3">
        <v>579</v>
      </c>
      <c r="D48" s="59">
        <v>0</v>
      </c>
      <c r="E48" s="3">
        <v>579</v>
      </c>
      <c r="F48" s="134">
        <v>123</v>
      </c>
      <c r="G48" s="31">
        <v>4.2276422764227641</v>
      </c>
      <c r="H48" s="21">
        <v>2447.8048780487802</v>
      </c>
      <c r="I48" s="3">
        <v>519098</v>
      </c>
      <c r="J48" s="59">
        <v>0</v>
      </c>
      <c r="K48" s="59">
        <v>0</v>
      </c>
      <c r="L48" s="2">
        <v>519098</v>
      </c>
      <c r="M48" s="80">
        <v>124</v>
      </c>
    </row>
    <row r="49" spans="2:13">
      <c r="B49" s="7">
        <v>1973</v>
      </c>
      <c r="C49" s="3">
        <v>60354</v>
      </c>
      <c r="D49" s="59">
        <v>0</v>
      </c>
      <c r="E49" s="3">
        <v>60354</v>
      </c>
      <c r="F49" s="134">
        <v>100</v>
      </c>
      <c r="G49" s="31">
        <v>5.2</v>
      </c>
      <c r="H49" s="21">
        <v>313840.8</v>
      </c>
      <c r="I49" s="3">
        <v>1842246</v>
      </c>
      <c r="J49" s="59">
        <v>0</v>
      </c>
      <c r="K49" s="59">
        <v>0</v>
      </c>
      <c r="L49" s="2">
        <v>1842246</v>
      </c>
      <c r="M49" s="80">
        <v>100</v>
      </c>
    </row>
    <row r="50" spans="2:13">
      <c r="B50" s="7">
        <v>1972</v>
      </c>
      <c r="C50" s="3">
        <v>72519</v>
      </c>
      <c r="D50" s="59">
        <v>0</v>
      </c>
      <c r="E50" s="3">
        <v>72519</v>
      </c>
      <c r="F50" s="134">
        <v>92</v>
      </c>
      <c r="G50" s="31">
        <v>5.6521739130434785</v>
      </c>
      <c r="H50" s="21">
        <v>409890</v>
      </c>
      <c r="I50" s="3">
        <v>1405803</v>
      </c>
      <c r="J50" s="59">
        <v>0</v>
      </c>
      <c r="K50" s="59">
        <v>0</v>
      </c>
      <c r="L50" s="2">
        <v>1405803</v>
      </c>
      <c r="M50" s="80">
        <v>94</v>
      </c>
    </row>
    <row r="51" spans="2:13">
      <c r="B51" s="7">
        <v>1971</v>
      </c>
      <c r="C51" s="3">
        <v>3648</v>
      </c>
      <c r="D51" s="15"/>
      <c r="E51" s="3">
        <v>3648</v>
      </c>
      <c r="F51" s="134">
        <v>87</v>
      </c>
      <c r="G51" s="31">
        <v>5.9770114942528734</v>
      </c>
      <c r="H51" s="21">
        <v>21804.137931034482</v>
      </c>
      <c r="I51" s="3">
        <v>422680</v>
      </c>
      <c r="J51" s="3"/>
      <c r="K51" s="3"/>
      <c r="L51" s="2">
        <v>422680</v>
      </c>
      <c r="M51" s="80">
        <v>91</v>
      </c>
    </row>
    <row r="52" spans="2:13">
      <c r="B52" s="7">
        <v>1970</v>
      </c>
      <c r="C52" s="3">
        <v>9477</v>
      </c>
      <c r="D52" s="15"/>
      <c r="E52" s="3">
        <v>9477</v>
      </c>
      <c r="F52" s="134">
        <v>82</v>
      </c>
      <c r="G52" s="31">
        <v>6.3414634146341466</v>
      </c>
      <c r="H52" s="21">
        <v>60098.048780487807</v>
      </c>
      <c r="I52" s="3">
        <v>344607</v>
      </c>
      <c r="J52" s="3"/>
      <c r="K52" s="3" t="s">
        <v>30</v>
      </c>
      <c r="L52" s="3">
        <v>354134</v>
      </c>
      <c r="M52" s="80">
        <v>89</v>
      </c>
    </row>
    <row r="53" spans="2:13">
      <c r="B53" s="7">
        <v>1969</v>
      </c>
      <c r="C53" s="3">
        <v>5148</v>
      </c>
      <c r="D53" s="15"/>
      <c r="E53" s="3">
        <v>5148</v>
      </c>
      <c r="F53" s="134">
        <v>78</v>
      </c>
      <c r="G53" s="31">
        <v>6.666666666666667</v>
      </c>
      <c r="H53" s="21">
        <v>34320</v>
      </c>
      <c r="I53" s="3">
        <v>201348</v>
      </c>
      <c r="J53" s="3"/>
      <c r="K53" s="3" t="s">
        <v>33</v>
      </c>
      <c r="L53" s="3">
        <v>294443</v>
      </c>
      <c r="M53" s="80">
        <v>85</v>
      </c>
    </row>
    <row r="54" spans="2:13">
      <c r="B54" s="7">
        <v>1968</v>
      </c>
      <c r="C54" s="3">
        <v>65130</v>
      </c>
      <c r="D54" s="15"/>
      <c r="E54" s="3">
        <v>65130</v>
      </c>
      <c r="F54" s="134">
        <v>74</v>
      </c>
      <c r="G54" s="31">
        <v>7.0270270270270272</v>
      </c>
      <c r="H54" s="21">
        <v>457670.2702702703</v>
      </c>
      <c r="I54" s="3">
        <v>606472</v>
      </c>
      <c r="J54" s="3"/>
      <c r="K54" s="3" t="s">
        <v>34</v>
      </c>
      <c r="L54" s="3">
        <v>641307</v>
      </c>
      <c r="M54" s="80">
        <v>83</v>
      </c>
    </row>
    <row r="55" spans="2:13">
      <c r="B55" s="7">
        <v>1967</v>
      </c>
      <c r="C55" s="3">
        <v>1667</v>
      </c>
      <c r="D55" s="15"/>
      <c r="E55" s="3">
        <v>1667</v>
      </c>
      <c r="F55" s="134">
        <v>71</v>
      </c>
      <c r="G55" s="31">
        <v>7.323943661971831</v>
      </c>
      <c r="H55" s="21">
        <v>12209.014084507042</v>
      </c>
      <c r="I55" s="3">
        <v>157954</v>
      </c>
      <c r="J55" s="3"/>
      <c r="K55" s="3" t="s">
        <v>35</v>
      </c>
      <c r="L55" s="3">
        <v>157954</v>
      </c>
      <c r="M55" s="80">
        <v>79</v>
      </c>
    </row>
    <row r="56" spans="2:13">
      <c r="B56" s="7">
        <v>1966</v>
      </c>
      <c r="C56" s="3">
        <v>16641</v>
      </c>
      <c r="D56" s="15"/>
      <c r="E56" s="3">
        <v>16641</v>
      </c>
      <c r="F56" s="134">
        <v>67</v>
      </c>
      <c r="G56" s="31">
        <v>7.7611940298507465</v>
      </c>
      <c r="H56" s="21">
        <v>129154.02985074627</v>
      </c>
      <c r="I56" s="3">
        <v>321606</v>
      </c>
      <c r="J56" s="3"/>
      <c r="K56" s="3" t="s">
        <v>36</v>
      </c>
      <c r="L56" s="3">
        <v>321606</v>
      </c>
      <c r="M56" s="80">
        <v>75</v>
      </c>
    </row>
    <row r="57" spans="2:13">
      <c r="B57" s="7">
        <v>1965</v>
      </c>
      <c r="C57" s="3">
        <v>0</v>
      </c>
      <c r="D57" s="15"/>
      <c r="E57" s="3">
        <v>0</v>
      </c>
      <c r="F57" s="134">
        <v>63</v>
      </c>
      <c r="G57" s="31">
        <v>8.2539682539682548</v>
      </c>
      <c r="H57" s="21">
        <v>0</v>
      </c>
      <c r="I57" s="3">
        <v>262942</v>
      </c>
      <c r="J57" s="3"/>
      <c r="K57" s="3" t="s">
        <v>37</v>
      </c>
      <c r="L57" s="3">
        <v>304030</v>
      </c>
      <c r="M57" s="80">
        <v>73</v>
      </c>
    </row>
    <row r="58" spans="2:13">
      <c r="B58" s="7">
        <v>1964</v>
      </c>
      <c r="C58" s="3">
        <v>295</v>
      </c>
      <c r="D58" s="15"/>
      <c r="E58" s="3">
        <v>295</v>
      </c>
      <c r="F58" s="134">
        <v>61</v>
      </c>
      <c r="G58" s="31">
        <v>8.5245901639344268</v>
      </c>
      <c r="H58" s="21">
        <v>2514.7540983606559</v>
      </c>
      <c r="I58" s="3">
        <v>230373</v>
      </c>
      <c r="J58" s="3"/>
      <c r="K58" s="3"/>
      <c r="L58" s="2">
        <v>230373</v>
      </c>
      <c r="M58" s="80">
        <v>69</v>
      </c>
    </row>
    <row r="59" spans="2:13">
      <c r="B59" s="7">
        <v>1963</v>
      </c>
      <c r="C59" s="3">
        <v>10739</v>
      </c>
      <c r="D59" s="15"/>
      <c r="E59" s="3">
        <v>10739</v>
      </c>
      <c r="F59" s="134">
        <v>59</v>
      </c>
      <c r="G59" s="31">
        <v>8.8135593220338979</v>
      </c>
      <c r="H59" s="21">
        <v>94648.813559322036</v>
      </c>
      <c r="I59" s="3">
        <v>158661</v>
      </c>
      <c r="J59" s="3"/>
      <c r="K59" s="3"/>
      <c r="L59" s="2">
        <v>158661</v>
      </c>
      <c r="M59" s="80">
        <v>65</v>
      </c>
    </row>
    <row r="60" spans="2:13">
      <c r="B60" s="7">
        <v>1962</v>
      </c>
      <c r="C60" s="3">
        <v>3557</v>
      </c>
      <c r="D60" s="15"/>
      <c r="E60" s="3">
        <v>3557</v>
      </c>
      <c r="F60" s="134">
        <v>57</v>
      </c>
      <c r="G60" s="31">
        <v>9.1228070175438596</v>
      </c>
      <c r="H60" s="21">
        <v>32449.824561403508</v>
      </c>
      <c r="I60" s="3">
        <v>214370</v>
      </c>
      <c r="J60" s="3"/>
      <c r="K60" s="3"/>
      <c r="L60" s="2">
        <v>214370</v>
      </c>
      <c r="M60" s="80">
        <v>69</v>
      </c>
    </row>
    <row r="61" spans="2:13">
      <c r="B61" s="7">
        <v>1961</v>
      </c>
      <c r="C61" s="3">
        <v>80</v>
      </c>
      <c r="D61" s="15"/>
      <c r="E61" s="3">
        <v>80</v>
      </c>
      <c r="F61" s="134">
        <v>57</v>
      </c>
      <c r="G61" s="31">
        <v>9.1228070175438596</v>
      </c>
      <c r="H61" s="21">
        <v>729.82456140350882</v>
      </c>
      <c r="I61" s="3">
        <v>41425</v>
      </c>
      <c r="J61" s="3"/>
      <c r="K61" s="3"/>
      <c r="L61" s="2">
        <v>41425</v>
      </c>
      <c r="M61" s="80">
        <v>70</v>
      </c>
    </row>
    <row r="62" spans="2:13">
      <c r="B62" s="7">
        <v>1960</v>
      </c>
      <c r="C62" s="3">
        <v>1109</v>
      </c>
      <c r="D62" s="15"/>
      <c r="E62" s="3">
        <v>1109</v>
      </c>
      <c r="F62" s="134">
        <v>55</v>
      </c>
      <c r="G62" s="31">
        <v>9.454545454545455</v>
      </c>
      <c r="H62" s="21">
        <v>10485.09090909091</v>
      </c>
      <c r="I62" s="3">
        <v>1073933</v>
      </c>
      <c r="J62" s="3"/>
      <c r="K62" s="3"/>
      <c r="L62" s="2">
        <v>1073933</v>
      </c>
      <c r="M62" s="80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58"/>
  <sheetViews>
    <sheetView workbookViewId="0">
      <selection activeCell="Q2" sqref="Q2"/>
    </sheetView>
  </sheetViews>
  <sheetFormatPr defaultRowHeight="12.75"/>
  <cols>
    <col min="2" max="3" width="11.7109375" bestFit="1" customWidth="1"/>
    <col min="4" max="4" width="11.5703125" customWidth="1"/>
    <col min="7" max="7" width="10.85546875" bestFit="1" customWidth="1"/>
    <col min="8" max="8" width="11.7109375" bestFit="1" customWidth="1"/>
    <col min="11" max="11" width="20" customWidth="1"/>
    <col min="14" max="16" width="11.7109375" bestFit="1" customWidth="1"/>
    <col min="17" max="17" width="16.5703125" bestFit="1" customWidth="1"/>
    <col min="18" max="18" width="18.140625" customWidth="1"/>
    <col min="21" max="21" width="11.7109375" bestFit="1" customWidth="1"/>
    <col min="22" max="22" width="3.5703125" customWidth="1"/>
    <col min="23" max="23" width="2.85546875" customWidth="1"/>
    <col min="24" max="24" width="4.42578125" customWidth="1"/>
    <col min="26" max="26" width="33.140625" bestFit="1" customWidth="1"/>
    <col min="27" max="27" width="31.5703125" bestFit="1" customWidth="1"/>
    <col min="28" max="28" width="30.28515625" bestFit="1" customWidth="1"/>
  </cols>
  <sheetData>
    <row r="3" spans="1:28">
      <c r="D3" t="s">
        <v>103</v>
      </c>
      <c r="E3" s="343">
        <f>E7</f>
        <v>559</v>
      </c>
      <c r="F3" s="71"/>
      <c r="K3" t="s">
        <v>103</v>
      </c>
      <c r="L3" s="343">
        <f>L7</f>
        <v>613</v>
      </c>
      <c r="M3" s="71"/>
      <c r="R3" t="s">
        <v>103</v>
      </c>
      <c r="S3" s="343">
        <f>S7</f>
        <v>600</v>
      </c>
      <c r="T3" s="71"/>
    </row>
    <row r="4" spans="1:28">
      <c r="B4">
        <v>354</v>
      </c>
      <c r="E4" s="343"/>
      <c r="F4" s="71"/>
      <c r="H4">
        <v>355</v>
      </c>
      <c r="L4" s="343"/>
      <c r="M4" s="71"/>
      <c r="O4">
        <v>356</v>
      </c>
      <c r="S4" s="343"/>
      <c r="T4" s="71"/>
    </row>
    <row r="5" spans="1:28">
      <c r="B5" t="s">
        <v>13</v>
      </c>
      <c r="C5" t="s">
        <v>47</v>
      </c>
      <c r="D5" t="s">
        <v>16</v>
      </c>
      <c r="E5" s="343" t="s">
        <v>17</v>
      </c>
      <c r="F5" s="71" t="s">
        <v>121</v>
      </c>
      <c r="G5" t="s">
        <v>122</v>
      </c>
      <c r="H5" t="s">
        <v>13</v>
      </c>
      <c r="I5" t="s">
        <v>47</v>
      </c>
      <c r="J5" t="s">
        <v>18</v>
      </c>
      <c r="K5" t="s">
        <v>19</v>
      </c>
      <c r="L5" s="343" t="s">
        <v>17</v>
      </c>
      <c r="M5" s="71" t="s">
        <v>121</v>
      </c>
      <c r="N5" t="s">
        <v>122</v>
      </c>
      <c r="O5" t="s">
        <v>13</v>
      </c>
      <c r="P5" t="s">
        <v>47</v>
      </c>
      <c r="Q5" t="s">
        <v>18</v>
      </c>
      <c r="R5" t="s">
        <v>20</v>
      </c>
      <c r="S5" s="343" t="s">
        <v>17</v>
      </c>
      <c r="T5" s="71" t="s">
        <v>121</v>
      </c>
      <c r="U5" t="s">
        <v>122</v>
      </c>
    </row>
    <row r="6" spans="1:28">
      <c r="C6" t="s">
        <v>46</v>
      </c>
      <c r="E6" s="343"/>
      <c r="F6" s="71"/>
      <c r="I6" t="s">
        <v>46</v>
      </c>
      <c r="L6" s="343"/>
      <c r="M6" s="71"/>
      <c r="P6" t="s">
        <v>46</v>
      </c>
      <c r="S6" s="343"/>
      <c r="T6" s="71"/>
    </row>
    <row r="7" spans="1:28">
      <c r="A7" s="128">
        <v>2012</v>
      </c>
      <c r="E7" s="343">
        <v>559</v>
      </c>
      <c r="F7" s="71"/>
      <c r="L7" s="343">
        <v>613</v>
      </c>
      <c r="M7" s="71"/>
      <c r="S7" s="343">
        <v>600</v>
      </c>
      <c r="T7" s="71"/>
    </row>
    <row r="8" spans="1:28">
      <c r="A8" s="128">
        <v>2010</v>
      </c>
      <c r="B8" s="344">
        <v>7791.94</v>
      </c>
      <c r="D8" s="2">
        <v>7791.94</v>
      </c>
      <c r="E8" s="343">
        <v>520</v>
      </c>
      <c r="F8" s="71">
        <v>1</v>
      </c>
      <c r="G8" s="344">
        <v>7791.94</v>
      </c>
      <c r="H8" s="344">
        <v>3519127.42</v>
      </c>
      <c r="J8" s="345">
        <v>-127134.22</v>
      </c>
      <c r="K8" s="2">
        <v>3391993.1999999997</v>
      </c>
      <c r="L8" s="343">
        <v>595</v>
      </c>
      <c r="M8" s="71">
        <v>1</v>
      </c>
      <c r="N8" s="344">
        <v>3391993.1999999997</v>
      </c>
      <c r="O8" s="344">
        <v>2002165.56</v>
      </c>
      <c r="Q8" s="344">
        <v>-75173.13</v>
      </c>
      <c r="R8" s="2">
        <v>1926992.4300000002</v>
      </c>
      <c r="S8" s="343">
        <v>610</v>
      </c>
      <c r="T8" s="71">
        <v>1</v>
      </c>
      <c r="U8" s="344">
        <v>1926992.4300000002</v>
      </c>
    </row>
    <row r="9" spans="1:28">
      <c r="A9" s="78">
        <v>2009</v>
      </c>
      <c r="B9" s="344">
        <v>14714.72</v>
      </c>
      <c r="D9" s="2">
        <v>14714.72</v>
      </c>
      <c r="E9" s="343">
        <v>502</v>
      </c>
      <c r="F9" s="71">
        <v>1.0358565737051793</v>
      </c>
      <c r="G9" s="344">
        <v>15242.339442231074</v>
      </c>
      <c r="H9" s="344">
        <v>3424337.07</v>
      </c>
      <c r="J9" s="345">
        <v>-98793.24</v>
      </c>
      <c r="K9" s="2">
        <v>3325543.8299999996</v>
      </c>
      <c r="L9" s="343">
        <v>596</v>
      </c>
      <c r="M9" s="71">
        <v>0.99832214765100669</v>
      </c>
      <c r="N9" s="344">
        <v>3319964.058473154</v>
      </c>
      <c r="O9" s="344">
        <v>2428936.64</v>
      </c>
      <c r="Q9" s="344">
        <v>-17543.73</v>
      </c>
      <c r="R9" s="2">
        <v>2411392.91</v>
      </c>
      <c r="S9" s="343">
        <v>525</v>
      </c>
      <c r="T9" s="71">
        <v>1.161904761904762</v>
      </c>
      <c r="U9" s="344">
        <v>2801808.9049523813</v>
      </c>
    </row>
    <row r="10" spans="1:28">
      <c r="A10" s="128">
        <v>2008</v>
      </c>
      <c r="B10" s="344">
        <v>18359.93</v>
      </c>
      <c r="C10" s="344"/>
      <c r="D10" s="2">
        <v>18359.93</v>
      </c>
      <c r="E10" s="343">
        <v>517</v>
      </c>
      <c r="F10" s="71">
        <v>1.0058027079303675</v>
      </c>
      <c r="G10" s="344">
        <v>18466.467311411994</v>
      </c>
      <c r="H10" s="344">
        <v>2596987.09</v>
      </c>
      <c r="I10" s="344"/>
      <c r="J10" s="345">
        <v>-558008.34</v>
      </c>
      <c r="K10" s="2">
        <v>2038978.75</v>
      </c>
      <c r="L10" s="343">
        <v>576</v>
      </c>
      <c r="M10" s="71">
        <v>1.0329861111111112</v>
      </c>
      <c r="N10" s="344">
        <v>2106236.7296006945</v>
      </c>
      <c r="O10" s="344">
        <v>3879113.2</v>
      </c>
      <c r="P10" s="344"/>
      <c r="Q10" s="344">
        <v>-545661.82999999996</v>
      </c>
      <c r="R10" s="2">
        <v>3333451.37</v>
      </c>
      <c r="S10" s="343">
        <v>716</v>
      </c>
      <c r="T10" s="71">
        <v>0.85195530726256985</v>
      </c>
      <c r="U10" s="344">
        <v>2839951.5861731847</v>
      </c>
    </row>
    <row r="11" spans="1:28">
      <c r="A11" s="78">
        <v>2007</v>
      </c>
      <c r="B11" s="344">
        <v>10714</v>
      </c>
      <c r="C11" s="344"/>
      <c r="D11" s="2">
        <v>10714</v>
      </c>
      <c r="E11" s="343">
        <v>498</v>
      </c>
      <c r="F11" s="71">
        <v>1.0441767068273093</v>
      </c>
      <c r="G11" s="344">
        <v>11187.309236947793</v>
      </c>
      <c r="H11" s="344">
        <v>25093332.219999999</v>
      </c>
      <c r="I11" s="344"/>
      <c r="J11" s="345">
        <v>-143462.43</v>
      </c>
      <c r="K11" s="2">
        <v>24949869.789999999</v>
      </c>
      <c r="L11" s="343">
        <v>534</v>
      </c>
      <c r="M11" s="71">
        <v>1.1142322097378277</v>
      </c>
      <c r="N11" s="344">
        <v>27799948.54878277</v>
      </c>
      <c r="O11" s="344">
        <v>26409204.079999998</v>
      </c>
      <c r="P11" s="344"/>
      <c r="Q11" s="344">
        <v>-103911.22</v>
      </c>
      <c r="R11" s="2">
        <v>26305292.859999999</v>
      </c>
      <c r="S11" s="343">
        <v>608</v>
      </c>
      <c r="T11" s="71">
        <v>1.0032894736842106</v>
      </c>
      <c r="U11" s="344">
        <v>26391823.428618424</v>
      </c>
    </row>
    <row r="12" spans="1:28" ht="13.5" thickBot="1">
      <c r="A12" s="78">
        <v>2006</v>
      </c>
      <c r="B12" s="344">
        <v>-15320</v>
      </c>
      <c r="C12" s="344"/>
      <c r="D12" s="2">
        <v>-15320</v>
      </c>
      <c r="E12" s="343">
        <v>459</v>
      </c>
      <c r="F12" s="71">
        <v>1.1328976034858387</v>
      </c>
      <c r="G12" s="344">
        <v>-17355.991285403048</v>
      </c>
      <c r="H12" s="344">
        <v>2987621</v>
      </c>
      <c r="I12" s="344"/>
      <c r="J12" s="345"/>
      <c r="K12" s="2">
        <v>2987621</v>
      </c>
      <c r="L12" s="343">
        <v>522</v>
      </c>
      <c r="M12" s="71">
        <v>1.1398467432950192</v>
      </c>
      <c r="N12" s="344">
        <v>3405430.0670498088</v>
      </c>
      <c r="O12" s="344">
        <v>1583020</v>
      </c>
      <c r="P12" s="344"/>
      <c r="Q12" s="344"/>
      <c r="R12" s="2">
        <v>1583020</v>
      </c>
      <c r="S12" s="343">
        <v>568</v>
      </c>
      <c r="T12" s="71">
        <v>1.073943661971831</v>
      </c>
      <c r="U12" s="344">
        <v>1700074.295774648</v>
      </c>
      <c r="Z12">
        <v>100</v>
      </c>
      <c r="AA12">
        <v>100</v>
      </c>
      <c r="AB12">
        <v>100</v>
      </c>
    </row>
    <row r="13" spans="1:28" ht="13.5" thickBot="1">
      <c r="A13" s="78">
        <v>2005</v>
      </c>
      <c r="B13" s="344">
        <v>23185</v>
      </c>
      <c r="C13" s="344"/>
      <c r="D13" s="2">
        <v>23185</v>
      </c>
      <c r="E13" s="343">
        <v>437</v>
      </c>
      <c r="F13" s="71">
        <v>1.1899313501144164</v>
      </c>
      <c r="G13" s="344">
        <v>27588.558352402746</v>
      </c>
      <c r="H13" s="344">
        <v>9267295</v>
      </c>
      <c r="I13" s="344"/>
      <c r="J13" s="345"/>
      <c r="K13" s="2">
        <v>9267295</v>
      </c>
      <c r="L13" s="343">
        <v>503</v>
      </c>
      <c r="M13" s="71">
        <v>1.1829025844930416</v>
      </c>
      <c r="N13" s="344">
        <v>10962307.206759442</v>
      </c>
      <c r="O13" s="344">
        <v>4538663</v>
      </c>
      <c r="P13" s="344"/>
      <c r="Q13" s="344"/>
      <c r="R13" s="2">
        <v>4538663</v>
      </c>
      <c r="S13" s="343">
        <v>489</v>
      </c>
      <c r="T13" s="71">
        <v>1.2474437627811861</v>
      </c>
      <c r="U13" s="344">
        <v>5661726.8507157462</v>
      </c>
      <c r="Y13" s="14" t="s">
        <v>126</v>
      </c>
      <c r="Z13" s="142" t="s">
        <v>127</v>
      </c>
      <c r="AA13" s="142" t="s">
        <v>128</v>
      </c>
      <c r="AB13" s="142" t="s">
        <v>129</v>
      </c>
    </row>
    <row r="14" spans="1:28">
      <c r="A14" s="78">
        <v>2004</v>
      </c>
      <c r="B14" s="344">
        <v>1676</v>
      </c>
      <c r="C14" s="344"/>
      <c r="D14" s="2">
        <v>1676</v>
      </c>
      <c r="E14" s="343">
        <v>422</v>
      </c>
      <c r="F14" s="71">
        <v>1.2322274881516588</v>
      </c>
      <c r="G14" s="344">
        <v>2065.2132701421801</v>
      </c>
      <c r="H14" s="344">
        <v>14064350</v>
      </c>
      <c r="I14" s="344"/>
      <c r="J14" s="345">
        <v>-485314</v>
      </c>
      <c r="K14" s="2">
        <v>13579036</v>
      </c>
      <c r="L14" s="343">
        <v>470</v>
      </c>
      <c r="M14" s="71">
        <v>1.2659574468085106</v>
      </c>
      <c r="N14" s="344">
        <v>17190481.744680852</v>
      </c>
      <c r="O14" s="344">
        <v>3675602</v>
      </c>
      <c r="P14" s="344"/>
      <c r="Q14" s="344">
        <v>-493775</v>
      </c>
      <c r="R14" s="2">
        <v>3181827</v>
      </c>
      <c r="S14" s="343">
        <v>445</v>
      </c>
      <c r="T14" s="71">
        <v>1.3707865168539326</v>
      </c>
      <c r="U14" s="344">
        <v>4361605.5505617978</v>
      </c>
      <c r="Y14" s="14">
        <v>1960</v>
      </c>
      <c r="Z14" s="342">
        <f>E58/E3*Z12</f>
        <v>9.8389982110912353</v>
      </c>
      <c r="AA14" s="342">
        <f>L58/L3*AA12</f>
        <v>8.4828711256117462</v>
      </c>
      <c r="AB14" s="342">
        <f>S58/S3*AB12</f>
        <v>10.5</v>
      </c>
    </row>
    <row r="15" spans="1:28">
      <c r="A15" s="78">
        <v>2003</v>
      </c>
      <c r="B15" s="344">
        <v>4309</v>
      </c>
      <c r="C15" s="344"/>
      <c r="D15" s="2">
        <v>4309</v>
      </c>
      <c r="E15" s="343">
        <v>389</v>
      </c>
      <c r="F15" s="71">
        <v>1.3367609254498716</v>
      </c>
      <c r="G15" s="344">
        <v>5760.1028277634969</v>
      </c>
      <c r="H15" s="344">
        <v>720009</v>
      </c>
      <c r="I15" s="344"/>
      <c r="J15" s="345">
        <v>-96277</v>
      </c>
      <c r="K15" s="2">
        <v>623732</v>
      </c>
      <c r="L15" s="343">
        <v>456</v>
      </c>
      <c r="M15" s="71">
        <v>1.3048245614035088</v>
      </c>
      <c r="N15" s="344">
        <v>813860.83333333337</v>
      </c>
      <c r="O15" s="344">
        <v>633314</v>
      </c>
      <c r="P15" s="344"/>
      <c r="Q15" s="344">
        <v>-115840</v>
      </c>
      <c r="R15" s="2">
        <v>517474</v>
      </c>
      <c r="S15" s="343">
        <v>412</v>
      </c>
      <c r="T15" s="71">
        <v>1.4805825242718447</v>
      </c>
      <c r="U15" s="344">
        <v>766162.96116504853</v>
      </c>
      <c r="Y15" s="14">
        <v>1970</v>
      </c>
      <c r="Z15" s="342">
        <f>E48/E3*Z12</f>
        <v>14.669051878354203</v>
      </c>
      <c r="AA15" s="342">
        <f>L48/L3*AA12</f>
        <v>12.398042414355629</v>
      </c>
      <c r="AB15" s="342">
        <f>S48/S3*AB12</f>
        <v>14.833333333333334</v>
      </c>
    </row>
    <row r="16" spans="1:28">
      <c r="A16" s="78">
        <v>2002</v>
      </c>
      <c r="B16" s="344">
        <v>10577</v>
      </c>
      <c r="C16" s="344"/>
      <c r="D16" s="2">
        <v>10577</v>
      </c>
      <c r="E16" s="343">
        <v>385</v>
      </c>
      <c r="F16" s="71">
        <v>1.3506493506493507</v>
      </c>
      <c r="G16" s="344">
        <v>14285.818181818182</v>
      </c>
      <c r="H16" s="344">
        <v>1979953</v>
      </c>
      <c r="I16" s="344"/>
      <c r="J16" s="345">
        <v>-85477</v>
      </c>
      <c r="K16" s="2">
        <v>1894476</v>
      </c>
      <c r="L16" s="343">
        <v>448</v>
      </c>
      <c r="M16" s="71">
        <v>1.328125</v>
      </c>
      <c r="N16" s="344">
        <v>2516100.9375</v>
      </c>
      <c r="O16" s="344">
        <v>1292950</v>
      </c>
      <c r="P16" s="344"/>
      <c r="Q16" s="344">
        <v>-110997</v>
      </c>
      <c r="R16" s="2">
        <v>1181953</v>
      </c>
      <c r="S16" s="343">
        <v>406</v>
      </c>
      <c r="T16" s="71">
        <v>1.5024630541871922</v>
      </c>
      <c r="U16" s="344">
        <v>1775840.7142857143</v>
      </c>
      <c r="Y16" s="14">
        <v>1980</v>
      </c>
      <c r="Z16" s="342">
        <f>E38/E3*Z12</f>
        <v>37.567084078711986</v>
      </c>
      <c r="AA16" s="342">
        <f>L38/L3*AA12</f>
        <v>34.420880913539968</v>
      </c>
      <c r="AB16" s="342">
        <f>S38/S3*AB12</f>
        <v>36.666666666666664</v>
      </c>
    </row>
    <row r="17" spans="1:28">
      <c r="A17" s="78">
        <v>2001</v>
      </c>
      <c r="B17" s="344">
        <v>9933</v>
      </c>
      <c r="C17" s="344"/>
      <c r="D17" s="2">
        <v>9933</v>
      </c>
      <c r="E17" s="343">
        <v>377</v>
      </c>
      <c r="F17" s="71">
        <v>1.3793103448275863</v>
      </c>
      <c r="G17" s="344">
        <v>13700.689655172415</v>
      </c>
      <c r="H17" s="344">
        <v>1058949</v>
      </c>
      <c r="I17" s="344"/>
      <c r="J17" s="345">
        <v>-87098</v>
      </c>
      <c r="K17" s="2">
        <v>971851</v>
      </c>
      <c r="L17" s="343">
        <v>432</v>
      </c>
      <c r="M17" s="71">
        <v>1.3773148148148149</v>
      </c>
      <c r="N17" s="344">
        <v>1338544.7800925926</v>
      </c>
      <c r="O17" s="344">
        <v>728455</v>
      </c>
      <c r="P17" s="344"/>
      <c r="Q17" s="344">
        <v>-109461</v>
      </c>
      <c r="R17" s="2">
        <v>618994</v>
      </c>
      <c r="S17" s="343">
        <v>403</v>
      </c>
      <c r="T17" s="71">
        <v>1.5136476426799008</v>
      </c>
      <c r="U17" s="344">
        <v>936938.80893300253</v>
      </c>
      <c r="Y17" s="14">
        <v>1990</v>
      </c>
      <c r="Z17" s="342">
        <f>E28/E3*Z12</f>
        <v>51.520572450805012</v>
      </c>
      <c r="AA17" s="342">
        <f>L28/L3*AA12</f>
        <v>50.897226753670481</v>
      </c>
      <c r="AB17" s="342">
        <f>S28/S3*AB12</f>
        <v>53.833333333333336</v>
      </c>
    </row>
    <row r="18" spans="1:28">
      <c r="A18" s="56">
        <v>2000</v>
      </c>
      <c r="B18" s="72">
        <v>8231</v>
      </c>
      <c r="C18" s="72"/>
      <c r="D18" s="2">
        <v>8231</v>
      </c>
      <c r="E18" s="343">
        <v>368</v>
      </c>
      <c r="F18" s="71">
        <v>1.4130434782608696</v>
      </c>
      <c r="G18" s="2">
        <v>11630.760869565218</v>
      </c>
      <c r="H18" s="72">
        <v>3216446</v>
      </c>
      <c r="I18" s="72"/>
      <c r="J18" s="345">
        <v>-243836</v>
      </c>
      <c r="K18" s="2">
        <v>2972610</v>
      </c>
      <c r="L18" s="343">
        <v>422</v>
      </c>
      <c r="M18" s="71">
        <v>1.4099526066350712</v>
      </c>
      <c r="N18" s="2">
        <v>4191239.2180094789</v>
      </c>
      <c r="O18" s="72">
        <v>1102320</v>
      </c>
      <c r="P18" s="72"/>
      <c r="Q18" s="344">
        <v>-102127</v>
      </c>
      <c r="R18" s="2">
        <v>1000193</v>
      </c>
      <c r="S18" s="343">
        <v>398</v>
      </c>
      <c r="T18" s="71">
        <v>1.5326633165829147</v>
      </c>
      <c r="U18" s="2">
        <v>1532959.1206030152</v>
      </c>
      <c r="Y18" s="14">
        <v>2000</v>
      </c>
      <c r="Z18" s="342">
        <f>E18/E3*Z12</f>
        <v>65.83184257602862</v>
      </c>
      <c r="AA18" s="342">
        <f>L18/L3*AA12</f>
        <v>68.841761827079935</v>
      </c>
      <c r="AB18" s="342">
        <f>S18/S3*AB12</f>
        <v>66.333333333333329</v>
      </c>
    </row>
    <row r="19" spans="1:28">
      <c r="A19" s="56">
        <v>1999</v>
      </c>
      <c r="B19" s="72">
        <v>8553</v>
      </c>
      <c r="C19" s="72"/>
      <c r="D19" s="2">
        <v>8553</v>
      </c>
      <c r="E19" s="343">
        <v>354</v>
      </c>
      <c r="F19" s="71">
        <v>1.4689265536723164</v>
      </c>
      <c r="G19" s="2">
        <v>12563.728813559323</v>
      </c>
      <c r="H19" s="72">
        <v>1431247</v>
      </c>
      <c r="I19" s="72"/>
      <c r="J19" s="72"/>
      <c r="K19" s="2">
        <v>1431247</v>
      </c>
      <c r="L19" s="343">
        <v>419</v>
      </c>
      <c r="M19" s="71">
        <v>1.4200477326968974</v>
      </c>
      <c r="N19" s="2">
        <v>2032439.0572792364</v>
      </c>
      <c r="O19" s="72">
        <v>674319</v>
      </c>
      <c r="P19" s="72"/>
      <c r="Q19" s="72"/>
      <c r="R19" s="2">
        <v>674319</v>
      </c>
      <c r="S19" s="343">
        <v>354</v>
      </c>
      <c r="T19" s="71">
        <v>1.7231638418079096</v>
      </c>
      <c r="U19" s="2">
        <v>1161962.1186440678</v>
      </c>
      <c r="Y19" s="14">
        <v>2010</v>
      </c>
      <c r="Z19" s="342">
        <f>E8/E3*Z12</f>
        <v>93.023255813953483</v>
      </c>
      <c r="AA19" s="342">
        <f>L8/L3*AA12</f>
        <v>97.063621533442088</v>
      </c>
      <c r="AB19" s="342">
        <f>S8/S3*AB12</f>
        <v>101.66666666666666</v>
      </c>
    </row>
    <row r="20" spans="1:28">
      <c r="A20" s="56">
        <v>1998</v>
      </c>
      <c r="B20" s="72">
        <v>3725</v>
      </c>
      <c r="C20" s="72"/>
      <c r="D20" s="2">
        <v>3725</v>
      </c>
      <c r="E20" s="343">
        <v>347</v>
      </c>
      <c r="F20" s="71">
        <v>1.4985590778097984</v>
      </c>
      <c r="G20" s="2">
        <v>5582.1325648414986</v>
      </c>
      <c r="H20" s="72">
        <v>1417187</v>
      </c>
      <c r="I20" s="72"/>
      <c r="J20" s="72"/>
      <c r="K20" s="2">
        <v>1417187</v>
      </c>
      <c r="L20" s="343">
        <v>428</v>
      </c>
      <c r="M20" s="71">
        <v>1.3901869158878504</v>
      </c>
      <c r="N20" s="2">
        <v>1970154.8247663551</v>
      </c>
      <c r="O20" s="72">
        <v>531292</v>
      </c>
      <c r="P20" s="72"/>
      <c r="Q20" s="72"/>
      <c r="R20" s="2">
        <v>531292</v>
      </c>
      <c r="S20" s="343">
        <v>391</v>
      </c>
      <c r="T20" s="71">
        <v>1.5601023017902813</v>
      </c>
      <c r="U20" s="2">
        <v>828869.87212276214</v>
      </c>
      <c r="Y20" s="14">
        <v>2012</v>
      </c>
      <c r="Z20" s="342">
        <f>E7/E3*Z12</f>
        <v>100</v>
      </c>
      <c r="AA20" s="342">
        <f>L7/L3*AA12</f>
        <v>100</v>
      </c>
      <c r="AB20" s="342">
        <f>S7/S3*AB12</f>
        <v>100</v>
      </c>
    </row>
    <row r="21" spans="1:28">
      <c r="A21" s="56">
        <v>1997</v>
      </c>
      <c r="B21" s="72">
        <v>9840</v>
      </c>
      <c r="C21" s="72"/>
      <c r="D21" s="2">
        <v>9840</v>
      </c>
      <c r="E21" s="343">
        <v>341</v>
      </c>
      <c r="F21" s="71">
        <v>1.5249266862170088</v>
      </c>
      <c r="G21" s="2">
        <v>15005.278592375367</v>
      </c>
      <c r="H21" s="72">
        <v>4375370</v>
      </c>
      <c r="I21" s="72"/>
      <c r="J21" s="72"/>
      <c r="K21" s="2">
        <v>4375370</v>
      </c>
      <c r="L21" s="343">
        <v>420</v>
      </c>
      <c r="M21" s="71">
        <v>1.4166666666666667</v>
      </c>
      <c r="N21" s="2">
        <v>6198440.833333334</v>
      </c>
      <c r="O21" s="72">
        <v>2988678</v>
      </c>
      <c r="P21" s="72"/>
      <c r="Q21" s="72"/>
      <c r="R21" s="2">
        <v>2988678</v>
      </c>
      <c r="S21" s="343">
        <v>379</v>
      </c>
      <c r="T21" s="71">
        <v>1.6094986807387863</v>
      </c>
      <c r="U21" s="2">
        <v>4810273.2981530344</v>
      </c>
    </row>
    <row r="22" spans="1:28">
      <c r="A22" s="56">
        <v>1996</v>
      </c>
      <c r="B22" s="72">
        <v>7786</v>
      </c>
      <c r="C22" s="72"/>
      <c r="D22" s="2">
        <v>7786</v>
      </c>
      <c r="E22" s="343">
        <v>333</v>
      </c>
      <c r="F22" s="71">
        <v>1.5615615615615615</v>
      </c>
      <c r="G22" s="2">
        <v>12158.318318318317</v>
      </c>
      <c r="H22" s="72">
        <v>686675</v>
      </c>
      <c r="I22" s="72"/>
      <c r="J22" s="72"/>
      <c r="K22" s="2">
        <v>686675</v>
      </c>
      <c r="L22" s="343">
        <v>407</v>
      </c>
      <c r="M22" s="71">
        <v>1.461916461916462</v>
      </c>
      <c r="N22" s="2">
        <v>1003861.4864864865</v>
      </c>
      <c r="O22" s="72">
        <v>260693</v>
      </c>
      <c r="P22" s="72"/>
      <c r="Q22" s="72"/>
      <c r="R22" s="2">
        <v>260693</v>
      </c>
      <c r="S22" s="343">
        <v>374</v>
      </c>
      <c r="T22" s="71">
        <v>1.6310160427807487</v>
      </c>
      <c r="U22" s="2">
        <v>425194.46524064173</v>
      </c>
    </row>
    <row r="23" spans="1:28">
      <c r="A23" s="56">
        <v>1995</v>
      </c>
      <c r="B23" s="72">
        <v>6099</v>
      </c>
      <c r="C23" s="72"/>
      <c r="D23" s="2">
        <v>6099</v>
      </c>
      <c r="E23" s="343">
        <v>322</v>
      </c>
      <c r="F23" s="71">
        <v>1.6149068322981366</v>
      </c>
      <c r="G23" s="2">
        <v>9849.3167701863349</v>
      </c>
      <c r="H23" s="72">
        <v>4430992</v>
      </c>
      <c r="I23" s="72"/>
      <c r="J23" s="72"/>
      <c r="K23" s="2">
        <v>4430992</v>
      </c>
      <c r="L23" s="343">
        <v>392</v>
      </c>
      <c r="M23" s="71">
        <v>1.5178571428571428</v>
      </c>
      <c r="N23" s="2">
        <v>6725612.8571428573</v>
      </c>
      <c r="O23" s="72">
        <v>1996474</v>
      </c>
      <c r="P23" s="72"/>
      <c r="Q23" s="72"/>
      <c r="R23" s="2">
        <v>1996474</v>
      </c>
      <c r="S23" s="343">
        <v>368</v>
      </c>
      <c r="T23" s="71">
        <v>1.6576086956521738</v>
      </c>
      <c r="U23" s="2">
        <v>3309372.663043478</v>
      </c>
    </row>
    <row r="24" spans="1:28">
      <c r="A24" s="56">
        <v>1994</v>
      </c>
      <c r="B24" s="72">
        <v>52304</v>
      </c>
      <c r="C24" s="72"/>
      <c r="D24" s="2">
        <v>52304</v>
      </c>
      <c r="E24" s="343">
        <v>312</v>
      </c>
      <c r="F24" s="71">
        <v>1.6666666666666667</v>
      </c>
      <c r="G24" s="2">
        <v>87173.333333333343</v>
      </c>
      <c r="H24" s="72">
        <v>4046823</v>
      </c>
      <c r="I24" s="72"/>
      <c r="J24" s="72"/>
      <c r="K24" s="2">
        <v>4046823</v>
      </c>
      <c r="L24" s="343">
        <v>378</v>
      </c>
      <c r="M24" s="71">
        <v>1.5740740740740742</v>
      </c>
      <c r="N24" s="2">
        <v>6369999.166666667</v>
      </c>
      <c r="O24" s="72">
        <v>1686755</v>
      </c>
      <c r="P24" s="72"/>
      <c r="Q24" s="72"/>
      <c r="R24" s="2">
        <v>1686755</v>
      </c>
      <c r="S24" s="343">
        <v>340</v>
      </c>
      <c r="T24" s="71">
        <v>1.7941176470588236</v>
      </c>
      <c r="U24" s="2">
        <v>3026236.911764706</v>
      </c>
    </row>
    <row r="25" spans="1:28">
      <c r="A25" s="7">
        <v>1993</v>
      </c>
      <c r="B25" s="2">
        <v>106690</v>
      </c>
      <c r="C25" s="2">
        <v>0</v>
      </c>
      <c r="D25" s="2">
        <v>106690</v>
      </c>
      <c r="E25" s="343">
        <v>296</v>
      </c>
      <c r="F25" s="71">
        <v>1.7567567567567568</v>
      </c>
      <c r="G25" s="2">
        <v>187428.37837837837</v>
      </c>
      <c r="H25" s="2">
        <v>2845709</v>
      </c>
      <c r="I25" s="2">
        <v>758</v>
      </c>
      <c r="J25" s="2">
        <v>98</v>
      </c>
      <c r="K25" s="2">
        <v>2845049</v>
      </c>
      <c r="L25" s="343">
        <v>360</v>
      </c>
      <c r="M25" s="71">
        <v>1.6527777777777777</v>
      </c>
      <c r="N25" s="2">
        <v>4702233.763888889</v>
      </c>
      <c r="O25" s="2">
        <v>2700866</v>
      </c>
      <c r="P25" s="2">
        <v>10444</v>
      </c>
      <c r="Q25" s="2">
        <v>107</v>
      </c>
      <c r="R25" s="2">
        <v>2690529</v>
      </c>
      <c r="S25" s="343">
        <v>330</v>
      </c>
      <c r="T25" s="71">
        <v>1.8484848484848484</v>
      </c>
      <c r="U25" s="2">
        <v>4973402.0909090908</v>
      </c>
    </row>
    <row r="26" spans="1:28">
      <c r="A26" s="7">
        <v>1992</v>
      </c>
      <c r="B26" s="2">
        <v>47</v>
      </c>
      <c r="C26" s="2">
        <v>0</v>
      </c>
      <c r="D26" s="2">
        <v>47</v>
      </c>
      <c r="E26" s="343">
        <v>284</v>
      </c>
      <c r="F26" s="71">
        <v>1.8309859154929577</v>
      </c>
      <c r="G26" s="2">
        <v>86.056338028169009</v>
      </c>
      <c r="H26" s="2">
        <v>1085078</v>
      </c>
      <c r="I26" s="2">
        <v>1942</v>
      </c>
      <c r="J26" s="2">
        <v>98</v>
      </c>
      <c r="K26" s="2">
        <v>1083234</v>
      </c>
      <c r="L26" s="343">
        <v>350</v>
      </c>
      <c r="M26" s="71">
        <v>1.7</v>
      </c>
      <c r="N26" s="2">
        <v>1841497.8</v>
      </c>
      <c r="O26" s="2">
        <v>480682</v>
      </c>
      <c r="P26" s="2">
        <v>40816</v>
      </c>
      <c r="Q26" s="2">
        <v>107</v>
      </c>
      <c r="R26" s="2">
        <v>439973</v>
      </c>
      <c r="S26" s="343">
        <v>318</v>
      </c>
      <c r="T26" s="71">
        <v>1.9182389937106918</v>
      </c>
      <c r="U26" s="2">
        <v>843973.36477987422</v>
      </c>
    </row>
    <row r="27" spans="1:28">
      <c r="A27" s="7">
        <v>1991</v>
      </c>
      <c r="B27" s="2">
        <v>3026</v>
      </c>
      <c r="C27" s="2">
        <v>0</v>
      </c>
      <c r="D27" s="2">
        <v>3026</v>
      </c>
      <c r="E27" s="343">
        <v>281</v>
      </c>
      <c r="F27" s="71">
        <v>1.8505338078291815</v>
      </c>
      <c r="G27" s="2">
        <v>5599.7153024911031</v>
      </c>
      <c r="H27" s="2">
        <v>1267332</v>
      </c>
      <c r="I27" s="2">
        <v>0</v>
      </c>
      <c r="J27" s="2">
        <v>98</v>
      </c>
      <c r="K27" s="2">
        <v>1267430</v>
      </c>
      <c r="L27" s="343">
        <v>333</v>
      </c>
      <c r="M27" s="71">
        <v>1.7867867867867868</v>
      </c>
      <c r="N27" s="2">
        <v>2264627.1771771773</v>
      </c>
      <c r="O27" s="2">
        <v>791083</v>
      </c>
      <c r="P27" s="2">
        <v>1336</v>
      </c>
      <c r="Q27" s="2">
        <v>107</v>
      </c>
      <c r="R27" s="2">
        <v>789854</v>
      </c>
      <c r="S27" s="343">
        <v>333</v>
      </c>
      <c r="T27" s="71">
        <v>1.8318318318318318</v>
      </c>
      <c r="U27" s="2">
        <v>1446879.6996996996</v>
      </c>
    </row>
    <row r="28" spans="1:28">
      <c r="A28" s="7">
        <v>1990</v>
      </c>
      <c r="B28" s="2">
        <v>295</v>
      </c>
      <c r="C28" s="2">
        <v>0</v>
      </c>
      <c r="D28" s="2">
        <v>295</v>
      </c>
      <c r="E28" s="343">
        <v>288</v>
      </c>
      <c r="F28" s="71">
        <v>1.8055555555555556</v>
      </c>
      <c r="G28" s="2">
        <v>532.63888888888891</v>
      </c>
      <c r="H28" s="2">
        <v>1284852</v>
      </c>
      <c r="I28" s="2">
        <v>581</v>
      </c>
      <c r="J28" s="2">
        <v>98</v>
      </c>
      <c r="K28" s="2">
        <v>1284369</v>
      </c>
      <c r="L28" s="343">
        <v>312</v>
      </c>
      <c r="M28" s="71">
        <v>1.9070512820512822</v>
      </c>
      <c r="N28" s="2">
        <v>2449357.548076923</v>
      </c>
      <c r="O28" s="2">
        <v>684440</v>
      </c>
      <c r="P28" s="2">
        <v>0</v>
      </c>
      <c r="Q28" s="2">
        <v>107</v>
      </c>
      <c r="R28" s="2">
        <v>684547</v>
      </c>
      <c r="S28" s="343">
        <v>323</v>
      </c>
      <c r="T28" s="71">
        <v>1.8885448916408669</v>
      </c>
      <c r="U28" s="2">
        <v>1292797.7399380805</v>
      </c>
    </row>
    <row r="29" spans="1:28">
      <c r="A29" s="7">
        <v>1989</v>
      </c>
      <c r="B29" s="2">
        <v>819</v>
      </c>
      <c r="C29" s="2">
        <v>243</v>
      </c>
      <c r="D29" s="2">
        <v>576</v>
      </c>
      <c r="E29" s="343">
        <v>287</v>
      </c>
      <c r="F29" s="71">
        <v>1.8118466898954704</v>
      </c>
      <c r="G29" s="2">
        <v>1043.6236933797909</v>
      </c>
      <c r="H29" s="2">
        <v>1163037</v>
      </c>
      <c r="I29" s="2">
        <v>2902</v>
      </c>
      <c r="J29" s="2">
        <v>98</v>
      </c>
      <c r="K29" s="2">
        <v>1160233</v>
      </c>
      <c r="L29" s="343">
        <v>301</v>
      </c>
      <c r="M29" s="71">
        <v>1.9767441860465116</v>
      </c>
      <c r="N29" s="2">
        <v>2293483.8372093025</v>
      </c>
      <c r="O29" s="2">
        <v>487937</v>
      </c>
      <c r="P29" s="2">
        <v>-1462</v>
      </c>
      <c r="Q29" s="2">
        <v>107</v>
      </c>
      <c r="R29" s="2">
        <v>489506</v>
      </c>
      <c r="S29" s="343">
        <v>320</v>
      </c>
      <c r="T29" s="71">
        <v>1.90625</v>
      </c>
      <c r="U29" s="2">
        <v>933120.8125</v>
      </c>
    </row>
    <row r="30" spans="1:28">
      <c r="A30" s="7">
        <v>1988</v>
      </c>
      <c r="B30" s="2">
        <v>76894</v>
      </c>
      <c r="C30" s="2">
        <v>81057</v>
      </c>
      <c r="D30" s="2">
        <v>-4163</v>
      </c>
      <c r="E30" s="343">
        <v>278</v>
      </c>
      <c r="F30" s="71">
        <v>1.8705035971223021</v>
      </c>
      <c r="G30" s="2">
        <v>-7786.9064748201436</v>
      </c>
      <c r="H30" s="2">
        <v>1294180</v>
      </c>
      <c r="I30" s="2">
        <v>48</v>
      </c>
      <c r="J30" s="2">
        <v>98</v>
      </c>
      <c r="K30" s="2">
        <v>1294230</v>
      </c>
      <c r="L30" s="343">
        <v>281</v>
      </c>
      <c r="M30" s="71">
        <v>2.117437722419929</v>
      </c>
      <c r="N30" s="2">
        <v>2740451.4234875445</v>
      </c>
      <c r="O30" s="2">
        <v>626564</v>
      </c>
      <c r="P30" s="2">
        <v>76723</v>
      </c>
      <c r="Q30" s="2">
        <v>107</v>
      </c>
      <c r="R30" s="2">
        <v>549948</v>
      </c>
      <c r="S30" s="343">
        <v>311</v>
      </c>
      <c r="T30" s="71">
        <v>1.9614147909967845</v>
      </c>
      <c r="U30" s="2">
        <v>1078676.1414790996</v>
      </c>
    </row>
    <row r="31" spans="1:28">
      <c r="A31" s="7">
        <v>1987</v>
      </c>
      <c r="B31" s="2">
        <v>80403</v>
      </c>
      <c r="C31" s="2">
        <v>78776</v>
      </c>
      <c r="D31" s="2">
        <v>1627</v>
      </c>
      <c r="E31" s="343">
        <v>267</v>
      </c>
      <c r="F31" s="71">
        <v>1.9475655430711611</v>
      </c>
      <c r="G31" s="2">
        <v>3168.689138576779</v>
      </c>
      <c r="H31" s="2">
        <v>2225899</v>
      </c>
      <c r="I31" s="2">
        <v>210</v>
      </c>
      <c r="J31" s="2">
        <v>98</v>
      </c>
      <c r="K31" s="2">
        <v>2225787</v>
      </c>
      <c r="L31" s="343">
        <v>261</v>
      </c>
      <c r="M31" s="71">
        <v>2.2796934865900385</v>
      </c>
      <c r="N31" s="2">
        <v>5074112.1264367821</v>
      </c>
      <c r="O31" s="2">
        <v>1443444</v>
      </c>
      <c r="P31" s="2">
        <v>-10847</v>
      </c>
      <c r="Q31" s="2">
        <v>107</v>
      </c>
      <c r="R31" s="2">
        <v>1454398</v>
      </c>
      <c r="S31" s="343">
        <v>243</v>
      </c>
      <c r="T31" s="71">
        <v>2.5102880658436213</v>
      </c>
      <c r="U31" s="2">
        <v>3650957.9423868312</v>
      </c>
    </row>
    <row r="32" spans="1:28">
      <c r="A32" s="7">
        <v>1986</v>
      </c>
      <c r="B32" s="2">
        <v>301692</v>
      </c>
      <c r="C32" s="2">
        <v>301697</v>
      </c>
      <c r="D32" s="2">
        <v>-5</v>
      </c>
      <c r="E32" s="343">
        <v>261</v>
      </c>
      <c r="F32" s="71">
        <v>1.9923371647509578</v>
      </c>
      <c r="G32" s="2">
        <v>-9.9616858237547881</v>
      </c>
      <c r="H32" s="2">
        <v>9698392</v>
      </c>
      <c r="I32" s="2">
        <v>0</v>
      </c>
      <c r="J32" s="2">
        <v>98</v>
      </c>
      <c r="K32" s="2">
        <v>9698490</v>
      </c>
      <c r="L32" s="343">
        <v>258</v>
      </c>
      <c r="M32" s="71">
        <v>2.306201550387597</v>
      </c>
      <c r="N32" s="2">
        <v>22366672.674418606</v>
      </c>
      <c r="O32" s="2">
        <v>4592976</v>
      </c>
      <c r="P32" s="2">
        <v>278335</v>
      </c>
      <c r="Q32" s="2">
        <v>107</v>
      </c>
      <c r="R32" s="2">
        <v>4314748</v>
      </c>
      <c r="S32" s="343">
        <v>252</v>
      </c>
      <c r="T32" s="71">
        <v>2.4206349206349205</v>
      </c>
      <c r="U32" s="2">
        <v>10444429.682539681</v>
      </c>
    </row>
    <row r="33" spans="1:21">
      <c r="A33" s="7">
        <v>1985</v>
      </c>
      <c r="B33" s="2">
        <v>278833</v>
      </c>
      <c r="C33" s="2">
        <v>278329</v>
      </c>
      <c r="D33" s="2">
        <v>504</v>
      </c>
      <c r="E33" s="343">
        <v>256</v>
      </c>
      <c r="F33" s="71">
        <v>2.03125</v>
      </c>
      <c r="G33" s="2">
        <v>1023.75</v>
      </c>
      <c r="H33" s="2">
        <v>10838369</v>
      </c>
      <c r="I33" s="2">
        <v>262</v>
      </c>
      <c r="J33" s="2">
        <v>98</v>
      </c>
      <c r="K33" s="2">
        <v>10838205</v>
      </c>
      <c r="L33" s="343">
        <v>256</v>
      </c>
      <c r="M33" s="71">
        <v>2.32421875</v>
      </c>
      <c r="N33" s="2">
        <v>25190359.27734375</v>
      </c>
      <c r="O33" s="2">
        <v>5076030</v>
      </c>
      <c r="P33" s="2">
        <v>256210</v>
      </c>
      <c r="Q33" s="2">
        <v>107</v>
      </c>
      <c r="R33" s="2">
        <v>4819927</v>
      </c>
      <c r="S33" s="343">
        <v>252</v>
      </c>
      <c r="T33" s="71">
        <v>2.4206349206349205</v>
      </c>
      <c r="U33" s="2">
        <v>11667283.61111111</v>
      </c>
    </row>
    <row r="34" spans="1:21">
      <c r="A34" s="7">
        <v>1984</v>
      </c>
      <c r="B34" s="2">
        <v>12852513</v>
      </c>
      <c r="C34" s="2">
        <v>10911957</v>
      </c>
      <c r="D34" s="2">
        <v>1940556</v>
      </c>
      <c r="E34" s="343">
        <v>247</v>
      </c>
      <c r="F34" s="71">
        <v>2.1052631578947367</v>
      </c>
      <c r="G34" s="2">
        <v>4085381.0526315789</v>
      </c>
      <c r="H34" s="2">
        <v>1778996</v>
      </c>
      <c r="I34" s="2">
        <v>-262</v>
      </c>
      <c r="J34" s="2">
        <v>98</v>
      </c>
      <c r="K34" s="2">
        <v>1779356</v>
      </c>
      <c r="L34" s="343">
        <v>260</v>
      </c>
      <c r="M34" s="71">
        <v>2.2884615384615383</v>
      </c>
      <c r="N34" s="2">
        <v>4071987.769230769</v>
      </c>
      <c r="O34" s="2">
        <v>13142307</v>
      </c>
      <c r="P34" s="2">
        <v>11844495</v>
      </c>
      <c r="Q34" s="2">
        <v>107</v>
      </c>
      <c r="R34" s="2">
        <v>1297919</v>
      </c>
      <c r="S34" s="343">
        <v>258</v>
      </c>
      <c r="T34" s="71">
        <v>2.364341085271318</v>
      </c>
      <c r="U34" s="2">
        <v>3068723.2170542637</v>
      </c>
    </row>
    <row r="35" spans="1:21">
      <c r="A35" s="7">
        <v>1983</v>
      </c>
      <c r="B35" s="2">
        <v>21229</v>
      </c>
      <c r="C35" s="2">
        <v>21229</v>
      </c>
      <c r="D35" s="2">
        <v>0</v>
      </c>
      <c r="E35" s="343">
        <v>234</v>
      </c>
      <c r="F35" s="71">
        <v>2.2222222222222223</v>
      </c>
      <c r="G35" s="2">
        <v>0</v>
      </c>
      <c r="H35" s="2">
        <v>1905155</v>
      </c>
      <c r="I35" s="2">
        <v>0</v>
      </c>
      <c r="J35" s="2">
        <v>0</v>
      </c>
      <c r="K35" s="2">
        <v>1905155</v>
      </c>
      <c r="L35" s="343">
        <v>258</v>
      </c>
      <c r="M35" s="71">
        <v>2.306201550387597</v>
      </c>
      <c r="N35" s="2">
        <v>4393671.4147286825</v>
      </c>
      <c r="O35" s="2">
        <v>2475150</v>
      </c>
      <c r="P35" s="2">
        <v>0</v>
      </c>
      <c r="Q35" s="2">
        <v>0</v>
      </c>
      <c r="R35" s="2">
        <v>2475150</v>
      </c>
      <c r="S35" s="343">
        <v>268</v>
      </c>
      <c r="T35" s="71">
        <v>2.2761194029850746</v>
      </c>
      <c r="U35" s="2">
        <v>5633736.9402985079</v>
      </c>
    </row>
    <row r="36" spans="1:21">
      <c r="A36" s="7">
        <v>1982</v>
      </c>
      <c r="B36" s="2">
        <v>604025</v>
      </c>
      <c r="C36" s="2">
        <v>604026</v>
      </c>
      <c r="D36" s="2">
        <v>-1</v>
      </c>
      <c r="E36" s="343">
        <v>229</v>
      </c>
      <c r="F36" s="71">
        <v>2.2707423580786026</v>
      </c>
      <c r="G36" s="2">
        <v>-2.2707423580786026</v>
      </c>
      <c r="H36" s="2">
        <v>1903511</v>
      </c>
      <c r="I36" s="2">
        <v>0</v>
      </c>
      <c r="J36" s="2">
        <v>0</v>
      </c>
      <c r="K36" s="2">
        <v>1903511</v>
      </c>
      <c r="L36" s="343">
        <v>252</v>
      </c>
      <c r="M36" s="71">
        <v>2.3611111111111112</v>
      </c>
      <c r="N36" s="2">
        <v>4494400.972222222</v>
      </c>
      <c r="O36" s="2">
        <v>1860287</v>
      </c>
      <c r="P36" s="2">
        <v>0</v>
      </c>
      <c r="Q36" s="2">
        <v>0</v>
      </c>
      <c r="R36" s="2">
        <v>1860287</v>
      </c>
      <c r="S36" s="343">
        <v>251</v>
      </c>
      <c r="T36" s="71">
        <v>2.4302788844621515</v>
      </c>
      <c r="U36" s="2">
        <v>4521016.2151394421</v>
      </c>
    </row>
    <row r="37" spans="1:21">
      <c r="A37" s="7">
        <v>1981</v>
      </c>
      <c r="B37" s="2">
        <v>0</v>
      </c>
      <c r="C37" s="2">
        <v>0</v>
      </c>
      <c r="D37" s="2">
        <v>0</v>
      </c>
      <c r="E37" s="343">
        <v>225</v>
      </c>
      <c r="F37" s="71">
        <v>2.3111111111111109</v>
      </c>
      <c r="G37" s="2">
        <v>0</v>
      </c>
      <c r="H37" s="2">
        <v>840774</v>
      </c>
      <c r="I37" s="2">
        <v>0</v>
      </c>
      <c r="J37" s="2">
        <v>0</v>
      </c>
      <c r="K37" s="2">
        <v>840774</v>
      </c>
      <c r="L37" s="343">
        <v>233</v>
      </c>
      <c r="M37" s="71">
        <v>2.5536480686695278</v>
      </c>
      <c r="N37" s="2">
        <v>2147040.9012875534</v>
      </c>
      <c r="O37" s="2">
        <v>696545</v>
      </c>
      <c r="P37" s="2">
        <v>0</v>
      </c>
      <c r="Q37" s="2">
        <v>0</v>
      </c>
      <c r="R37" s="2">
        <v>696545</v>
      </c>
      <c r="S37" s="343">
        <v>241</v>
      </c>
      <c r="T37" s="71">
        <v>2.5311203319502074</v>
      </c>
      <c r="U37" s="2">
        <v>1763039.2116182572</v>
      </c>
    </row>
    <row r="38" spans="1:21">
      <c r="A38" s="7">
        <v>1980</v>
      </c>
      <c r="B38" s="2">
        <v>5044</v>
      </c>
      <c r="C38" s="2">
        <v>0</v>
      </c>
      <c r="D38" s="2">
        <v>5044</v>
      </c>
      <c r="E38" s="343">
        <v>210</v>
      </c>
      <c r="F38" s="71">
        <v>2.4761904761904763</v>
      </c>
      <c r="G38" s="2">
        <v>12489.904761904761</v>
      </c>
      <c r="H38" s="2">
        <v>762669</v>
      </c>
      <c r="I38" s="2">
        <v>0</v>
      </c>
      <c r="J38" s="2">
        <v>0</v>
      </c>
      <c r="K38" s="2">
        <v>762669</v>
      </c>
      <c r="L38" s="343">
        <v>211</v>
      </c>
      <c r="M38" s="71">
        <v>2.8199052132701423</v>
      </c>
      <c r="N38" s="2">
        <v>2150654.2890995261</v>
      </c>
      <c r="O38" s="2">
        <v>966034</v>
      </c>
      <c r="P38" s="2">
        <v>0</v>
      </c>
      <c r="Q38" s="2">
        <v>0</v>
      </c>
      <c r="R38" s="2">
        <v>966034</v>
      </c>
      <c r="S38" s="343">
        <v>220</v>
      </c>
      <c r="T38" s="71">
        <v>2.7727272727272729</v>
      </c>
      <c r="U38" s="2">
        <v>2678548.8181818184</v>
      </c>
    </row>
    <row r="39" spans="1:21">
      <c r="A39" s="7">
        <v>1979</v>
      </c>
      <c r="B39" s="2">
        <v>11826</v>
      </c>
      <c r="C39" s="2">
        <v>0</v>
      </c>
      <c r="D39" s="2">
        <v>11826</v>
      </c>
      <c r="E39" s="343">
        <v>187</v>
      </c>
      <c r="F39" s="71">
        <v>2.7807486631016043</v>
      </c>
      <c r="G39" s="2">
        <v>32885.133689839575</v>
      </c>
      <c r="H39" s="2">
        <v>984183</v>
      </c>
      <c r="I39" s="2">
        <v>0</v>
      </c>
      <c r="J39" s="2">
        <v>0</v>
      </c>
      <c r="K39" s="2">
        <v>984183</v>
      </c>
      <c r="L39" s="343">
        <v>189</v>
      </c>
      <c r="M39" s="71">
        <v>3.1481481481481484</v>
      </c>
      <c r="N39" s="2">
        <v>3098353.888888889</v>
      </c>
      <c r="O39" s="2">
        <v>696371</v>
      </c>
      <c r="P39" s="2">
        <v>0</v>
      </c>
      <c r="Q39" s="2">
        <v>0</v>
      </c>
      <c r="R39" s="2">
        <v>696371</v>
      </c>
      <c r="S39" s="343">
        <v>193</v>
      </c>
      <c r="T39" s="71">
        <v>3.1606217616580312</v>
      </c>
      <c r="U39" s="2">
        <v>2200965.3367875647</v>
      </c>
    </row>
    <row r="40" spans="1:21">
      <c r="A40" s="7">
        <v>1978</v>
      </c>
      <c r="B40" s="2">
        <v>0</v>
      </c>
      <c r="C40" s="2">
        <v>0</v>
      </c>
      <c r="D40" s="2">
        <v>0</v>
      </c>
      <c r="E40" s="343">
        <v>169</v>
      </c>
      <c r="F40" s="71">
        <v>3.0769230769230771</v>
      </c>
      <c r="G40" s="2">
        <v>0</v>
      </c>
      <c r="H40" s="2">
        <v>826902</v>
      </c>
      <c r="I40" s="2">
        <v>0</v>
      </c>
      <c r="J40" s="2">
        <v>0</v>
      </c>
      <c r="K40" s="2">
        <v>826902</v>
      </c>
      <c r="L40" s="343">
        <v>171</v>
      </c>
      <c r="M40" s="71">
        <v>3.4795321637426899</v>
      </c>
      <c r="N40" s="2">
        <v>2877232.1052631577</v>
      </c>
      <c r="O40" s="2">
        <v>662225</v>
      </c>
      <c r="P40" s="2">
        <v>0</v>
      </c>
      <c r="Q40" s="2">
        <v>0</v>
      </c>
      <c r="R40" s="2">
        <v>662225</v>
      </c>
      <c r="S40" s="343">
        <v>179</v>
      </c>
      <c r="T40" s="71">
        <v>3.4078212290502794</v>
      </c>
      <c r="U40" s="2">
        <v>2256744.4134078212</v>
      </c>
    </row>
    <row r="41" spans="1:21">
      <c r="A41" s="7">
        <v>1977</v>
      </c>
      <c r="B41" s="2">
        <v>30841</v>
      </c>
      <c r="C41" s="2">
        <v>0</v>
      </c>
      <c r="D41" s="2">
        <v>30841</v>
      </c>
      <c r="E41" s="343">
        <v>155</v>
      </c>
      <c r="F41" s="71">
        <v>3.3548387096774195</v>
      </c>
      <c r="G41" s="2">
        <v>103466.58064516129</v>
      </c>
      <c r="H41" s="2">
        <v>571982</v>
      </c>
      <c r="I41" s="2">
        <v>0</v>
      </c>
      <c r="J41" s="2">
        <v>0</v>
      </c>
      <c r="K41" s="2">
        <v>571982</v>
      </c>
      <c r="L41" s="343">
        <v>160</v>
      </c>
      <c r="M41" s="71">
        <v>3.71875</v>
      </c>
      <c r="N41" s="2">
        <v>2127058.0625</v>
      </c>
      <c r="O41" s="2">
        <v>378594</v>
      </c>
      <c r="P41" s="2">
        <v>0</v>
      </c>
      <c r="Q41" s="2">
        <v>0</v>
      </c>
      <c r="R41" s="2">
        <v>378594</v>
      </c>
      <c r="S41" s="343">
        <v>187</v>
      </c>
      <c r="T41" s="71">
        <v>3.2620320855614975</v>
      </c>
      <c r="U41" s="2">
        <v>1234985.7754010695</v>
      </c>
    </row>
    <row r="42" spans="1:21">
      <c r="A42" s="7">
        <v>1976</v>
      </c>
      <c r="B42" s="2">
        <v>1665076</v>
      </c>
      <c r="C42" s="2">
        <v>0</v>
      </c>
      <c r="D42" s="2">
        <v>1665076</v>
      </c>
      <c r="E42" s="343">
        <v>149</v>
      </c>
      <c r="F42" s="71">
        <v>3.4899328859060401</v>
      </c>
      <c r="G42" s="2">
        <v>5811003.4899328854</v>
      </c>
      <c r="H42" s="2">
        <v>1078684</v>
      </c>
      <c r="I42" s="2">
        <v>0</v>
      </c>
      <c r="J42" s="2">
        <v>0</v>
      </c>
      <c r="K42" s="2">
        <v>1078684</v>
      </c>
      <c r="L42" s="343">
        <v>150</v>
      </c>
      <c r="M42" s="71">
        <v>3.9666666666666668</v>
      </c>
      <c r="N42" s="2">
        <v>4278779.8666666672</v>
      </c>
      <c r="O42" s="2">
        <v>684307</v>
      </c>
      <c r="P42" s="2">
        <v>0</v>
      </c>
      <c r="Q42" s="2">
        <v>0</v>
      </c>
      <c r="R42" s="2">
        <v>684307</v>
      </c>
      <c r="S42" s="343">
        <v>172</v>
      </c>
      <c r="T42" s="71">
        <v>3.5465116279069768</v>
      </c>
      <c r="U42" s="2">
        <v>2426902.7325581396</v>
      </c>
    </row>
    <row r="43" spans="1:21">
      <c r="A43" s="7">
        <v>1975</v>
      </c>
      <c r="B43" s="2">
        <v>304215</v>
      </c>
      <c r="C43" s="2">
        <v>0</v>
      </c>
      <c r="D43" s="2">
        <v>304215</v>
      </c>
      <c r="E43" s="343">
        <v>145</v>
      </c>
      <c r="F43" s="71">
        <v>3.5862068965517242</v>
      </c>
      <c r="G43" s="2">
        <v>1090977.9310344828</v>
      </c>
      <c r="H43" s="2">
        <v>1407872</v>
      </c>
      <c r="I43" s="2">
        <v>0</v>
      </c>
      <c r="J43" s="2">
        <v>0</v>
      </c>
      <c r="K43" s="2">
        <v>1407872</v>
      </c>
      <c r="L43" s="343">
        <v>144</v>
      </c>
      <c r="M43" s="71">
        <v>4.1319444444444446</v>
      </c>
      <c r="N43" s="2">
        <v>5817248.888888889</v>
      </c>
      <c r="O43" s="2">
        <v>1210086</v>
      </c>
      <c r="P43" s="2">
        <v>0</v>
      </c>
      <c r="Q43" s="2">
        <v>0</v>
      </c>
      <c r="R43" s="2">
        <v>1210086</v>
      </c>
      <c r="S43" s="343">
        <v>146</v>
      </c>
      <c r="T43" s="71">
        <v>4.1780821917808222</v>
      </c>
      <c r="U43" s="2">
        <v>5055838.7671232875</v>
      </c>
    </row>
    <row r="44" spans="1:21">
      <c r="A44" s="7">
        <v>1974</v>
      </c>
      <c r="B44" s="2">
        <v>0</v>
      </c>
      <c r="C44" s="2">
        <v>0</v>
      </c>
      <c r="D44" s="2">
        <v>0</v>
      </c>
      <c r="E44" s="343">
        <v>123</v>
      </c>
      <c r="F44" s="71">
        <v>4.2276422764227641</v>
      </c>
      <c r="G44" s="2">
        <v>0</v>
      </c>
      <c r="H44" s="2">
        <v>844925</v>
      </c>
      <c r="I44" s="2">
        <v>0</v>
      </c>
      <c r="J44" s="2">
        <v>0</v>
      </c>
      <c r="K44" s="2">
        <v>844925</v>
      </c>
      <c r="L44" s="343">
        <v>126</v>
      </c>
      <c r="M44" s="71">
        <v>4.7222222222222223</v>
      </c>
      <c r="N44" s="2">
        <v>3989923.611111111</v>
      </c>
      <c r="O44" s="2">
        <v>448074</v>
      </c>
      <c r="P44" s="2">
        <v>0</v>
      </c>
      <c r="Q44" s="2">
        <v>0</v>
      </c>
      <c r="R44" s="2">
        <v>448074</v>
      </c>
      <c r="S44" s="343">
        <v>117</v>
      </c>
      <c r="T44" s="71">
        <v>5.2136752136752138</v>
      </c>
      <c r="U44" s="2">
        <v>2336112.307692308</v>
      </c>
    </row>
    <row r="45" spans="1:21">
      <c r="A45" s="7">
        <v>1973</v>
      </c>
      <c r="B45" s="2">
        <v>84599</v>
      </c>
      <c r="C45" s="2">
        <v>0</v>
      </c>
      <c r="D45" s="2">
        <v>84599</v>
      </c>
      <c r="E45" s="343">
        <v>100</v>
      </c>
      <c r="F45" s="71">
        <v>5.2</v>
      </c>
      <c r="G45" s="2">
        <v>439914.8</v>
      </c>
      <c r="H45" s="2">
        <v>1152488</v>
      </c>
      <c r="I45" s="2">
        <v>0</v>
      </c>
      <c r="J45" s="2">
        <v>0</v>
      </c>
      <c r="K45" s="2">
        <v>1152488</v>
      </c>
      <c r="L45" s="343">
        <v>100</v>
      </c>
      <c r="M45" s="71">
        <v>5.95</v>
      </c>
      <c r="N45" s="2">
        <v>6857303.6000000006</v>
      </c>
      <c r="O45" s="2">
        <v>478216</v>
      </c>
      <c r="P45" s="2">
        <v>0</v>
      </c>
      <c r="Q45" s="2">
        <v>0</v>
      </c>
      <c r="R45" s="2">
        <v>478216</v>
      </c>
      <c r="S45" s="343">
        <v>100</v>
      </c>
      <c r="T45" s="71">
        <v>6.1</v>
      </c>
      <c r="U45" s="2">
        <v>2917117.5999999996</v>
      </c>
    </row>
    <row r="46" spans="1:21">
      <c r="A46" s="7">
        <v>1972</v>
      </c>
      <c r="B46" s="2">
        <v>716</v>
      </c>
      <c r="C46" s="2">
        <v>0</v>
      </c>
      <c r="D46" s="2">
        <v>716</v>
      </c>
      <c r="E46" s="343">
        <v>92</v>
      </c>
      <c r="F46" s="71">
        <v>5.6521739130434785</v>
      </c>
      <c r="G46" s="2">
        <v>4046.9565217391305</v>
      </c>
      <c r="H46" s="2">
        <v>331441</v>
      </c>
      <c r="I46" s="2">
        <v>0</v>
      </c>
      <c r="J46" s="2">
        <v>0</v>
      </c>
      <c r="K46" s="2">
        <v>331441</v>
      </c>
      <c r="L46" s="343">
        <v>87</v>
      </c>
      <c r="M46" s="71">
        <v>6.8390804597701154</v>
      </c>
      <c r="N46" s="2">
        <v>2266751.666666667</v>
      </c>
      <c r="O46" s="2">
        <v>219750</v>
      </c>
      <c r="P46" s="2">
        <v>0</v>
      </c>
      <c r="Q46" s="2">
        <v>0</v>
      </c>
      <c r="R46" s="2">
        <v>219750</v>
      </c>
      <c r="S46" s="343">
        <v>99</v>
      </c>
      <c r="T46" s="71">
        <v>6.1616161616161618</v>
      </c>
      <c r="U46" s="2">
        <v>1354015.1515151516</v>
      </c>
    </row>
    <row r="47" spans="1:21">
      <c r="A47" s="7">
        <v>1971</v>
      </c>
      <c r="B47" s="2">
        <v>105739</v>
      </c>
      <c r="C47" s="2"/>
      <c r="D47" s="2">
        <v>105739</v>
      </c>
      <c r="E47" s="343">
        <v>87</v>
      </c>
      <c r="F47" s="71">
        <v>5.9770114942528734</v>
      </c>
      <c r="G47" s="2">
        <v>632003.2183908046</v>
      </c>
      <c r="H47" s="2">
        <v>265031</v>
      </c>
      <c r="I47" s="2"/>
      <c r="K47" s="2">
        <v>265031</v>
      </c>
      <c r="L47" s="343">
        <v>81</v>
      </c>
      <c r="M47" s="71">
        <v>7.3456790123456788</v>
      </c>
      <c r="N47" s="2">
        <v>1946832.6543209876</v>
      </c>
      <c r="O47" s="2">
        <v>245642</v>
      </c>
      <c r="P47" s="2"/>
      <c r="Q47" s="2"/>
      <c r="R47" s="2">
        <v>245642</v>
      </c>
      <c r="S47" s="343">
        <v>98</v>
      </c>
      <c r="T47" s="71">
        <v>6.2244897959183669</v>
      </c>
      <c r="U47" s="2">
        <v>1528996.1224489794</v>
      </c>
    </row>
    <row r="48" spans="1:21">
      <c r="A48" s="7">
        <v>1970</v>
      </c>
      <c r="B48" s="2">
        <v>396</v>
      </c>
      <c r="C48" s="2"/>
      <c r="D48" s="2">
        <v>396</v>
      </c>
      <c r="E48" s="343">
        <v>82</v>
      </c>
      <c r="F48" s="71">
        <v>6.3414634146341466</v>
      </c>
      <c r="G48" s="2">
        <v>2511.2195121951222</v>
      </c>
      <c r="H48" s="2">
        <v>191536</v>
      </c>
      <c r="I48" s="2"/>
      <c r="J48" s="2" t="s">
        <v>28</v>
      </c>
      <c r="K48" s="2">
        <v>199021</v>
      </c>
      <c r="L48" s="343">
        <v>76</v>
      </c>
      <c r="M48" s="71">
        <v>7.8289473684210522</v>
      </c>
      <c r="N48" s="2">
        <v>1558124.9342105263</v>
      </c>
      <c r="O48" s="2">
        <v>158454</v>
      </c>
      <c r="P48" s="2"/>
      <c r="Q48" s="2" t="s">
        <v>29</v>
      </c>
      <c r="R48" s="2">
        <v>162257</v>
      </c>
      <c r="S48" s="343">
        <v>89</v>
      </c>
      <c r="T48" s="71">
        <v>6.8539325842696632</v>
      </c>
      <c r="U48" s="2">
        <v>1112098.5393258426</v>
      </c>
    </row>
    <row r="49" spans="1:21">
      <c r="A49" s="7">
        <v>1969</v>
      </c>
      <c r="B49" s="2">
        <v>3398</v>
      </c>
      <c r="C49" s="2"/>
      <c r="D49" s="2">
        <v>3398</v>
      </c>
      <c r="E49" s="343">
        <v>78</v>
      </c>
      <c r="F49" s="71">
        <v>6.666666666666667</v>
      </c>
      <c r="G49" s="2">
        <v>22653.333333333336</v>
      </c>
      <c r="H49" s="2">
        <v>239885</v>
      </c>
      <c r="I49" s="2"/>
      <c r="J49" s="2" t="s">
        <v>31</v>
      </c>
      <c r="K49" s="2">
        <v>241771</v>
      </c>
      <c r="L49" s="343">
        <v>69</v>
      </c>
      <c r="M49" s="71">
        <v>8.6231884057971016</v>
      </c>
      <c r="N49" s="2">
        <v>2084836.884057971</v>
      </c>
      <c r="O49" s="2">
        <v>157735</v>
      </c>
      <c r="P49" s="2"/>
      <c r="Q49" s="2" t="s">
        <v>32</v>
      </c>
      <c r="R49" s="2">
        <v>158403</v>
      </c>
      <c r="S49" s="343">
        <v>80</v>
      </c>
      <c r="T49" s="71">
        <v>7.625</v>
      </c>
      <c r="U49" s="2">
        <v>1207822.875</v>
      </c>
    </row>
    <row r="50" spans="1:21">
      <c r="A50" s="7">
        <v>1968</v>
      </c>
      <c r="B50" s="2">
        <v>0</v>
      </c>
      <c r="C50" s="2"/>
      <c r="D50" s="2">
        <v>0</v>
      </c>
      <c r="E50" s="343">
        <v>74</v>
      </c>
      <c r="F50" s="71">
        <v>7.0270270270270272</v>
      </c>
      <c r="G50" s="2">
        <v>0</v>
      </c>
      <c r="H50" s="2">
        <v>314880</v>
      </c>
      <c r="I50" s="2"/>
      <c r="J50" s="2"/>
      <c r="K50" s="2">
        <v>314880</v>
      </c>
      <c r="L50" s="343">
        <v>65</v>
      </c>
      <c r="M50" s="71">
        <v>9.1538461538461533</v>
      </c>
      <c r="N50" s="2">
        <v>2882363.0769230765</v>
      </c>
      <c r="O50" s="2">
        <v>404495</v>
      </c>
      <c r="P50" s="2"/>
      <c r="Q50" s="2" t="s">
        <v>0</v>
      </c>
      <c r="R50" s="2">
        <v>409707</v>
      </c>
      <c r="S50" s="343">
        <v>73</v>
      </c>
      <c r="T50" s="71">
        <v>8.3561643835616444</v>
      </c>
      <c r="U50" s="2">
        <v>3423579.0410958906</v>
      </c>
    </row>
    <row r="51" spans="1:21">
      <c r="A51" s="7">
        <v>1967</v>
      </c>
      <c r="B51" s="2">
        <v>0</v>
      </c>
      <c r="C51" s="2"/>
      <c r="D51" s="2">
        <v>0</v>
      </c>
      <c r="E51" s="343">
        <v>71</v>
      </c>
      <c r="F51" s="71">
        <v>7.323943661971831</v>
      </c>
      <c r="G51" s="2">
        <v>0</v>
      </c>
      <c r="H51" s="2">
        <v>165067</v>
      </c>
      <c r="I51" s="2"/>
      <c r="J51" s="2"/>
      <c r="K51" s="2">
        <v>165067</v>
      </c>
      <c r="L51" s="343">
        <v>63</v>
      </c>
      <c r="M51" s="71">
        <v>9.4444444444444446</v>
      </c>
      <c r="N51" s="2">
        <v>1558966.1111111112</v>
      </c>
      <c r="O51" s="2">
        <v>105001</v>
      </c>
      <c r="P51" s="2"/>
      <c r="Q51" s="2"/>
      <c r="R51" s="2">
        <v>105001</v>
      </c>
      <c r="S51" s="343">
        <v>73</v>
      </c>
      <c r="T51" s="71">
        <v>8.3561643835616444</v>
      </c>
      <c r="U51" s="2">
        <v>877405.61643835623</v>
      </c>
    </row>
    <row r="52" spans="1:21">
      <c r="A52" s="7">
        <v>1966</v>
      </c>
      <c r="B52" s="2">
        <v>0</v>
      </c>
      <c r="C52" s="2"/>
      <c r="D52" s="2">
        <v>0</v>
      </c>
      <c r="E52" s="343">
        <v>67</v>
      </c>
      <c r="F52" s="71">
        <v>7.7611940298507465</v>
      </c>
      <c r="G52" s="2">
        <v>0</v>
      </c>
      <c r="H52" s="2">
        <v>457172</v>
      </c>
      <c r="I52" s="2"/>
      <c r="J52" s="2"/>
      <c r="K52" s="2">
        <v>457172</v>
      </c>
      <c r="L52" s="343">
        <v>61</v>
      </c>
      <c r="M52" s="71">
        <v>9.7540983606557372</v>
      </c>
      <c r="N52" s="2">
        <v>4459300.6557377046</v>
      </c>
      <c r="O52" s="2">
        <v>446470</v>
      </c>
      <c r="P52" s="2"/>
      <c r="Q52" s="2"/>
      <c r="R52" s="2">
        <v>446470</v>
      </c>
      <c r="S52" s="343">
        <v>70</v>
      </c>
      <c r="T52" s="71">
        <v>8.7142857142857135</v>
      </c>
      <c r="U52" s="2">
        <v>3890667.1428571427</v>
      </c>
    </row>
    <row r="53" spans="1:21">
      <c r="A53" s="7">
        <v>1965</v>
      </c>
      <c r="B53" s="2">
        <v>0</v>
      </c>
      <c r="C53" s="2"/>
      <c r="D53" s="2">
        <v>0</v>
      </c>
      <c r="E53" s="343">
        <v>63</v>
      </c>
      <c r="F53" s="71">
        <v>8.2539682539682548</v>
      </c>
      <c r="G53" s="2">
        <v>0</v>
      </c>
      <c r="H53" s="2">
        <v>1058391</v>
      </c>
      <c r="I53" s="2"/>
      <c r="J53" s="2"/>
      <c r="K53" s="2">
        <v>1058391</v>
      </c>
      <c r="L53" s="343">
        <v>58</v>
      </c>
      <c r="M53" s="71">
        <v>10.258620689655173</v>
      </c>
      <c r="N53" s="2">
        <v>10857631.810344828</v>
      </c>
      <c r="O53" s="2">
        <v>1855393</v>
      </c>
      <c r="P53" s="2"/>
      <c r="Q53" s="2"/>
      <c r="R53" s="2">
        <v>1855393</v>
      </c>
      <c r="S53" s="343">
        <v>67</v>
      </c>
      <c r="T53" s="71">
        <v>9.1044776119402986</v>
      </c>
      <c r="U53" s="2">
        <v>16892384.029850747</v>
      </c>
    </row>
    <row r="54" spans="1:21">
      <c r="A54" s="7">
        <v>1964</v>
      </c>
      <c r="B54" s="2">
        <v>0</v>
      </c>
      <c r="C54" s="2"/>
      <c r="D54" s="2">
        <v>0</v>
      </c>
      <c r="E54" s="343">
        <v>61</v>
      </c>
      <c r="F54" s="71">
        <v>8.5245901639344268</v>
      </c>
      <c r="G54" s="2">
        <v>0</v>
      </c>
      <c r="H54" s="2">
        <v>118207</v>
      </c>
      <c r="I54" s="2"/>
      <c r="J54" s="2"/>
      <c r="K54" s="2">
        <v>118207</v>
      </c>
      <c r="L54" s="343">
        <v>56</v>
      </c>
      <c r="M54" s="71">
        <v>10.625</v>
      </c>
      <c r="N54" s="2">
        <v>1255949.375</v>
      </c>
      <c r="O54" s="2">
        <v>104438</v>
      </c>
      <c r="P54" s="2"/>
      <c r="Q54" s="2"/>
      <c r="R54" s="2">
        <v>104438</v>
      </c>
      <c r="S54" s="343">
        <v>64</v>
      </c>
      <c r="T54" s="71">
        <v>9.53125</v>
      </c>
      <c r="U54" s="2">
        <v>995424.6875</v>
      </c>
    </row>
    <row r="55" spans="1:21">
      <c r="A55" s="7">
        <v>1963</v>
      </c>
      <c r="B55" s="2">
        <v>12424</v>
      </c>
      <c r="C55" s="2"/>
      <c r="D55" s="2">
        <v>12424</v>
      </c>
      <c r="E55" s="343">
        <v>59</v>
      </c>
      <c r="F55" s="71">
        <v>8.8135593220338979</v>
      </c>
      <c r="G55" s="2">
        <v>109499.66101694915</v>
      </c>
      <c r="H55" s="2">
        <v>699766</v>
      </c>
      <c r="I55" s="2"/>
      <c r="J55" s="2"/>
      <c r="K55" s="2">
        <v>699766</v>
      </c>
      <c r="L55" s="343">
        <v>55</v>
      </c>
      <c r="M55" s="71">
        <v>10.818181818181818</v>
      </c>
      <c r="N55" s="2">
        <v>7570195.8181818184</v>
      </c>
      <c r="O55" s="2">
        <v>801575</v>
      </c>
      <c r="P55" s="2"/>
      <c r="Q55" s="2"/>
      <c r="R55" s="2">
        <v>801575</v>
      </c>
      <c r="S55" s="343">
        <v>61</v>
      </c>
      <c r="T55" s="71">
        <v>10</v>
      </c>
      <c r="U55" s="2">
        <v>8015750</v>
      </c>
    </row>
    <row r="56" spans="1:21">
      <c r="A56" s="7">
        <v>1962</v>
      </c>
      <c r="B56" s="2">
        <v>25900</v>
      </c>
      <c r="C56" s="2"/>
      <c r="D56" s="2">
        <v>25900</v>
      </c>
      <c r="E56" s="343">
        <v>57</v>
      </c>
      <c r="F56" s="71">
        <v>9.1228070175438596</v>
      </c>
      <c r="G56" s="2">
        <v>236280.70175438595</v>
      </c>
      <c r="H56" s="2">
        <v>487562</v>
      </c>
      <c r="I56" s="2"/>
      <c r="J56" s="2"/>
      <c r="K56" s="2">
        <v>487562</v>
      </c>
      <c r="L56" s="343">
        <v>54</v>
      </c>
      <c r="M56" s="71">
        <v>11.018518518518519</v>
      </c>
      <c r="N56" s="2">
        <v>5372210.9259259263</v>
      </c>
      <c r="O56" s="2">
        <v>596976</v>
      </c>
      <c r="P56" s="2"/>
      <c r="Q56" s="2"/>
      <c r="R56" s="2">
        <v>596976</v>
      </c>
      <c r="S56" s="343">
        <v>65</v>
      </c>
      <c r="T56" s="71">
        <v>9.384615384615385</v>
      </c>
      <c r="U56" s="2">
        <v>5602390.153846154</v>
      </c>
    </row>
    <row r="57" spans="1:21">
      <c r="A57" s="7">
        <v>1961</v>
      </c>
      <c r="B57" s="2">
        <v>0</v>
      </c>
      <c r="C57" s="2"/>
      <c r="D57" s="2">
        <v>0</v>
      </c>
      <c r="E57" s="343">
        <v>57</v>
      </c>
      <c r="F57" s="71">
        <v>9.1228070175438596</v>
      </c>
      <c r="G57" s="2">
        <v>0</v>
      </c>
      <c r="H57" s="2">
        <v>55777</v>
      </c>
      <c r="I57" s="2"/>
      <c r="J57" s="2"/>
      <c r="K57" s="2">
        <v>55777</v>
      </c>
      <c r="L57" s="343">
        <v>53</v>
      </c>
      <c r="M57" s="71">
        <v>11.226415094339623</v>
      </c>
      <c r="N57" s="2">
        <v>626175.7547169812</v>
      </c>
      <c r="O57" s="2">
        <v>16039</v>
      </c>
      <c r="P57" s="2"/>
      <c r="Q57" s="2"/>
      <c r="R57" s="2">
        <v>16039</v>
      </c>
      <c r="S57" s="343">
        <v>63</v>
      </c>
      <c r="T57" s="71">
        <v>9.6825396825396819</v>
      </c>
      <c r="U57" s="2">
        <v>155298.25396825396</v>
      </c>
    </row>
    <row r="58" spans="1:21">
      <c r="A58" s="7">
        <v>1960</v>
      </c>
      <c r="B58" s="2">
        <v>24247</v>
      </c>
      <c r="C58" s="2"/>
      <c r="D58" s="2">
        <v>24247</v>
      </c>
      <c r="E58" s="343">
        <v>55</v>
      </c>
      <c r="F58" s="71">
        <v>9.454545454545455</v>
      </c>
      <c r="G58" s="2">
        <v>229244.36363636365</v>
      </c>
      <c r="H58" s="2">
        <v>517443</v>
      </c>
      <c r="I58" s="2"/>
      <c r="J58" s="2"/>
      <c r="K58" s="2">
        <v>517443</v>
      </c>
      <c r="L58" s="343">
        <v>52</v>
      </c>
      <c r="M58" s="71">
        <v>11.442307692307692</v>
      </c>
      <c r="N58" s="2">
        <v>5920742.019230769</v>
      </c>
      <c r="O58" s="2">
        <v>1013807</v>
      </c>
      <c r="P58" s="2"/>
      <c r="Q58" s="2"/>
      <c r="R58" s="2">
        <v>1013807</v>
      </c>
      <c r="S58" s="343">
        <v>63</v>
      </c>
      <c r="T58" s="71">
        <v>9.6825396825396819</v>
      </c>
      <c r="U58" s="2">
        <v>9816226.5079365075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O60"/>
  <sheetViews>
    <sheetView workbookViewId="0">
      <selection activeCell="O20" sqref="O20"/>
    </sheetView>
  </sheetViews>
  <sheetFormatPr defaultRowHeight="12.75"/>
  <cols>
    <col min="2" max="2" width="10.7109375" bestFit="1" customWidth="1"/>
    <col min="3" max="3" width="15" bestFit="1" customWidth="1"/>
    <col min="4" max="4" width="5.42578125" bestFit="1" customWidth="1"/>
    <col min="5" max="5" width="10.85546875" bestFit="1" customWidth="1"/>
    <col min="6" max="6" width="5.42578125" customWidth="1"/>
    <col min="7" max="7" width="10.7109375" bestFit="1" customWidth="1"/>
    <col min="8" max="8" width="4.7109375" bestFit="1" customWidth="1"/>
    <col min="9" max="9" width="5.42578125" bestFit="1" customWidth="1"/>
    <col min="10" max="10" width="11.7109375" bestFit="1" customWidth="1"/>
    <col min="14" max="14" width="29.7109375" bestFit="1" customWidth="1"/>
    <col min="15" max="15" width="16.85546875" bestFit="1" customWidth="1"/>
  </cols>
  <sheetData>
    <row r="5" spans="1:15">
      <c r="B5" t="s">
        <v>103</v>
      </c>
      <c r="C5" s="343">
        <f>C9</f>
        <v>559</v>
      </c>
      <c r="D5" s="71"/>
      <c r="F5" t="s">
        <v>103</v>
      </c>
      <c r="G5" s="343">
        <f>H9</f>
        <v>691</v>
      </c>
      <c r="H5" s="71"/>
    </row>
    <row r="6" spans="1:15">
      <c r="B6">
        <v>361</v>
      </c>
      <c r="C6" t="s">
        <v>27</v>
      </c>
      <c r="D6" s="71"/>
      <c r="G6">
        <v>362</v>
      </c>
      <c r="H6" s="343"/>
      <c r="I6" s="71"/>
    </row>
    <row r="7" spans="1:15">
      <c r="B7" t="s">
        <v>13</v>
      </c>
      <c r="C7" s="343" t="s">
        <v>17</v>
      </c>
      <c r="D7" s="71" t="s">
        <v>121</v>
      </c>
      <c r="E7" t="s">
        <v>122</v>
      </c>
      <c r="G7" t="s">
        <v>13</v>
      </c>
      <c r="H7" s="343" t="s">
        <v>17</v>
      </c>
      <c r="I7" s="71" t="s">
        <v>121</v>
      </c>
      <c r="J7" t="s">
        <v>122</v>
      </c>
    </row>
    <row r="8" spans="1:15">
      <c r="D8" s="71"/>
      <c r="H8" s="343"/>
      <c r="I8" s="71"/>
    </row>
    <row r="9" spans="1:15">
      <c r="A9" s="128">
        <v>2012</v>
      </c>
      <c r="C9">
        <v>559</v>
      </c>
      <c r="D9" s="71"/>
      <c r="H9" s="343">
        <v>691</v>
      </c>
      <c r="I9" s="71"/>
    </row>
    <row r="10" spans="1:15">
      <c r="A10" s="128">
        <v>2010</v>
      </c>
      <c r="B10" s="344">
        <v>491801.99</v>
      </c>
      <c r="C10">
        <v>520</v>
      </c>
      <c r="D10" s="71">
        <v>1</v>
      </c>
      <c r="E10" s="344">
        <v>491801.99</v>
      </c>
      <c r="F10" s="344"/>
      <c r="G10" s="344">
        <v>6994452.9199999999</v>
      </c>
      <c r="H10" s="343">
        <v>650</v>
      </c>
      <c r="I10" s="71">
        <v>1</v>
      </c>
      <c r="J10" s="344">
        <v>6994452.9199999999</v>
      </c>
    </row>
    <row r="11" spans="1:15" ht="13.5" thickBot="1">
      <c r="A11" s="78">
        <v>2009</v>
      </c>
      <c r="B11" s="344">
        <v>1767765.23</v>
      </c>
      <c r="C11">
        <v>502</v>
      </c>
      <c r="D11" s="71">
        <v>1.0358565737051793</v>
      </c>
      <c r="E11" s="344">
        <v>1831151.2342629482</v>
      </c>
      <c r="F11" s="344"/>
      <c r="G11" s="344">
        <v>6994452.9199999999</v>
      </c>
      <c r="H11" s="343">
        <v>615</v>
      </c>
      <c r="I11" s="71">
        <v>1.056910569105691</v>
      </c>
      <c r="J11" s="344">
        <v>7392511.2162601622</v>
      </c>
      <c r="N11">
        <v>100</v>
      </c>
      <c r="O11">
        <v>100</v>
      </c>
    </row>
    <row r="12" spans="1:15" ht="13.5" thickBot="1">
      <c r="A12" s="128">
        <v>2008</v>
      </c>
      <c r="B12" s="344">
        <v>1404070.79</v>
      </c>
      <c r="C12">
        <v>517</v>
      </c>
      <c r="D12" s="71">
        <v>1.0058027079303675</v>
      </c>
      <c r="E12" s="344">
        <v>1412218.2027079305</v>
      </c>
      <c r="F12" s="344"/>
      <c r="G12" s="344">
        <v>4801316.88</v>
      </c>
      <c r="H12" s="343">
        <v>602</v>
      </c>
      <c r="I12" s="71">
        <v>1.0797342192691031</v>
      </c>
      <c r="J12" s="344">
        <v>5184146.132890366</v>
      </c>
      <c r="M12" s="14" t="s">
        <v>126</v>
      </c>
      <c r="N12" s="142" t="s">
        <v>130</v>
      </c>
      <c r="O12" s="142" t="s">
        <v>131</v>
      </c>
    </row>
    <row r="13" spans="1:15">
      <c r="A13" s="78">
        <v>2007</v>
      </c>
      <c r="B13" s="344">
        <v>612214</v>
      </c>
      <c r="C13">
        <v>498</v>
      </c>
      <c r="D13" s="71">
        <v>1.0441767068273093</v>
      </c>
      <c r="E13" s="344">
        <v>639259.59839357436</v>
      </c>
      <c r="F13" s="344"/>
      <c r="G13" s="344">
        <v>2258657</v>
      </c>
      <c r="H13" s="343">
        <v>559</v>
      </c>
      <c r="I13" s="71">
        <v>1.1627906976744187</v>
      </c>
      <c r="J13" s="344">
        <v>2626345.3488372094</v>
      </c>
      <c r="M13" s="14">
        <v>1960</v>
      </c>
      <c r="N13" s="342">
        <f>C60/C5*N11</f>
        <v>9.8389982110912353</v>
      </c>
      <c r="O13" s="342">
        <f>H60/G5*O11</f>
        <v>10.998552821997105</v>
      </c>
    </row>
    <row r="14" spans="1:15">
      <c r="A14" s="78">
        <v>2006</v>
      </c>
      <c r="B14" s="344">
        <v>-62278</v>
      </c>
      <c r="C14">
        <v>459</v>
      </c>
      <c r="D14" s="71">
        <v>1.1328976034858387</v>
      </c>
      <c r="E14" s="344">
        <v>-70554.596949891056</v>
      </c>
      <c r="F14" s="344"/>
      <c r="G14" s="344">
        <v>3435935</v>
      </c>
      <c r="H14" s="343">
        <v>506</v>
      </c>
      <c r="I14" s="71">
        <v>1.2845849802371541</v>
      </c>
      <c r="J14" s="344">
        <v>4413750.4940711455</v>
      </c>
      <c r="M14" s="14">
        <v>1970</v>
      </c>
      <c r="N14" s="342">
        <f>C50/C5*N11</f>
        <v>14.669051878354203</v>
      </c>
      <c r="O14" s="342">
        <f>H50/G5*O11</f>
        <v>13.024602026049203</v>
      </c>
    </row>
    <row r="15" spans="1:15">
      <c r="A15" s="78">
        <v>2005</v>
      </c>
      <c r="B15" s="344">
        <v>50691</v>
      </c>
      <c r="C15">
        <v>437</v>
      </c>
      <c r="D15" s="71">
        <v>1.1899313501144164</v>
      </c>
      <c r="E15" s="344">
        <v>60318.81006864988</v>
      </c>
      <c r="F15" s="344"/>
      <c r="G15" s="344">
        <v>3839563</v>
      </c>
      <c r="H15" s="343">
        <v>468</v>
      </c>
      <c r="I15" s="71">
        <v>1.3888888888888888</v>
      </c>
      <c r="J15" s="344">
        <v>5332726.388888889</v>
      </c>
      <c r="M15" s="14">
        <v>1980</v>
      </c>
      <c r="N15" s="342">
        <f>C40/C5*N11</f>
        <v>37.567084078711986</v>
      </c>
      <c r="O15" s="342">
        <f>H40/G5*O11</f>
        <v>29.522431259044861</v>
      </c>
    </row>
    <row r="16" spans="1:15">
      <c r="A16" s="78">
        <v>2004</v>
      </c>
      <c r="B16" s="344">
        <v>117185</v>
      </c>
      <c r="C16">
        <v>422</v>
      </c>
      <c r="D16" s="71">
        <v>1.2322274881516588</v>
      </c>
      <c r="E16" s="344">
        <v>144398.57819905214</v>
      </c>
      <c r="F16" s="344"/>
      <c r="G16" s="344">
        <v>3535769</v>
      </c>
      <c r="H16" s="343">
        <v>444</v>
      </c>
      <c r="I16" s="71">
        <v>1.4639639639639639</v>
      </c>
      <c r="J16" s="344">
        <v>5176238.4009009004</v>
      </c>
      <c r="M16" s="14">
        <v>1990</v>
      </c>
      <c r="N16" s="342">
        <f>C30/C5*N11</f>
        <v>51.520572450805012</v>
      </c>
      <c r="O16" s="342">
        <f>H30/G5*O11</f>
        <v>46.020260492040521</v>
      </c>
    </row>
    <row r="17" spans="1:15">
      <c r="A17" s="78">
        <v>2003</v>
      </c>
      <c r="B17" s="344">
        <v>100924</v>
      </c>
      <c r="C17">
        <v>389</v>
      </c>
      <c r="D17" s="71">
        <v>1.3367609254498716</v>
      </c>
      <c r="E17" s="344">
        <v>134911.25964010283</v>
      </c>
      <c r="F17" s="344"/>
      <c r="G17" s="344">
        <v>2230315</v>
      </c>
      <c r="H17" s="343">
        <v>387</v>
      </c>
      <c r="I17" s="71">
        <v>1.6795865633074936</v>
      </c>
      <c r="J17" s="344">
        <v>3746007.1059431527</v>
      </c>
      <c r="M17" s="14">
        <v>2000</v>
      </c>
      <c r="N17" s="342">
        <f>C20/C5*N11</f>
        <v>65.83184257602862</v>
      </c>
      <c r="O17" s="342">
        <f>H20/G5*O11</f>
        <v>54.848046309696095</v>
      </c>
    </row>
    <row r="18" spans="1:15">
      <c r="A18" s="78">
        <v>2002</v>
      </c>
      <c r="B18" s="344">
        <v>534923</v>
      </c>
      <c r="C18">
        <v>385</v>
      </c>
      <c r="D18" s="71">
        <v>1.3506493506493507</v>
      </c>
      <c r="E18" s="344">
        <v>722493.40259740257</v>
      </c>
      <c r="F18" s="344"/>
      <c r="G18" s="344">
        <v>1563989</v>
      </c>
      <c r="H18" s="343">
        <v>383</v>
      </c>
      <c r="I18" s="71">
        <v>1.6971279373368147</v>
      </c>
      <c r="J18" s="344">
        <v>2654289.4255874674</v>
      </c>
      <c r="M18" s="14">
        <v>2010</v>
      </c>
      <c r="N18" s="342">
        <f>C10/C5*N11</f>
        <v>93.023255813953483</v>
      </c>
      <c r="O18" s="342">
        <f>H10/G5*O11</f>
        <v>94.066570188133142</v>
      </c>
    </row>
    <row r="19" spans="1:15">
      <c r="A19" s="78">
        <v>2001</v>
      </c>
      <c r="B19" s="344">
        <v>378100</v>
      </c>
      <c r="C19">
        <v>377</v>
      </c>
      <c r="D19" s="71">
        <v>1.3793103448275863</v>
      </c>
      <c r="E19" s="344">
        <v>521517.24137931038</v>
      </c>
      <c r="F19" s="344"/>
      <c r="G19" s="344">
        <v>3563970</v>
      </c>
      <c r="H19" s="343">
        <v>383</v>
      </c>
      <c r="I19" s="71">
        <v>1.6971279373368147</v>
      </c>
      <c r="J19" s="344">
        <v>6048513.0548302876</v>
      </c>
      <c r="M19" s="14">
        <v>2012</v>
      </c>
      <c r="N19" s="342">
        <f>C9/C5*N11</f>
        <v>100</v>
      </c>
      <c r="O19" s="342">
        <f>H9/G5*O11</f>
        <v>100</v>
      </c>
    </row>
    <row r="20" spans="1:15">
      <c r="A20" s="56">
        <v>2000</v>
      </c>
      <c r="B20" s="72">
        <v>254395</v>
      </c>
      <c r="C20">
        <v>368</v>
      </c>
      <c r="D20" s="71">
        <v>1.4130434782608696</v>
      </c>
      <c r="E20" s="2">
        <v>359471.19565217395</v>
      </c>
      <c r="F20" s="2"/>
      <c r="G20" s="72">
        <v>3463796</v>
      </c>
      <c r="H20" s="343">
        <v>379</v>
      </c>
      <c r="I20" s="71">
        <v>1.7150395778364116</v>
      </c>
      <c r="J20" s="2">
        <v>5940547.2295514513</v>
      </c>
    </row>
    <row r="21" spans="1:15">
      <c r="A21" s="56">
        <v>1999</v>
      </c>
      <c r="B21" s="72">
        <v>1547828</v>
      </c>
      <c r="C21">
        <v>354</v>
      </c>
      <c r="D21" s="71">
        <v>1.4689265536723164</v>
      </c>
      <c r="E21" s="2">
        <v>2273645.6497175139</v>
      </c>
      <c r="F21" s="2"/>
      <c r="G21" s="72">
        <v>4813979</v>
      </c>
      <c r="H21" s="343">
        <v>375</v>
      </c>
      <c r="I21" s="71">
        <v>1.7333333333333334</v>
      </c>
      <c r="J21" s="2">
        <v>8344230.2666666666</v>
      </c>
    </row>
    <row r="22" spans="1:15">
      <c r="A22" s="56">
        <v>1998</v>
      </c>
      <c r="B22" s="72">
        <v>153069</v>
      </c>
      <c r="C22">
        <v>347</v>
      </c>
      <c r="D22" s="71">
        <v>1.4985590778097984</v>
      </c>
      <c r="E22" s="2">
        <v>229382.93948126803</v>
      </c>
      <c r="F22" s="2"/>
      <c r="G22" s="72">
        <v>2996249</v>
      </c>
      <c r="H22" s="343">
        <v>372</v>
      </c>
      <c r="I22" s="71">
        <v>1.7473118279569892</v>
      </c>
      <c r="J22" s="2">
        <v>5235381.3172043012</v>
      </c>
    </row>
    <row r="23" spans="1:15">
      <c r="A23" s="56">
        <v>1997</v>
      </c>
      <c r="B23" s="72">
        <v>250540</v>
      </c>
      <c r="C23">
        <v>341</v>
      </c>
      <c r="D23" s="71">
        <v>1.5249266862170088</v>
      </c>
      <c r="E23" s="2">
        <v>382055.13196480938</v>
      </c>
      <c r="F23" s="2"/>
      <c r="G23" s="72">
        <v>1986340</v>
      </c>
      <c r="H23" s="343">
        <v>357</v>
      </c>
      <c r="I23" s="71">
        <v>1.8207282913165266</v>
      </c>
      <c r="J23" s="2">
        <v>3616585.4341736692</v>
      </c>
    </row>
    <row r="24" spans="1:15">
      <c r="A24" s="56">
        <v>1996</v>
      </c>
      <c r="B24" s="72">
        <v>120370</v>
      </c>
      <c r="C24">
        <v>333</v>
      </c>
      <c r="D24" s="71">
        <v>1.5615615615615615</v>
      </c>
      <c r="E24" s="2">
        <v>187965.16516516515</v>
      </c>
      <c r="F24" s="2"/>
      <c r="G24" s="72">
        <v>1115091</v>
      </c>
      <c r="H24" s="343">
        <v>352</v>
      </c>
      <c r="I24" s="71">
        <v>1.8465909090909092</v>
      </c>
      <c r="J24" s="2">
        <v>2059116.9034090911</v>
      </c>
    </row>
    <row r="25" spans="1:15">
      <c r="A25" s="56">
        <v>1995</v>
      </c>
      <c r="B25" s="72">
        <v>499943</v>
      </c>
      <c r="C25">
        <v>322</v>
      </c>
      <c r="D25" s="71">
        <v>1.6149068322981366</v>
      </c>
      <c r="E25" s="2">
        <v>807361.36645962729</v>
      </c>
      <c r="F25" s="2"/>
      <c r="G25" s="72">
        <v>4250720</v>
      </c>
      <c r="H25" s="343">
        <v>354</v>
      </c>
      <c r="I25" s="71">
        <v>1.8361581920903955</v>
      </c>
      <c r="J25" s="2">
        <v>7804994.3502824865</v>
      </c>
    </row>
    <row r="26" spans="1:15">
      <c r="A26" s="56">
        <v>1994</v>
      </c>
      <c r="B26" s="72">
        <v>92183</v>
      </c>
      <c r="C26">
        <v>312</v>
      </c>
      <c r="D26" s="71">
        <v>1.6666666666666667</v>
      </c>
      <c r="E26" s="2">
        <v>153638.33333333334</v>
      </c>
      <c r="F26" s="2"/>
      <c r="G26" s="72">
        <v>1064181</v>
      </c>
      <c r="H26" s="343">
        <v>337</v>
      </c>
      <c r="I26" s="71">
        <v>1.9287833827893175</v>
      </c>
      <c r="J26" s="2">
        <v>2052574.6290801186</v>
      </c>
    </row>
    <row r="27" spans="1:15">
      <c r="A27" s="7">
        <v>1993</v>
      </c>
      <c r="B27" s="2">
        <v>33650</v>
      </c>
      <c r="C27">
        <v>296</v>
      </c>
      <c r="D27" s="71">
        <v>1.7567567567567568</v>
      </c>
      <c r="E27" s="2">
        <v>59114.864864864867</v>
      </c>
      <c r="F27" s="2"/>
      <c r="G27" s="2">
        <v>400059</v>
      </c>
      <c r="H27" s="343">
        <v>328</v>
      </c>
      <c r="I27" s="71">
        <v>1.9817073170731707</v>
      </c>
      <c r="J27" s="2">
        <v>792799.84756097558</v>
      </c>
    </row>
    <row r="28" spans="1:15">
      <c r="A28" s="7">
        <v>1992</v>
      </c>
      <c r="B28" s="2">
        <v>318416</v>
      </c>
      <c r="C28">
        <v>284</v>
      </c>
      <c r="D28" s="71">
        <v>1.8309859154929577</v>
      </c>
      <c r="E28" s="2">
        <v>583015.21126760566</v>
      </c>
      <c r="F28" s="2"/>
      <c r="G28" s="2">
        <v>2739369</v>
      </c>
      <c r="H28" s="343">
        <v>323</v>
      </c>
      <c r="I28" s="71">
        <v>2.0123839009287927</v>
      </c>
      <c r="J28" s="2">
        <v>5512662.0743034063</v>
      </c>
    </row>
    <row r="29" spans="1:15">
      <c r="A29" s="7">
        <v>1991</v>
      </c>
      <c r="B29" s="2">
        <v>319025</v>
      </c>
      <c r="C29">
        <v>281</v>
      </c>
      <c r="D29" s="71">
        <v>1.8505338078291815</v>
      </c>
      <c r="E29" s="2">
        <v>590366.54804270458</v>
      </c>
      <c r="F29" s="2"/>
      <c r="G29" s="2">
        <v>2794805</v>
      </c>
      <c r="H29" s="343">
        <v>320</v>
      </c>
      <c r="I29" s="71">
        <v>2.03125</v>
      </c>
      <c r="J29" s="2">
        <v>5676947.65625</v>
      </c>
    </row>
    <row r="30" spans="1:15">
      <c r="A30" s="7">
        <v>1990</v>
      </c>
      <c r="B30" s="2">
        <v>27269</v>
      </c>
      <c r="C30">
        <v>288</v>
      </c>
      <c r="D30" s="71">
        <v>1.8055555555555556</v>
      </c>
      <c r="E30" s="2">
        <v>49235.694444444445</v>
      </c>
      <c r="F30" s="2"/>
      <c r="G30" s="2">
        <v>1017823</v>
      </c>
      <c r="H30" s="343">
        <v>318</v>
      </c>
      <c r="I30" s="71">
        <v>2.0440251572327046</v>
      </c>
      <c r="J30" s="2">
        <v>2080455.8176100631</v>
      </c>
    </row>
    <row r="31" spans="1:15">
      <c r="A31" s="7">
        <v>1989</v>
      </c>
      <c r="B31" s="2">
        <v>173157</v>
      </c>
      <c r="C31">
        <v>287</v>
      </c>
      <c r="D31" s="71">
        <v>1.8118466898954704</v>
      </c>
      <c r="E31" s="2">
        <v>313733.93728222995</v>
      </c>
      <c r="F31" s="2"/>
      <c r="G31" s="2">
        <v>912440</v>
      </c>
      <c r="H31" s="343">
        <v>297</v>
      </c>
      <c r="I31" s="71">
        <v>2.1885521885521886</v>
      </c>
      <c r="J31" s="2">
        <v>1996922.558922559</v>
      </c>
    </row>
    <row r="32" spans="1:15">
      <c r="A32" s="7">
        <v>1988</v>
      </c>
      <c r="B32" s="2">
        <v>179791</v>
      </c>
      <c r="C32">
        <v>278</v>
      </c>
      <c r="D32" s="71">
        <v>1.8705035971223021</v>
      </c>
      <c r="E32" s="2">
        <v>336299.71223021584</v>
      </c>
      <c r="F32" s="2"/>
      <c r="G32" s="2">
        <v>1016019</v>
      </c>
      <c r="H32" s="343">
        <v>276</v>
      </c>
      <c r="I32" s="71">
        <v>2.3550724637681157</v>
      </c>
      <c r="J32" s="2">
        <v>2392798.3695652173</v>
      </c>
    </row>
    <row r="33" spans="1:10">
      <c r="A33" s="7">
        <v>1987</v>
      </c>
      <c r="B33" s="2">
        <v>715694</v>
      </c>
      <c r="C33">
        <v>267</v>
      </c>
      <c r="D33" s="71">
        <v>1.9475655430711611</v>
      </c>
      <c r="E33" s="2">
        <v>1393860.9737827715</v>
      </c>
      <c r="F33" s="2"/>
      <c r="G33" s="2">
        <v>2123445</v>
      </c>
      <c r="H33" s="343">
        <v>253</v>
      </c>
      <c r="I33" s="71">
        <v>2.5691699604743081</v>
      </c>
      <c r="J33" s="2">
        <v>5455491.1067193672</v>
      </c>
    </row>
    <row r="34" spans="1:10">
      <c r="A34" s="7">
        <v>1986</v>
      </c>
      <c r="B34" s="2">
        <v>52833</v>
      </c>
      <c r="C34">
        <v>261</v>
      </c>
      <c r="D34" s="71">
        <v>1.9923371647509578</v>
      </c>
      <c r="E34" s="2">
        <v>105261.14942528735</v>
      </c>
      <c r="F34" s="2"/>
      <c r="G34" s="2">
        <v>1144689</v>
      </c>
      <c r="H34" s="343">
        <v>246</v>
      </c>
      <c r="I34" s="71">
        <v>2.6422764227642275</v>
      </c>
      <c r="J34" s="2">
        <v>3024584.7560975607</v>
      </c>
    </row>
    <row r="35" spans="1:10">
      <c r="A35" s="7">
        <v>1985</v>
      </c>
      <c r="B35" s="2">
        <v>367612</v>
      </c>
      <c r="C35">
        <v>256</v>
      </c>
      <c r="D35" s="71">
        <v>2.03125</v>
      </c>
      <c r="E35" s="2">
        <v>746711.875</v>
      </c>
      <c r="F35" s="2"/>
      <c r="G35" s="2">
        <v>1492489</v>
      </c>
      <c r="H35" s="343">
        <v>244</v>
      </c>
      <c r="I35" s="71">
        <v>2.6639344262295084</v>
      </c>
      <c r="J35" s="2">
        <v>3975892.8278688528</v>
      </c>
    </row>
    <row r="36" spans="1:10">
      <c r="A36" s="7">
        <v>1984</v>
      </c>
      <c r="B36" s="2">
        <v>66465</v>
      </c>
      <c r="C36">
        <v>247</v>
      </c>
      <c r="D36" s="71">
        <v>2.1052631578947367</v>
      </c>
      <c r="E36" s="2">
        <v>139926.31578947368</v>
      </c>
      <c r="F36" s="2"/>
      <c r="G36" s="2">
        <v>215824</v>
      </c>
      <c r="H36" s="343">
        <v>244</v>
      </c>
      <c r="I36" s="71">
        <v>2.6639344262295084</v>
      </c>
      <c r="J36" s="2">
        <v>574940.98360655736</v>
      </c>
    </row>
    <row r="37" spans="1:10">
      <c r="A37" s="7">
        <v>1983</v>
      </c>
      <c r="B37" s="2">
        <v>385912</v>
      </c>
      <c r="C37">
        <v>234</v>
      </c>
      <c r="D37" s="71">
        <v>2.2222222222222223</v>
      </c>
      <c r="E37" s="2">
        <v>857582.22222222225</v>
      </c>
      <c r="F37" s="2"/>
      <c r="G37" s="2">
        <v>1513354</v>
      </c>
      <c r="H37" s="343">
        <v>243</v>
      </c>
      <c r="I37" s="71">
        <v>2.6748971193415638</v>
      </c>
      <c r="J37" s="2">
        <v>4048066.2551440331</v>
      </c>
    </row>
    <row r="38" spans="1:10">
      <c r="A38" s="7">
        <v>1982</v>
      </c>
      <c r="B38" s="2">
        <v>683031</v>
      </c>
      <c r="C38">
        <v>229</v>
      </c>
      <c r="D38" s="71">
        <v>2.2707423580786026</v>
      </c>
      <c r="E38" s="2">
        <v>1550987.423580786</v>
      </c>
      <c r="F38" s="2"/>
      <c r="G38" s="2">
        <v>2656849</v>
      </c>
      <c r="H38" s="343">
        <v>241</v>
      </c>
      <c r="I38" s="71">
        <v>2.6970954356846475</v>
      </c>
      <c r="J38" s="2">
        <v>7165775.3112033196</v>
      </c>
    </row>
    <row r="39" spans="1:10">
      <c r="A39" s="7">
        <v>1981</v>
      </c>
      <c r="B39" s="2">
        <v>116056</v>
      </c>
      <c r="C39">
        <v>225</v>
      </c>
      <c r="D39" s="71">
        <v>2.3111111111111109</v>
      </c>
      <c r="E39" s="2">
        <v>268218.31111111108</v>
      </c>
      <c r="F39" s="2"/>
      <c r="G39" s="2">
        <v>3080714</v>
      </c>
      <c r="H39" s="343">
        <v>223</v>
      </c>
      <c r="I39" s="71">
        <v>2.9147982062780269</v>
      </c>
      <c r="J39" s="2">
        <v>8979659.641255606</v>
      </c>
    </row>
    <row r="40" spans="1:10">
      <c r="A40" s="7">
        <v>1980</v>
      </c>
      <c r="B40" s="2">
        <v>836679</v>
      </c>
      <c r="C40">
        <v>210</v>
      </c>
      <c r="D40" s="71">
        <v>2.4761904761904763</v>
      </c>
      <c r="E40" s="2">
        <v>2071776.5714285716</v>
      </c>
      <c r="F40" s="2"/>
      <c r="G40" s="2">
        <v>3419406</v>
      </c>
      <c r="H40" s="343">
        <v>204</v>
      </c>
      <c r="I40" s="71">
        <v>3.1862745098039214</v>
      </c>
      <c r="J40" s="2">
        <v>10895166.176470587</v>
      </c>
    </row>
    <row r="41" spans="1:10">
      <c r="A41" s="7">
        <v>1979</v>
      </c>
      <c r="B41" s="2">
        <v>154633</v>
      </c>
      <c r="C41">
        <v>187</v>
      </c>
      <c r="D41" s="71">
        <v>2.7807486631016043</v>
      </c>
      <c r="E41" s="2">
        <v>429995.50802139036</v>
      </c>
      <c r="F41" s="2"/>
      <c r="G41" s="2">
        <v>2635887</v>
      </c>
      <c r="H41" s="343">
        <v>187</v>
      </c>
      <c r="I41" s="71">
        <v>3.4759358288770055</v>
      </c>
      <c r="J41" s="2">
        <v>9162174.0641711242</v>
      </c>
    </row>
    <row r="42" spans="1:10">
      <c r="A42" s="7">
        <v>1978</v>
      </c>
      <c r="B42" s="2">
        <v>140592</v>
      </c>
      <c r="C42">
        <v>169</v>
      </c>
      <c r="D42" s="71">
        <v>3.0769230769230771</v>
      </c>
      <c r="E42" s="2">
        <v>432590.76923076925</v>
      </c>
      <c r="F42" s="2"/>
      <c r="G42" s="2">
        <v>2264233</v>
      </c>
      <c r="H42" s="343">
        <v>175</v>
      </c>
      <c r="I42" s="71">
        <v>3.7142857142857144</v>
      </c>
      <c r="J42" s="2">
        <v>8410008.2857142854</v>
      </c>
    </row>
    <row r="43" spans="1:10">
      <c r="A43" s="7">
        <v>1977</v>
      </c>
      <c r="B43" s="2">
        <v>84939</v>
      </c>
      <c r="C43">
        <v>155</v>
      </c>
      <c r="D43" s="71">
        <v>3.3548387096774195</v>
      </c>
      <c r="E43" s="2">
        <v>284956.64516129036</v>
      </c>
      <c r="F43" s="2"/>
      <c r="G43" s="2">
        <v>1726615</v>
      </c>
      <c r="H43" s="343">
        <v>164</v>
      </c>
      <c r="I43" s="71">
        <v>3.9634146341463414</v>
      </c>
      <c r="J43" s="2">
        <v>6843291.158536585</v>
      </c>
    </row>
    <row r="44" spans="1:10">
      <c r="A44" s="7">
        <v>1976</v>
      </c>
      <c r="B44" s="2">
        <v>357731</v>
      </c>
      <c r="C44">
        <v>149</v>
      </c>
      <c r="D44" s="71">
        <v>3.4899328859060401</v>
      </c>
      <c r="E44" s="2">
        <v>1248457.1812080536</v>
      </c>
      <c r="F44" s="2"/>
      <c r="G44" s="2">
        <v>1647026</v>
      </c>
      <c r="H44" s="343">
        <v>150</v>
      </c>
      <c r="I44" s="71">
        <v>4.333333333333333</v>
      </c>
      <c r="J44" s="2">
        <v>7137112.666666666</v>
      </c>
    </row>
    <row r="45" spans="1:10">
      <c r="A45" s="7">
        <v>1975</v>
      </c>
      <c r="B45" s="2">
        <v>322752</v>
      </c>
      <c r="C45">
        <v>145</v>
      </c>
      <c r="D45" s="71">
        <v>3.5862068965517242</v>
      </c>
      <c r="E45" s="2">
        <v>1157455.448275862</v>
      </c>
      <c r="F45" s="2"/>
      <c r="G45" s="2">
        <v>1869744</v>
      </c>
      <c r="H45" s="343">
        <v>142</v>
      </c>
      <c r="I45" s="71">
        <v>4.577464788732394</v>
      </c>
      <c r="J45" s="2">
        <v>8558687.3239436615</v>
      </c>
    </row>
    <row r="46" spans="1:10">
      <c r="A46" s="7">
        <v>1974</v>
      </c>
      <c r="B46" s="2">
        <v>84185</v>
      </c>
      <c r="C46">
        <v>123</v>
      </c>
      <c r="D46" s="71">
        <v>4.2276422764227641</v>
      </c>
      <c r="E46" s="2">
        <v>355904.06504065037</v>
      </c>
      <c r="F46" s="2"/>
      <c r="G46" s="2">
        <v>940704</v>
      </c>
      <c r="H46" s="343">
        <v>123</v>
      </c>
      <c r="I46" s="71">
        <v>5.2845528455284549</v>
      </c>
      <c r="J46" s="2">
        <v>4971200</v>
      </c>
    </row>
    <row r="47" spans="1:10">
      <c r="A47" s="7">
        <v>1973</v>
      </c>
      <c r="B47" s="2">
        <v>49108</v>
      </c>
      <c r="C47">
        <v>100</v>
      </c>
      <c r="D47" s="71">
        <v>5.2</v>
      </c>
      <c r="E47" s="2">
        <v>255361.6</v>
      </c>
      <c r="F47" s="2"/>
      <c r="G47" s="2">
        <v>483708</v>
      </c>
      <c r="H47" s="343">
        <v>100</v>
      </c>
      <c r="I47" s="71">
        <v>6.5</v>
      </c>
      <c r="J47" s="2">
        <v>3144102</v>
      </c>
    </row>
    <row r="48" spans="1:10">
      <c r="A48" s="7">
        <v>1972</v>
      </c>
      <c r="B48" s="2">
        <v>52419</v>
      </c>
      <c r="C48">
        <v>92</v>
      </c>
      <c r="D48" s="71">
        <v>5.6521739130434785</v>
      </c>
      <c r="E48" s="2">
        <v>296281.30434782611</v>
      </c>
      <c r="F48" s="2"/>
      <c r="G48" s="2">
        <v>510086</v>
      </c>
      <c r="H48" s="343">
        <v>93</v>
      </c>
      <c r="I48" s="71">
        <v>6.989247311827957</v>
      </c>
      <c r="J48" s="2">
        <v>3565117.2043010751</v>
      </c>
    </row>
    <row r="49" spans="1:10">
      <c r="A49" s="7">
        <v>1971</v>
      </c>
      <c r="B49" s="2">
        <v>30450</v>
      </c>
      <c r="C49">
        <v>87</v>
      </c>
      <c r="D49" s="71">
        <v>5.9770114942528734</v>
      </c>
      <c r="E49" s="2">
        <v>182000</v>
      </c>
      <c r="F49" s="2"/>
      <c r="G49" s="2">
        <v>258554</v>
      </c>
      <c r="H49" s="343">
        <v>90</v>
      </c>
      <c r="I49" s="71">
        <v>7.2222222222222223</v>
      </c>
      <c r="J49" s="2">
        <v>1867334.4444444445</v>
      </c>
    </row>
    <row r="50" spans="1:10">
      <c r="A50" s="7">
        <v>1970</v>
      </c>
      <c r="B50" s="2">
        <v>29475</v>
      </c>
      <c r="C50">
        <v>82</v>
      </c>
      <c r="D50" s="71">
        <v>6.3414634146341466</v>
      </c>
      <c r="E50" s="2">
        <v>186914.63414634147</v>
      </c>
      <c r="F50" s="2"/>
      <c r="G50" s="2">
        <v>540779</v>
      </c>
      <c r="H50" s="343">
        <v>90</v>
      </c>
      <c r="I50" s="71">
        <v>7.2222222222222223</v>
      </c>
      <c r="J50" s="2">
        <v>3905626.111111111</v>
      </c>
    </row>
    <row r="51" spans="1:10">
      <c r="A51" s="7">
        <v>1969</v>
      </c>
      <c r="B51" s="2">
        <v>15091</v>
      </c>
      <c r="C51">
        <v>78</v>
      </c>
      <c r="D51" s="71">
        <v>6.666666666666667</v>
      </c>
      <c r="E51" s="2">
        <v>100606.66666666667</v>
      </c>
      <c r="F51" s="2"/>
      <c r="G51" s="2">
        <v>283268</v>
      </c>
      <c r="H51" s="343">
        <v>87</v>
      </c>
      <c r="I51" s="71">
        <v>7.4712643678160919</v>
      </c>
      <c r="J51" s="2">
        <v>2116370.1149425288</v>
      </c>
    </row>
    <row r="52" spans="1:10">
      <c r="A52" s="7">
        <v>1968</v>
      </c>
      <c r="B52" s="2">
        <v>37085</v>
      </c>
      <c r="C52">
        <v>74</v>
      </c>
      <c r="D52" s="71">
        <v>7.0270270270270272</v>
      </c>
      <c r="E52" s="2">
        <v>260597.29729729731</v>
      </c>
      <c r="F52" s="2"/>
      <c r="G52" s="2">
        <v>516197</v>
      </c>
      <c r="H52" s="343">
        <v>84</v>
      </c>
      <c r="I52" s="71">
        <v>7.7380952380952381</v>
      </c>
      <c r="J52" s="2">
        <v>3994381.5476190476</v>
      </c>
    </row>
    <row r="53" spans="1:10">
      <c r="A53" s="7">
        <v>1967</v>
      </c>
      <c r="B53" s="2">
        <v>31519</v>
      </c>
      <c r="C53">
        <v>71</v>
      </c>
      <c r="D53" s="71">
        <v>7.323943661971831</v>
      </c>
      <c r="E53" s="2">
        <v>230843.38028169013</v>
      </c>
      <c r="F53" s="2"/>
      <c r="G53" s="2">
        <v>394160</v>
      </c>
      <c r="H53" s="343">
        <v>81</v>
      </c>
      <c r="I53" s="71">
        <v>8.0246913580246915</v>
      </c>
      <c r="J53" s="2">
        <v>3163012.3456790126</v>
      </c>
    </row>
    <row r="54" spans="1:10">
      <c r="A54" s="7">
        <v>1966</v>
      </c>
      <c r="B54" s="2">
        <v>29488</v>
      </c>
      <c r="C54">
        <v>67</v>
      </c>
      <c r="D54" s="71">
        <v>7.7611940298507465</v>
      </c>
      <c r="E54" s="2">
        <v>228862.08955223882</v>
      </c>
      <c r="F54" s="2"/>
      <c r="G54" s="2">
        <v>166574</v>
      </c>
      <c r="H54" s="343">
        <v>77</v>
      </c>
      <c r="I54" s="71">
        <v>8.4415584415584419</v>
      </c>
      <c r="J54" s="2">
        <v>1406144.1558441559</v>
      </c>
    </row>
    <row r="55" spans="1:10">
      <c r="A55" s="7">
        <v>1965</v>
      </c>
      <c r="B55" s="2">
        <v>20054</v>
      </c>
      <c r="C55">
        <v>63</v>
      </c>
      <c r="D55" s="71">
        <v>8.2539682539682548</v>
      </c>
      <c r="E55" s="2">
        <v>165525.07936507938</v>
      </c>
      <c r="F55" s="2"/>
      <c r="G55" s="2">
        <v>320682</v>
      </c>
      <c r="H55" s="343">
        <v>75</v>
      </c>
      <c r="I55" s="71">
        <v>8.6666666666666661</v>
      </c>
      <c r="J55" s="2">
        <v>2779244</v>
      </c>
    </row>
    <row r="56" spans="1:10">
      <c r="A56" s="7">
        <v>1964</v>
      </c>
      <c r="B56" s="2">
        <v>1473</v>
      </c>
      <c r="C56">
        <v>61</v>
      </c>
      <c r="D56" s="71">
        <v>8.5245901639344268</v>
      </c>
      <c r="E56" s="2">
        <v>12556.72131147541</v>
      </c>
      <c r="F56" s="2"/>
      <c r="G56" s="2">
        <v>68423</v>
      </c>
      <c r="H56" s="343">
        <v>73</v>
      </c>
      <c r="I56" s="71">
        <v>8.9041095890410951</v>
      </c>
      <c r="J56" s="2">
        <v>609245.89041095879</v>
      </c>
    </row>
    <row r="57" spans="1:10">
      <c r="A57" s="7">
        <v>1963</v>
      </c>
      <c r="B57" s="2">
        <v>6538</v>
      </c>
      <c r="C57">
        <v>59</v>
      </c>
      <c r="D57" s="71">
        <v>8.8135593220338979</v>
      </c>
      <c r="E57" s="2">
        <v>57623.050847457627</v>
      </c>
      <c r="F57" s="2"/>
      <c r="G57" s="2">
        <v>200541</v>
      </c>
      <c r="H57" s="343">
        <v>70</v>
      </c>
      <c r="I57" s="71">
        <v>9.2857142857142865</v>
      </c>
      <c r="J57" s="2">
        <v>1862166.4285714286</v>
      </c>
    </row>
    <row r="58" spans="1:10">
      <c r="A58" s="7">
        <v>1962</v>
      </c>
      <c r="B58" s="2">
        <v>16889</v>
      </c>
      <c r="C58">
        <v>57</v>
      </c>
      <c r="D58" s="71">
        <v>9.1228070175438596</v>
      </c>
      <c r="E58" s="2">
        <v>154075.08771929826</v>
      </c>
      <c r="F58" s="2"/>
      <c r="G58" s="2">
        <v>100655</v>
      </c>
      <c r="H58" s="343">
        <v>71</v>
      </c>
      <c r="I58" s="71">
        <v>9.1549295774647881</v>
      </c>
      <c r="J58" s="2">
        <v>921489.43661971821</v>
      </c>
    </row>
    <row r="59" spans="1:10">
      <c r="A59" s="7">
        <v>1961</v>
      </c>
      <c r="B59" s="2">
        <v>1130</v>
      </c>
      <c r="C59">
        <v>57</v>
      </c>
      <c r="D59" s="71">
        <v>9.1228070175438596</v>
      </c>
      <c r="E59" s="2">
        <v>10308.771929824561</v>
      </c>
      <c r="F59" s="2"/>
      <c r="G59" s="2">
        <v>0</v>
      </c>
      <c r="H59" s="343">
        <v>71</v>
      </c>
      <c r="I59" s="71">
        <v>9.1549295774647881</v>
      </c>
      <c r="J59" s="2">
        <v>0</v>
      </c>
    </row>
    <row r="60" spans="1:10">
      <c r="A60" s="7">
        <v>1960</v>
      </c>
      <c r="B60" s="2">
        <v>9250</v>
      </c>
      <c r="C60">
        <v>55</v>
      </c>
      <c r="D60" s="71">
        <v>9.454545454545455</v>
      </c>
      <c r="E60" s="2">
        <v>87454.545454545456</v>
      </c>
      <c r="F60" s="2"/>
      <c r="G60" s="2">
        <v>199598</v>
      </c>
      <c r="H60" s="343">
        <v>76</v>
      </c>
      <c r="I60" s="71">
        <v>8.5526315789473681</v>
      </c>
      <c r="J60" s="2">
        <v>1707088.1578947369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5:W61"/>
  <sheetViews>
    <sheetView topLeftCell="F1" workbookViewId="0">
      <selection activeCell="W19" sqref="W19"/>
    </sheetView>
  </sheetViews>
  <sheetFormatPr defaultRowHeight="12.75"/>
  <cols>
    <col min="3" max="3" width="17.28515625" customWidth="1"/>
    <col min="6" max="6" width="11.7109375" bestFit="1" customWidth="1"/>
    <col min="7" max="7" width="4.85546875" customWidth="1"/>
    <col min="8" max="8" width="18.140625" customWidth="1"/>
    <col min="11" max="11" width="11.7109375" bestFit="1" customWidth="1"/>
    <col min="12" max="12" width="4.42578125" customWidth="1"/>
    <col min="13" max="13" width="14.5703125" bestFit="1" customWidth="1"/>
    <col min="14" max="14" width="17.5703125" customWidth="1"/>
    <col min="17" max="17" width="11.7109375" bestFit="1" customWidth="1"/>
    <col min="21" max="21" width="13.85546875" bestFit="1" customWidth="1"/>
    <col min="22" max="22" width="21.7109375" bestFit="1" customWidth="1"/>
    <col min="23" max="23" width="27.5703125" bestFit="1" customWidth="1"/>
  </cols>
  <sheetData>
    <row r="5" spans="2:23" ht="13.5" thickBot="1"/>
    <row r="6" spans="2:23" ht="13.5" thickBot="1">
      <c r="C6" t="s">
        <v>103</v>
      </c>
      <c r="D6" s="343">
        <f>D10</f>
        <v>586</v>
      </c>
      <c r="E6" s="71"/>
      <c r="H6" t="s">
        <v>103</v>
      </c>
      <c r="I6" s="343">
        <f>I10</f>
        <v>718</v>
      </c>
      <c r="J6" s="343"/>
      <c r="M6" s="159"/>
      <c r="N6" s="165" t="s">
        <v>103</v>
      </c>
      <c r="O6" s="161">
        <f>O10</f>
        <v>686</v>
      </c>
      <c r="P6" s="162"/>
      <c r="Q6" s="160"/>
    </row>
    <row r="7" spans="2:23" ht="13.5" thickBot="1">
      <c r="C7" s="35">
        <v>364</v>
      </c>
      <c r="D7" s="343"/>
      <c r="E7" s="71"/>
      <c r="H7" s="35">
        <v>365</v>
      </c>
      <c r="I7" s="343"/>
      <c r="J7" s="71"/>
      <c r="M7" s="141">
        <v>368</v>
      </c>
      <c r="N7" s="142" t="s">
        <v>8</v>
      </c>
      <c r="O7" s="147"/>
      <c r="P7" s="146"/>
      <c r="Q7" s="148"/>
    </row>
    <row r="8" spans="2:23">
      <c r="C8" t="s">
        <v>13</v>
      </c>
      <c r="D8" s="343" t="s">
        <v>17</v>
      </c>
      <c r="E8" s="71" t="s">
        <v>121</v>
      </c>
      <c r="F8" t="s">
        <v>122</v>
      </c>
      <c r="H8" t="s">
        <v>13</v>
      </c>
      <c r="I8" s="343" t="s">
        <v>17</v>
      </c>
      <c r="J8" s="71" t="s">
        <v>121</v>
      </c>
      <c r="K8" t="s">
        <v>122</v>
      </c>
      <c r="M8" s="17" t="s">
        <v>23</v>
      </c>
      <c r="N8" s="17" t="s">
        <v>24</v>
      </c>
      <c r="O8" s="18" t="s">
        <v>17</v>
      </c>
      <c r="P8" s="31" t="s">
        <v>121</v>
      </c>
      <c r="Q8" s="40" t="s">
        <v>122</v>
      </c>
    </row>
    <row r="9" spans="2:23">
      <c r="D9" s="343"/>
      <c r="E9" s="71"/>
      <c r="I9" s="343"/>
      <c r="J9" s="71"/>
      <c r="M9" s="17"/>
      <c r="N9" s="17"/>
      <c r="O9" s="18"/>
      <c r="P9" s="31"/>
      <c r="Q9" s="40"/>
    </row>
    <row r="10" spans="2:23">
      <c r="B10" s="128">
        <v>2012</v>
      </c>
      <c r="D10" s="343">
        <v>586</v>
      </c>
      <c r="E10" s="71"/>
      <c r="I10" s="343">
        <v>718</v>
      </c>
      <c r="J10" s="71"/>
      <c r="M10" s="130"/>
      <c r="N10" s="130"/>
      <c r="O10" s="80">
        <v>686</v>
      </c>
      <c r="P10" s="132"/>
      <c r="Q10" s="131"/>
      <c r="U10">
        <v>100</v>
      </c>
      <c r="V10">
        <v>100</v>
      </c>
      <c r="W10">
        <v>100</v>
      </c>
    </row>
    <row r="11" spans="2:23">
      <c r="B11" s="128">
        <v>2010</v>
      </c>
      <c r="C11" s="344">
        <v>15008775.119999999</v>
      </c>
      <c r="D11" s="343">
        <v>568</v>
      </c>
      <c r="E11" s="71">
        <v>1</v>
      </c>
      <c r="F11" s="344">
        <v>15008775.119999999</v>
      </c>
      <c r="G11" s="344"/>
      <c r="H11" s="344">
        <v>12707767.970000001</v>
      </c>
      <c r="I11" s="343">
        <v>684</v>
      </c>
      <c r="J11" s="71">
        <v>1</v>
      </c>
      <c r="K11" s="344">
        <v>12707767.970000001</v>
      </c>
      <c r="M11" s="297">
        <v>8942846.3499999996</v>
      </c>
      <c r="N11" s="298">
        <v>7368905.3923999993</v>
      </c>
      <c r="O11" s="80">
        <v>612</v>
      </c>
      <c r="P11" s="139">
        <v>1</v>
      </c>
      <c r="Q11" s="86">
        <v>7368905.3923999993</v>
      </c>
      <c r="T11" s="14" t="s">
        <v>126</v>
      </c>
      <c r="U11" s="341" t="s">
        <v>132</v>
      </c>
      <c r="V11" t="s">
        <v>136</v>
      </c>
      <c r="W11" t="s">
        <v>133</v>
      </c>
    </row>
    <row r="12" spans="2:23">
      <c r="B12" s="78">
        <v>2009</v>
      </c>
      <c r="C12" s="344">
        <v>17526088.449999999</v>
      </c>
      <c r="D12" s="343">
        <v>550</v>
      </c>
      <c r="E12" s="71">
        <v>1.0327272727272727</v>
      </c>
      <c r="F12" s="344">
        <v>18099669.526545454</v>
      </c>
      <c r="G12" s="344"/>
      <c r="H12" s="344">
        <v>9740590.3100000005</v>
      </c>
      <c r="I12" s="343">
        <v>612</v>
      </c>
      <c r="J12" s="71">
        <v>1.1176470588235294</v>
      </c>
      <c r="K12" s="344">
        <v>10886542.111176472</v>
      </c>
      <c r="M12" s="297">
        <v>10028955.08</v>
      </c>
      <c r="N12" s="298">
        <v>8263858.9859199999</v>
      </c>
      <c r="O12" s="80">
        <v>558</v>
      </c>
      <c r="P12" s="139">
        <v>1.096774193548387</v>
      </c>
      <c r="Q12" s="86">
        <v>9063587.2748799995</v>
      </c>
      <c r="T12" s="14">
        <v>1960</v>
      </c>
      <c r="U12" s="342">
        <f>D61/D6*U10</f>
        <v>8.8737201365187719</v>
      </c>
      <c r="V12" s="342">
        <f>I61/I6*V10</f>
        <v>7.2423398328690807</v>
      </c>
      <c r="W12" s="342">
        <f>O61/O6*W10</f>
        <v>16.472303206997086</v>
      </c>
    </row>
    <row r="13" spans="2:23">
      <c r="B13" s="128">
        <v>2008</v>
      </c>
      <c r="C13" s="344">
        <v>11231437.859999999</v>
      </c>
      <c r="D13" s="343">
        <v>533</v>
      </c>
      <c r="E13" s="71">
        <v>1.0656660412757974</v>
      </c>
      <c r="F13" s="344">
        <v>11968961.922101313</v>
      </c>
      <c r="G13" s="344"/>
      <c r="H13" s="344">
        <v>7778185.5700000003</v>
      </c>
      <c r="I13" s="343">
        <v>698</v>
      </c>
      <c r="J13" s="71">
        <v>0.97994269340974216</v>
      </c>
      <c r="K13" s="344">
        <v>7622176.117306591</v>
      </c>
      <c r="M13" s="297">
        <v>8484678.0500000007</v>
      </c>
      <c r="N13" s="298">
        <v>6991374.7132000001</v>
      </c>
      <c r="O13" s="80">
        <v>508</v>
      </c>
      <c r="P13" s="139">
        <v>1.204724409448819</v>
      </c>
      <c r="Q13" s="86">
        <v>8422679.7725952771</v>
      </c>
      <c r="T13" s="14">
        <v>1970</v>
      </c>
      <c r="U13" s="342">
        <f>D51/D6*U10</f>
        <v>12.969283276450511</v>
      </c>
      <c r="V13" s="342">
        <f>I51/I6*V10</f>
        <v>12.116991643454039</v>
      </c>
      <c r="W13" s="342">
        <f>O51/O6*W10</f>
        <v>14.868804664723031</v>
      </c>
    </row>
    <row r="14" spans="2:23">
      <c r="B14" s="78">
        <v>2007</v>
      </c>
      <c r="C14" s="344">
        <v>10107042</v>
      </c>
      <c r="D14" s="343">
        <v>504</v>
      </c>
      <c r="E14" s="71">
        <v>1.126984126984127</v>
      </c>
      <c r="F14" s="344">
        <v>11390475.904761905</v>
      </c>
      <c r="G14" s="344"/>
      <c r="H14" s="344">
        <v>5821893</v>
      </c>
      <c r="I14" s="343">
        <v>612</v>
      </c>
      <c r="J14" s="71">
        <v>1.1176470588235294</v>
      </c>
      <c r="K14" s="344">
        <v>6506821.5882352944</v>
      </c>
      <c r="M14" s="297">
        <v>11599468</v>
      </c>
      <c r="N14" s="298">
        <v>9557961.6319999993</v>
      </c>
      <c r="O14" s="80">
        <v>417</v>
      </c>
      <c r="P14" s="139">
        <v>1.4676258992805755</v>
      </c>
      <c r="Q14" s="86">
        <v>14027512.035453236</v>
      </c>
      <c r="T14" s="14">
        <v>1980</v>
      </c>
      <c r="U14" s="342">
        <f>D41/D6*U10</f>
        <v>37.542662116040951</v>
      </c>
      <c r="V14" s="342">
        <f>I41/I6*V10</f>
        <v>30.779944289693596</v>
      </c>
      <c r="W14" s="342">
        <f>O41/O6*W10</f>
        <v>24.781341107871722</v>
      </c>
    </row>
    <row r="15" spans="2:23">
      <c r="B15" s="78">
        <v>2006</v>
      </c>
      <c r="C15" s="344">
        <v>7279846</v>
      </c>
      <c r="D15" s="343">
        <v>490</v>
      </c>
      <c r="E15" s="71">
        <v>1.1591836734693877</v>
      </c>
      <c r="F15" s="344">
        <v>8438678.6285714284</v>
      </c>
      <c r="G15" s="344"/>
      <c r="H15" s="344">
        <v>4049801</v>
      </c>
      <c r="I15" s="343">
        <v>574</v>
      </c>
      <c r="J15" s="71">
        <v>1.1916376306620209</v>
      </c>
      <c r="K15" s="344">
        <v>4825895.2682926832</v>
      </c>
      <c r="M15" s="87">
        <v>8660833</v>
      </c>
      <c r="N15" s="89">
        <v>7136526.392</v>
      </c>
      <c r="O15" s="80">
        <v>363</v>
      </c>
      <c r="P15" s="31">
        <v>1.6859504132231404</v>
      </c>
      <c r="Q15" s="86">
        <v>12031829.619570248</v>
      </c>
      <c r="T15" s="14">
        <v>1990</v>
      </c>
      <c r="U15" s="342">
        <f>D31/D6*U10</f>
        <v>50.341296928327651</v>
      </c>
      <c r="V15" s="342">
        <f>I31/I6*V10</f>
        <v>43.871866295264624</v>
      </c>
      <c r="W15" s="342">
        <f>O31/O6*W10</f>
        <v>33.819241982507286</v>
      </c>
    </row>
    <row r="16" spans="2:23">
      <c r="B16" s="78">
        <v>2005</v>
      </c>
      <c r="C16" s="344">
        <v>6247499</v>
      </c>
      <c r="D16" s="343">
        <v>470</v>
      </c>
      <c r="E16" s="71">
        <v>1.2085106382978723</v>
      </c>
      <c r="F16" s="344">
        <v>7550169.004255319</v>
      </c>
      <c r="G16" s="344"/>
      <c r="H16" s="344">
        <v>2788967</v>
      </c>
      <c r="I16" s="343">
        <v>516</v>
      </c>
      <c r="J16" s="71">
        <v>1.3255813953488371</v>
      </c>
      <c r="K16" s="344">
        <v>3697002.7674418604</v>
      </c>
      <c r="M16" s="87">
        <v>5354646</v>
      </c>
      <c r="N16" s="89">
        <v>4412228.3039999995</v>
      </c>
      <c r="O16" s="80">
        <v>286</v>
      </c>
      <c r="P16" s="31">
        <v>2.13986013986014</v>
      </c>
      <c r="Q16" s="86">
        <v>9441551.4756923076</v>
      </c>
      <c r="T16" s="14">
        <v>2000</v>
      </c>
      <c r="U16" s="342">
        <f>D21/D6*U10</f>
        <v>67.918088737201359</v>
      </c>
      <c r="V16" s="342">
        <f>I21/I6*V10</f>
        <v>57.103064066852369</v>
      </c>
      <c r="W16" s="342">
        <f>O21/O6*W10</f>
        <v>33.673469387755098</v>
      </c>
    </row>
    <row r="17" spans="2:23">
      <c r="B17" s="78">
        <v>2004</v>
      </c>
      <c r="C17" s="344">
        <v>6882728</v>
      </c>
      <c r="D17" s="343">
        <v>448</v>
      </c>
      <c r="E17" s="71">
        <v>1.2678571428571428</v>
      </c>
      <c r="F17" s="344">
        <v>8726315.8571428563</v>
      </c>
      <c r="G17" s="344"/>
      <c r="H17" s="344">
        <v>3629637</v>
      </c>
      <c r="I17" s="343">
        <v>477</v>
      </c>
      <c r="J17" s="71">
        <v>1.4339622641509433</v>
      </c>
      <c r="K17" s="344">
        <v>5204762.4905660376</v>
      </c>
      <c r="M17" s="87">
        <v>5381447</v>
      </c>
      <c r="N17" s="89">
        <v>4434312.3279999997</v>
      </c>
      <c r="O17" s="80">
        <v>267</v>
      </c>
      <c r="P17" s="31">
        <v>2.292134831460674</v>
      </c>
      <c r="Q17" s="86">
        <v>10164041.740584269</v>
      </c>
      <c r="T17" s="14">
        <v>2010</v>
      </c>
      <c r="U17" s="342">
        <f>D11/D6*U10</f>
        <v>96.928327645051198</v>
      </c>
      <c r="V17" s="342">
        <f>I11/I6*V10</f>
        <v>95.264623955431759</v>
      </c>
      <c r="W17" s="342">
        <f>O11/O6*W10</f>
        <v>89.212827988338191</v>
      </c>
    </row>
    <row r="18" spans="2:23">
      <c r="B18" s="78">
        <v>2003</v>
      </c>
      <c r="C18" s="344">
        <v>6180042</v>
      </c>
      <c r="D18" s="343">
        <v>437</v>
      </c>
      <c r="E18" s="71">
        <v>1.299771167048055</v>
      </c>
      <c r="F18" s="344">
        <v>8032640.4027459957</v>
      </c>
      <c r="G18" s="344"/>
      <c r="H18" s="344">
        <v>3842296</v>
      </c>
      <c r="I18" s="343">
        <v>451</v>
      </c>
      <c r="J18" s="71">
        <v>1.5166297117516629</v>
      </c>
      <c r="K18" s="344">
        <v>5827340.2749445671</v>
      </c>
      <c r="M18" s="87">
        <v>3815390</v>
      </c>
      <c r="N18" s="89">
        <v>3143881.36</v>
      </c>
      <c r="O18" s="80">
        <v>257</v>
      </c>
      <c r="P18" s="31">
        <v>2.3813229571984436</v>
      </c>
      <c r="Q18" s="86">
        <v>7486596.8572762646</v>
      </c>
      <c r="T18" s="14">
        <v>2012</v>
      </c>
      <c r="U18" s="342">
        <f>D10/D6*U10</f>
        <v>100</v>
      </c>
      <c r="V18" s="342">
        <f>I10/I6*V10</f>
        <v>100</v>
      </c>
      <c r="W18" s="342">
        <f>O10/O6*W10</f>
        <v>100</v>
      </c>
    </row>
    <row r="19" spans="2:23">
      <c r="B19" s="78">
        <v>2002</v>
      </c>
      <c r="C19" s="344">
        <v>4475229</v>
      </c>
      <c r="D19" s="343">
        <v>426</v>
      </c>
      <c r="E19" s="71">
        <v>1.3333333333333333</v>
      </c>
      <c r="F19" s="344">
        <v>5966972</v>
      </c>
      <c r="G19" s="344"/>
      <c r="H19" s="344">
        <v>2666437</v>
      </c>
      <c r="I19" s="343">
        <v>437</v>
      </c>
      <c r="J19" s="71">
        <v>1.5652173913043479</v>
      </c>
      <c r="K19" s="344">
        <v>4173553.5652173916</v>
      </c>
      <c r="M19" s="87">
        <v>2829855</v>
      </c>
      <c r="N19" s="89">
        <v>2331800.52</v>
      </c>
      <c r="O19" s="80">
        <v>250</v>
      </c>
      <c r="P19" s="31">
        <v>2.448</v>
      </c>
      <c r="Q19" s="86">
        <v>5708247.6729600001</v>
      </c>
    </row>
    <row r="20" spans="2:23">
      <c r="B20" s="78">
        <v>2001</v>
      </c>
      <c r="C20" s="344">
        <v>6406672</v>
      </c>
      <c r="D20" s="343">
        <v>403</v>
      </c>
      <c r="E20" s="71">
        <v>1.4094292803970223</v>
      </c>
      <c r="F20" s="344">
        <v>9029751.1066997517</v>
      </c>
      <c r="G20" s="344"/>
      <c r="H20" s="344">
        <v>3912890</v>
      </c>
      <c r="I20" s="343">
        <v>416</v>
      </c>
      <c r="J20" s="71">
        <v>1.6442307692307692</v>
      </c>
      <c r="K20" s="344">
        <v>6433694.134615384</v>
      </c>
      <c r="M20" s="87">
        <v>2953856</v>
      </c>
      <c r="N20" s="89">
        <v>2433977.344</v>
      </c>
      <c r="O20" s="80">
        <v>238</v>
      </c>
      <c r="P20" s="31">
        <v>2.5714285714285716</v>
      </c>
      <c r="Q20" s="86">
        <v>6258798.8845714293</v>
      </c>
    </row>
    <row r="21" spans="2:23">
      <c r="B21" s="56">
        <v>2000</v>
      </c>
      <c r="C21" s="72">
        <v>7937236</v>
      </c>
      <c r="D21" s="343">
        <v>398</v>
      </c>
      <c r="E21" s="71">
        <v>1.4271356783919598</v>
      </c>
      <c r="F21" s="2">
        <v>11327512.683417086</v>
      </c>
      <c r="G21" s="2"/>
      <c r="H21" s="72">
        <v>5767026</v>
      </c>
      <c r="I21" s="343">
        <v>410</v>
      </c>
      <c r="J21" s="71">
        <v>1.6682926829268292</v>
      </c>
      <c r="K21" s="2">
        <v>9621087.2780487798</v>
      </c>
      <c r="M21" s="99">
        <v>3229521</v>
      </c>
      <c r="N21" s="3">
        <v>2661125.304</v>
      </c>
      <c r="O21" s="80">
        <v>231</v>
      </c>
      <c r="P21" s="31">
        <v>2.6493506493506493</v>
      </c>
      <c r="Q21" s="21">
        <v>7050254.0521558439</v>
      </c>
    </row>
    <row r="22" spans="2:23">
      <c r="B22" s="56">
        <v>1999</v>
      </c>
      <c r="C22" s="72">
        <v>7278140</v>
      </c>
      <c r="D22" s="343">
        <v>391</v>
      </c>
      <c r="E22" s="71">
        <v>1.4526854219948848</v>
      </c>
      <c r="F22" s="2">
        <v>10572847.877237851</v>
      </c>
      <c r="G22" s="2"/>
      <c r="H22" s="72">
        <v>4943259</v>
      </c>
      <c r="I22" s="343">
        <v>377</v>
      </c>
      <c r="J22" s="71">
        <v>1.8143236074270557</v>
      </c>
      <c r="K22" s="2">
        <v>8968671.5013262592</v>
      </c>
      <c r="M22" s="57">
        <v>3572909</v>
      </c>
      <c r="N22" s="3">
        <v>2944077.0159999998</v>
      </c>
      <c r="O22" s="80">
        <v>228</v>
      </c>
      <c r="P22" s="31">
        <v>2.6842105263157894</v>
      </c>
      <c r="Q22" s="21">
        <v>7902522.5166315781</v>
      </c>
    </row>
    <row r="23" spans="2:23">
      <c r="B23" s="56">
        <v>1998</v>
      </c>
      <c r="C23" s="72">
        <v>7447126</v>
      </c>
      <c r="D23" s="343">
        <v>387</v>
      </c>
      <c r="E23" s="71">
        <v>1.4677002583979328</v>
      </c>
      <c r="F23" s="2">
        <v>10930148.754521964</v>
      </c>
      <c r="G23" s="2"/>
      <c r="H23" s="72">
        <v>4157343</v>
      </c>
      <c r="I23" s="343">
        <v>391</v>
      </c>
      <c r="J23" s="71">
        <v>1.7493606138107416</v>
      </c>
      <c r="K23" s="2">
        <v>7272692.1023017894</v>
      </c>
      <c r="M23" s="57">
        <v>3867372</v>
      </c>
      <c r="N23" s="3">
        <v>3186714.5279999999</v>
      </c>
      <c r="O23" s="80">
        <v>228</v>
      </c>
      <c r="P23" s="31">
        <v>2.6842105263157894</v>
      </c>
      <c r="Q23" s="21">
        <v>8553812.6804210525</v>
      </c>
    </row>
    <row r="24" spans="2:23">
      <c r="B24" s="56">
        <v>1997</v>
      </c>
      <c r="C24" s="72">
        <v>7183342</v>
      </c>
      <c r="D24" s="343">
        <v>382</v>
      </c>
      <c r="E24" s="71">
        <v>1.4869109947643979</v>
      </c>
      <c r="F24" s="2">
        <v>10680990.19895288</v>
      </c>
      <c r="G24" s="2"/>
      <c r="H24" s="72">
        <v>3890233</v>
      </c>
      <c r="I24" s="343">
        <v>380</v>
      </c>
      <c r="J24" s="71">
        <v>1.8</v>
      </c>
      <c r="K24" s="2">
        <v>7002419.4000000004</v>
      </c>
      <c r="M24" s="57">
        <v>4251568</v>
      </c>
      <c r="N24" s="3">
        <v>3503292.0319999997</v>
      </c>
      <c r="O24" s="80">
        <v>225</v>
      </c>
      <c r="P24" s="31">
        <v>2.72</v>
      </c>
      <c r="Q24" s="21">
        <v>9528954.3270399999</v>
      </c>
    </row>
    <row r="25" spans="2:23">
      <c r="B25" s="56">
        <v>1996</v>
      </c>
      <c r="C25" s="72">
        <v>8115669</v>
      </c>
      <c r="D25" s="343">
        <v>373</v>
      </c>
      <c r="E25" s="71">
        <v>1.5227882037533511</v>
      </c>
      <c r="F25" s="2">
        <v>12358445.018766755</v>
      </c>
      <c r="G25" s="2"/>
      <c r="H25" s="72">
        <v>4459617</v>
      </c>
      <c r="I25" s="343">
        <v>373</v>
      </c>
      <c r="J25" s="71">
        <v>1.8337801608579087</v>
      </c>
      <c r="K25" s="2">
        <v>8177957.1796246646</v>
      </c>
      <c r="M25" s="57">
        <v>4873481</v>
      </c>
      <c r="N25" s="3">
        <v>4015748.3439999996</v>
      </c>
      <c r="O25" s="80">
        <v>234</v>
      </c>
      <c r="P25" s="31">
        <v>2.6153846153846154</v>
      </c>
      <c r="Q25" s="21">
        <v>10502726.438153844</v>
      </c>
    </row>
    <row r="26" spans="2:23">
      <c r="B26" s="56">
        <v>1995</v>
      </c>
      <c r="C26" s="72">
        <v>11419655</v>
      </c>
      <c r="D26" s="343">
        <v>364</v>
      </c>
      <c r="E26" s="71">
        <v>1.5604395604395604</v>
      </c>
      <c r="F26" s="2">
        <v>17819681.428571429</v>
      </c>
      <c r="G26" s="2"/>
      <c r="H26" s="72">
        <v>8607263</v>
      </c>
      <c r="I26" s="343">
        <v>366</v>
      </c>
      <c r="J26" s="71">
        <v>1.8688524590163935</v>
      </c>
      <c r="K26" s="2">
        <v>16085704.62295082</v>
      </c>
      <c r="M26" s="57">
        <v>10694896</v>
      </c>
      <c r="N26" s="3">
        <v>8812594.3039999995</v>
      </c>
      <c r="O26" s="80">
        <v>238</v>
      </c>
      <c r="P26" s="31">
        <v>2.5714285714285716</v>
      </c>
      <c r="Q26" s="21">
        <v>22660956.781714287</v>
      </c>
    </row>
    <row r="27" spans="2:23">
      <c r="B27" s="56">
        <v>1994</v>
      </c>
      <c r="C27" s="72">
        <v>4932958</v>
      </c>
      <c r="D27" s="343">
        <v>349</v>
      </c>
      <c r="E27" s="71">
        <v>1.6275071633237823</v>
      </c>
      <c r="F27" s="2">
        <v>8028424.481375359</v>
      </c>
      <c r="G27" s="2"/>
      <c r="H27" s="72">
        <v>2085978</v>
      </c>
      <c r="I27" s="343">
        <v>343</v>
      </c>
      <c r="J27" s="71">
        <v>1.9941690962099126</v>
      </c>
      <c r="K27" s="2">
        <v>4159792.8629737608</v>
      </c>
      <c r="M27" s="57">
        <v>4983726</v>
      </c>
      <c r="N27" s="3">
        <v>4106590.2239999999</v>
      </c>
      <c r="O27" s="80">
        <v>242</v>
      </c>
      <c r="P27" s="31">
        <v>2.5289256198347108</v>
      </c>
      <c r="Q27" s="21">
        <v>10385261.227636363</v>
      </c>
    </row>
    <row r="28" spans="2:23">
      <c r="B28" s="7">
        <v>1993</v>
      </c>
      <c r="C28" s="2">
        <v>4149708</v>
      </c>
      <c r="D28" s="343">
        <v>333</v>
      </c>
      <c r="E28" s="71">
        <v>1.7057057057057057</v>
      </c>
      <c r="F28" s="2">
        <v>7078180.6126126125</v>
      </c>
      <c r="G28" s="2"/>
      <c r="H28" s="2">
        <v>2543595</v>
      </c>
      <c r="I28" s="343">
        <v>332</v>
      </c>
      <c r="J28" s="71">
        <v>2.0602409638554215</v>
      </c>
      <c r="K28" s="2">
        <v>5240418.6144578308</v>
      </c>
      <c r="M28" s="15">
        <v>4326104</v>
      </c>
      <c r="N28" s="3">
        <v>3564709.696</v>
      </c>
      <c r="O28" s="80">
        <v>238</v>
      </c>
      <c r="P28" s="31">
        <v>2.5714285714285716</v>
      </c>
      <c r="Q28" s="21">
        <v>9166396.361142857</v>
      </c>
    </row>
    <row r="29" spans="2:23">
      <c r="B29" s="7">
        <v>1992</v>
      </c>
      <c r="C29" s="2">
        <v>3775337</v>
      </c>
      <c r="D29" s="343">
        <v>321</v>
      </c>
      <c r="E29" s="71">
        <v>1.7694704049844237</v>
      </c>
      <c r="F29" s="2">
        <v>6680347.0903426791</v>
      </c>
      <c r="G29" s="2"/>
      <c r="H29" s="2">
        <v>1956850</v>
      </c>
      <c r="I29" s="343">
        <v>318</v>
      </c>
      <c r="J29" s="71">
        <v>2.1509433962264151</v>
      </c>
      <c r="K29" s="2">
        <v>4209073.5849056607</v>
      </c>
      <c r="M29" s="15">
        <v>4070927</v>
      </c>
      <c r="N29" s="3">
        <v>3354443.8479999998</v>
      </c>
      <c r="O29" s="80">
        <v>236</v>
      </c>
      <c r="P29" s="31">
        <v>2.593220338983051</v>
      </c>
      <c r="Q29" s="21">
        <v>8698812.0126101691</v>
      </c>
    </row>
    <row r="30" spans="2:23">
      <c r="B30" s="7">
        <v>1991</v>
      </c>
      <c r="C30" s="2">
        <v>3128188</v>
      </c>
      <c r="D30" s="343">
        <v>307</v>
      </c>
      <c r="E30" s="71">
        <v>1.8501628664495113</v>
      </c>
      <c r="F30" s="2">
        <v>5787657.2768729636</v>
      </c>
      <c r="G30" s="2"/>
      <c r="H30" s="2">
        <v>2671034</v>
      </c>
      <c r="I30" s="343">
        <v>324</v>
      </c>
      <c r="J30" s="71">
        <v>2.1111111111111112</v>
      </c>
      <c r="K30" s="2">
        <v>5638849.555555556</v>
      </c>
      <c r="M30" s="15">
        <v>3576458</v>
      </c>
      <c r="N30" s="3">
        <v>2947001.392</v>
      </c>
      <c r="O30" s="80">
        <v>231</v>
      </c>
      <c r="P30" s="31">
        <v>2.6493506493506493</v>
      </c>
      <c r="Q30" s="21">
        <v>7807640.0515324678</v>
      </c>
    </row>
    <row r="31" spans="2:23">
      <c r="B31" s="7">
        <v>1990</v>
      </c>
      <c r="C31" s="2">
        <v>2822998</v>
      </c>
      <c r="D31" s="343">
        <v>295</v>
      </c>
      <c r="E31" s="71">
        <v>1.9254237288135594</v>
      </c>
      <c r="F31" s="2">
        <v>5435467.3355932208</v>
      </c>
      <c r="G31" s="2"/>
      <c r="H31" s="2">
        <v>3073635</v>
      </c>
      <c r="I31" s="343">
        <v>315</v>
      </c>
      <c r="J31" s="71">
        <v>2.1714285714285713</v>
      </c>
      <c r="K31" s="2">
        <v>6674178.8571428563</v>
      </c>
      <c r="M31" s="15">
        <v>3022813</v>
      </c>
      <c r="N31" s="3">
        <v>2490797.912</v>
      </c>
      <c r="O31" s="80">
        <v>232</v>
      </c>
      <c r="P31" s="31">
        <v>2.6379310344827585</v>
      </c>
      <c r="Q31" s="21">
        <v>6570553.1126896543</v>
      </c>
    </row>
    <row r="32" spans="2:23">
      <c r="B32" s="7">
        <v>1989</v>
      </c>
      <c r="C32" s="2">
        <v>2616440</v>
      </c>
      <c r="D32" s="343">
        <v>285</v>
      </c>
      <c r="E32" s="71">
        <v>1.9929824561403509</v>
      </c>
      <c r="F32" s="2">
        <v>5214519.0175438598</v>
      </c>
      <c r="G32" s="2"/>
      <c r="H32" s="2">
        <v>3513873</v>
      </c>
      <c r="I32" s="343">
        <v>312</v>
      </c>
      <c r="J32" s="71">
        <v>2.1923076923076925</v>
      </c>
      <c r="K32" s="2">
        <v>7703490.807692308</v>
      </c>
      <c r="M32" s="15">
        <v>3031140</v>
      </c>
      <c r="N32" s="3">
        <v>2497659.36</v>
      </c>
      <c r="O32" s="80">
        <v>228</v>
      </c>
      <c r="P32" s="31">
        <v>2.6842105263157894</v>
      </c>
      <c r="Q32" s="21">
        <v>6704243.5452631572</v>
      </c>
    </row>
    <row r="33" spans="2:17">
      <c r="B33" s="7">
        <v>1988</v>
      </c>
      <c r="C33" s="2">
        <v>2900755</v>
      </c>
      <c r="D33" s="343">
        <v>275</v>
      </c>
      <c r="E33" s="71">
        <v>2.0654545454545454</v>
      </c>
      <c r="F33" s="2">
        <v>5991377.5999999996</v>
      </c>
      <c r="G33" s="2"/>
      <c r="H33" s="2">
        <v>151812</v>
      </c>
      <c r="I33" s="343">
        <v>302</v>
      </c>
      <c r="J33" s="71">
        <v>2.2649006622516556</v>
      </c>
      <c r="K33" s="2">
        <v>343839.09933774837</v>
      </c>
      <c r="M33" s="15">
        <v>2095241</v>
      </c>
      <c r="N33" s="3">
        <v>1726478.5839999998</v>
      </c>
      <c r="O33" s="80">
        <v>220</v>
      </c>
      <c r="P33" s="31">
        <v>2.7818181818181817</v>
      </c>
      <c r="Q33" s="21">
        <v>4802749.5154909082</v>
      </c>
    </row>
    <row r="34" spans="2:17">
      <c r="B34" s="7">
        <v>1987</v>
      </c>
      <c r="C34" s="2">
        <v>3007811</v>
      </c>
      <c r="D34" s="343">
        <v>265</v>
      </c>
      <c r="E34" s="71">
        <v>2.1433962264150943</v>
      </c>
      <c r="F34" s="2">
        <v>6446930.7471698113</v>
      </c>
      <c r="G34" s="2"/>
      <c r="H34" s="2">
        <v>2324115</v>
      </c>
      <c r="I34" s="343">
        <v>260</v>
      </c>
      <c r="J34" s="71">
        <v>2.6307692307692307</v>
      </c>
      <c r="K34" s="2">
        <v>6114210.230769231</v>
      </c>
      <c r="M34" s="15">
        <v>2289667</v>
      </c>
      <c r="N34" s="3">
        <v>1886685.608</v>
      </c>
      <c r="O34" s="80">
        <v>218</v>
      </c>
      <c r="P34" s="31">
        <v>2.8073394495412844</v>
      </c>
      <c r="Q34" s="21">
        <v>5296566.936220184</v>
      </c>
    </row>
    <row r="35" spans="2:17">
      <c r="B35" s="7">
        <v>1986</v>
      </c>
      <c r="C35" s="2">
        <v>4030482</v>
      </c>
      <c r="D35" s="343">
        <v>264</v>
      </c>
      <c r="E35" s="71">
        <v>2.1515151515151514</v>
      </c>
      <c r="F35" s="2">
        <v>8671643.0909090899</v>
      </c>
      <c r="G35" s="2"/>
      <c r="H35" s="2">
        <v>4071507</v>
      </c>
      <c r="I35" s="343">
        <v>263</v>
      </c>
      <c r="J35" s="71">
        <v>2.6007604562737643</v>
      </c>
      <c r="K35" s="2">
        <v>10589014.403041825</v>
      </c>
      <c r="M35" s="15">
        <v>3811357</v>
      </c>
      <c r="N35" s="3">
        <v>3140558.1679999996</v>
      </c>
      <c r="O35" s="80">
        <v>219</v>
      </c>
      <c r="P35" s="31">
        <v>2.7945205479452055</v>
      </c>
      <c r="Q35" s="21">
        <v>8776354.3324931506</v>
      </c>
    </row>
    <row r="36" spans="2:17">
      <c r="B36" s="7">
        <v>1985</v>
      </c>
      <c r="C36" s="2">
        <v>4831578</v>
      </c>
      <c r="D36" s="343">
        <v>263</v>
      </c>
      <c r="E36" s="71">
        <v>2.1596958174904941</v>
      </c>
      <c r="F36" s="2">
        <v>10434738.798479086</v>
      </c>
      <c r="G36" s="2"/>
      <c r="H36" s="2">
        <v>3668498</v>
      </c>
      <c r="I36" s="343">
        <v>264</v>
      </c>
      <c r="J36" s="71">
        <v>2.5909090909090908</v>
      </c>
      <c r="K36" s="2">
        <v>9504744.8181818184</v>
      </c>
      <c r="M36" s="15">
        <v>4075799</v>
      </c>
      <c r="N36" s="3">
        <v>3358458.3759999997</v>
      </c>
      <c r="O36" s="80">
        <v>218</v>
      </c>
      <c r="P36" s="31">
        <v>2.8073394495412844</v>
      </c>
      <c r="Q36" s="21">
        <v>9428332.6885871552</v>
      </c>
    </row>
    <row r="37" spans="2:17">
      <c r="B37" s="7">
        <v>1984</v>
      </c>
      <c r="C37" s="2">
        <v>3861394</v>
      </c>
      <c r="D37" s="343">
        <v>266</v>
      </c>
      <c r="E37" s="71">
        <v>2.1353383458646618</v>
      </c>
      <c r="F37" s="2">
        <v>8245382.6766917296</v>
      </c>
      <c r="G37" s="2"/>
      <c r="H37" s="2">
        <v>2840726</v>
      </c>
      <c r="I37" s="343">
        <v>273</v>
      </c>
      <c r="J37" s="71">
        <v>2.5054945054945055</v>
      </c>
      <c r="K37" s="2">
        <v>7117423.384615385</v>
      </c>
      <c r="M37" s="15">
        <v>4718117</v>
      </c>
      <c r="N37" s="3">
        <v>3887728.4079999998</v>
      </c>
      <c r="O37" s="80">
        <v>219</v>
      </c>
      <c r="P37" s="31">
        <v>2.7945205479452055</v>
      </c>
      <c r="Q37" s="21">
        <v>10864336.9209863</v>
      </c>
    </row>
    <row r="38" spans="2:17">
      <c r="B38" s="7">
        <v>1983</v>
      </c>
      <c r="C38" s="2">
        <v>3436975</v>
      </c>
      <c r="D38" s="343">
        <v>265</v>
      </c>
      <c r="E38" s="71">
        <v>2.1433962264150943</v>
      </c>
      <c r="F38" s="2">
        <v>7366799.2452830188</v>
      </c>
      <c r="G38" s="2"/>
      <c r="H38" s="2">
        <v>2556897</v>
      </c>
      <c r="I38" s="343">
        <v>274</v>
      </c>
      <c r="J38" s="71">
        <v>2.4963503649635035</v>
      </c>
      <c r="K38" s="2">
        <v>6382910.7591240872</v>
      </c>
      <c r="M38" s="15">
        <v>3846526</v>
      </c>
      <c r="N38" s="3">
        <v>3169537.4239999996</v>
      </c>
      <c r="O38" s="80">
        <v>218</v>
      </c>
      <c r="P38" s="31">
        <v>2.8073394495412844</v>
      </c>
      <c r="Q38" s="21">
        <v>8897967.4471926596</v>
      </c>
    </row>
    <row r="39" spans="2:17">
      <c r="B39" s="7">
        <v>1982</v>
      </c>
      <c r="C39" s="2">
        <v>3054312</v>
      </c>
      <c r="D39" s="343">
        <v>260</v>
      </c>
      <c r="E39" s="71">
        <v>2.1846153846153844</v>
      </c>
      <c r="F39" s="2">
        <v>6672496.9846153837</v>
      </c>
      <c r="G39" s="2"/>
      <c r="H39" s="2">
        <v>2262543</v>
      </c>
      <c r="I39" s="343">
        <v>261</v>
      </c>
      <c r="J39" s="71">
        <v>2.6206896551724137</v>
      </c>
      <c r="K39" s="2">
        <v>5929423.0344827585</v>
      </c>
      <c r="M39" s="15">
        <v>2549676</v>
      </c>
      <c r="N39" s="3">
        <v>2100933.0239999997</v>
      </c>
      <c r="O39" s="80">
        <v>215</v>
      </c>
      <c r="P39" s="31">
        <v>2.8465116279069766</v>
      </c>
      <c r="Q39" s="21">
        <v>5980330.2822697666</v>
      </c>
    </row>
    <row r="40" spans="2:17">
      <c r="B40" s="7">
        <v>1981</v>
      </c>
      <c r="C40" s="2">
        <v>4281005</v>
      </c>
      <c r="D40" s="343">
        <v>242</v>
      </c>
      <c r="E40" s="71">
        <v>2.3471074380165291</v>
      </c>
      <c r="F40" s="2">
        <v>10047978.677685952</v>
      </c>
      <c r="G40" s="2"/>
      <c r="H40" s="2">
        <v>2602278</v>
      </c>
      <c r="I40" s="343">
        <v>243</v>
      </c>
      <c r="J40" s="71">
        <v>2.8148148148148149</v>
      </c>
      <c r="K40" s="2">
        <v>7324930.666666667</v>
      </c>
      <c r="M40" s="15">
        <v>3317468</v>
      </c>
      <c r="N40" s="3">
        <v>2733593.6319999998</v>
      </c>
      <c r="O40" s="80">
        <v>199</v>
      </c>
      <c r="P40" s="31">
        <v>3.0753768844221105</v>
      </c>
      <c r="Q40" s="21">
        <v>8406830.6672562808</v>
      </c>
    </row>
    <row r="41" spans="2:17">
      <c r="B41" s="7">
        <v>1980</v>
      </c>
      <c r="C41" s="2">
        <v>3623122</v>
      </c>
      <c r="D41" s="343">
        <v>220</v>
      </c>
      <c r="E41" s="71">
        <v>2.581818181818182</v>
      </c>
      <c r="F41" s="2">
        <v>9354242.2545454558</v>
      </c>
      <c r="G41" s="2"/>
      <c r="H41" s="2">
        <v>2247702</v>
      </c>
      <c r="I41" s="343">
        <v>221</v>
      </c>
      <c r="J41" s="71">
        <v>3.0950226244343892</v>
      </c>
      <c r="K41" s="2">
        <v>6956688.5429864256</v>
      </c>
      <c r="M41" s="15">
        <v>2764401</v>
      </c>
      <c r="N41" s="3">
        <v>2277866.4239999996</v>
      </c>
      <c r="O41" s="80">
        <v>170</v>
      </c>
      <c r="P41" s="31">
        <v>3.6</v>
      </c>
      <c r="Q41" s="21">
        <v>8200319.1263999986</v>
      </c>
    </row>
    <row r="42" spans="2:17">
      <c r="B42" s="7">
        <v>1979</v>
      </c>
      <c r="C42" s="2">
        <v>4295578</v>
      </c>
      <c r="D42" s="343">
        <v>197</v>
      </c>
      <c r="E42" s="71">
        <v>2.8832487309644672</v>
      </c>
      <c r="F42" s="2">
        <v>12385219.817258883</v>
      </c>
      <c r="G42" s="2"/>
      <c r="H42" s="2">
        <v>2518517</v>
      </c>
      <c r="I42" s="343">
        <v>196</v>
      </c>
      <c r="J42" s="71">
        <v>3.489795918367347</v>
      </c>
      <c r="K42" s="2">
        <v>8789110.3469387759</v>
      </c>
      <c r="M42" s="15">
        <v>3822527</v>
      </c>
      <c r="N42" s="3">
        <v>3149762.2479999997</v>
      </c>
      <c r="O42" s="80">
        <v>168</v>
      </c>
      <c r="P42" s="31">
        <v>3.6428571428571428</v>
      </c>
      <c r="Q42" s="21">
        <v>11474133.903428569</v>
      </c>
    </row>
    <row r="43" spans="2:17">
      <c r="B43" s="7">
        <v>1978</v>
      </c>
      <c r="C43" s="2">
        <v>3192666</v>
      </c>
      <c r="D43" s="343">
        <v>175</v>
      </c>
      <c r="E43" s="71">
        <v>3.2457142857142856</v>
      </c>
      <c r="F43" s="2">
        <v>10362481.645714285</v>
      </c>
      <c r="G43" s="2"/>
      <c r="H43" s="2">
        <v>1985067</v>
      </c>
      <c r="I43" s="343">
        <v>181</v>
      </c>
      <c r="J43" s="71">
        <v>3.7790055248618786</v>
      </c>
      <c r="K43" s="2">
        <v>7501579.1602209946</v>
      </c>
      <c r="M43" s="15">
        <v>3419340</v>
      </c>
      <c r="N43" s="3">
        <v>2817536.1599999997</v>
      </c>
      <c r="O43" s="80">
        <v>159</v>
      </c>
      <c r="P43" s="31">
        <v>3.8490566037735849</v>
      </c>
      <c r="Q43" s="21">
        <v>10844856.163018867</v>
      </c>
    </row>
    <row r="44" spans="2:17">
      <c r="B44" s="7">
        <v>1977</v>
      </c>
      <c r="C44" s="2">
        <v>2856836</v>
      </c>
      <c r="D44" s="343">
        <v>163</v>
      </c>
      <c r="E44" s="71">
        <v>3.4846625766871164</v>
      </c>
      <c r="F44" s="2">
        <v>9955109.4969325159</v>
      </c>
      <c r="G44" s="2"/>
      <c r="H44" s="2">
        <v>1806243</v>
      </c>
      <c r="I44" s="343">
        <v>183</v>
      </c>
      <c r="J44" s="71">
        <v>3.737704918032787</v>
      </c>
      <c r="K44" s="2">
        <v>6751203.3442622954</v>
      </c>
      <c r="M44" s="15">
        <v>2834879</v>
      </c>
      <c r="N44" s="3">
        <v>2335940.2960000001</v>
      </c>
      <c r="O44" s="80">
        <v>148</v>
      </c>
      <c r="P44" s="31">
        <v>4.1351351351351351</v>
      </c>
      <c r="Q44" s="21">
        <v>9659428.7915675677</v>
      </c>
    </row>
    <row r="45" spans="2:17">
      <c r="B45" s="7">
        <v>1976</v>
      </c>
      <c r="C45" s="2">
        <v>2505708</v>
      </c>
      <c r="D45" s="343">
        <v>152</v>
      </c>
      <c r="E45" s="71">
        <v>3.736842105263158</v>
      </c>
      <c r="F45" s="2">
        <v>9363435.1578947362</v>
      </c>
      <c r="G45" s="2"/>
      <c r="H45" s="2">
        <v>1612863</v>
      </c>
      <c r="I45" s="343">
        <v>166</v>
      </c>
      <c r="J45" s="71">
        <v>4.1204819277108431</v>
      </c>
      <c r="K45" s="2">
        <v>6645772.8433734933</v>
      </c>
      <c r="M45" s="15">
        <v>2394553</v>
      </c>
      <c r="N45" s="3">
        <v>1973111.6719999998</v>
      </c>
      <c r="O45" s="80">
        <v>136</v>
      </c>
      <c r="P45" s="31">
        <v>4.5</v>
      </c>
      <c r="Q45" s="21">
        <v>8879002.5239999983</v>
      </c>
    </row>
    <row r="46" spans="2:17">
      <c r="B46" s="7">
        <v>1975</v>
      </c>
      <c r="C46" s="2">
        <v>2193873</v>
      </c>
      <c r="D46" s="343">
        <v>146</v>
      </c>
      <c r="E46" s="71">
        <v>3.8904109589041096</v>
      </c>
      <c r="F46" s="2">
        <v>8535067.5616438352</v>
      </c>
      <c r="G46" s="2"/>
      <c r="H46" s="2">
        <v>1553659</v>
      </c>
      <c r="I46" s="343">
        <v>143</v>
      </c>
      <c r="J46" s="71">
        <v>4.7832167832167833</v>
      </c>
      <c r="K46" s="2">
        <v>7431487.8041958045</v>
      </c>
      <c r="M46" s="15">
        <v>2340915</v>
      </c>
      <c r="N46" s="3">
        <v>1928913.96</v>
      </c>
      <c r="O46" s="80">
        <v>130</v>
      </c>
      <c r="P46" s="31">
        <v>4.7076923076923078</v>
      </c>
      <c r="Q46" s="21">
        <v>9080733.4116923083</v>
      </c>
    </row>
    <row r="47" spans="2:17">
      <c r="B47" s="7">
        <v>1974</v>
      </c>
      <c r="C47" s="2">
        <v>1572058</v>
      </c>
      <c r="D47" s="343">
        <v>124</v>
      </c>
      <c r="E47" s="71">
        <v>4.580645161290323</v>
      </c>
      <c r="F47" s="2">
        <v>7201039.8709677421</v>
      </c>
      <c r="G47" s="2"/>
      <c r="H47" s="2">
        <v>1222106</v>
      </c>
      <c r="I47" s="343">
        <v>115</v>
      </c>
      <c r="J47" s="71">
        <v>5.947826086956522</v>
      </c>
      <c r="K47" s="2">
        <v>7268873.9478260875</v>
      </c>
      <c r="M47" s="15">
        <v>1758259</v>
      </c>
      <c r="N47" s="3">
        <v>1448805.416</v>
      </c>
      <c r="O47" s="80">
        <v>109</v>
      </c>
      <c r="P47" s="31">
        <v>5.6146788990825689</v>
      </c>
      <c r="Q47" s="21">
        <v>8134577.1980917435</v>
      </c>
    </row>
    <row r="48" spans="2:17">
      <c r="B48" s="7">
        <v>1973</v>
      </c>
      <c r="C48" s="2">
        <v>2059480</v>
      </c>
      <c r="D48" s="343">
        <v>100</v>
      </c>
      <c r="E48" s="71">
        <v>5.68</v>
      </c>
      <c r="F48" s="2">
        <v>11697846.399999999</v>
      </c>
      <c r="G48" s="2"/>
      <c r="H48" s="2">
        <v>1450559</v>
      </c>
      <c r="I48" s="343">
        <v>100</v>
      </c>
      <c r="J48" s="71">
        <v>6.84</v>
      </c>
      <c r="K48" s="2">
        <v>9921823.5600000005</v>
      </c>
      <c r="M48" s="15">
        <v>1685833</v>
      </c>
      <c r="N48" s="3">
        <v>1389126.392</v>
      </c>
      <c r="O48" s="80">
        <v>100</v>
      </c>
      <c r="P48" s="31">
        <v>6.12</v>
      </c>
      <c r="Q48" s="21">
        <v>8501453.5190399997</v>
      </c>
    </row>
    <row r="49" spans="2:17">
      <c r="B49" s="7">
        <v>1972</v>
      </c>
      <c r="C49" s="2">
        <v>1304421</v>
      </c>
      <c r="D49" s="343">
        <v>88</v>
      </c>
      <c r="E49" s="71">
        <v>6.4545454545454541</v>
      </c>
      <c r="F49" s="2">
        <v>8419444.6363636367</v>
      </c>
      <c r="G49" s="2"/>
      <c r="H49" s="2">
        <v>795646</v>
      </c>
      <c r="I49" s="343">
        <v>98</v>
      </c>
      <c r="J49" s="71">
        <v>6.9795918367346941</v>
      </c>
      <c r="K49" s="2">
        <v>5553284.3265306121</v>
      </c>
      <c r="M49" s="15">
        <v>1271668</v>
      </c>
      <c r="N49" s="3">
        <v>1047854.4319999999</v>
      </c>
      <c r="O49" s="80">
        <v>99</v>
      </c>
      <c r="P49" s="31">
        <v>6.1818181818181817</v>
      </c>
      <c r="Q49" s="21">
        <v>6477645.5796363633</v>
      </c>
    </row>
    <row r="50" spans="2:17">
      <c r="B50" s="7">
        <v>1971</v>
      </c>
      <c r="C50" s="2">
        <v>1422029</v>
      </c>
      <c r="D50" s="343">
        <v>82</v>
      </c>
      <c r="E50" s="71">
        <v>6.9268292682926829</v>
      </c>
      <c r="F50" s="2">
        <v>9850152.0975609757</v>
      </c>
      <c r="G50" s="2"/>
      <c r="H50" s="2">
        <v>910073</v>
      </c>
      <c r="I50" s="343">
        <v>95</v>
      </c>
      <c r="J50" s="71">
        <v>7.2</v>
      </c>
      <c r="K50" s="2">
        <v>6552525.6000000006</v>
      </c>
      <c r="M50" s="15">
        <v>1087396</v>
      </c>
      <c r="N50" s="3">
        <v>896014.304</v>
      </c>
      <c r="O50" s="80">
        <v>101</v>
      </c>
      <c r="P50" s="31">
        <v>6.0594059405940595</v>
      </c>
      <c r="Q50" s="21">
        <v>5429314.3965148516</v>
      </c>
    </row>
    <row r="51" spans="2:17">
      <c r="B51" s="7">
        <v>1970</v>
      </c>
      <c r="C51" s="2">
        <v>1067466</v>
      </c>
      <c r="D51" s="343">
        <v>76</v>
      </c>
      <c r="E51" s="71">
        <v>7.4736842105263159</v>
      </c>
      <c r="F51" s="2">
        <v>7977903.7894736845</v>
      </c>
      <c r="G51" s="2"/>
      <c r="H51" s="2">
        <v>837700</v>
      </c>
      <c r="I51" s="343">
        <v>87</v>
      </c>
      <c r="J51" s="71">
        <v>7.8620689655172411</v>
      </c>
      <c r="K51" s="2">
        <v>6586055.1724137925</v>
      </c>
      <c r="M51" s="15">
        <v>602462</v>
      </c>
      <c r="N51" s="3">
        <v>496428.68799999997</v>
      </c>
      <c r="O51" s="80">
        <v>102</v>
      </c>
      <c r="P51" s="31">
        <v>6</v>
      </c>
      <c r="Q51" s="21">
        <v>2978572.1279999996</v>
      </c>
    </row>
    <row r="52" spans="2:17">
      <c r="B52" s="7">
        <v>1969</v>
      </c>
      <c r="C52" s="2">
        <v>885288</v>
      </c>
      <c r="D52" s="343">
        <v>69</v>
      </c>
      <c r="E52" s="71">
        <v>8.2318840579710137</v>
      </c>
      <c r="F52" s="2">
        <v>7287588.173913043</v>
      </c>
      <c r="G52" s="2"/>
      <c r="H52" s="2">
        <v>434511</v>
      </c>
      <c r="I52" s="343">
        <v>78</v>
      </c>
      <c r="J52" s="71">
        <v>8.7692307692307701</v>
      </c>
      <c r="K52" s="2">
        <v>3810327.230769231</v>
      </c>
      <c r="M52" s="15">
        <v>598944</v>
      </c>
      <c r="N52" s="3">
        <v>493529.85599999997</v>
      </c>
      <c r="O52" s="80">
        <v>102</v>
      </c>
      <c r="P52" s="31">
        <v>6</v>
      </c>
      <c r="Q52" s="21">
        <v>2961179.1359999999</v>
      </c>
    </row>
    <row r="53" spans="2:17">
      <c r="B53" s="7">
        <v>1968</v>
      </c>
      <c r="C53" s="2">
        <v>675933</v>
      </c>
      <c r="D53" s="343">
        <v>65</v>
      </c>
      <c r="E53" s="71">
        <v>8.7384615384615376</v>
      </c>
      <c r="F53" s="2">
        <v>5906614.5230769226</v>
      </c>
      <c r="G53" s="2"/>
      <c r="H53" s="2">
        <v>449811</v>
      </c>
      <c r="I53" s="343">
        <v>71</v>
      </c>
      <c r="J53" s="71">
        <v>9.6338028169014081</v>
      </c>
      <c r="K53" s="2">
        <v>4333390.4788732389</v>
      </c>
      <c r="M53" s="15">
        <v>421570</v>
      </c>
      <c r="N53" s="3">
        <v>347373.68</v>
      </c>
      <c r="O53" s="80">
        <v>103</v>
      </c>
      <c r="P53" s="31">
        <v>5.941747572815534</v>
      </c>
      <c r="Q53" s="21">
        <v>2064006.72</v>
      </c>
    </row>
    <row r="54" spans="2:17">
      <c r="B54" s="7">
        <v>1967</v>
      </c>
      <c r="C54" s="2">
        <v>716397</v>
      </c>
      <c r="D54" s="343">
        <v>63</v>
      </c>
      <c r="E54" s="71">
        <v>9.0158730158730158</v>
      </c>
      <c r="F54" s="2">
        <v>6458944.3809523806</v>
      </c>
      <c r="G54" s="2"/>
      <c r="H54" s="2">
        <v>369548</v>
      </c>
      <c r="I54" s="343">
        <v>67</v>
      </c>
      <c r="J54" s="71">
        <v>10.208955223880597</v>
      </c>
      <c r="K54" s="2">
        <v>3772698.9850746267</v>
      </c>
      <c r="M54" s="15">
        <v>477632</v>
      </c>
      <c r="N54" s="3">
        <v>393568.76799999998</v>
      </c>
      <c r="O54" s="80">
        <v>100</v>
      </c>
      <c r="P54" s="31">
        <v>6.12</v>
      </c>
      <c r="Q54" s="21">
        <v>2408640.8601600002</v>
      </c>
    </row>
    <row r="55" spans="2:17">
      <c r="B55" s="7">
        <v>1966</v>
      </c>
      <c r="C55" s="2">
        <v>554314</v>
      </c>
      <c r="D55" s="343">
        <v>61</v>
      </c>
      <c r="E55" s="71">
        <v>9.3114754098360653</v>
      </c>
      <c r="F55" s="2">
        <v>5161481.180327869</v>
      </c>
      <c r="G55" s="2"/>
      <c r="H55" s="2">
        <v>370531</v>
      </c>
      <c r="I55" s="343">
        <v>63</v>
      </c>
      <c r="J55" s="71">
        <v>10.857142857142858</v>
      </c>
      <c r="K55" s="2">
        <v>4022908</v>
      </c>
      <c r="M55" s="15">
        <v>376566</v>
      </c>
      <c r="N55" s="3">
        <v>310290.38399999996</v>
      </c>
      <c r="O55" s="80">
        <v>97</v>
      </c>
      <c r="P55" s="31">
        <v>6.3092783505154637</v>
      </c>
      <c r="Q55" s="21">
        <v>1957708.4021443296</v>
      </c>
    </row>
    <row r="56" spans="2:17">
      <c r="B56" s="7">
        <v>1965</v>
      </c>
      <c r="C56" s="2">
        <v>680007</v>
      </c>
      <c r="D56" s="343">
        <v>58</v>
      </c>
      <c r="E56" s="71">
        <v>9.7931034482758612</v>
      </c>
      <c r="F56" s="2">
        <v>6659378.8965517236</v>
      </c>
      <c r="G56" s="2"/>
      <c r="H56" s="2">
        <v>461137</v>
      </c>
      <c r="I56" s="343">
        <v>60</v>
      </c>
      <c r="J56" s="71">
        <v>11.4</v>
      </c>
      <c r="K56" s="2">
        <v>5256961.8</v>
      </c>
      <c r="M56" s="15">
        <v>292318</v>
      </c>
      <c r="N56" s="3">
        <v>240870.03199999998</v>
      </c>
      <c r="O56" s="80">
        <v>96</v>
      </c>
      <c r="P56" s="31">
        <v>6.375</v>
      </c>
      <c r="Q56" s="21">
        <v>1535546.4539999999</v>
      </c>
    </row>
    <row r="57" spans="2:17">
      <c r="B57" s="7">
        <v>1964</v>
      </c>
      <c r="C57" s="2">
        <v>452672</v>
      </c>
      <c r="D57" s="343">
        <v>56</v>
      </c>
      <c r="E57" s="71">
        <v>10.142857142857142</v>
      </c>
      <c r="F57" s="2">
        <v>4591387.4285714282</v>
      </c>
      <c r="G57" s="2"/>
      <c r="H57" s="2">
        <v>279075</v>
      </c>
      <c r="I57" s="343">
        <v>57</v>
      </c>
      <c r="J57" s="71">
        <v>12</v>
      </c>
      <c r="K57" s="2">
        <v>3348900</v>
      </c>
      <c r="M57" s="15">
        <v>286355</v>
      </c>
      <c r="N57" s="3">
        <v>235956.52</v>
      </c>
      <c r="O57" s="80">
        <v>94</v>
      </c>
      <c r="P57" s="31">
        <v>6.5106382978723403</v>
      </c>
      <c r="Q57" s="21">
        <v>1536227.5557446808</v>
      </c>
    </row>
    <row r="58" spans="2:17">
      <c r="B58" s="7">
        <v>1963</v>
      </c>
      <c r="C58" s="2">
        <v>488400</v>
      </c>
      <c r="D58" s="343">
        <v>55</v>
      </c>
      <c r="E58" s="71">
        <v>10.327272727272728</v>
      </c>
      <c r="F58" s="2">
        <v>5043840</v>
      </c>
      <c r="G58" s="2"/>
      <c r="H58" s="2">
        <v>343852</v>
      </c>
      <c r="I58" s="343">
        <v>55</v>
      </c>
      <c r="J58" s="71">
        <v>12.436363636363636</v>
      </c>
      <c r="K58" s="2">
        <v>4276268.5090909088</v>
      </c>
      <c r="M58" s="15">
        <v>283459</v>
      </c>
      <c r="N58" s="3">
        <v>233570.21599999999</v>
      </c>
      <c r="O58" s="80">
        <v>94</v>
      </c>
      <c r="P58" s="31">
        <v>6.5106382978723403</v>
      </c>
      <c r="Q58" s="21">
        <v>1520691.1935319148</v>
      </c>
    </row>
    <row r="59" spans="2:17">
      <c r="B59" s="7">
        <v>1962</v>
      </c>
      <c r="C59" s="2">
        <v>490502</v>
      </c>
      <c r="D59" s="343">
        <v>54</v>
      </c>
      <c r="E59" s="71">
        <v>10.518518518518519</v>
      </c>
      <c r="F59" s="2">
        <v>5159354.3703703703</v>
      </c>
      <c r="G59" s="2"/>
      <c r="H59" s="2">
        <v>302964</v>
      </c>
      <c r="I59" s="343">
        <v>53</v>
      </c>
      <c r="J59" s="71">
        <v>12.90566037735849</v>
      </c>
      <c r="K59" s="2">
        <v>3909950.4905660376</v>
      </c>
      <c r="M59" s="15">
        <v>281113</v>
      </c>
      <c r="N59" s="3">
        <v>231637.11199999999</v>
      </c>
      <c r="O59" s="80">
        <v>99</v>
      </c>
      <c r="P59" s="31">
        <v>6.1818181818181817</v>
      </c>
      <c r="Q59" s="21">
        <v>1431938.5105454545</v>
      </c>
    </row>
    <row r="60" spans="2:17">
      <c r="B60" s="7">
        <v>1961</v>
      </c>
      <c r="C60" s="2">
        <v>756310</v>
      </c>
      <c r="D60" s="343">
        <v>53</v>
      </c>
      <c r="E60" s="71">
        <v>10.716981132075471</v>
      </c>
      <c r="F60" s="2">
        <v>8105360</v>
      </c>
      <c r="G60" s="2"/>
      <c r="H60" s="2">
        <v>571703</v>
      </c>
      <c r="I60" s="343">
        <v>53</v>
      </c>
      <c r="J60" s="71">
        <v>12.90566037735849</v>
      </c>
      <c r="K60" s="2">
        <v>7378204.7547169812</v>
      </c>
      <c r="M60" s="15">
        <v>321815</v>
      </c>
      <c r="N60" s="3">
        <v>265175.56</v>
      </c>
      <c r="O60" s="80">
        <v>109</v>
      </c>
      <c r="P60" s="31">
        <v>5.6146788990825689</v>
      </c>
      <c r="Q60" s="21">
        <v>1488875.6212844036</v>
      </c>
    </row>
    <row r="61" spans="2:17">
      <c r="B61" s="7">
        <v>1960</v>
      </c>
      <c r="C61" s="2">
        <v>356275</v>
      </c>
      <c r="D61" s="343">
        <v>52</v>
      </c>
      <c r="E61" s="71">
        <v>10.923076923076923</v>
      </c>
      <c r="F61" s="2">
        <v>3891619.230769231</v>
      </c>
      <c r="G61" s="2"/>
      <c r="H61" s="2">
        <v>251158</v>
      </c>
      <c r="I61" s="343">
        <v>52</v>
      </c>
      <c r="J61" s="71">
        <v>13.153846153846153</v>
      </c>
      <c r="K61" s="2">
        <v>3303693.692307692</v>
      </c>
      <c r="M61" s="15">
        <v>401828</v>
      </c>
      <c r="N61" s="3">
        <v>331106.272</v>
      </c>
      <c r="O61" s="80">
        <v>113</v>
      </c>
      <c r="P61" s="31">
        <v>5.4159292035398234</v>
      </c>
      <c r="Q61" s="21">
        <v>1793248.128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A7FDE4436DDBF4D82FDD1C15667C2E2" ma:contentTypeVersion="119" ma:contentTypeDescription="" ma:contentTypeScope="" ma:versionID="c032a4c147a26dcdd45af4d4b25597c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2015-02-09T08:00:00+00:00</OpenedDate>
    <Date1 xmlns="dc463f71-b30c-4ab2-9473-d307f9d35888">2015-02-09T08:00:00+00:00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009A6DF-83BC-4F86-8FE9-09ACC84F9E67}"/>
</file>

<file path=customXml/itemProps2.xml><?xml version="1.0" encoding="utf-8"?>
<ds:datastoreItem xmlns:ds="http://schemas.openxmlformats.org/officeDocument/2006/customXml" ds:itemID="{BA407C47-FD9D-41E2-B99F-BA7B1A4AB794}"/>
</file>

<file path=customXml/itemProps3.xml><?xml version="1.0" encoding="utf-8"?>
<ds:datastoreItem xmlns:ds="http://schemas.openxmlformats.org/officeDocument/2006/customXml" ds:itemID="{7C45DEED-18F7-4089-A818-95CF33358CEB}"/>
</file>

<file path=customXml/itemProps4.xml><?xml version="1.0" encoding="utf-8"?>
<ds:datastoreItem xmlns:ds="http://schemas.openxmlformats.org/officeDocument/2006/customXml" ds:itemID="{612F8C3D-0336-42F7-8608-BA0B80A05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Summary</vt:lpstr>
      <vt:lpstr>Handy-Whit T&amp;D Accts</vt:lpstr>
      <vt:lpstr>Depreciation</vt:lpstr>
      <vt:lpstr>Data</vt:lpstr>
      <vt:lpstr>HandyWhitmanIndexValues</vt:lpstr>
      <vt:lpstr>Transm sub extract</vt:lpstr>
      <vt:lpstr>Transm extract 354-355-356</vt:lpstr>
      <vt:lpstr>Dist Sub Extract</vt:lpstr>
      <vt:lpstr>Dist extract 364-365-368</vt:lpstr>
      <vt:lpstr>Sheet1</vt:lpstr>
      <vt:lpstr>Dist</vt:lpstr>
      <vt:lpstr>Sub</vt:lpstr>
      <vt:lpstr>Trans</vt:lpstr>
      <vt:lpstr>Transm Sub 352-353</vt:lpstr>
      <vt:lpstr>Transm Equip 354-355-356</vt:lpstr>
      <vt:lpstr>Dist Sub 361-362</vt:lpstr>
      <vt:lpstr>Dist Equip 364-365-368</vt:lpstr>
      <vt:lpstr>HW_Data</vt:lpstr>
      <vt:lpstr>HW_Year</vt:lpstr>
      <vt:lpstr>Data!Print_Area</vt:lpstr>
      <vt:lpstr>Depreciation!Print_Area</vt:lpstr>
      <vt:lpstr>'Handy-Whit T&amp;D Accts'!Print_Area</vt:lpstr>
      <vt:lpstr>Depreciation!Print_Titles</vt:lpstr>
      <vt:lpstr>'Handy-Whit T&amp;D Accts'!Print_Titles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fzx7qm</cp:lastModifiedBy>
  <cp:lastPrinted>2015-02-05T17:35:31Z</cp:lastPrinted>
  <dcterms:created xsi:type="dcterms:W3CDTF">2006-02-09T18:17:10Z</dcterms:created>
  <dcterms:modified xsi:type="dcterms:W3CDTF">2015-02-05T17:37:28Z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0x0101006E56B4D1795A2E4DB2F0B01679ED314A005A7FDE4436DDBF4D82FDD1C15667C2E2</vt:lpwstr>
  </property>
  <property fmtid="{D5CDD505-2E9C-101B-9397-08002B2CF9AE}" pid="3" name="_docset_NoMedatataSyncRequired">
    <vt:lpwstr>False</vt:lpwstr>
  </property>
</Properties>
</file>