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20\2020 OR Natural Gas GRC UG 389\Direct Testimony\200 Thies\Thies Workpapers\"/>
    </mc:Choice>
  </mc:AlternateContent>
  <xr:revisionPtr revIDLastSave="0" documentId="13_ncr:1_{61EECEC6-5B64-402E-8A68-747FAA1649F5}" xr6:coauthVersionLast="44" xr6:coauthVersionMax="44" xr10:uidLastSave="{00000000-0000-0000-0000-000000000000}"/>
  <bookViews>
    <workbookView xWindow="-28920" yWindow="5610" windowWidth="29040" windowHeight="15990" activeTab="3" xr2:uid="{00000000-000D-0000-FFFF-FFFF00000000}"/>
  </bookViews>
  <sheets>
    <sheet name="Sheet1" sheetId="2" r:id="rId1"/>
    <sheet name="Capital Expenditures Chart" sheetId="3" r:id="rId2"/>
    <sheet name="Capital Exp by Function Chart" sheetId="5" r:id="rId3"/>
    <sheet name="Requested vs Approved" sheetId="6" r:id="rId4"/>
    <sheet name="Planned vs Actual Tabl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6" l="1"/>
  <c r="E12" i="6" s="1"/>
  <c r="D5" i="6" l="1"/>
  <c r="E5" i="6" s="1"/>
  <c r="A6" i="6"/>
  <c r="D6" i="6"/>
  <c r="E6" i="6" s="1"/>
  <c r="A7" i="6"/>
  <c r="A8" i="6" s="1"/>
  <c r="A9" i="6" s="1"/>
  <c r="A10" i="6" s="1"/>
  <c r="A11" i="6" s="1"/>
  <c r="D7" i="6"/>
  <c r="E7" i="6" s="1"/>
  <c r="D8" i="6"/>
  <c r="E8" i="6" s="1"/>
  <c r="D9" i="6"/>
  <c r="E9" i="6" s="1"/>
  <c r="D10" i="6"/>
  <c r="E10" i="6" s="1"/>
  <c r="D11" i="6"/>
  <c r="E11" i="6" s="1"/>
  <c r="I8" i="5" l="1"/>
  <c r="G8" i="5"/>
  <c r="F8" i="5"/>
  <c r="E8" i="5"/>
  <c r="D8" i="5"/>
  <c r="C8" i="5"/>
  <c r="I13" i="5"/>
  <c r="H13" i="5"/>
  <c r="G13" i="5"/>
  <c r="F13" i="5"/>
  <c r="E13" i="5"/>
  <c r="D13" i="5"/>
  <c r="C13" i="5"/>
  <c r="AE9" i="2" l="1"/>
  <c r="H8" i="5" s="1"/>
  <c r="AE11" i="2" l="1"/>
  <c r="AJ11" i="2"/>
  <c r="AJ25" i="2" l="1"/>
  <c r="C10" i="3"/>
  <c r="K13" i="5" s="1"/>
  <c r="AE25" i="2"/>
  <c r="C5" i="3"/>
  <c r="D15" i="4"/>
  <c r="AJ14" i="2"/>
  <c r="AJ24" i="2" s="1"/>
  <c r="AE14" i="2"/>
  <c r="AE24" i="2" s="1"/>
  <c r="I12" i="5"/>
  <c r="H12" i="5"/>
  <c r="G12" i="5"/>
  <c r="F12" i="5"/>
  <c r="E12" i="5"/>
  <c r="D12" i="5"/>
  <c r="C12" i="5"/>
  <c r="I11" i="5"/>
  <c r="H11" i="5"/>
  <c r="G11" i="5"/>
  <c r="F11" i="5"/>
  <c r="E11" i="5"/>
  <c r="D11" i="5"/>
  <c r="C11" i="5"/>
  <c r="I10" i="5"/>
  <c r="H10" i="5"/>
  <c r="G10" i="5"/>
  <c r="F10" i="5"/>
  <c r="E10" i="5"/>
  <c r="D10" i="5"/>
  <c r="C10" i="5"/>
  <c r="I9" i="5"/>
  <c r="H9" i="5"/>
  <c r="G9" i="5"/>
  <c r="F9" i="5"/>
  <c r="E9" i="5"/>
  <c r="D9" i="5"/>
  <c r="C9" i="5"/>
  <c r="G7" i="5"/>
  <c r="F7" i="5"/>
  <c r="E7" i="5"/>
  <c r="D7" i="5"/>
  <c r="C7" i="5"/>
  <c r="G6" i="5"/>
  <c r="F6" i="5"/>
  <c r="E6" i="5"/>
  <c r="D6" i="5"/>
  <c r="C6" i="5"/>
  <c r="G5" i="5"/>
  <c r="F5" i="5"/>
  <c r="E5" i="5"/>
  <c r="D5" i="5"/>
  <c r="C5" i="5"/>
  <c r="I4" i="5"/>
  <c r="F4" i="5"/>
  <c r="E4" i="5"/>
  <c r="D4" i="5"/>
  <c r="C4" i="5"/>
  <c r="I3" i="5"/>
  <c r="G3" i="5"/>
  <c r="F3" i="5"/>
  <c r="E3" i="5"/>
  <c r="D3" i="5"/>
  <c r="C3" i="5"/>
  <c r="D2" i="5"/>
  <c r="E2" i="5"/>
  <c r="F2" i="5"/>
  <c r="G2" i="5"/>
  <c r="I2" i="5"/>
  <c r="C2" i="5"/>
  <c r="B3" i="5"/>
  <c r="B4" i="5" s="1"/>
  <c r="B5" i="5" s="1"/>
  <c r="B6" i="5" s="1"/>
  <c r="B7" i="5" s="1"/>
  <c r="B8" i="5" s="1"/>
  <c r="B9" i="5" s="1"/>
  <c r="B10" i="5" s="1"/>
  <c r="B11" i="5" s="1"/>
  <c r="B12" i="5" s="1"/>
  <c r="T9" i="2" l="1"/>
  <c r="H3" i="5" s="1"/>
  <c r="B7" i="4" l="1"/>
  <c r="B8" i="4" s="1"/>
  <c r="B9" i="4" s="1"/>
  <c r="B10" i="4" s="1"/>
  <c r="B11" i="4" s="1"/>
  <c r="B12" i="4" s="1"/>
  <c r="B13" i="4" s="1"/>
  <c r="B14" i="4" s="1"/>
  <c r="B15" i="4" s="1"/>
  <c r="K8" i="5"/>
  <c r="K3" i="5"/>
  <c r="AC10" i="2" l="1"/>
  <c r="I7" i="5" s="1"/>
  <c r="AC9" i="2"/>
  <c r="H7" i="5" s="1"/>
  <c r="AA9" i="2" l="1"/>
  <c r="H6" i="5" s="1"/>
  <c r="AA10" i="2" l="1"/>
  <c r="I6" i="5" s="1"/>
  <c r="AB10" i="2" l="1"/>
  <c r="AA11" i="2"/>
  <c r="AB11" i="2"/>
  <c r="AC11" i="2"/>
  <c r="AH11" i="2"/>
  <c r="AI11" i="2"/>
  <c r="C9" i="3" s="1"/>
  <c r="K12" i="5" s="1"/>
  <c r="AA25" i="2" l="1"/>
  <c r="D13" i="4"/>
  <c r="C3" i="3"/>
  <c r="K6" i="5" s="1"/>
  <c r="AC25" i="2"/>
  <c r="D14" i="4"/>
  <c r="C4" i="3"/>
  <c r="K7" i="5" s="1"/>
  <c r="AB25" i="2"/>
  <c r="C14" i="4"/>
  <c r="AI14" i="2"/>
  <c r="AI24" i="2" s="1"/>
  <c r="AI25" i="2"/>
  <c r="AH14" i="2"/>
  <c r="AH25" i="2"/>
  <c r="AC14" i="2"/>
  <c r="AC24" i="2" s="1"/>
  <c r="AB14" i="2"/>
  <c r="AB24" i="2" s="1"/>
  <c r="AA14" i="2"/>
  <c r="AA24" i="2" s="1"/>
  <c r="Y9" i="2"/>
  <c r="H5" i="5" s="1"/>
  <c r="E14" i="4" l="1"/>
  <c r="AH24" i="2"/>
  <c r="C8" i="3"/>
  <c r="K11" i="5" s="1"/>
  <c r="Z9" i="2"/>
  <c r="AG11" i="2" l="1"/>
  <c r="Y10" i="2"/>
  <c r="I5" i="5" s="1"/>
  <c r="Y11" i="2" l="1"/>
  <c r="AG14" i="2"/>
  <c r="AG24" i="2" s="1"/>
  <c r="C7" i="3"/>
  <c r="K10" i="5" s="1"/>
  <c r="Y14" i="2"/>
  <c r="Y24" i="2" s="1"/>
  <c r="Y25" i="2"/>
  <c r="AG25" i="2"/>
  <c r="AF11" i="2"/>
  <c r="D12" i="4" l="1"/>
  <c r="C2" i="3"/>
  <c r="K5" i="5" s="1"/>
  <c r="AF14" i="2"/>
  <c r="AF24" i="2" s="1"/>
  <c r="C6" i="3"/>
  <c r="K9" i="5" s="1"/>
  <c r="AF25" i="2"/>
  <c r="V9" i="2"/>
  <c r="H4" i="5" s="1"/>
  <c r="V8" i="2" l="1"/>
  <c r="T11" i="2"/>
  <c r="D10" i="4" s="1"/>
  <c r="W6" i="2"/>
  <c r="W8" i="2"/>
  <c r="W9" i="2"/>
  <c r="AD11" i="2"/>
  <c r="R9" i="2"/>
  <c r="R11" i="2" l="1"/>
  <c r="D9" i="4" s="1"/>
  <c r="H2" i="5"/>
  <c r="K2" i="5" s="1"/>
  <c r="AD14" i="2"/>
  <c r="AD24" i="2" s="1"/>
  <c r="C15" i="4"/>
  <c r="E15" i="4" s="1"/>
  <c r="V11" i="2"/>
  <c r="G4" i="5"/>
  <c r="AD25" i="2"/>
  <c r="U9" i="2"/>
  <c r="P9" i="2"/>
  <c r="P6" i="2"/>
  <c r="S5" i="2"/>
  <c r="S10" i="2"/>
  <c r="S7" i="2"/>
  <c r="D11" i="4" l="1"/>
  <c r="C1" i="3"/>
  <c r="K4" i="5" s="1"/>
  <c r="S11" i="2"/>
  <c r="C9" i="4" s="1"/>
  <c r="E9" i="4" s="1"/>
  <c r="P10" i="2"/>
  <c r="P5" i="2"/>
  <c r="Z11" i="2" l="1"/>
  <c r="P11" i="2"/>
  <c r="D8" i="4" s="1"/>
  <c r="Q10" i="2"/>
  <c r="Q5" i="2"/>
  <c r="Q7" i="2"/>
  <c r="N10" i="2"/>
  <c r="N5" i="2"/>
  <c r="N7" i="2"/>
  <c r="N9" i="2"/>
  <c r="I24" i="2"/>
  <c r="G24" i="2"/>
  <c r="O5" i="2"/>
  <c r="Z25" i="2" l="1"/>
  <c r="C13" i="4"/>
  <c r="E13" i="4" s="1"/>
  <c r="Z14" i="2"/>
  <c r="Z24" i="2" s="1"/>
  <c r="P25" i="2"/>
  <c r="Q11" i="2"/>
  <c r="Q25" i="2" s="1"/>
  <c r="O11" i="2"/>
  <c r="O14" i="2" s="1"/>
  <c r="O24" i="2" s="1"/>
  <c r="C7" i="4" s="1"/>
  <c r="X11" i="2"/>
  <c r="C12" i="4" s="1"/>
  <c r="E12" i="4" s="1"/>
  <c r="W11" i="2"/>
  <c r="C11" i="4" s="1"/>
  <c r="E11" i="4" s="1"/>
  <c r="U11" i="2"/>
  <c r="C10" i="4" s="1"/>
  <c r="E10" i="4" s="1"/>
  <c r="U14" i="2" l="1"/>
  <c r="U24" i="2" s="1"/>
  <c r="U25" i="2"/>
  <c r="X14" i="2"/>
  <c r="X24" i="2" s="1"/>
  <c r="X25" i="2"/>
  <c r="W14" i="2"/>
  <c r="W24" i="2" s="1"/>
  <c r="W25" i="2"/>
  <c r="L11" i="2"/>
  <c r="L25" i="2" l="1"/>
  <c r="D6" i="4"/>
  <c r="S14" i="2"/>
  <c r="S24" i="2" s="1"/>
  <c r="S25" i="2"/>
  <c r="J11" i="2"/>
  <c r="J25" i="2" s="1"/>
  <c r="M9" i="2" l="1"/>
  <c r="N11" i="2"/>
  <c r="D7" i="4" s="1"/>
  <c r="E7" i="4" s="1"/>
  <c r="Q14" i="2"/>
  <c r="Q24" i="2" s="1"/>
  <c r="C8" i="4" s="1"/>
  <c r="E8" i="4" s="1"/>
  <c r="D17" i="4" l="1"/>
  <c r="N25" i="2"/>
  <c r="K7" i="2"/>
  <c r="K11" i="2" s="1"/>
  <c r="K14" i="2" s="1"/>
  <c r="K24" i="2" s="1"/>
  <c r="C10" i="2"/>
  <c r="C9" i="2"/>
  <c r="C8" i="2"/>
  <c r="C7" i="2"/>
  <c r="C6" i="2"/>
  <c r="C5" i="2"/>
  <c r="C4" i="2"/>
  <c r="C3" i="2"/>
  <c r="C24" i="2"/>
  <c r="E24" i="2"/>
  <c r="B11" i="2"/>
  <c r="M11" i="2"/>
  <c r="M14" i="2" s="1"/>
  <c r="M24" i="2" s="1"/>
  <c r="C6" i="4" s="1"/>
  <c r="G9" i="2"/>
  <c r="E9" i="2"/>
  <c r="E10" i="2"/>
  <c r="E7" i="2"/>
  <c r="E6" i="2"/>
  <c r="E3" i="2"/>
  <c r="H11" i="2"/>
  <c r="H25" i="2" s="1"/>
  <c r="D11" i="2"/>
  <c r="I10" i="2"/>
  <c r="I9" i="2"/>
  <c r="I8" i="2"/>
  <c r="I4" i="2"/>
  <c r="G8" i="2"/>
  <c r="G6" i="2"/>
  <c r="G10" i="2"/>
  <c r="G5" i="2"/>
  <c r="G4" i="2"/>
  <c r="G3" i="2"/>
  <c r="F11" i="2"/>
  <c r="F25" i="2" s="1"/>
  <c r="C17" i="4" l="1"/>
  <c r="E6" i="4"/>
  <c r="E17" i="4" s="1"/>
  <c r="C11" i="2"/>
  <c r="E11" i="2"/>
  <c r="G11" i="2"/>
  <c r="I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rpc2777</author>
    <author>Margie Stevens</author>
    <author>jww0439</author>
    <author>Webster, Jeremiah</author>
  </authors>
  <commentList>
    <comment ref="P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rpc2777:</t>
        </r>
        <r>
          <rPr>
            <sz val="8"/>
            <color indexed="81"/>
            <rFont val="Tahoma"/>
            <family val="2"/>
          </rPr>
          <t xml:space="preserve">
less Non-Cash LTSA $5.076</t>
        </r>
      </text>
    </comment>
    <comment ref="W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Margie Stevens:</t>
        </r>
        <r>
          <rPr>
            <sz val="9"/>
            <color indexed="81"/>
            <rFont val="Tahoma"/>
            <family val="2"/>
          </rPr>
          <t xml:space="preserve">
Includes $2.0M of carryover for Nine Mile funds that were not spent in 2014</t>
        </r>
      </text>
    </comment>
    <comment ref="K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Margie Stevens: 8/13/09</t>
        </r>
        <r>
          <rPr>
            <sz val="8"/>
            <color indexed="81"/>
            <rFont val="Tahoma"/>
            <family val="2"/>
          </rPr>
          <t xml:space="preserve">
Revised to account for less distribution transformers and customer hookups
</t>
        </r>
      </text>
    </comment>
    <comment ref="N7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Margie Stevens:</t>
        </r>
        <r>
          <rPr>
            <sz val="8"/>
            <color indexed="81"/>
            <rFont val="Tahoma"/>
            <family val="2"/>
          </rPr>
          <t xml:space="preserve">
Reduced Growth for non-revenue transformers, meters, regulators &amp; gas ERTs 2/27/12 - reclassed to T&amp;D and Gas</t>
        </r>
      </text>
    </comment>
    <comment ref="Q7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Margie Stevens:</t>
        </r>
        <r>
          <rPr>
            <sz val="8"/>
            <color indexed="81"/>
            <rFont val="Tahoma"/>
            <family val="2"/>
          </rPr>
          <t xml:space="preserve">
Adjusted for non-revenue transformers, gas meters, regulators and ERTs
2/27/2012
</t>
        </r>
      </text>
    </comment>
    <comment ref="W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Margie Stevens:</t>
        </r>
        <r>
          <rPr>
            <sz val="9"/>
            <color indexed="81"/>
            <rFont val="Tahoma"/>
            <family val="2"/>
          </rPr>
          <t xml:space="preserve">
Adjusted Compass carryover
-15.4 entered in budget system
+ (16.3 + 3.0) expected carryover to achieve $107M plus add'l $3M approved by FC of the board</t>
        </r>
      </text>
    </comment>
    <comment ref="N9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Margie Stevens:</t>
        </r>
        <r>
          <rPr>
            <sz val="8"/>
            <color indexed="81"/>
            <rFont val="Tahoma"/>
            <family val="2"/>
          </rPr>
          <t xml:space="preserve">
Includes productivity of $2.656430
</t>
        </r>
      </text>
    </comment>
    <comment ref="P9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rpc2777:</t>
        </r>
        <r>
          <rPr>
            <sz val="8"/>
            <color indexed="81"/>
            <rFont val="Tahoma"/>
            <family val="2"/>
          </rPr>
          <t xml:space="preserve">
Plus productivity 4,215K plus EOY HVAC accrual $1.000</t>
        </r>
      </text>
    </comment>
    <comment ref="R9" authorId="2" shapeId="0" xr:uid="{00000000-0006-0000-0000-000009000000}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including 8.8MM productivity and 1.1MM strategic</t>
        </r>
      </text>
    </comment>
    <comment ref="T9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Margie Stevens:</t>
        </r>
        <r>
          <rPr>
            <sz val="9"/>
            <color indexed="81"/>
            <rFont val="Tahoma"/>
            <family val="2"/>
          </rPr>
          <t xml:space="preserve">
Includes 1.7M productivity and $2.0M strategic
Revised 2/6/2015</t>
        </r>
      </text>
    </comment>
    <comment ref="V9" authorId="1" shapeId="0" xr:uid="{00000000-0006-0000-0000-00000B000000}">
      <text>
        <r>
          <rPr>
            <b/>
            <sz val="9"/>
            <color indexed="81"/>
            <rFont val="Tahoma"/>
            <charset val="1"/>
          </rPr>
          <t>Margie Stevens:</t>
        </r>
        <r>
          <rPr>
            <sz val="9"/>
            <color indexed="81"/>
            <rFont val="Tahoma"/>
            <charset val="1"/>
          </rPr>
          <t xml:space="preserve">
Includes $2.3 productivity and $6.3 strategic</t>
        </r>
      </text>
    </comment>
    <comment ref="Y9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jww0439:</t>
        </r>
        <r>
          <rPr>
            <sz val="9"/>
            <color indexed="81"/>
            <rFont val="Tahoma"/>
            <family val="2"/>
          </rPr>
          <t xml:space="preserve">
Includes 1.1M productivity and 0.24M strategic</t>
        </r>
      </text>
    </comment>
    <comment ref="AA9" authorId="3" shapeId="0" xr:uid="{00000000-0006-0000-0000-00000D000000}">
      <text>
        <r>
          <rPr>
            <b/>
            <sz val="9"/>
            <color indexed="81"/>
            <rFont val="Tahoma"/>
            <charset val="1"/>
          </rPr>
          <t>Webster, Jeremiah:</t>
        </r>
        <r>
          <rPr>
            <sz val="9"/>
            <color indexed="81"/>
            <rFont val="Tahoma"/>
            <charset val="1"/>
          </rPr>
          <t xml:space="preserve">
Includes $5.3M productivity and $3.4M strategic</t>
        </r>
      </text>
    </comment>
    <comment ref="AC9" authorId="3" shapeId="0" xr:uid="{00000000-0006-0000-0000-00000E000000}">
      <text>
        <r>
          <rPr>
            <b/>
            <sz val="9"/>
            <color indexed="81"/>
            <rFont val="Tahoma"/>
            <charset val="1"/>
          </rPr>
          <t>Webster, Jeremiah:</t>
        </r>
        <r>
          <rPr>
            <sz val="9"/>
            <color indexed="81"/>
            <rFont val="Tahoma"/>
            <charset val="1"/>
          </rPr>
          <t xml:space="preserve">
Includes $4.3M productivity and $3.1M strategic</t>
        </r>
      </text>
    </comment>
    <comment ref="L10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rpc2777:</t>
        </r>
        <r>
          <rPr>
            <sz val="8"/>
            <color indexed="81"/>
            <rFont val="Tahoma"/>
            <family val="2"/>
          </rPr>
          <t xml:space="preserve">
Includes SG/SC
</t>
        </r>
      </text>
    </comment>
    <comment ref="Y10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jww0439:</t>
        </r>
        <r>
          <rPr>
            <sz val="9"/>
            <color indexed="81"/>
            <rFont val="Tahoma"/>
            <family val="2"/>
          </rPr>
          <t xml:space="preserve">
Spend less T&amp;D Reimbursable and LED Change-Out GL accruals (1.25M and 1.252M, repectively)</t>
        </r>
      </text>
    </comment>
    <comment ref="A20" authorId="1" shapeId="0" xr:uid="{00000000-0006-0000-0000-000011000000}">
      <text>
        <r>
          <rPr>
            <b/>
            <sz val="8"/>
            <color indexed="81"/>
            <rFont val="Tahoma"/>
            <family val="2"/>
          </rPr>
          <t>Margie Stevens:</t>
        </r>
        <r>
          <rPr>
            <sz val="8"/>
            <color indexed="81"/>
            <rFont val="Tahoma"/>
            <family val="2"/>
          </rPr>
          <t xml:space="preserve">
Approved due to the sale of Avista Energy</t>
        </r>
      </text>
    </comment>
    <comment ref="C23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Margie Stevens:</t>
        </r>
        <r>
          <rPr>
            <sz val="8"/>
            <color indexed="81"/>
            <rFont val="Tahoma"/>
            <family val="2"/>
          </rPr>
          <t xml:space="preserve">
Prorated by functional area</t>
        </r>
      </text>
    </comment>
  </commentList>
</comments>
</file>

<file path=xl/sharedStrings.xml><?xml version="1.0" encoding="utf-8"?>
<sst xmlns="http://schemas.openxmlformats.org/spreadsheetml/2006/main" count="101" uniqueCount="87">
  <si>
    <t>230 kV Project</t>
  </si>
  <si>
    <t>Environmental</t>
  </si>
  <si>
    <t>Gas</t>
  </si>
  <si>
    <t>Generation</t>
  </si>
  <si>
    <t>Growth</t>
  </si>
  <si>
    <t>Other</t>
  </si>
  <si>
    <t>Electric T&amp;D</t>
  </si>
  <si>
    <t>2005B</t>
  </si>
  <si>
    <t>2006B</t>
  </si>
  <si>
    <t>2007B</t>
  </si>
  <si>
    <t>2008B</t>
  </si>
  <si>
    <t>Original Budget</t>
  </si>
  <si>
    <t>Add'l appr Projects</t>
  </si>
  <si>
    <t>Appr carryover from prior year</t>
  </si>
  <si>
    <t>CS2 LTSA sift from 2006 to 2005</t>
  </si>
  <si>
    <t>Over budget 2004=reduction to 2005</t>
  </si>
  <si>
    <t>2005A</t>
  </si>
  <si>
    <t>2006A</t>
  </si>
  <si>
    <t>2007A</t>
  </si>
  <si>
    <t>2008A</t>
  </si>
  <si>
    <t>2009A</t>
  </si>
  <si>
    <t>2009 B</t>
  </si>
  <si>
    <t>2012 Budget</t>
  </si>
  <si>
    <t>2010A</t>
  </si>
  <si>
    <t>2013 Budget</t>
  </si>
  <si>
    <t>Wind Projection Forecasted</t>
  </si>
  <si>
    <t>2010 B</t>
  </si>
  <si>
    <t>Note:  2009 we included the CS2 transformer in actuals, therefore in 2010 we include the associated credit from the insurance proceeds in actuals.</t>
  </si>
  <si>
    <t>2016 Budget</t>
  </si>
  <si>
    <t>2011 A</t>
  </si>
  <si>
    <t>2011 B</t>
  </si>
  <si>
    <t>ET</t>
  </si>
  <si>
    <t>Note: For allocating the Smart Grid projects -- Smart Grid Gas was included within the Gas area, Smart Grid funds were put towards Electric T&amp;D or other for Workforce training.</t>
  </si>
  <si>
    <t>Smart Grid (T&amp;D) (ER 7202)</t>
  </si>
  <si>
    <t>Smart Circuit (T&amp;D) (ER 2529)</t>
  </si>
  <si>
    <t>Smart Grid (T&amp;D) (ER 2530)</t>
  </si>
  <si>
    <t>Smart Grid (Gas) (ER 3291)</t>
  </si>
  <si>
    <t>Note: Productivity Initiative is not included in budget but is included in actuals.</t>
  </si>
  <si>
    <t>Reclasses:</t>
  </si>
  <si>
    <t>From</t>
  </si>
  <si>
    <t>Wood Pole Mgmt</t>
  </si>
  <si>
    <t>System Efficiency Feeder Rebuild</t>
  </si>
  <si>
    <t>Planned Meter Change Out</t>
  </si>
  <si>
    <t>2012 A</t>
  </si>
  <si>
    <t>2012 B</t>
  </si>
  <si>
    <t>Note:  Actuals from end of year Expected Spend Report;</t>
  </si>
  <si>
    <t>2017 Budget</t>
  </si>
  <si>
    <t>TCOP</t>
  </si>
  <si>
    <t>Transformer</t>
  </si>
  <si>
    <t>Meters</t>
  </si>
  <si>
    <t>Gas Reg</t>
  </si>
  <si>
    <t>Gas ERTS</t>
  </si>
  <si>
    <t>ERT Replacement</t>
  </si>
  <si>
    <t>2018 Budget</t>
  </si>
  <si>
    <t>2013 A</t>
  </si>
  <si>
    <t>2013 B</t>
  </si>
  <si>
    <t>2014 B</t>
  </si>
  <si>
    <t>2014 A</t>
  </si>
  <si>
    <t>2019 Budget</t>
  </si>
  <si>
    <t>2015 A</t>
  </si>
  <si>
    <t>2015 B</t>
  </si>
  <si>
    <t>Amount for CapExp Exhibit</t>
  </si>
  <si>
    <t>2020 Budget</t>
  </si>
  <si>
    <t>2016 Actual</t>
  </si>
  <si>
    <t>2021 Budget</t>
  </si>
  <si>
    <t>2017 Actual</t>
  </si>
  <si>
    <t>2018 Actual</t>
  </si>
  <si>
    <t>2022 Budget</t>
  </si>
  <si>
    <t>2023 Budget</t>
  </si>
  <si>
    <t>Planned</t>
  </si>
  <si>
    <t>Actual</t>
  </si>
  <si>
    <t>Planned Expenditures</t>
  </si>
  <si>
    <t>Actual Expenditures</t>
  </si>
  <si>
    <t>Percentage of Planned</t>
  </si>
  <si>
    <t>Ten Year Average</t>
  </si>
  <si>
    <t>TABLE NO. 1</t>
  </si>
  <si>
    <t>Planned vs. Actual Expenditures, in $millions</t>
  </si>
  <si>
    <t>Note:</t>
  </si>
  <si>
    <t>check</t>
  </si>
  <si>
    <t>2024 Budget</t>
  </si>
  <si>
    <t>2019 Actual</t>
  </si>
  <si>
    <t>% Capital Delayed</t>
  </si>
  <si>
    <t>Delayed</t>
  </si>
  <si>
    <t>Approved</t>
  </si>
  <si>
    <t>Requested</t>
  </si>
  <si>
    <t>Year</t>
  </si>
  <si>
    <t>In $millions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</si>
</sst>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#,##0,_);\(#,##0,\)"/>
    <numFmt numFmtId="167" formatCode="@*."/>
    <numFmt numFmtId="168" formatCode="&quot;$&quot;\ #,##0_);\(&quot;$&quot;\ #,##0\)"/>
    <numFmt numFmtId="169" formatCode="&quot;$&quot;\ #,##0.00_);\(&quot;$&quot;\ #,##0.00\)"/>
    <numFmt numFmtId="170" formatCode="[$-409]mmm\-yy;@"/>
    <numFmt numFmtId="171" formatCode="#,##0.00;[Red]\(#,##0.00\)"/>
    <numFmt numFmtId="172" formatCode="_(* #,##0.000_);_(* \(#,##0.000\);_(* &quot;-&quot;??_);_(@_)"/>
    <numFmt numFmtId="173" formatCode="&quot;$&quot;#,##0.00"/>
    <numFmt numFmtId="174" formatCode="_(&quot;$&quot;* #,##0.0_);_(&quot;$&quot;* \(#,##0.0\);_(&quot;$&quot;* &quot;-&quot;?_);_(@_)"/>
  </numFmts>
  <fonts count="34" x14ac:knownFonts="1">
    <font>
      <b/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color indexed="12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2"/>
      <color indexed="10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7" fontId="6" fillId="0" borderId="0"/>
    <xf numFmtId="3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11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>
      <alignment horizontal="left" indent="1"/>
    </xf>
    <xf numFmtId="170" fontId="6" fillId="2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9" fillId="0" borderId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2" fillId="4" borderId="0">
      <alignment horizontal="right"/>
    </xf>
    <xf numFmtId="0" fontId="13" fillId="4" borderId="3"/>
    <xf numFmtId="0" fontId="14" fillId="0" borderId="0" applyBorder="0">
      <alignment horizontal="centerContinuous"/>
    </xf>
    <xf numFmtId="0" fontId="13" fillId="0" borderId="0" applyBorder="0">
      <alignment horizontal="centerContinuous"/>
    </xf>
    <xf numFmtId="0" fontId="15" fillId="5" borderId="0">
      <alignment horizontal="left"/>
    </xf>
    <xf numFmtId="0" fontId="16" fillId="5" borderId="0">
      <alignment horizontal="right"/>
    </xf>
    <xf numFmtId="0" fontId="16" fillId="5" borderId="0">
      <alignment horizontal="center"/>
    </xf>
    <xf numFmtId="0" fontId="16" fillId="5" borderId="0">
      <alignment horizontal="right"/>
    </xf>
    <xf numFmtId="0" fontId="17" fillId="5" borderId="0">
      <alignment horizontal="left"/>
    </xf>
    <xf numFmtId="0" fontId="15" fillId="5" borderId="0">
      <alignment horizontal="left"/>
    </xf>
    <xf numFmtId="0" fontId="15" fillId="5" borderId="0">
      <alignment horizontal="left"/>
    </xf>
    <xf numFmtId="0" fontId="18" fillId="3" borderId="0"/>
    <xf numFmtId="40" fontId="19" fillId="4" borderId="0">
      <alignment horizontal="right"/>
    </xf>
    <xf numFmtId="0" fontId="15" fillId="5" borderId="0">
      <alignment horizontal="center"/>
    </xf>
    <xf numFmtId="49" fontId="20" fillId="5" borderId="0">
      <alignment horizontal="center"/>
    </xf>
    <xf numFmtId="0" fontId="16" fillId="5" borderId="0">
      <alignment horizontal="center"/>
    </xf>
    <xf numFmtId="0" fontId="16" fillId="5" borderId="0">
      <alignment horizontal="centerContinuous"/>
    </xf>
    <xf numFmtId="0" fontId="21" fillId="5" borderId="0">
      <alignment horizontal="left"/>
    </xf>
    <xf numFmtId="49" fontId="21" fillId="5" borderId="0">
      <alignment horizontal="center"/>
    </xf>
    <xf numFmtId="0" fontId="15" fillId="5" borderId="0">
      <alignment horizontal="left"/>
    </xf>
    <xf numFmtId="49" fontId="21" fillId="5" borderId="0">
      <alignment horizontal="left"/>
    </xf>
    <xf numFmtId="0" fontId="15" fillId="5" borderId="0">
      <alignment horizontal="centerContinuous"/>
    </xf>
    <xf numFmtId="0" fontId="15" fillId="5" borderId="0">
      <alignment horizontal="right"/>
    </xf>
    <xf numFmtId="49" fontId="15" fillId="5" borderId="0">
      <alignment horizontal="left"/>
    </xf>
    <xf numFmtId="0" fontId="16" fillId="5" borderId="0">
      <alignment horizontal="right"/>
    </xf>
    <xf numFmtId="0" fontId="21" fillId="6" borderId="0">
      <alignment horizontal="center"/>
    </xf>
    <xf numFmtId="0" fontId="22" fillId="6" borderId="0">
      <alignment horizontal="center"/>
    </xf>
    <xf numFmtId="0" fontId="23" fillId="5" borderId="0">
      <alignment horizontal="center"/>
    </xf>
    <xf numFmtId="0" fontId="7" fillId="0" borderId="0"/>
    <xf numFmtId="43" fontId="7" fillId="0" borderId="0" applyFont="0" applyFill="0" applyBorder="0" applyAlignment="0" applyProtection="0"/>
    <xf numFmtId="171" fontId="24" fillId="5" borderId="0">
      <alignment horizontal="right"/>
    </xf>
    <xf numFmtId="0" fontId="25" fillId="0" borderId="0"/>
    <xf numFmtId="43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7" fillId="0" borderId="0"/>
    <xf numFmtId="43" fontId="7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2" applyNumberFormat="1" applyFont="1"/>
    <xf numFmtId="164" fontId="0" fillId="0" borderId="0" xfId="1" applyNumberFormat="1" applyFont="1" applyBorder="1"/>
    <xf numFmtId="44" fontId="0" fillId="0" borderId="0" xfId="0" applyNumberFormat="1"/>
    <xf numFmtId="165" fontId="0" fillId="0" borderId="0" xfId="2" applyNumberFormat="1" applyFont="1" applyFill="1"/>
    <xf numFmtId="164" fontId="0" fillId="0" borderId="0" xfId="1" applyNumberFormat="1" applyFont="1" applyFill="1"/>
    <xf numFmtId="165" fontId="0" fillId="0" borderId="2" xfId="2" applyNumberFormat="1" applyFont="1" applyBorder="1"/>
    <xf numFmtId="165" fontId="0" fillId="0" borderId="2" xfId="0" applyNumberFormat="1" applyBorder="1"/>
    <xf numFmtId="165" fontId="0" fillId="0" borderId="0" xfId="2" applyNumberFormat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Border="1"/>
    <xf numFmtId="165" fontId="0" fillId="0" borderId="0" xfId="0" applyNumberFormat="1"/>
    <xf numFmtId="0" fontId="0" fillId="0" borderId="0" xfId="0" applyBorder="1"/>
    <xf numFmtId="172" fontId="0" fillId="0" borderId="0" xfId="1" applyNumberFormat="1" applyFont="1" applyBorder="1"/>
    <xf numFmtId="172" fontId="0" fillId="7" borderId="0" xfId="1" applyNumberFormat="1" applyFont="1" applyFill="1" applyBorder="1"/>
    <xf numFmtId="0" fontId="0" fillId="0" borderId="0" xfId="0" applyFill="1" applyBorder="1"/>
    <xf numFmtId="164" fontId="0" fillId="0" borderId="1" xfId="1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/>
    </xf>
    <xf numFmtId="173" fontId="0" fillId="0" borderId="4" xfId="2" applyNumberFormat="1" applyFont="1" applyBorder="1"/>
    <xf numFmtId="0" fontId="7" fillId="0" borderId="10" xfId="0" applyFont="1" applyBorder="1" applyAlignment="1">
      <alignment horizontal="center"/>
    </xf>
    <xf numFmtId="173" fontId="7" fillId="0" borderId="0" xfId="0" applyNumberFormat="1" applyFont="1" applyBorder="1"/>
    <xf numFmtId="9" fontId="7" fillId="0" borderId="0" xfId="73" applyFont="1" applyBorder="1"/>
    <xf numFmtId="9" fontId="0" fillId="0" borderId="4" xfId="73" applyFont="1" applyBorder="1"/>
    <xf numFmtId="174" fontId="0" fillId="0" borderId="0" xfId="0" applyNumberFormat="1"/>
    <xf numFmtId="0" fontId="1" fillId="0" borderId="0" xfId="74"/>
    <xf numFmtId="0" fontId="31" fillId="0" borderId="14" xfId="74" applyFont="1" applyBorder="1" applyAlignment="1">
      <alignment horizontal="center"/>
    </xf>
    <xf numFmtId="0" fontId="32" fillId="0" borderId="14" xfId="74" applyFont="1" applyBorder="1" applyAlignment="1">
      <alignment horizontal="center"/>
    </xf>
    <xf numFmtId="5" fontId="32" fillId="0" borderId="14" xfId="74" applyNumberFormat="1" applyFont="1" applyBorder="1" applyAlignment="1">
      <alignment horizontal="center"/>
    </xf>
    <xf numFmtId="9" fontId="33" fillId="0" borderId="14" xfId="75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76">
    <cellStyle name="2decimal" xfId="4" xr:uid="{00000000-0005-0000-0000-000000000000}"/>
    <cellStyle name="ColumnAttributeAbovePrompt" xfId="28" xr:uid="{00000000-0005-0000-0000-000001000000}"/>
    <cellStyle name="ColumnAttributePrompt" xfId="29" xr:uid="{00000000-0005-0000-0000-000002000000}"/>
    <cellStyle name="ColumnAttributeValue" xfId="30" xr:uid="{00000000-0005-0000-0000-000003000000}"/>
    <cellStyle name="ColumnHeadingPrompt" xfId="31" xr:uid="{00000000-0005-0000-0000-000004000000}"/>
    <cellStyle name="ColumnHeadingValue" xfId="32" xr:uid="{00000000-0005-0000-0000-000005000000}"/>
    <cellStyle name="Comma" xfId="1" builtinId="3"/>
    <cellStyle name="Comma [0] 2" xfId="21" xr:uid="{00000000-0005-0000-0000-000007000000}"/>
    <cellStyle name="Comma 2" xfId="53" xr:uid="{00000000-0005-0000-0000-000008000000}"/>
    <cellStyle name="Comma 2 2" xfId="56" xr:uid="{00000000-0005-0000-0000-000009000000}"/>
    <cellStyle name="Comma 2 3" xfId="64" xr:uid="{00000000-0005-0000-0000-00000A000000}"/>
    <cellStyle name="Comma 3" xfId="20" xr:uid="{00000000-0005-0000-0000-00000B000000}"/>
    <cellStyle name="Comma 3 2" xfId="69" xr:uid="{00000000-0005-0000-0000-00000C000000}"/>
    <cellStyle name="Comma 4" xfId="17" xr:uid="{00000000-0005-0000-0000-00000D000000}"/>
    <cellStyle name="Comma 5" xfId="5" xr:uid="{00000000-0005-0000-0000-00000E000000}"/>
    <cellStyle name="Comma 6" xfId="58" xr:uid="{00000000-0005-0000-0000-00000F000000}"/>
    <cellStyle name="Comma 7" xfId="60" xr:uid="{00000000-0005-0000-0000-000010000000}"/>
    <cellStyle name="Comma 8" xfId="63" xr:uid="{00000000-0005-0000-0000-000011000000}"/>
    <cellStyle name="Currency" xfId="2" builtinId="4"/>
    <cellStyle name="Currency [0] 2" xfId="23" xr:uid="{00000000-0005-0000-0000-000013000000}"/>
    <cellStyle name="Currency 2" xfId="22" xr:uid="{00000000-0005-0000-0000-000014000000}"/>
    <cellStyle name="Currency 2 2" xfId="66" xr:uid="{00000000-0005-0000-0000-000015000000}"/>
    <cellStyle name="Currency 3" xfId="6" xr:uid="{00000000-0005-0000-0000-000016000000}"/>
    <cellStyle name="Currency 4" xfId="59" xr:uid="{00000000-0005-0000-0000-000017000000}"/>
    <cellStyle name="Currency 5" xfId="61" xr:uid="{00000000-0005-0000-0000-000018000000}"/>
    <cellStyle name="Currency 6" xfId="65" xr:uid="{00000000-0005-0000-0000-000019000000}"/>
    <cellStyle name="Currency0" xfId="7" xr:uid="{00000000-0005-0000-0000-00001A000000}"/>
    <cellStyle name="Currency0nospace" xfId="8" xr:uid="{00000000-0005-0000-0000-00001B000000}"/>
    <cellStyle name="Currency2" xfId="9" xr:uid="{00000000-0005-0000-0000-00001C000000}"/>
    <cellStyle name="LabelWithTotals" xfId="10" xr:uid="{00000000-0005-0000-0000-00001D000000}"/>
    <cellStyle name="LineItemPrompt" xfId="33" xr:uid="{00000000-0005-0000-0000-00001E000000}"/>
    <cellStyle name="LineItemValue" xfId="34" xr:uid="{00000000-0005-0000-0000-00001F000000}"/>
    <cellStyle name="Manual-Input" xfId="35" xr:uid="{00000000-0005-0000-0000-000020000000}"/>
    <cellStyle name="MonthHeader" xfId="11" xr:uid="{00000000-0005-0000-0000-000021000000}"/>
    <cellStyle name="Normal" xfId="0" builtinId="0"/>
    <cellStyle name="Normal 2" xfId="18" xr:uid="{00000000-0005-0000-0000-000023000000}"/>
    <cellStyle name="Normal 2 2" xfId="55" xr:uid="{00000000-0005-0000-0000-000024000000}"/>
    <cellStyle name="Normal 2 2 2" xfId="68" xr:uid="{00000000-0005-0000-0000-000025000000}"/>
    <cellStyle name="Normal 2 3" xfId="52" xr:uid="{00000000-0005-0000-0000-000026000000}"/>
    <cellStyle name="Normal 2 4" xfId="67" xr:uid="{00000000-0005-0000-0000-000027000000}"/>
    <cellStyle name="Normal 3" xfId="19" xr:uid="{00000000-0005-0000-0000-000028000000}"/>
    <cellStyle name="Normal 3 2" xfId="70" xr:uid="{00000000-0005-0000-0000-000029000000}"/>
    <cellStyle name="Normal 4" xfId="16" xr:uid="{00000000-0005-0000-0000-00002A000000}"/>
    <cellStyle name="Normal 4 2" xfId="71" xr:uid="{00000000-0005-0000-0000-00002B000000}"/>
    <cellStyle name="Normal 5" xfId="3" xr:uid="{00000000-0005-0000-0000-00002C000000}"/>
    <cellStyle name="Normal 6" xfId="62" xr:uid="{00000000-0005-0000-0000-00002D000000}"/>
    <cellStyle name="Normal 7" xfId="74" xr:uid="{00000000-0005-0000-0000-00002E000000}"/>
    <cellStyle name="Output Amounts" xfId="36" xr:uid="{00000000-0005-0000-0000-00002F000000}"/>
    <cellStyle name="OUTPUT AMOUNTS 2" xfId="54" xr:uid="{00000000-0005-0000-0000-000030000000}"/>
    <cellStyle name="Output Column Headings" xfId="24" xr:uid="{00000000-0005-0000-0000-000031000000}"/>
    <cellStyle name="Output Line Items" xfId="25" xr:uid="{00000000-0005-0000-0000-000032000000}"/>
    <cellStyle name="Output Report Heading" xfId="27" xr:uid="{00000000-0005-0000-0000-000033000000}"/>
    <cellStyle name="Output Report Title" xfId="26" xr:uid="{00000000-0005-0000-0000-000034000000}"/>
    <cellStyle name="Percent" xfId="73" builtinId="5"/>
    <cellStyle name="Percent 2" xfId="57" xr:uid="{00000000-0005-0000-0000-000036000000}"/>
    <cellStyle name="Percent 2 2" xfId="72" xr:uid="{00000000-0005-0000-0000-000037000000}"/>
    <cellStyle name="Percent 3" xfId="12" xr:uid="{00000000-0005-0000-0000-000038000000}"/>
    <cellStyle name="Percent 4" xfId="75" xr:uid="{00000000-0005-0000-0000-000039000000}"/>
    <cellStyle name="QtrHeader" xfId="13" xr:uid="{00000000-0005-0000-0000-00003A000000}"/>
    <cellStyle name="ReportTitlePrompt" xfId="37" xr:uid="{00000000-0005-0000-0000-00003B000000}"/>
    <cellStyle name="ReportTitleValue" xfId="38" xr:uid="{00000000-0005-0000-0000-00003C000000}"/>
    <cellStyle name="RowAcctAbovePrompt" xfId="39" xr:uid="{00000000-0005-0000-0000-00003D000000}"/>
    <cellStyle name="RowAcctSOBAbovePrompt" xfId="40" xr:uid="{00000000-0005-0000-0000-00003E000000}"/>
    <cellStyle name="RowAcctSOBValue" xfId="41" xr:uid="{00000000-0005-0000-0000-00003F000000}"/>
    <cellStyle name="RowAcctValue" xfId="42" xr:uid="{00000000-0005-0000-0000-000040000000}"/>
    <cellStyle name="RowAttrAbovePrompt" xfId="43" xr:uid="{00000000-0005-0000-0000-000041000000}"/>
    <cellStyle name="RowAttrValue" xfId="44" xr:uid="{00000000-0005-0000-0000-000042000000}"/>
    <cellStyle name="RowColSetAbovePrompt" xfId="45" xr:uid="{00000000-0005-0000-0000-000043000000}"/>
    <cellStyle name="RowColSetLeftPrompt" xfId="46" xr:uid="{00000000-0005-0000-0000-000044000000}"/>
    <cellStyle name="RowColSetValue" xfId="47" xr:uid="{00000000-0005-0000-0000-000045000000}"/>
    <cellStyle name="RowLeftPrompt" xfId="48" xr:uid="{00000000-0005-0000-0000-000046000000}"/>
    <cellStyle name="SampleUsingFormatMask" xfId="49" xr:uid="{00000000-0005-0000-0000-000047000000}"/>
    <cellStyle name="SampleWithNoFormatMask" xfId="50" xr:uid="{00000000-0005-0000-0000-000048000000}"/>
    <cellStyle name="Thousands" xfId="14" xr:uid="{00000000-0005-0000-0000-000049000000}"/>
    <cellStyle name="UploadThisRowValue" xfId="51" xr:uid="{00000000-0005-0000-0000-00004A000000}"/>
    <cellStyle name="YrHeader" xfId="15" xr:uid="{00000000-0005-0000-0000-00004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A5A2E"/>
      <rgbColor rgb="00C29A3A"/>
      <rgbColor rgb="00C9DBFF"/>
      <rgbColor rgb="00EFCEBF"/>
      <rgbColor rgb="000038A9"/>
      <rgbColor rgb="00000000"/>
      <rgbColor rgb="000066CC"/>
      <rgbColor rgb="00CCCCFF"/>
      <rgbColor rgb="00FF0000"/>
      <rgbColor rgb="00FFFF00"/>
      <rgbColor rgb="0000FF00"/>
      <rgbColor rgb="0000FFFF"/>
      <rgbColor rgb="000000FF"/>
      <rgbColor rgb="00FF00FF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'Capital Expenditures Chart'!$A$1:$B$10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  <c:lvl>
                  <c:pt idx="0">
                    <c:v>Actual</c:v>
                  </c:pt>
                  <c:pt idx="5">
                    <c:v>Planned</c:v>
                  </c:pt>
                </c:lvl>
              </c:multiLvlStrCache>
            </c:multiLvlStrRef>
          </c:cat>
          <c:val>
            <c:numRef>
              <c:f>'Capital Expenditures Chart'!$C$1:$C$10</c:f>
              <c:numCache>
                <c:formatCode>_("$"* #,##0.0_);_("$"* \(#,##0.0\);_("$"* "-"??_);_(@_)</c:formatCode>
                <c:ptCount val="10"/>
                <c:pt idx="0">
                  <c:v>415300000</c:v>
                </c:pt>
                <c:pt idx="1">
                  <c:v>397388000.00000006</c:v>
                </c:pt>
                <c:pt idx="2">
                  <c:v>427549000.00000006</c:v>
                </c:pt>
                <c:pt idx="3">
                  <c:v>435580999.99999994</c:v>
                </c:pt>
                <c:pt idx="4">
                  <c:v>448807863</c:v>
                </c:pt>
                <c:pt idx="5">
                  <c:v>405000000</c:v>
                </c:pt>
                <c:pt idx="6">
                  <c:v>405000000</c:v>
                </c:pt>
                <c:pt idx="7">
                  <c:v>405000000</c:v>
                </c:pt>
                <c:pt idx="8">
                  <c:v>405000000</c:v>
                </c:pt>
                <c:pt idx="9">
                  <c:v>405000000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Capital Expenditures</c:v>
                </c15:tx>
              </c15:filteredSeriesTitle>
            </c:ext>
            <c:ext xmlns:c16="http://schemas.microsoft.com/office/drawing/2014/chart" uri="{C3380CC4-5D6E-409C-BE32-E72D297353CC}">
              <c16:uniqueId val="{00000000-284A-4128-8F83-DF846714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5481656"/>
        <c:axId val="539966584"/>
      </c:barChart>
      <c:catAx>
        <c:axId val="5354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966584"/>
        <c:crosses val="autoZero"/>
        <c:auto val="1"/>
        <c:lblAlgn val="ctr"/>
        <c:lblOffset val="100"/>
        <c:noMultiLvlLbl val="0"/>
      </c:catAx>
      <c:valAx>
        <c:axId val="539966584"/>
        <c:scaling>
          <c:orientation val="minMax"/>
          <c:min val="3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4816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9840115059753719E-3"/>
                <c:y val="0.4107198741471868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Capital Expenditures by Function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'Capital Exp by Function Chart'!$C$1</c:f>
              <c:strCache>
                <c:ptCount val="1"/>
                <c:pt idx="0">
                  <c:v>Environmental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Chart'!$C$2:$C$13</c:f>
              <c:numCache>
                <c:formatCode>_("$"* #,##0.0_);_("$"* \(#,##0.0\);_("$"* "-"??_);_(@_)</c:formatCode>
                <c:ptCount val="12"/>
                <c:pt idx="0">
                  <c:v>7800100.3599999994</c:v>
                </c:pt>
                <c:pt idx="1">
                  <c:v>11740365</c:v>
                </c:pt>
                <c:pt idx="2">
                  <c:v>6000000</c:v>
                </c:pt>
                <c:pt idx="3">
                  <c:v>17312000</c:v>
                </c:pt>
                <c:pt idx="4">
                  <c:v>7446000</c:v>
                </c:pt>
                <c:pt idx="5">
                  <c:v>4967000</c:v>
                </c:pt>
                <c:pt idx="6">
                  <c:v>12996098</c:v>
                </c:pt>
                <c:pt idx="7">
                  <c:v>24136627</c:v>
                </c:pt>
                <c:pt idx="8">
                  <c:v>18223068</c:v>
                </c:pt>
                <c:pt idx="9">
                  <c:v>6096910</c:v>
                </c:pt>
                <c:pt idx="10">
                  <c:v>5282698</c:v>
                </c:pt>
                <c:pt idx="11">
                  <c:v>5094679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0-4092-9D78-90A5705DAE9D}"/>
            </c:ext>
          </c:extLst>
        </c:ser>
        <c:ser>
          <c:idx val="1"/>
          <c:order val="1"/>
          <c:tx>
            <c:strRef>
              <c:f>'Capital Exp by Function Chart'!$D$1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Chart'!$D$2:$D$13</c:f>
              <c:numCache>
                <c:formatCode>_("$"* #,##0.0_);_("$"* \(#,##0.0\);_("$"* "-"??_);_(@_)</c:formatCode>
                <c:ptCount val="12"/>
                <c:pt idx="0">
                  <c:v>34693403.020000003</c:v>
                </c:pt>
                <c:pt idx="1">
                  <c:v>42597966</c:v>
                </c:pt>
                <c:pt idx="2">
                  <c:v>48600000</c:v>
                </c:pt>
                <c:pt idx="3">
                  <c:v>45859000</c:v>
                </c:pt>
                <c:pt idx="4">
                  <c:v>48472000</c:v>
                </c:pt>
                <c:pt idx="5">
                  <c:v>51730000</c:v>
                </c:pt>
                <c:pt idx="6">
                  <c:v>50170847</c:v>
                </c:pt>
                <c:pt idx="7">
                  <c:v>46193892</c:v>
                </c:pt>
                <c:pt idx="8">
                  <c:v>47608892</c:v>
                </c:pt>
                <c:pt idx="9">
                  <c:v>49549816</c:v>
                </c:pt>
                <c:pt idx="10">
                  <c:v>45988645</c:v>
                </c:pt>
                <c:pt idx="11">
                  <c:v>45355648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0-4092-9D78-90A5705DAE9D}"/>
            </c:ext>
          </c:extLst>
        </c:ser>
        <c:ser>
          <c:idx val="2"/>
          <c:order val="2"/>
          <c:tx>
            <c:strRef>
              <c:f>'Capital Exp by Function Chart'!$E$1</c:f>
              <c:strCache>
                <c:ptCount val="1"/>
                <c:pt idx="0">
                  <c:v>Generation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Chart'!$E$2:$E$13</c:f>
              <c:numCache>
                <c:formatCode>_("$"* #,##0.0_);_("$"* \(#,##0.0\);_("$"* "-"??_);_(@_)</c:formatCode>
                <c:ptCount val="12"/>
                <c:pt idx="0">
                  <c:v>33617318.359999999</c:v>
                </c:pt>
                <c:pt idx="1">
                  <c:v>62764658</c:v>
                </c:pt>
                <c:pt idx="2">
                  <c:v>71400000</c:v>
                </c:pt>
                <c:pt idx="3">
                  <c:v>55067000</c:v>
                </c:pt>
                <c:pt idx="4">
                  <c:v>46482000</c:v>
                </c:pt>
                <c:pt idx="5">
                  <c:v>40494000</c:v>
                </c:pt>
                <c:pt idx="6">
                  <c:v>37052298</c:v>
                </c:pt>
                <c:pt idx="7">
                  <c:v>51451805</c:v>
                </c:pt>
                <c:pt idx="8">
                  <c:v>53933675</c:v>
                </c:pt>
                <c:pt idx="9">
                  <c:v>54488738</c:v>
                </c:pt>
                <c:pt idx="10">
                  <c:v>61201000</c:v>
                </c:pt>
                <c:pt idx="11">
                  <c:v>61199000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0-4092-9D78-90A5705DAE9D}"/>
            </c:ext>
          </c:extLst>
        </c:ser>
        <c:ser>
          <c:idx val="3"/>
          <c:order val="3"/>
          <c:tx>
            <c:strRef>
              <c:f>'Capital Exp by Function Chart'!$F$1</c:f>
              <c:strCache>
                <c:ptCount val="1"/>
                <c:pt idx="0">
                  <c:v>Growth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Chart'!$F$2:$F$13</c:f>
              <c:numCache>
                <c:formatCode>_("$"* #,##0.0_);_("$"* \(#,##0.0\);_("$"* "-"??_);_(@_)</c:formatCode>
                <c:ptCount val="12"/>
                <c:pt idx="0">
                  <c:v>41102731.739999995</c:v>
                </c:pt>
                <c:pt idx="1">
                  <c:v>46157518</c:v>
                </c:pt>
                <c:pt idx="2">
                  <c:v>49800000</c:v>
                </c:pt>
                <c:pt idx="3">
                  <c:v>56694000</c:v>
                </c:pt>
                <c:pt idx="4">
                  <c:v>70926000</c:v>
                </c:pt>
                <c:pt idx="5">
                  <c:v>81415000</c:v>
                </c:pt>
                <c:pt idx="6">
                  <c:v>72424179</c:v>
                </c:pt>
                <c:pt idx="7">
                  <c:v>57956711</c:v>
                </c:pt>
                <c:pt idx="8">
                  <c:v>51134379</c:v>
                </c:pt>
                <c:pt idx="9">
                  <c:v>49859819</c:v>
                </c:pt>
                <c:pt idx="10">
                  <c:v>49734401</c:v>
                </c:pt>
                <c:pt idx="11">
                  <c:v>50362596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00-4092-9D78-90A5705DAE9D}"/>
            </c:ext>
          </c:extLst>
        </c:ser>
        <c:ser>
          <c:idx val="4"/>
          <c:order val="4"/>
          <c:tx>
            <c:strRef>
              <c:f>'Capital Exp by Function Chart'!$G$1</c:f>
              <c:strCache>
                <c:ptCount val="1"/>
                <c:pt idx="0">
                  <c:v>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Chart'!$G$2:$G$13</c:f>
              <c:numCache>
                <c:formatCode>_("$"* #,##0.0_);_("$"* \(#,##0.0\);_("$"* "-"??_);_(@_)</c:formatCode>
                <c:ptCount val="12"/>
                <c:pt idx="0">
                  <c:v>58001734.139999993</c:v>
                </c:pt>
                <c:pt idx="1">
                  <c:v>71378734</c:v>
                </c:pt>
                <c:pt idx="2">
                  <c:v>55000000</c:v>
                </c:pt>
                <c:pt idx="3">
                  <c:v>52697000</c:v>
                </c:pt>
                <c:pt idx="4">
                  <c:v>45394000</c:v>
                </c:pt>
                <c:pt idx="5">
                  <c:v>47927000</c:v>
                </c:pt>
                <c:pt idx="6">
                  <c:v>50575041</c:v>
                </c:pt>
                <c:pt idx="7">
                  <c:v>42594463</c:v>
                </c:pt>
                <c:pt idx="8">
                  <c:v>52905275</c:v>
                </c:pt>
                <c:pt idx="9">
                  <c:v>59687121</c:v>
                </c:pt>
                <c:pt idx="10">
                  <c:v>57584578</c:v>
                </c:pt>
                <c:pt idx="11">
                  <c:v>54836578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00-4092-9D78-90A5705DAE9D}"/>
            </c:ext>
          </c:extLst>
        </c:ser>
        <c:ser>
          <c:idx val="5"/>
          <c:order val="5"/>
          <c:tx>
            <c:strRef>
              <c:f>'Capital Exp by Function Chart'!$H$1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Chart'!$H$2:$H$13</c:f>
              <c:numCache>
                <c:formatCode>_("$"* #,##0.0_);_("$"* \(#,##0.0\);_("$"* "-"??_);_(@_)</c:formatCode>
                <c:ptCount val="12"/>
                <c:pt idx="0">
                  <c:v>38025094.390000001</c:v>
                </c:pt>
                <c:pt idx="1">
                  <c:v>24084898.000000004</c:v>
                </c:pt>
                <c:pt idx="2">
                  <c:v>48699999.999999993</c:v>
                </c:pt>
                <c:pt idx="3">
                  <c:v>31043000.000000004</c:v>
                </c:pt>
                <c:pt idx="4">
                  <c:v>46735000.000000007</c:v>
                </c:pt>
                <c:pt idx="5">
                  <c:v>66408000</c:v>
                </c:pt>
                <c:pt idx="6">
                  <c:v>46428498.999999993</c:v>
                </c:pt>
                <c:pt idx="7">
                  <c:v>28942845</c:v>
                </c:pt>
                <c:pt idx="8">
                  <c:v>36023346</c:v>
                </c:pt>
                <c:pt idx="9">
                  <c:v>33761476</c:v>
                </c:pt>
                <c:pt idx="10">
                  <c:v>38885258</c:v>
                </c:pt>
                <c:pt idx="11">
                  <c:v>53946179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00-4092-9D78-90A5705DAE9D}"/>
            </c:ext>
          </c:extLst>
        </c:ser>
        <c:ser>
          <c:idx val="6"/>
          <c:order val="6"/>
          <c:tx>
            <c:strRef>
              <c:f>'Capital Exp by Function Chart'!$I$1</c:f>
              <c:strCache>
                <c:ptCount val="1"/>
                <c:pt idx="0">
                  <c:v>Electric T&amp;D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'Capital Exp by Function Chart'!$A$2:$B$13</c:f>
              <c:multiLvlStrCache>
                <c:ptCount val="12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Actual</c:v>
                  </c:pt>
                  <c:pt idx="7">
                    <c:v>Planned</c:v>
                  </c:pt>
                </c:lvl>
              </c:multiLvlStrCache>
            </c:multiLvlStrRef>
          </c:cat>
          <c:val>
            <c:numRef>
              <c:f>'Capital Exp by Function Chart'!$I$2:$I$13</c:f>
              <c:numCache>
                <c:formatCode>_("$"* #,##0.0_);_("$"* \(#,##0.0\);_("$"* "-"??_);_(@_)</c:formatCode>
                <c:ptCount val="12"/>
                <c:pt idx="0">
                  <c:v>82623247.640000015</c:v>
                </c:pt>
                <c:pt idx="1">
                  <c:v>93552939</c:v>
                </c:pt>
                <c:pt idx="2">
                  <c:v>135800000</c:v>
                </c:pt>
                <c:pt idx="3">
                  <c:v>138715999.99999997</c:v>
                </c:pt>
                <c:pt idx="4">
                  <c:v>162094000</c:v>
                </c:pt>
                <c:pt idx="5">
                  <c:v>142640000</c:v>
                </c:pt>
                <c:pt idx="6">
                  <c:v>179160901</c:v>
                </c:pt>
                <c:pt idx="7">
                  <c:v>153723657</c:v>
                </c:pt>
                <c:pt idx="8">
                  <c:v>145171365</c:v>
                </c:pt>
                <c:pt idx="9">
                  <c:v>151556120</c:v>
                </c:pt>
                <c:pt idx="10">
                  <c:v>146323420</c:v>
                </c:pt>
                <c:pt idx="11">
                  <c:v>134205320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00-4092-9D78-90A5705DA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9968544"/>
        <c:axId val="539971288"/>
      </c:barChart>
      <c:catAx>
        <c:axId val="5399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971288"/>
        <c:crosses val="autoZero"/>
        <c:auto val="1"/>
        <c:lblAlgn val="ctr"/>
        <c:lblOffset val="100"/>
        <c:noMultiLvlLbl val="0"/>
      </c:catAx>
      <c:valAx>
        <c:axId val="53997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_);_(&quot;$&quot;* \(#,##0.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96854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0</xdr:row>
      <xdr:rowOff>0</xdr:rowOff>
    </xdr:from>
    <xdr:to>
      <xdr:col>18</xdr:col>
      <xdr:colOff>600075</xdr:colOff>
      <xdr:row>34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21</xdr:row>
      <xdr:rowOff>128587</xdr:rowOff>
    </xdr:from>
    <xdr:to>
      <xdr:col>13</xdr:col>
      <xdr:colOff>438150</xdr:colOff>
      <xdr:row>54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3"/>
  <sheetViews>
    <sheetView zoomScale="90" zoomScaleNormal="90" workbookViewId="0">
      <pane xSplit="5" ySplit="2" topLeftCell="T3" activePane="bottomRight" state="frozen"/>
      <selection pane="topRight" activeCell="F1" sqref="F1"/>
      <selection pane="bottomLeft" activeCell="A3" sqref="A3"/>
      <selection pane="bottomRight" activeCell="AH37" sqref="AH37"/>
    </sheetView>
  </sheetViews>
  <sheetFormatPr defaultRowHeight="12.45" outlineLevelCol="1" x14ac:dyDescent="0.3"/>
  <cols>
    <col min="1" max="1" width="35.15234375" customWidth="1"/>
    <col min="2" max="5" width="9.15234375" customWidth="1" outlineLevel="1"/>
    <col min="6" max="6" width="8.84375" customWidth="1" outlineLevel="1" collapsed="1"/>
    <col min="7" max="9" width="8.84375" customWidth="1" outlineLevel="1"/>
    <col min="13" max="17" width="12" bestFit="1" customWidth="1"/>
    <col min="18" max="18" width="12" customWidth="1"/>
    <col min="19" max="19" width="12.3828125" bestFit="1" customWidth="1"/>
    <col min="20" max="20" width="12.3828125" customWidth="1"/>
    <col min="21" max="21" width="12.3828125" bestFit="1" customWidth="1"/>
    <col min="22" max="22" width="12.3828125" customWidth="1"/>
    <col min="23" max="24" width="12.3828125" bestFit="1" customWidth="1"/>
    <col min="25" max="25" width="12.3828125" customWidth="1"/>
    <col min="26" max="26" width="12.3828125" bestFit="1" customWidth="1"/>
    <col min="27" max="27" width="12.3828125" customWidth="1"/>
    <col min="28" max="28" width="12.3828125" bestFit="1" customWidth="1"/>
    <col min="29" max="29" width="12.3828125" customWidth="1"/>
    <col min="30" max="31" width="11.53515625" customWidth="1"/>
    <col min="32" max="35" width="11.84375" bestFit="1" customWidth="1"/>
  </cols>
  <sheetData>
    <row r="1" spans="1:36" x14ac:dyDescent="0.3">
      <c r="A1" s="12" t="s">
        <v>45</v>
      </c>
    </row>
    <row r="2" spans="1:36" x14ac:dyDescent="0.3">
      <c r="B2" t="s">
        <v>16</v>
      </c>
      <c r="C2" t="s">
        <v>7</v>
      </c>
      <c r="D2" t="s">
        <v>17</v>
      </c>
      <c r="E2" t="s">
        <v>8</v>
      </c>
      <c r="F2" t="s">
        <v>18</v>
      </c>
      <c r="G2" t="s">
        <v>9</v>
      </c>
      <c r="H2" t="s">
        <v>19</v>
      </c>
      <c r="I2" t="s">
        <v>10</v>
      </c>
      <c r="J2" t="s">
        <v>20</v>
      </c>
      <c r="K2" t="s">
        <v>21</v>
      </c>
      <c r="L2" t="s">
        <v>23</v>
      </c>
      <c r="M2" t="s">
        <v>26</v>
      </c>
      <c r="N2" t="s">
        <v>29</v>
      </c>
      <c r="O2" t="s">
        <v>30</v>
      </c>
      <c r="P2" t="s">
        <v>43</v>
      </c>
      <c r="Q2" t="s">
        <v>44</v>
      </c>
      <c r="R2" t="s">
        <v>54</v>
      </c>
      <c r="S2" t="s">
        <v>55</v>
      </c>
      <c r="T2" t="s">
        <v>57</v>
      </c>
      <c r="U2" t="s">
        <v>56</v>
      </c>
      <c r="V2" t="s">
        <v>59</v>
      </c>
      <c r="W2" t="s">
        <v>60</v>
      </c>
      <c r="X2" t="s">
        <v>28</v>
      </c>
      <c r="Y2" t="s">
        <v>63</v>
      </c>
      <c r="Z2" t="s">
        <v>46</v>
      </c>
      <c r="AA2" t="s">
        <v>65</v>
      </c>
      <c r="AB2" t="s">
        <v>53</v>
      </c>
      <c r="AC2" t="s">
        <v>66</v>
      </c>
      <c r="AD2" t="s">
        <v>58</v>
      </c>
      <c r="AE2" t="s">
        <v>80</v>
      </c>
      <c r="AF2" t="s">
        <v>62</v>
      </c>
      <c r="AG2" t="s">
        <v>64</v>
      </c>
      <c r="AH2" t="s">
        <v>67</v>
      </c>
      <c r="AI2" t="s">
        <v>68</v>
      </c>
      <c r="AJ2" t="s">
        <v>79</v>
      </c>
    </row>
    <row r="3" spans="1:36" x14ac:dyDescent="0.3">
      <c r="A3" s="1" t="s">
        <v>0</v>
      </c>
      <c r="B3" s="7">
        <v>25.6</v>
      </c>
      <c r="C3" s="4">
        <f>31.9+(31.9/135.4*$C$23)</f>
        <v>31.169645494830132</v>
      </c>
      <c r="D3" s="4">
        <v>30</v>
      </c>
      <c r="E3" s="4">
        <f>29.5+1.6</f>
        <v>31.1</v>
      </c>
      <c r="F3" s="4">
        <v>30.3</v>
      </c>
      <c r="G3" s="4">
        <f>28.2+0.9</f>
        <v>29.099999999999998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/>
      <c r="S3" s="4">
        <v>0</v>
      </c>
      <c r="T3" s="4"/>
      <c r="U3" s="4">
        <v>0</v>
      </c>
      <c r="V3" s="4"/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/>
      <c r="AE3" s="4"/>
      <c r="AF3" s="4"/>
      <c r="AG3" s="4"/>
      <c r="AH3" s="4"/>
      <c r="AI3" s="4"/>
      <c r="AJ3" s="4"/>
    </row>
    <row r="4" spans="1:36" x14ac:dyDescent="0.3">
      <c r="A4" s="1" t="s">
        <v>1</v>
      </c>
      <c r="B4" s="8">
        <v>7.3</v>
      </c>
      <c r="C4" s="2">
        <f>13.6+(13.6/135.4*$C$23)</f>
        <v>13.288626292466764</v>
      </c>
      <c r="D4" s="2">
        <v>6</v>
      </c>
      <c r="E4" s="2">
        <v>10.199999999999999</v>
      </c>
      <c r="F4" s="2">
        <v>6</v>
      </c>
      <c r="G4" s="2">
        <f>12.4-1.775+0.5</f>
        <v>11.125</v>
      </c>
      <c r="H4" s="2">
        <v>8.6</v>
      </c>
      <c r="I4" s="2">
        <f>8.6+0.2</f>
        <v>8.7999999999999989</v>
      </c>
      <c r="J4" s="2">
        <v>5.5</v>
      </c>
      <c r="K4" s="2">
        <v>10</v>
      </c>
      <c r="L4" s="2">
        <v>7.7</v>
      </c>
      <c r="M4" s="2">
        <v>9.5</v>
      </c>
      <c r="N4" s="2">
        <v>7.6</v>
      </c>
      <c r="O4" s="2">
        <v>11.531000000000001</v>
      </c>
      <c r="P4" s="2">
        <v>7.2290000000000001</v>
      </c>
      <c r="Q4" s="2">
        <v>9.5</v>
      </c>
      <c r="R4" s="2">
        <v>7.8001003599999992</v>
      </c>
      <c r="S4" s="8">
        <v>13.71222</v>
      </c>
      <c r="T4" s="8">
        <v>11.740365000000001</v>
      </c>
      <c r="U4" s="8">
        <v>15.8</v>
      </c>
      <c r="V4" s="8">
        <v>6</v>
      </c>
      <c r="W4" s="8">
        <v>21.8</v>
      </c>
      <c r="X4" s="8">
        <v>21.9</v>
      </c>
      <c r="Y4" s="8">
        <v>17.312000000000001</v>
      </c>
      <c r="Z4" s="8">
        <v>20.509</v>
      </c>
      <c r="AA4" s="8">
        <v>7.4459999999999997</v>
      </c>
      <c r="AB4" s="8">
        <v>9.4</v>
      </c>
      <c r="AC4" s="8">
        <v>4.9669999999999996</v>
      </c>
      <c r="AD4" s="8">
        <v>18.675694</v>
      </c>
      <c r="AE4" s="8">
        <v>12.996098</v>
      </c>
      <c r="AF4" s="8">
        <v>24.136627000000001</v>
      </c>
      <c r="AG4" s="8">
        <v>18.223068000000001</v>
      </c>
      <c r="AH4" s="8">
        <v>6.0969100000000003</v>
      </c>
      <c r="AI4" s="8">
        <v>5.2826979999999999</v>
      </c>
      <c r="AJ4" s="8">
        <v>5.0946790000000002</v>
      </c>
    </row>
    <row r="5" spans="1:36" x14ac:dyDescent="0.3">
      <c r="A5" s="1" t="s">
        <v>2</v>
      </c>
      <c r="B5" s="8">
        <v>10.5</v>
      </c>
      <c r="C5" s="2">
        <f>7.2+(7.2/135.4*$C$23)</f>
        <v>7.0351550960118168</v>
      </c>
      <c r="D5" s="2">
        <v>10.6</v>
      </c>
      <c r="E5" s="2">
        <v>11.2</v>
      </c>
      <c r="F5" s="2">
        <v>15.9</v>
      </c>
      <c r="G5" s="2">
        <f>19.9+1.6</f>
        <v>21.5</v>
      </c>
      <c r="H5" s="2">
        <v>20.5</v>
      </c>
      <c r="I5" s="2">
        <v>20.9</v>
      </c>
      <c r="J5" s="2">
        <v>21.3</v>
      </c>
      <c r="K5" s="2">
        <v>20.3</v>
      </c>
      <c r="L5" s="2">
        <v>16.7</v>
      </c>
      <c r="M5" s="2">
        <v>16.5</v>
      </c>
      <c r="N5" s="2">
        <f>22.7+1.943519+0.181421+0.297518</f>
        <v>25.122457999999998</v>
      </c>
      <c r="O5" s="2">
        <f>16.162</f>
        <v>16.161999999999999</v>
      </c>
      <c r="P5" s="2">
        <f>23.836+0.041</f>
        <v>23.876999999999999</v>
      </c>
      <c r="Q5" s="2">
        <f>22.8+1.53258+0.1442+0.35535</f>
        <v>24.832130000000003</v>
      </c>
      <c r="R5" s="2">
        <v>34.693403020000005</v>
      </c>
      <c r="S5" s="8">
        <f>23.609038+S40+S41+S42+S43</f>
        <v>25.572038000000003</v>
      </c>
      <c r="T5" s="8">
        <v>42.597966</v>
      </c>
      <c r="U5" s="8">
        <v>40.4</v>
      </c>
      <c r="V5" s="8">
        <v>48.6</v>
      </c>
      <c r="W5" s="8">
        <v>47.5</v>
      </c>
      <c r="X5" s="8">
        <v>46.7</v>
      </c>
      <c r="Y5" s="8">
        <v>45.859000000000002</v>
      </c>
      <c r="Z5" s="8">
        <v>49.143000000000001</v>
      </c>
      <c r="AA5" s="8">
        <v>48.472000000000001</v>
      </c>
      <c r="AB5" s="8">
        <v>54.7</v>
      </c>
      <c r="AC5" s="8">
        <v>51.73</v>
      </c>
      <c r="AD5" s="8">
        <v>44.143892000000001</v>
      </c>
      <c r="AE5" s="8">
        <v>50.170847000000002</v>
      </c>
      <c r="AF5" s="8">
        <v>46.193891999999998</v>
      </c>
      <c r="AG5" s="8">
        <v>47.608891999999997</v>
      </c>
      <c r="AH5" s="8">
        <v>49.549816</v>
      </c>
      <c r="AI5" s="8">
        <v>45.988644999999998</v>
      </c>
      <c r="AJ5" s="8">
        <v>45.355648000000002</v>
      </c>
    </row>
    <row r="6" spans="1:36" x14ac:dyDescent="0.3">
      <c r="A6" t="s">
        <v>3</v>
      </c>
      <c r="B6" s="8">
        <v>17.5</v>
      </c>
      <c r="C6" s="2">
        <f>12.6+3.7+(16.3/135.4*$C$23)</f>
        <v>15.926809453471197</v>
      </c>
      <c r="D6" s="2">
        <v>20.9</v>
      </c>
      <c r="E6" s="2">
        <f>23.4+0.1</f>
        <v>23.5</v>
      </c>
      <c r="F6" s="2">
        <v>22.7</v>
      </c>
      <c r="G6" s="2">
        <f>20.5+2.157-0.675-0.3</f>
        <v>21.681999999999999</v>
      </c>
      <c r="H6" s="2">
        <v>23.4</v>
      </c>
      <c r="I6" s="2">
        <v>26.4</v>
      </c>
      <c r="J6" s="2">
        <v>31.2</v>
      </c>
      <c r="K6" s="2">
        <v>29.6</v>
      </c>
      <c r="L6" s="2">
        <v>27.7</v>
      </c>
      <c r="M6" s="2">
        <v>35</v>
      </c>
      <c r="N6" s="2">
        <v>29</v>
      </c>
      <c r="O6" s="2">
        <v>41.96</v>
      </c>
      <c r="P6" s="2">
        <f>36.424-5.076</f>
        <v>31.347999999999999</v>
      </c>
      <c r="Q6" s="2">
        <v>31.3</v>
      </c>
      <c r="R6" s="2">
        <v>33.617318359999999</v>
      </c>
      <c r="S6" s="8">
        <v>36.139000000000003</v>
      </c>
      <c r="T6" s="8">
        <v>62.764657999999997</v>
      </c>
      <c r="U6" s="8">
        <v>65.3</v>
      </c>
      <c r="V6" s="8">
        <v>71.400000000000006</v>
      </c>
      <c r="W6" s="8">
        <f>51.4+2</f>
        <v>53.4</v>
      </c>
      <c r="X6" s="8">
        <v>52.3</v>
      </c>
      <c r="Y6" s="8">
        <v>55.067</v>
      </c>
      <c r="Z6" s="8">
        <v>59.036000000000001</v>
      </c>
      <c r="AA6" s="8">
        <v>46.481999999999999</v>
      </c>
      <c r="AB6" s="8">
        <v>41.5</v>
      </c>
      <c r="AC6" s="8">
        <v>40.494</v>
      </c>
      <c r="AD6" s="8">
        <v>40.843800000000002</v>
      </c>
      <c r="AE6" s="8">
        <v>37.052298</v>
      </c>
      <c r="AF6" s="8">
        <v>51.451805</v>
      </c>
      <c r="AG6" s="8">
        <v>53.933675000000001</v>
      </c>
      <c r="AH6" s="8">
        <v>54.488737999999998</v>
      </c>
      <c r="AI6" s="8">
        <v>61.201000000000001</v>
      </c>
      <c r="AJ6" s="8">
        <v>61.198999999999998</v>
      </c>
    </row>
    <row r="7" spans="1:36" x14ac:dyDescent="0.3">
      <c r="A7" t="s">
        <v>4</v>
      </c>
      <c r="B7" s="8">
        <v>38.9</v>
      </c>
      <c r="C7" s="2">
        <f>34.1+(34.1/135.4*$C$23)</f>
        <v>33.31927621861152</v>
      </c>
      <c r="D7" s="2">
        <v>49.3</v>
      </c>
      <c r="E7" s="2">
        <f>41+0.775</f>
        <v>41.774999999999999</v>
      </c>
      <c r="F7" s="2">
        <v>61.7</v>
      </c>
      <c r="G7" s="2">
        <v>38.299999999999997</v>
      </c>
      <c r="H7" s="2">
        <v>52.8</v>
      </c>
      <c r="I7" s="2">
        <v>43</v>
      </c>
      <c r="J7" s="2">
        <v>34.5</v>
      </c>
      <c r="K7" s="2">
        <f>48.3-8</f>
        <v>40.299999999999997</v>
      </c>
      <c r="L7" s="2">
        <v>31</v>
      </c>
      <c r="M7" s="2">
        <v>43.3</v>
      </c>
      <c r="N7" s="2">
        <f>32.9-6.84289-1.9443519-0.181421-0.297518</f>
        <v>23.633819099999997</v>
      </c>
      <c r="O7" s="2">
        <v>40.005000000000003</v>
      </c>
      <c r="P7" s="2">
        <v>32.134</v>
      </c>
      <c r="Q7" s="2">
        <f>37-3.53944-0.65-1.53258-0.1442-0.35535</f>
        <v>30.77843</v>
      </c>
      <c r="R7" s="2">
        <v>41.102731739999996</v>
      </c>
      <c r="S7" s="8">
        <f>28.624967-S37-S38-S39-S40-S41-S42-S43</f>
        <v>22.452966999999997</v>
      </c>
      <c r="T7" s="8">
        <v>46.157518000000003</v>
      </c>
      <c r="U7" s="8">
        <v>33.200000000000003</v>
      </c>
      <c r="V7" s="8">
        <v>49.8</v>
      </c>
      <c r="W7" s="8">
        <v>38.5</v>
      </c>
      <c r="X7" s="8">
        <v>43.3</v>
      </c>
      <c r="Y7" s="8">
        <v>56.694000000000003</v>
      </c>
      <c r="Z7" s="8">
        <v>47.444000000000003</v>
      </c>
      <c r="AA7" s="8">
        <v>70.926000000000002</v>
      </c>
      <c r="AB7" s="8">
        <v>49.3</v>
      </c>
      <c r="AC7" s="8">
        <v>81.415000000000006</v>
      </c>
      <c r="AD7" s="8">
        <v>57.664234</v>
      </c>
      <c r="AE7" s="8">
        <v>72.424178999999995</v>
      </c>
      <c r="AF7" s="8">
        <v>57.956710999999999</v>
      </c>
      <c r="AG7" s="8">
        <v>51.134379000000003</v>
      </c>
      <c r="AH7" s="8">
        <v>49.859819000000002</v>
      </c>
      <c r="AI7" s="8">
        <v>49.734400999999998</v>
      </c>
      <c r="AJ7" s="8">
        <v>50.362596000000003</v>
      </c>
    </row>
    <row r="8" spans="1:36" x14ac:dyDescent="0.3">
      <c r="A8" s="13" t="s">
        <v>31</v>
      </c>
      <c r="B8" s="8">
        <v>6.7</v>
      </c>
      <c r="C8" s="2">
        <f>6.2+(6.2/135.4*$C$23)</f>
        <v>6.0580502215657317</v>
      </c>
      <c r="D8" s="2">
        <v>7.5</v>
      </c>
      <c r="E8" s="2">
        <v>9.9</v>
      </c>
      <c r="F8" s="2">
        <v>12</v>
      </c>
      <c r="G8" s="2">
        <f>8.7+1.8+2+0.16+0.39-0.24</f>
        <v>12.81</v>
      </c>
      <c r="H8" s="2">
        <v>15.4</v>
      </c>
      <c r="I8" s="2">
        <f>12.9+1.95</f>
        <v>14.85</v>
      </c>
      <c r="J8" s="2">
        <v>18.899999999999999</v>
      </c>
      <c r="K8" s="2">
        <v>17.600000000000001</v>
      </c>
      <c r="L8" s="2">
        <v>23</v>
      </c>
      <c r="M8" s="2">
        <v>22.9</v>
      </c>
      <c r="N8" s="2">
        <v>27.5</v>
      </c>
      <c r="O8" s="2">
        <v>27.553999999999998</v>
      </c>
      <c r="P8" s="2">
        <v>43.779000000000003</v>
      </c>
      <c r="Q8" s="2">
        <v>44.2</v>
      </c>
      <c r="R8" s="2">
        <v>58.001734139999996</v>
      </c>
      <c r="S8" s="8">
        <v>53.166984999999997</v>
      </c>
      <c r="T8" s="8">
        <v>71.378733999999994</v>
      </c>
      <c r="U8" s="8">
        <v>58</v>
      </c>
      <c r="V8" s="8">
        <f>39.1+15.9</f>
        <v>55</v>
      </c>
      <c r="W8" s="8">
        <f>53.1-15.4+19.3</f>
        <v>57</v>
      </c>
      <c r="X8" s="8">
        <v>51.3</v>
      </c>
      <c r="Y8" s="8">
        <v>52.697000000000003</v>
      </c>
      <c r="Z8" s="8">
        <v>49.872999999999998</v>
      </c>
      <c r="AA8" s="8">
        <v>45.393999999999998</v>
      </c>
      <c r="AB8" s="8">
        <v>57</v>
      </c>
      <c r="AC8" s="8">
        <v>47.927</v>
      </c>
      <c r="AD8" s="8">
        <v>48.943702000000002</v>
      </c>
      <c r="AE8" s="8">
        <v>50.575040999999999</v>
      </c>
      <c r="AF8" s="8">
        <v>42.594462999999998</v>
      </c>
      <c r="AG8" s="8">
        <v>52.905275000000003</v>
      </c>
      <c r="AH8" s="8">
        <v>59.687120999999998</v>
      </c>
      <c r="AI8" s="8">
        <v>57.584578</v>
      </c>
      <c r="AJ8" s="8">
        <v>54.836578000000003</v>
      </c>
    </row>
    <row r="9" spans="1:36" x14ac:dyDescent="0.3">
      <c r="A9" t="s">
        <v>5</v>
      </c>
      <c r="B9" s="8">
        <v>5.2</v>
      </c>
      <c r="C9" s="2">
        <f>5.3+(5.3/135.4*$C$23)</f>
        <v>5.1786558345642542</v>
      </c>
      <c r="D9" s="2">
        <v>6.7</v>
      </c>
      <c r="E9" s="2">
        <f>6.5-0.3+0.25+0.1</f>
        <v>6.55</v>
      </c>
      <c r="F9" s="2">
        <v>13</v>
      </c>
      <c r="G9" s="2">
        <f>11.9+1.1+0.75+0.8-0.5-0.1</f>
        <v>13.950000000000001</v>
      </c>
      <c r="H9" s="2">
        <v>31.3</v>
      </c>
      <c r="I9" s="2">
        <f>32.1+0.1+0.853</f>
        <v>33.053000000000004</v>
      </c>
      <c r="J9" s="2">
        <v>24.1</v>
      </c>
      <c r="K9" s="2">
        <v>23.8</v>
      </c>
      <c r="L9" s="2">
        <v>28.3</v>
      </c>
      <c r="M9" s="2">
        <f>12.2+10+4-0.1</f>
        <v>26.099999999999998</v>
      </c>
      <c r="N9" s="2">
        <f>33.5+2.65643+0.1</f>
        <v>36.256430000000002</v>
      </c>
      <c r="O9" s="2">
        <v>24.591999999999999</v>
      </c>
      <c r="P9" s="2">
        <f>29.025+4.215+0.656+1.989+1</f>
        <v>36.884999999999991</v>
      </c>
      <c r="Q9" s="2">
        <v>26.5</v>
      </c>
      <c r="R9" s="2">
        <f>28.06595639+8.826505+0.946362+0.186271</f>
        <v>38.02509439</v>
      </c>
      <c r="S9" s="8">
        <v>25.909057999999998</v>
      </c>
      <c r="T9" s="8">
        <f>20.35542+1.742944+0.36709+1.197209+0.422235</f>
        <v>24.084898000000003</v>
      </c>
      <c r="U9" s="8">
        <f>12.4+5.6+2.8</f>
        <v>20.8</v>
      </c>
      <c r="V9" s="8">
        <f>40.1+2.3+6.3</f>
        <v>48.699999999999996</v>
      </c>
      <c r="W9" s="8">
        <f>25.1+7.7+4.7</f>
        <v>37.500000000000007</v>
      </c>
      <c r="X9" s="8">
        <v>28.4</v>
      </c>
      <c r="Y9" s="8">
        <f>29.667+1.376</f>
        <v>31.043000000000003</v>
      </c>
      <c r="Z9" s="8">
        <f>30.025+8.4+3.406</f>
        <v>41.830999999999996</v>
      </c>
      <c r="AA9" s="8">
        <f>38.017+5.282+3.436</f>
        <v>46.735000000000007</v>
      </c>
      <c r="AB9" s="8">
        <v>47</v>
      </c>
      <c r="AC9" s="8">
        <f>58.955+4.34+3.113</f>
        <v>66.408000000000001</v>
      </c>
      <c r="AD9" s="8">
        <v>28.025131999999999</v>
      </c>
      <c r="AE9" s="8">
        <f>36.629379+2.582195+5.433912+1.783013</f>
        <v>46.428498999999995</v>
      </c>
      <c r="AF9" s="8">
        <v>28.942844999999998</v>
      </c>
      <c r="AG9" s="8">
        <v>36.023345999999997</v>
      </c>
      <c r="AH9" s="8">
        <v>33.761476000000002</v>
      </c>
      <c r="AI9" s="8">
        <v>38.885258</v>
      </c>
      <c r="AJ9" s="8">
        <v>53.946179000000001</v>
      </c>
    </row>
    <row r="10" spans="1:36" x14ac:dyDescent="0.3">
      <c r="A10" t="s">
        <v>6</v>
      </c>
      <c r="B10" s="3">
        <v>19.899999999999999</v>
      </c>
      <c r="C10" s="3">
        <f>20.8+(20.8/135.4*$C$23)</f>
        <v>20.323781388478583</v>
      </c>
      <c r="D10" s="3">
        <v>27.3</v>
      </c>
      <c r="E10" s="3">
        <f>24.9+0.515</f>
        <v>25.414999999999999</v>
      </c>
      <c r="F10" s="3">
        <v>36.799999999999997</v>
      </c>
      <c r="G10" s="3">
        <f>32+0.9+0.18+1+0.6+0.5</f>
        <v>35.18</v>
      </c>
      <c r="H10" s="3">
        <v>53.4</v>
      </c>
      <c r="I10" s="3">
        <f>46+1.21</f>
        <v>47.21</v>
      </c>
      <c r="J10" s="3">
        <v>64.2</v>
      </c>
      <c r="K10" s="3">
        <v>60.4</v>
      </c>
      <c r="L10" s="3">
        <v>72.400000000000006</v>
      </c>
      <c r="M10" s="3">
        <v>56.7</v>
      </c>
      <c r="N10" s="3">
        <f>91+6.84289</f>
        <v>97.842889999999997</v>
      </c>
      <c r="O10" s="3">
        <v>68.2</v>
      </c>
      <c r="P10" s="3">
        <f>82.042+0.002+2.394+2.303</f>
        <v>86.741</v>
      </c>
      <c r="Q10" s="3">
        <f>84.4-2.5-3.3+3.53944+0.65</f>
        <v>82.789440000000013</v>
      </c>
      <c r="R10" s="3">
        <v>82.623247640000017</v>
      </c>
      <c r="S10" s="20">
        <f>85.233506-S15-S16-S18+S37+S38+S39</f>
        <v>87.442506000000009</v>
      </c>
      <c r="T10" s="20">
        <v>93.552938999999995</v>
      </c>
      <c r="U10" s="20">
        <v>97.5</v>
      </c>
      <c r="V10" s="20">
        <v>135.80000000000001</v>
      </c>
      <c r="W10" s="20">
        <v>120.6</v>
      </c>
      <c r="X10" s="20">
        <v>131.1</v>
      </c>
      <c r="Y10" s="20">
        <f>141.218-1.25-1.252</f>
        <v>138.71599999999998</v>
      </c>
      <c r="Z10" s="20">
        <v>137.166</v>
      </c>
      <c r="AA10" s="20">
        <f>132.665+29.429</f>
        <v>162.09399999999999</v>
      </c>
      <c r="AB10" s="8">
        <f>124.6+21.5</f>
        <v>146.1</v>
      </c>
      <c r="AC10" s="20">
        <f>121.967+20.673</f>
        <v>142.63999999999999</v>
      </c>
      <c r="AD10" s="8">
        <v>166.70354599999999</v>
      </c>
      <c r="AE10" s="8">
        <v>179.160901</v>
      </c>
      <c r="AF10" s="8">
        <v>153.723657</v>
      </c>
      <c r="AG10" s="8">
        <v>145.17136500000001</v>
      </c>
      <c r="AH10" s="8">
        <v>151.55611999999999</v>
      </c>
      <c r="AI10" s="8">
        <v>146.32342</v>
      </c>
      <c r="AJ10" s="8">
        <v>134.20532</v>
      </c>
    </row>
    <row r="11" spans="1:36" x14ac:dyDescent="0.3">
      <c r="B11" s="4">
        <f t="shared" ref="B11:M11" si="0">SUM(B3:B10)</f>
        <v>131.6</v>
      </c>
      <c r="C11" s="4">
        <f t="shared" si="0"/>
        <v>132.30000000000001</v>
      </c>
      <c r="D11" s="4">
        <f t="shared" si="0"/>
        <v>158.30000000000001</v>
      </c>
      <c r="E11" s="4">
        <f t="shared" si="0"/>
        <v>159.64000000000001</v>
      </c>
      <c r="F11" s="4">
        <f t="shared" si="0"/>
        <v>198.39999999999998</v>
      </c>
      <c r="G11" s="4">
        <f t="shared" si="0"/>
        <v>183.64699999999999</v>
      </c>
      <c r="H11" s="4">
        <f t="shared" si="0"/>
        <v>205.4</v>
      </c>
      <c r="I11" s="4">
        <f t="shared" si="0"/>
        <v>194.21299999999999</v>
      </c>
      <c r="J11" s="4">
        <f t="shared" si="0"/>
        <v>199.7</v>
      </c>
      <c r="K11" s="4">
        <f t="shared" si="0"/>
        <v>202.00000000000003</v>
      </c>
      <c r="L11" s="4">
        <f t="shared" si="0"/>
        <v>206.8</v>
      </c>
      <c r="M11" s="4">
        <f t="shared" si="0"/>
        <v>210</v>
      </c>
      <c r="N11" s="4">
        <f t="shared" ref="N11:R11" si="1">SUM(N3:N10)</f>
        <v>246.95559709999998</v>
      </c>
      <c r="O11" s="4">
        <f t="shared" ref="O11:P11" si="2">SUM(O3:O10)</f>
        <v>230.00399999999996</v>
      </c>
      <c r="P11" s="4">
        <f t="shared" si="2"/>
        <v>261.99299999999999</v>
      </c>
      <c r="Q11" s="4">
        <f t="shared" si="1"/>
        <v>249.90000000000003</v>
      </c>
      <c r="R11" s="4">
        <f t="shared" si="1"/>
        <v>295.86362965000001</v>
      </c>
      <c r="S11" s="4">
        <f>SUM(S3:S10)</f>
        <v>264.39477399999998</v>
      </c>
      <c r="T11" s="4">
        <f>SUM(T3:T10)</f>
        <v>352.27707799999996</v>
      </c>
      <c r="U11" s="9">
        <f t="shared" ref="U11:W11" si="3">SUM(U3:U10)</f>
        <v>331</v>
      </c>
      <c r="V11" s="9">
        <f t="shared" si="3"/>
        <v>415.3</v>
      </c>
      <c r="W11" s="9">
        <f t="shared" si="3"/>
        <v>376.29999999999995</v>
      </c>
      <c r="X11" s="9">
        <f t="shared" ref="X11:AC11" si="4">SUM(X3:X10)</f>
        <v>375</v>
      </c>
      <c r="Y11" s="9">
        <f t="shared" si="4"/>
        <v>397.38800000000003</v>
      </c>
      <c r="Z11" s="9">
        <f t="shared" si="4"/>
        <v>405.00200000000001</v>
      </c>
      <c r="AA11" s="9">
        <f t="shared" si="4"/>
        <v>427.54900000000004</v>
      </c>
      <c r="AB11" s="9">
        <f t="shared" si="4"/>
        <v>405</v>
      </c>
      <c r="AC11" s="9">
        <f t="shared" si="4"/>
        <v>435.58099999999996</v>
      </c>
      <c r="AD11" s="9">
        <f t="shared" ref="AD11:AF11" si="5">SUM(AD3:AD10)</f>
        <v>405</v>
      </c>
      <c r="AE11" s="9">
        <f t="shared" ref="AE11" si="6">SUM(AE3:AE10)</f>
        <v>448.807863</v>
      </c>
      <c r="AF11" s="9">
        <f t="shared" si="5"/>
        <v>405</v>
      </c>
      <c r="AG11" s="9">
        <f t="shared" ref="AG11:AI11" si="7">SUM(AG3:AG10)</f>
        <v>405</v>
      </c>
      <c r="AH11" s="9">
        <f t="shared" si="7"/>
        <v>405</v>
      </c>
      <c r="AI11" s="9">
        <f t="shared" si="7"/>
        <v>405</v>
      </c>
      <c r="AJ11" s="9">
        <f t="shared" ref="AJ11" si="8">SUM(AJ3:AJ10)</f>
        <v>405</v>
      </c>
    </row>
    <row r="12" spans="1:36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36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36" x14ac:dyDescent="0.3">
      <c r="A14" t="s">
        <v>11</v>
      </c>
      <c r="B14" s="4"/>
      <c r="C14" s="4">
        <v>131.69999999999999</v>
      </c>
      <c r="D14" s="4"/>
      <c r="E14" s="11">
        <v>160</v>
      </c>
      <c r="F14" s="11"/>
      <c r="G14" s="11">
        <v>170</v>
      </c>
      <c r="H14" s="11"/>
      <c r="I14" s="11">
        <v>190</v>
      </c>
      <c r="J14" s="11"/>
      <c r="K14" s="4">
        <f>K11</f>
        <v>202.00000000000003</v>
      </c>
      <c r="L14" s="11"/>
      <c r="M14" s="4">
        <f>M11</f>
        <v>210</v>
      </c>
      <c r="N14" s="4"/>
      <c r="O14" s="4">
        <f t="shared" ref="O14" si="9">O11</f>
        <v>230.00399999999996</v>
      </c>
      <c r="P14" s="4"/>
      <c r="Q14" s="4">
        <f t="shared" ref="Q14" si="10">Q11</f>
        <v>249.90000000000003</v>
      </c>
      <c r="R14" s="4"/>
      <c r="S14" s="4">
        <f t="shared" ref="S14:W14" si="11">S11</f>
        <v>264.39477399999998</v>
      </c>
      <c r="T14" s="4"/>
      <c r="U14" s="4">
        <f t="shared" si="11"/>
        <v>331</v>
      </c>
      <c r="V14" s="4"/>
      <c r="W14" s="4">
        <f t="shared" si="11"/>
        <v>376.29999999999995</v>
      </c>
      <c r="X14" s="4">
        <f t="shared" ref="X14:AC14" si="12">X11</f>
        <v>375</v>
      </c>
      <c r="Y14" s="4">
        <f t="shared" ref="Y14" si="13">Y11</f>
        <v>397.38800000000003</v>
      </c>
      <c r="Z14" s="4">
        <f t="shared" si="12"/>
        <v>405.00200000000001</v>
      </c>
      <c r="AA14" s="4">
        <f t="shared" si="12"/>
        <v>427.54900000000004</v>
      </c>
      <c r="AB14" s="4">
        <f t="shared" si="12"/>
        <v>405</v>
      </c>
      <c r="AC14" s="4">
        <f t="shared" si="12"/>
        <v>435.58099999999996</v>
      </c>
      <c r="AD14" s="4">
        <f t="shared" ref="AD14:AF14" si="14">AD11</f>
        <v>405</v>
      </c>
      <c r="AE14" s="4">
        <f t="shared" ref="AE14" si="15">AE11</f>
        <v>448.807863</v>
      </c>
      <c r="AF14" s="4">
        <f t="shared" si="14"/>
        <v>405</v>
      </c>
      <c r="AG14" s="4">
        <f t="shared" ref="AG14:AI14" si="16">AG11</f>
        <v>405</v>
      </c>
      <c r="AH14" s="4">
        <f t="shared" si="16"/>
        <v>405</v>
      </c>
      <c r="AI14" s="4">
        <f t="shared" si="16"/>
        <v>405</v>
      </c>
      <c r="AJ14" s="4">
        <f t="shared" ref="AJ14" si="17">AJ11</f>
        <v>405</v>
      </c>
    </row>
    <row r="15" spans="1:36" x14ac:dyDescent="0.3">
      <c r="A15" t="s">
        <v>34</v>
      </c>
      <c r="B15" s="4"/>
      <c r="C15" s="4"/>
      <c r="D15" s="4"/>
      <c r="E15" s="11"/>
      <c r="F15" s="11"/>
      <c r="G15" s="11"/>
      <c r="H15" s="11"/>
      <c r="I15" s="11"/>
      <c r="J15" s="11"/>
      <c r="K15" s="4"/>
      <c r="L15" s="11"/>
      <c r="M15" s="2">
        <v>11.629227</v>
      </c>
      <c r="N15" s="2"/>
      <c r="O15" s="2">
        <v>10.433999999999999</v>
      </c>
      <c r="P15" s="2"/>
      <c r="Q15" s="2">
        <v>2.5</v>
      </c>
      <c r="R15" s="2"/>
      <c r="S15" s="2">
        <v>1.1000000000000001</v>
      </c>
      <c r="T15" s="2"/>
    </row>
    <row r="16" spans="1:36" x14ac:dyDescent="0.3">
      <c r="A16" t="s">
        <v>35</v>
      </c>
      <c r="B16" s="4"/>
      <c r="C16" s="4"/>
      <c r="D16" s="4"/>
      <c r="E16" s="11"/>
      <c r="F16" s="11"/>
      <c r="G16" s="11"/>
      <c r="H16" s="11"/>
      <c r="I16" s="11"/>
      <c r="J16" s="11"/>
      <c r="K16" s="4"/>
      <c r="L16" s="11"/>
      <c r="M16" s="2">
        <v>6.5157699999999998</v>
      </c>
      <c r="N16" s="2"/>
      <c r="O16" s="2">
        <v>7.1980000000000004</v>
      </c>
      <c r="P16" s="2"/>
      <c r="Q16" s="2">
        <v>3.3</v>
      </c>
      <c r="R16" s="2"/>
      <c r="S16" s="2">
        <v>0.5</v>
      </c>
      <c r="T16" s="2"/>
    </row>
    <row r="17" spans="1:36" x14ac:dyDescent="0.3">
      <c r="A17" t="s">
        <v>36</v>
      </c>
      <c r="B17" s="4"/>
      <c r="C17" s="4"/>
      <c r="D17" s="4"/>
      <c r="E17" s="11"/>
      <c r="F17" s="11"/>
      <c r="G17" s="11"/>
      <c r="H17" s="11"/>
      <c r="I17" s="11"/>
      <c r="J17" s="11"/>
      <c r="K17" s="4"/>
      <c r="L17" s="11"/>
      <c r="M17" s="2"/>
      <c r="N17" s="2"/>
      <c r="O17" s="2">
        <v>0.75</v>
      </c>
      <c r="P17" s="2"/>
      <c r="Q17" s="2"/>
      <c r="R17" s="2"/>
      <c r="S17" s="2"/>
      <c r="T17" s="2"/>
    </row>
    <row r="18" spans="1:36" x14ac:dyDescent="0.3">
      <c r="A18" t="s">
        <v>33</v>
      </c>
      <c r="B18" s="4"/>
      <c r="C18" s="4"/>
      <c r="D18" s="4"/>
      <c r="E18" s="11"/>
      <c r="F18" s="11"/>
      <c r="G18" s="11"/>
      <c r="H18" s="11"/>
      <c r="I18" s="11"/>
      <c r="J18" s="11"/>
      <c r="K18" s="4"/>
      <c r="L18" s="11"/>
      <c r="M18" s="2"/>
      <c r="N18" s="2"/>
      <c r="O18" s="2">
        <v>0.69599999999999995</v>
      </c>
      <c r="P18" s="2"/>
      <c r="Q18" s="2">
        <v>0.8</v>
      </c>
      <c r="R18" s="2"/>
      <c r="S18" s="2">
        <v>0.4</v>
      </c>
      <c r="T18" s="2"/>
    </row>
    <row r="19" spans="1:36" x14ac:dyDescent="0.3">
      <c r="A19" t="s">
        <v>25</v>
      </c>
      <c r="B19" s="4"/>
      <c r="C19" s="4"/>
      <c r="D19" s="4"/>
      <c r="E19" s="11"/>
      <c r="F19" s="11"/>
      <c r="G19" s="11"/>
      <c r="H19" s="11"/>
      <c r="I19" s="11"/>
      <c r="J19" s="11"/>
      <c r="K19" s="4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6" x14ac:dyDescent="0.3">
      <c r="A20" t="s">
        <v>12</v>
      </c>
      <c r="B20" s="2"/>
      <c r="C20" s="2"/>
      <c r="D20" s="2"/>
      <c r="E20" s="5"/>
      <c r="F20" s="5"/>
      <c r="G20" s="5">
        <v>6.9</v>
      </c>
      <c r="H20" s="5"/>
      <c r="I20" s="5"/>
      <c r="J20" s="5"/>
      <c r="K20" s="2"/>
      <c r="L20" s="5"/>
      <c r="M20" s="2"/>
    </row>
    <row r="21" spans="1:36" x14ac:dyDescent="0.3">
      <c r="A21" t="s">
        <v>13</v>
      </c>
      <c r="B21" s="2"/>
      <c r="C21" s="2"/>
      <c r="D21" s="2"/>
      <c r="E21" s="5">
        <v>3.3</v>
      </c>
      <c r="F21" s="5"/>
      <c r="G21" s="5">
        <v>6.7</v>
      </c>
      <c r="H21" s="5"/>
      <c r="I21" s="5">
        <v>4.2</v>
      </c>
      <c r="J21" s="5"/>
      <c r="K21" s="2">
        <v>3.5870000000000002</v>
      </c>
      <c r="L21" s="5"/>
      <c r="M21" s="2">
        <v>6.8810000000000002</v>
      </c>
      <c r="N21" s="2"/>
      <c r="O21" s="2">
        <v>10.887</v>
      </c>
      <c r="P21" s="2"/>
    </row>
    <row r="22" spans="1:36" x14ac:dyDescent="0.3">
      <c r="A22" t="s">
        <v>14</v>
      </c>
      <c r="B22" s="4"/>
      <c r="C22" s="2">
        <v>3.7</v>
      </c>
      <c r="D22" s="2"/>
      <c r="E22" s="5">
        <v>-3.7</v>
      </c>
      <c r="F22" s="5"/>
      <c r="G22" s="5"/>
      <c r="H22" s="5"/>
      <c r="I22" s="5"/>
      <c r="J22" s="5"/>
      <c r="K22" s="4"/>
      <c r="L22" s="5"/>
      <c r="M22" s="4"/>
    </row>
    <row r="23" spans="1:36" x14ac:dyDescent="0.3">
      <c r="A23" t="s">
        <v>15</v>
      </c>
      <c r="C23" s="5">
        <v>-3.1</v>
      </c>
      <c r="D23" s="2"/>
      <c r="E23" s="2"/>
      <c r="F23" s="2"/>
      <c r="G23" s="2"/>
      <c r="H23" s="2"/>
      <c r="I23" s="2"/>
      <c r="J23" s="2"/>
      <c r="L23" s="2"/>
      <c r="N23" s="16"/>
      <c r="P23" s="16"/>
    </row>
    <row r="24" spans="1:36" x14ac:dyDescent="0.3">
      <c r="C24" s="10">
        <f>SUM(C14:C23)</f>
        <v>132.29999999999998</v>
      </c>
      <c r="E24" s="10">
        <f>SUM(E14:E22)</f>
        <v>159.60000000000002</v>
      </c>
      <c r="G24" s="9">
        <f>SUM(G14:G23)</f>
        <v>183.6</v>
      </c>
      <c r="I24" s="9">
        <f>SUM(I14:I23)</f>
        <v>194.2</v>
      </c>
      <c r="J24" s="11"/>
      <c r="K24" s="9">
        <f>SUM(K14:K23)</f>
        <v>205.58700000000002</v>
      </c>
      <c r="L24" s="11"/>
      <c r="M24" s="9">
        <f>SUM(M14:M23)</f>
        <v>235.02599700000002</v>
      </c>
      <c r="N24" s="11"/>
      <c r="O24" s="9">
        <f t="shared" ref="O24:X24" si="18">SUM(O14:O23)</f>
        <v>259.96899999999994</v>
      </c>
      <c r="P24" s="11"/>
      <c r="Q24" s="9">
        <f t="shared" si="18"/>
        <v>256.50000000000006</v>
      </c>
      <c r="R24" s="9"/>
      <c r="S24" s="9">
        <f t="shared" si="18"/>
        <v>266.39477399999998</v>
      </c>
      <c r="T24" s="9"/>
      <c r="U24" s="9">
        <f t="shared" si="18"/>
        <v>331</v>
      </c>
      <c r="V24" s="9"/>
      <c r="W24" s="9">
        <f t="shared" si="18"/>
        <v>376.29999999999995</v>
      </c>
      <c r="X24" s="9">
        <f t="shared" si="18"/>
        <v>375</v>
      </c>
      <c r="Y24" s="9">
        <f t="shared" ref="Y24" si="19">SUM(Y14:Y23)</f>
        <v>397.38800000000003</v>
      </c>
      <c r="Z24" s="9">
        <f t="shared" ref="Z24" si="20">SUM(Z14:Z23)</f>
        <v>405.00200000000001</v>
      </c>
      <c r="AA24" s="9">
        <f t="shared" ref="AA24:AB24" si="21">SUM(AA14:AA23)</f>
        <v>427.54900000000004</v>
      </c>
      <c r="AB24" s="9">
        <f t="shared" si="21"/>
        <v>405</v>
      </c>
      <c r="AC24" s="9">
        <f t="shared" ref="AC24" si="22">SUM(AC14:AC23)</f>
        <v>435.58099999999996</v>
      </c>
      <c r="AD24" s="9">
        <f t="shared" ref="AD24:AF24" si="23">SUM(AD14:AD23)</f>
        <v>405</v>
      </c>
      <c r="AE24" s="9">
        <f t="shared" ref="AE24" si="24">SUM(AE14:AE23)</f>
        <v>448.807863</v>
      </c>
      <c r="AF24" s="9">
        <f t="shared" si="23"/>
        <v>405</v>
      </c>
      <c r="AG24" s="9">
        <f t="shared" ref="AG24:AI24" si="25">SUM(AG14:AG23)</f>
        <v>405</v>
      </c>
      <c r="AH24" s="9">
        <f t="shared" si="25"/>
        <v>405</v>
      </c>
      <c r="AI24" s="9">
        <f t="shared" si="25"/>
        <v>405</v>
      </c>
      <c r="AJ24" s="9">
        <f t="shared" ref="AJ24" si="26">SUM(AJ14:AJ23)</f>
        <v>405</v>
      </c>
    </row>
    <row r="25" spans="1:36" x14ac:dyDescent="0.3">
      <c r="A25" t="s">
        <v>61</v>
      </c>
      <c r="C25" s="14"/>
      <c r="E25" s="14"/>
      <c r="F25" s="15">
        <f>+F11</f>
        <v>198.39999999999998</v>
      </c>
      <c r="G25" s="11"/>
      <c r="H25" s="15">
        <f>+H11</f>
        <v>205.4</v>
      </c>
      <c r="I25" s="11"/>
      <c r="J25" s="11">
        <f>+J11</f>
        <v>199.7</v>
      </c>
      <c r="K25" s="11"/>
      <c r="L25" s="11">
        <f>+L11</f>
        <v>206.8</v>
      </c>
      <c r="M25" s="11"/>
      <c r="N25" s="11">
        <f>+N11</f>
        <v>246.95559709999998</v>
      </c>
      <c r="O25" s="11"/>
      <c r="P25" s="11">
        <f>+P11</f>
        <v>261.99299999999999</v>
      </c>
      <c r="Q25" s="11">
        <f>+Q11+Q15+Q16+Q17+Q18</f>
        <v>256.50000000000006</v>
      </c>
      <c r="R25" s="11"/>
      <c r="S25" s="11">
        <f t="shared" ref="S25:X25" si="27">+S11+S15+S16+S17+S18</f>
        <v>266.39477399999998</v>
      </c>
      <c r="T25" s="11"/>
      <c r="U25" s="11">
        <f t="shared" si="27"/>
        <v>331</v>
      </c>
      <c r="V25" s="11"/>
      <c r="W25" s="11">
        <f t="shared" si="27"/>
        <v>376.29999999999995</v>
      </c>
      <c r="X25" s="11">
        <f t="shared" si="27"/>
        <v>375</v>
      </c>
      <c r="Y25" s="11">
        <f t="shared" ref="Y25" si="28">+Y11+Y15+Y16+Y17+Y18</f>
        <v>397.38800000000003</v>
      </c>
      <c r="Z25" s="11">
        <f t="shared" ref="Z25" si="29">+Z11+Z15+Z16+Z17+Z18</f>
        <v>405.00200000000001</v>
      </c>
      <c r="AA25" s="11">
        <f t="shared" ref="AA25:AB25" si="30">+AA11+AA15+AA16+AA17+AA18</f>
        <v>427.54900000000004</v>
      </c>
      <c r="AB25" s="11">
        <f t="shared" si="30"/>
        <v>405</v>
      </c>
      <c r="AC25" s="11">
        <f t="shared" ref="AC25" si="31">+AC11+AC15+AC16+AC17+AC18</f>
        <v>435.58099999999996</v>
      </c>
      <c r="AD25" s="11">
        <f t="shared" ref="AD25:AF25" si="32">+AD11+AD15+AD16+AD17+AD18</f>
        <v>405</v>
      </c>
      <c r="AE25" s="11">
        <f t="shared" ref="AE25" si="33">+AE11+AE15+AE16+AE17+AE18</f>
        <v>448.807863</v>
      </c>
      <c r="AF25" s="11">
        <f t="shared" si="32"/>
        <v>405</v>
      </c>
      <c r="AG25" s="11">
        <f t="shared" ref="AG25:AI25" si="34">+AG11+AG15+AG16+AG17+AG18</f>
        <v>405</v>
      </c>
      <c r="AH25" s="11">
        <f t="shared" si="34"/>
        <v>405</v>
      </c>
      <c r="AI25" s="11">
        <f t="shared" si="34"/>
        <v>405</v>
      </c>
      <c r="AJ25" s="11">
        <f t="shared" ref="AJ25" si="35">+AJ11+AJ15+AJ16+AJ17+AJ18</f>
        <v>405</v>
      </c>
    </row>
    <row r="26" spans="1:36" x14ac:dyDescent="0.3">
      <c r="C26" s="6"/>
    </row>
    <row r="27" spans="1:36" x14ac:dyDescent="0.3">
      <c r="U27">
        <v>71.669178000000002</v>
      </c>
      <c r="W27">
        <v>78.540339000000003</v>
      </c>
      <c r="X27">
        <v>87.306858000000005</v>
      </c>
      <c r="Z27">
        <v>80.213499999999996</v>
      </c>
    </row>
    <row r="28" spans="1:36" x14ac:dyDescent="0.3">
      <c r="A28" t="s">
        <v>27</v>
      </c>
    </row>
    <row r="31" spans="1:36" x14ac:dyDescent="0.3">
      <c r="A31" t="s">
        <v>32</v>
      </c>
    </row>
    <row r="32" spans="1:36" x14ac:dyDescent="0.3">
      <c r="A32" t="s">
        <v>37</v>
      </c>
    </row>
    <row r="35" spans="13:25" x14ac:dyDescent="0.3"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3:25" x14ac:dyDescent="0.3">
      <c r="M36" s="16" t="s">
        <v>38</v>
      </c>
      <c r="N36" s="16"/>
      <c r="O36" s="16" t="s">
        <v>39</v>
      </c>
      <c r="P36" s="16"/>
      <c r="Q36" s="16" t="s">
        <v>22</v>
      </c>
      <c r="R36" s="16"/>
      <c r="S36" s="16" t="s">
        <v>24</v>
      </c>
      <c r="T36" s="16"/>
    </row>
    <row r="37" spans="13:25" x14ac:dyDescent="0.3">
      <c r="M37" s="16">
        <v>2060</v>
      </c>
      <c r="N37" s="16" t="s">
        <v>40</v>
      </c>
      <c r="O37" s="16">
        <v>1003</v>
      </c>
      <c r="P37" s="16" t="s">
        <v>48</v>
      </c>
      <c r="Q37" s="17">
        <v>3.5394399999999999</v>
      </c>
      <c r="R37" s="17"/>
      <c r="S37" s="18">
        <v>1.004</v>
      </c>
      <c r="T37" s="18"/>
    </row>
    <row r="38" spans="13:25" x14ac:dyDescent="0.3">
      <c r="M38" s="16">
        <v>2535</v>
      </c>
      <c r="N38" s="16" t="s">
        <v>47</v>
      </c>
      <c r="O38" s="16">
        <v>1003</v>
      </c>
      <c r="P38" s="16" t="s">
        <v>48</v>
      </c>
      <c r="Q38" s="17">
        <v>0</v>
      </c>
      <c r="R38" s="17"/>
      <c r="S38" s="18">
        <v>2.5350000000000001</v>
      </c>
      <c r="T38" s="18"/>
    </row>
    <row r="39" spans="13:25" x14ac:dyDescent="0.3">
      <c r="M39" s="16">
        <v>2470</v>
      </c>
      <c r="N39" s="16" t="s">
        <v>41</v>
      </c>
      <c r="O39" s="16">
        <v>1003</v>
      </c>
      <c r="P39" s="16" t="s">
        <v>48</v>
      </c>
      <c r="Q39" s="17">
        <v>0.65</v>
      </c>
      <c r="R39" s="17"/>
      <c r="S39" s="18">
        <v>0.67</v>
      </c>
      <c r="T39" s="18"/>
    </row>
    <row r="40" spans="13:25" x14ac:dyDescent="0.3">
      <c r="M40" s="16">
        <v>3999</v>
      </c>
      <c r="N40" s="16" t="s">
        <v>42</v>
      </c>
      <c r="O40" s="16">
        <v>1050</v>
      </c>
      <c r="P40" s="16" t="s">
        <v>49</v>
      </c>
      <c r="Q40" s="17">
        <v>1.5325800000000001</v>
      </c>
      <c r="R40" s="17"/>
      <c r="S40" s="18">
        <v>1.306</v>
      </c>
      <c r="T40" s="18"/>
    </row>
    <row r="41" spans="13:25" x14ac:dyDescent="0.3">
      <c r="M41" s="16">
        <v>3999</v>
      </c>
      <c r="N41" s="16" t="s">
        <v>42</v>
      </c>
      <c r="O41" s="16">
        <v>1051</v>
      </c>
      <c r="P41" s="16" t="s">
        <v>50</v>
      </c>
      <c r="Q41" s="17">
        <v>0.14419999999999999</v>
      </c>
      <c r="R41" s="17"/>
      <c r="S41" s="18">
        <v>0.218</v>
      </c>
      <c r="T41" s="18"/>
    </row>
    <row r="42" spans="13:25" x14ac:dyDescent="0.3">
      <c r="M42" s="16">
        <v>3999</v>
      </c>
      <c r="N42" s="16" t="s">
        <v>42</v>
      </c>
      <c r="O42" s="16">
        <v>1053</v>
      </c>
      <c r="P42" s="16" t="s">
        <v>51</v>
      </c>
      <c r="Q42" s="17">
        <v>0.35535</v>
      </c>
      <c r="R42" s="17"/>
      <c r="S42" s="18">
        <v>0.439</v>
      </c>
      <c r="T42" s="18"/>
    </row>
    <row r="43" spans="13:25" x14ac:dyDescent="0.3">
      <c r="M43" s="19">
        <v>3999</v>
      </c>
      <c r="N43" s="16" t="s">
        <v>52</v>
      </c>
      <c r="O43" s="19">
        <v>1053</v>
      </c>
      <c r="P43" s="16" t="s">
        <v>51</v>
      </c>
      <c r="Q43" s="17">
        <v>0</v>
      </c>
      <c r="R43" s="17"/>
      <c r="S43" s="18">
        <v>0</v>
      </c>
      <c r="T43" s="18"/>
    </row>
  </sheetData>
  <pageMargins left="0.17" right="0.17" top="1" bottom="1" header="0.5" footer="0.5"/>
  <pageSetup scale="75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zoomScale="85" zoomScaleNormal="85" workbookViewId="0">
      <selection activeCell="C55" sqref="C55"/>
    </sheetView>
  </sheetViews>
  <sheetFormatPr defaultRowHeight="12.45" x14ac:dyDescent="0.3"/>
  <cols>
    <col min="3" max="3" width="16" bestFit="1" customWidth="1"/>
  </cols>
  <sheetData>
    <row r="1" spans="1:3" x14ac:dyDescent="0.3">
      <c r="A1" s="40" t="s">
        <v>70</v>
      </c>
      <c r="B1">
        <v>2015</v>
      </c>
      <c r="C1" s="4">
        <f>+Sheet1!V11*1000000</f>
        <v>415300000</v>
      </c>
    </row>
    <row r="2" spans="1:3" x14ac:dyDescent="0.3">
      <c r="A2" s="40"/>
      <c r="B2">
        <v>2016</v>
      </c>
      <c r="C2" s="4">
        <f>+Sheet1!Y11*1000000</f>
        <v>397388000.00000006</v>
      </c>
    </row>
    <row r="3" spans="1:3" x14ac:dyDescent="0.3">
      <c r="A3" s="40"/>
      <c r="B3">
        <v>2017</v>
      </c>
      <c r="C3" s="4">
        <f>+Sheet1!AA11*1000000</f>
        <v>427549000.00000006</v>
      </c>
    </row>
    <row r="4" spans="1:3" x14ac:dyDescent="0.3">
      <c r="A4" s="40"/>
      <c r="B4">
        <v>2018</v>
      </c>
      <c r="C4" s="4">
        <f>+Sheet1!AC11*1000000</f>
        <v>435580999.99999994</v>
      </c>
    </row>
    <row r="5" spans="1:3" x14ac:dyDescent="0.3">
      <c r="A5" s="40"/>
      <c r="B5">
        <v>2019</v>
      </c>
      <c r="C5" s="4">
        <f>Sheet1!AE11*1000000</f>
        <v>448807863</v>
      </c>
    </row>
    <row r="6" spans="1:3" x14ac:dyDescent="0.3">
      <c r="A6" s="40" t="s">
        <v>69</v>
      </c>
      <c r="B6">
        <v>2020</v>
      </c>
      <c r="C6" s="4">
        <f>+Sheet1!AF11*1000000</f>
        <v>405000000</v>
      </c>
    </row>
    <row r="7" spans="1:3" x14ac:dyDescent="0.3">
      <c r="A7" s="40"/>
      <c r="B7">
        <v>2021</v>
      </c>
      <c r="C7" s="4">
        <f>+Sheet1!AG11*1000000</f>
        <v>405000000</v>
      </c>
    </row>
    <row r="8" spans="1:3" x14ac:dyDescent="0.3">
      <c r="A8" s="40"/>
      <c r="B8">
        <v>2022</v>
      </c>
      <c r="C8" s="4">
        <f>+Sheet1!AH14*1000000</f>
        <v>405000000</v>
      </c>
    </row>
    <row r="9" spans="1:3" x14ac:dyDescent="0.3">
      <c r="A9" s="40"/>
      <c r="B9">
        <v>2023</v>
      </c>
      <c r="C9" s="4">
        <f>+Sheet1!AI11*1000000</f>
        <v>405000000</v>
      </c>
    </row>
    <row r="10" spans="1:3" x14ac:dyDescent="0.3">
      <c r="A10" s="40"/>
      <c r="B10">
        <v>2024</v>
      </c>
      <c r="C10" s="4">
        <f>Sheet1!AJ11*1000000</f>
        <v>405000000</v>
      </c>
    </row>
  </sheetData>
  <mergeCells count="2">
    <mergeCell ref="A1:A5"/>
    <mergeCell ref="A6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workbookViewId="0">
      <selection activeCell="C8" sqref="C8:I8"/>
    </sheetView>
  </sheetViews>
  <sheetFormatPr defaultRowHeight="12.45" x14ac:dyDescent="0.3"/>
  <cols>
    <col min="3" max="3" width="14.3046875" bestFit="1" customWidth="1"/>
    <col min="4" max="8" width="14" bestFit="1" customWidth="1"/>
    <col min="9" max="9" width="15.69140625" customWidth="1"/>
    <col min="10" max="10" width="4" customWidth="1"/>
    <col min="11" max="11" width="14.53515625" bestFit="1" customWidth="1"/>
  </cols>
  <sheetData>
    <row r="1" spans="1:11" x14ac:dyDescent="0.3">
      <c r="C1" t="s">
        <v>1</v>
      </c>
      <c r="D1" t="s">
        <v>2</v>
      </c>
      <c r="E1" t="s">
        <v>3</v>
      </c>
      <c r="F1" t="s">
        <v>4</v>
      </c>
      <c r="G1" t="s">
        <v>31</v>
      </c>
      <c r="H1" t="s">
        <v>5</v>
      </c>
      <c r="I1" t="s">
        <v>6</v>
      </c>
      <c r="K1" t="s">
        <v>78</v>
      </c>
    </row>
    <row r="2" spans="1:11" x14ac:dyDescent="0.3">
      <c r="A2" s="40" t="s">
        <v>70</v>
      </c>
      <c r="B2">
        <v>2013</v>
      </c>
      <c r="C2" s="4">
        <f>SUMIF(Sheet1!$A$4:$A$10,'Capital Exp by Function Chart'!C$1,Sheet1!$R$4:$R$10)*1000000</f>
        <v>7800100.3599999994</v>
      </c>
      <c r="D2" s="4">
        <f>SUMIF(Sheet1!$A$4:$A$10,'Capital Exp by Function Chart'!D$1,Sheet1!$R$4:$R$10)*1000000</f>
        <v>34693403.020000003</v>
      </c>
      <c r="E2" s="4">
        <f>SUMIF(Sheet1!$A$4:$A$10,'Capital Exp by Function Chart'!E$1,Sheet1!$R$4:$R$10)*1000000</f>
        <v>33617318.359999999</v>
      </c>
      <c r="F2" s="4">
        <f>SUMIF(Sheet1!$A$4:$A$10,'Capital Exp by Function Chart'!F$1,Sheet1!$R$4:$R$10)*1000000</f>
        <v>41102731.739999995</v>
      </c>
      <c r="G2" s="4">
        <f>SUMIF(Sheet1!$A$4:$A$10,'Capital Exp by Function Chart'!G$1,Sheet1!$R$4:$R$10)*1000000</f>
        <v>58001734.139999993</v>
      </c>
      <c r="H2" s="4">
        <f>SUMIF(Sheet1!$A$4:$A$10,'Capital Exp by Function Chart'!H$1,Sheet1!$R$4:$R$10)*1000000</f>
        <v>38025094.390000001</v>
      </c>
      <c r="I2" s="4">
        <f>SUMIF(Sheet1!$A$4:$A$10,'Capital Exp by Function Chart'!I$1,Sheet1!$R$4:$R$10)*1000000</f>
        <v>82623247.640000015</v>
      </c>
      <c r="J2" s="4"/>
      <c r="K2" s="34" t="e">
        <f>SUM(C2:I2)-'Capital Expenditures Chart'!#REF!</f>
        <v>#REF!</v>
      </c>
    </row>
    <row r="3" spans="1:11" x14ac:dyDescent="0.3">
      <c r="A3" s="40"/>
      <c r="B3">
        <f>+B2+1</f>
        <v>2014</v>
      </c>
      <c r="C3" s="4">
        <f>SUMIF(Sheet1!$A$4:$A$10,'Capital Exp by Function Chart'!C$1,Sheet1!$T$4:$T$10)*1000000</f>
        <v>11740365</v>
      </c>
      <c r="D3" s="4">
        <f>SUMIF(Sheet1!$A$4:$A$10,'Capital Exp by Function Chart'!D$1,Sheet1!$T$4:$T$10)*1000000</f>
        <v>42597966</v>
      </c>
      <c r="E3" s="4">
        <f>SUMIF(Sheet1!$A$4:$A$10,'Capital Exp by Function Chart'!E$1,Sheet1!$T$4:$T$10)*1000000</f>
        <v>62764658</v>
      </c>
      <c r="F3" s="4">
        <f>SUMIF(Sheet1!$A$4:$A$10,'Capital Exp by Function Chart'!F$1,Sheet1!$T$4:$T$10)*1000000</f>
        <v>46157518</v>
      </c>
      <c r="G3" s="4">
        <f>SUMIF(Sheet1!$A$4:$A$10,'Capital Exp by Function Chart'!G$1,Sheet1!$T$4:$T$10)*1000000</f>
        <v>71378734</v>
      </c>
      <c r="H3" s="4">
        <f>SUMIF(Sheet1!$A$4:$A$10,'Capital Exp by Function Chart'!H$1,Sheet1!$T$4:$T$10)*1000000</f>
        <v>24084898.000000004</v>
      </c>
      <c r="I3" s="4">
        <f>SUMIF(Sheet1!$A$4:$A$10,'Capital Exp by Function Chart'!I$1,Sheet1!$T$4:$T$10)*1000000</f>
        <v>93552939</v>
      </c>
      <c r="J3" s="4"/>
      <c r="K3" s="34" t="e">
        <f>SUM(C3:I3)-'Capital Expenditures Chart'!#REF!</f>
        <v>#REF!</v>
      </c>
    </row>
    <row r="4" spans="1:11" x14ac:dyDescent="0.3">
      <c r="A4" s="40"/>
      <c r="B4">
        <f t="shared" ref="B4:B12" si="0">+B3+1</f>
        <v>2015</v>
      </c>
      <c r="C4" s="4">
        <f>SUMIF(Sheet1!$A$4:$A$10,'Capital Exp by Function Chart'!C$1,Sheet1!$V$4:$V$10)*1000000</f>
        <v>6000000</v>
      </c>
      <c r="D4" s="4">
        <f>SUMIF(Sheet1!$A$4:$A$10,'Capital Exp by Function Chart'!D$1,Sheet1!$V$4:$V$10)*1000000</f>
        <v>48600000</v>
      </c>
      <c r="E4" s="4">
        <f>SUMIF(Sheet1!$A$4:$A$10,'Capital Exp by Function Chart'!E$1,Sheet1!$V$4:$V$10)*1000000</f>
        <v>71400000</v>
      </c>
      <c r="F4" s="4">
        <f>SUMIF(Sheet1!$A$4:$A$10,'Capital Exp by Function Chart'!F$1,Sheet1!$V$4:$V$10)*1000000</f>
        <v>49800000</v>
      </c>
      <c r="G4" s="4">
        <f>SUMIF(Sheet1!$A$4:$A$10,'Capital Exp by Function Chart'!G$1,Sheet1!$V$4:$V$10)*1000000</f>
        <v>55000000</v>
      </c>
      <c r="H4" s="4">
        <f>SUMIF(Sheet1!$A$4:$A$10,'Capital Exp by Function Chart'!H$1,Sheet1!$V$4:$V$10)*1000000</f>
        <v>48699999.999999993</v>
      </c>
      <c r="I4" s="4">
        <f>SUMIF(Sheet1!$A$4:$A$10,'Capital Exp by Function Chart'!I$1,Sheet1!$V$4:$V$10)*1000000</f>
        <v>135800000</v>
      </c>
      <c r="J4" s="4"/>
      <c r="K4" s="34">
        <f>SUM(C4:I4)-'Capital Expenditures Chart'!C1</f>
        <v>0</v>
      </c>
    </row>
    <row r="5" spans="1:11" x14ac:dyDescent="0.3">
      <c r="A5" s="40"/>
      <c r="B5">
        <f t="shared" si="0"/>
        <v>2016</v>
      </c>
      <c r="C5" s="4">
        <f>SUMIF(Sheet1!$A$4:$A$10,'Capital Exp by Function Chart'!C$1,Sheet1!$Y$4:$Y$10)*1000000</f>
        <v>17312000</v>
      </c>
      <c r="D5" s="4">
        <f>SUMIF(Sheet1!$A$4:$A$10,'Capital Exp by Function Chart'!D$1,Sheet1!$Y$4:$Y$10)*1000000</f>
        <v>45859000</v>
      </c>
      <c r="E5" s="4">
        <f>SUMIF(Sheet1!$A$4:$A$10,'Capital Exp by Function Chart'!E$1,Sheet1!$Y$4:$Y$10)*1000000</f>
        <v>55067000</v>
      </c>
      <c r="F5" s="4">
        <f>SUMIF(Sheet1!$A$4:$A$10,'Capital Exp by Function Chart'!F$1,Sheet1!$Y$4:$Y$10)*1000000</f>
        <v>56694000</v>
      </c>
      <c r="G5" s="4">
        <f>SUMIF(Sheet1!$A$4:$A$10,'Capital Exp by Function Chart'!G$1,Sheet1!$Y$4:$Y$10)*1000000</f>
        <v>52697000</v>
      </c>
      <c r="H5" s="4">
        <f>SUMIF(Sheet1!$A$4:$A$10,'Capital Exp by Function Chart'!H$1,Sheet1!$Y$4:$Y$10)*1000000</f>
        <v>31043000.000000004</v>
      </c>
      <c r="I5" s="4">
        <f>SUMIF(Sheet1!$A$4:$A$10,'Capital Exp by Function Chart'!I$1,Sheet1!$Y$4:$Y$10)*1000000</f>
        <v>138715999.99999997</v>
      </c>
      <c r="J5" s="4"/>
      <c r="K5" s="34">
        <f>SUM(C5:I5)-'Capital Expenditures Chart'!C2</f>
        <v>0</v>
      </c>
    </row>
    <row r="6" spans="1:11" x14ac:dyDescent="0.3">
      <c r="A6" s="40"/>
      <c r="B6">
        <f t="shared" si="0"/>
        <v>2017</v>
      </c>
      <c r="C6" s="4">
        <f>SUMIF(Sheet1!$A$4:$A$10,'Capital Exp by Function Chart'!C$1,Sheet1!$AA$4:$AA$10)*1000000</f>
        <v>7446000</v>
      </c>
      <c r="D6" s="4">
        <f>SUMIF(Sheet1!$A$4:$A$10,'Capital Exp by Function Chart'!D$1,Sheet1!$AA$4:$AA$10)*1000000</f>
        <v>48472000</v>
      </c>
      <c r="E6" s="4">
        <f>SUMIF(Sheet1!$A$4:$A$10,'Capital Exp by Function Chart'!E$1,Sheet1!$AA$4:$AA$10)*1000000</f>
        <v>46482000</v>
      </c>
      <c r="F6" s="4">
        <f>SUMIF(Sheet1!$A$4:$A$10,'Capital Exp by Function Chart'!F$1,Sheet1!$AA$4:$AA$10)*1000000</f>
        <v>70926000</v>
      </c>
      <c r="G6" s="4">
        <f>SUMIF(Sheet1!$A$4:$A$10,'Capital Exp by Function Chart'!G$1,Sheet1!$AA$4:$AA$10)*1000000</f>
        <v>45394000</v>
      </c>
      <c r="H6" s="4">
        <f>SUMIF(Sheet1!$A$4:$A$10,'Capital Exp by Function Chart'!H$1,Sheet1!$AA$4:$AA$10)*1000000</f>
        <v>46735000.000000007</v>
      </c>
      <c r="I6" s="4">
        <f>SUMIF(Sheet1!$A$4:$A$10,'Capital Exp by Function Chart'!I$1,Sheet1!$AA$4:$AA$10)*1000000</f>
        <v>162094000</v>
      </c>
      <c r="J6" s="4"/>
      <c r="K6" s="34">
        <f>SUM(C6:I6)-'Capital Expenditures Chart'!C3</f>
        <v>0</v>
      </c>
    </row>
    <row r="7" spans="1:11" x14ac:dyDescent="0.3">
      <c r="A7" s="40"/>
      <c r="B7">
        <f t="shared" si="0"/>
        <v>2018</v>
      </c>
      <c r="C7" s="4">
        <f>SUMIF(Sheet1!$A$4:$A$10,'Capital Exp by Function Chart'!C$1,Sheet1!$AC$4:$AC$10)*1000000</f>
        <v>4967000</v>
      </c>
      <c r="D7" s="4">
        <f>SUMIF(Sheet1!$A$4:$A$10,'Capital Exp by Function Chart'!D$1,Sheet1!$AC$4:$AC$10)*1000000</f>
        <v>51730000</v>
      </c>
      <c r="E7" s="4">
        <f>SUMIF(Sheet1!$A$4:$A$10,'Capital Exp by Function Chart'!E$1,Sheet1!$AC$4:$AC$10)*1000000</f>
        <v>40494000</v>
      </c>
      <c r="F7" s="4">
        <f>SUMIF(Sheet1!$A$4:$A$10,'Capital Exp by Function Chart'!F$1,Sheet1!$AC$4:$AC$10)*1000000</f>
        <v>81415000</v>
      </c>
      <c r="G7" s="4">
        <f>SUMIF(Sheet1!$A$4:$A$10,'Capital Exp by Function Chart'!G$1,Sheet1!$AC$4:$AC$10)*1000000</f>
        <v>47927000</v>
      </c>
      <c r="H7" s="4">
        <f>SUMIF(Sheet1!$A$4:$A$10,'Capital Exp by Function Chart'!H$1,Sheet1!$AC$4:$AC$10)*1000000</f>
        <v>66408000</v>
      </c>
      <c r="I7" s="4">
        <f>SUMIF(Sheet1!$A$4:$A$10,'Capital Exp by Function Chart'!I$1,Sheet1!$AC$4:$AC$10)*1000000</f>
        <v>142640000</v>
      </c>
      <c r="J7" s="4"/>
      <c r="K7" s="34">
        <f>SUM(C7:I7)-'Capital Expenditures Chart'!C4</f>
        <v>0</v>
      </c>
    </row>
    <row r="8" spans="1:11" x14ac:dyDescent="0.3">
      <c r="A8" s="40"/>
      <c r="B8">
        <f t="shared" si="0"/>
        <v>2019</v>
      </c>
      <c r="C8" s="4">
        <f>SUMIF(Sheet1!$A$4:$A$10,'Capital Exp by Function Chart'!C$1,Sheet1!$AE$4:$AE$10)*1000000</f>
        <v>12996098</v>
      </c>
      <c r="D8" s="4">
        <f>SUMIF(Sheet1!$A$4:$A$10,'Capital Exp by Function Chart'!D$1,Sheet1!$AE$4:$AE$10)*1000000</f>
        <v>50170847</v>
      </c>
      <c r="E8" s="4">
        <f>SUMIF(Sheet1!$A$4:$A$10,'Capital Exp by Function Chart'!E$1,Sheet1!$AE$4:$AE$10)*1000000</f>
        <v>37052298</v>
      </c>
      <c r="F8" s="4">
        <f>SUMIF(Sheet1!$A$4:$A$10,'Capital Exp by Function Chart'!F$1,Sheet1!$AE$4:$AE$10)*1000000</f>
        <v>72424179</v>
      </c>
      <c r="G8" s="4">
        <f>SUMIF(Sheet1!$A$4:$A$10,'Capital Exp by Function Chart'!G$1,Sheet1!$AE$4:$AE$10)*1000000</f>
        <v>50575041</v>
      </c>
      <c r="H8" s="4">
        <f>SUMIF(Sheet1!$A$4:$A$10,'Capital Exp by Function Chart'!H$1,Sheet1!$AE$4:$AE$10)*1000000</f>
        <v>46428498.999999993</v>
      </c>
      <c r="I8" s="4">
        <f>SUMIF(Sheet1!$A$4:$A$10,'Capital Exp by Function Chart'!I$1,Sheet1!$AE$4:$AE$10)*1000000</f>
        <v>179160901</v>
      </c>
      <c r="J8" s="4"/>
      <c r="K8" s="34">
        <f>SUM(C8:I8)-'Capital Expenditures Chart'!C5</f>
        <v>0</v>
      </c>
    </row>
    <row r="9" spans="1:11" x14ac:dyDescent="0.3">
      <c r="A9" s="40" t="s">
        <v>69</v>
      </c>
      <c r="B9">
        <f t="shared" si="0"/>
        <v>2020</v>
      </c>
      <c r="C9" s="4">
        <f>SUMIF(Sheet1!$A$4:$A$10,'Capital Exp by Function Chart'!C$1,Sheet1!$AF$4:$AF$10)*1000000</f>
        <v>24136627</v>
      </c>
      <c r="D9" s="4">
        <f>SUMIF(Sheet1!$A$4:$A$10,'Capital Exp by Function Chart'!D$1,Sheet1!$AF$4:$AF$10)*1000000</f>
        <v>46193892</v>
      </c>
      <c r="E9" s="4">
        <f>SUMIF(Sheet1!$A$4:$A$10,'Capital Exp by Function Chart'!E$1,Sheet1!$AF$4:$AF$10)*1000000</f>
        <v>51451805</v>
      </c>
      <c r="F9" s="4">
        <f>SUMIF(Sheet1!$A$4:$A$10,'Capital Exp by Function Chart'!F$1,Sheet1!$AF$4:$AF$10)*1000000</f>
        <v>57956711</v>
      </c>
      <c r="G9" s="4">
        <f>SUMIF(Sheet1!$A$4:$A$10,'Capital Exp by Function Chart'!G$1,Sheet1!$AF$4:$AF$10)*1000000</f>
        <v>42594463</v>
      </c>
      <c r="H9" s="4">
        <f>SUMIF(Sheet1!$A$4:$A$10,'Capital Exp by Function Chart'!H$1,Sheet1!$AF$4:$AF$10)*1000000</f>
        <v>28942845</v>
      </c>
      <c r="I9" s="4">
        <f>SUMIF(Sheet1!$A$4:$A$10,'Capital Exp by Function Chart'!I$1,Sheet1!$AF$4:$AF$10)*1000000</f>
        <v>153723657</v>
      </c>
      <c r="J9" s="4"/>
      <c r="K9" s="34">
        <f>SUM(C9:I9)-'Capital Expenditures Chart'!C6</f>
        <v>0</v>
      </c>
    </row>
    <row r="10" spans="1:11" x14ac:dyDescent="0.3">
      <c r="A10" s="40"/>
      <c r="B10">
        <f t="shared" si="0"/>
        <v>2021</v>
      </c>
      <c r="C10" s="4">
        <f>SUMIF(Sheet1!$A$4:$A$10,'Capital Exp by Function Chart'!C$1,Sheet1!$AG$4:$AG$10)*1000000</f>
        <v>18223068</v>
      </c>
      <c r="D10" s="4">
        <f>SUMIF(Sheet1!$A$4:$A$10,'Capital Exp by Function Chart'!D$1,Sheet1!$AG$4:$AG$10)*1000000</f>
        <v>47608892</v>
      </c>
      <c r="E10" s="4">
        <f>SUMIF(Sheet1!$A$4:$A$10,'Capital Exp by Function Chart'!E$1,Sheet1!$AG$4:$AG$10)*1000000</f>
        <v>53933675</v>
      </c>
      <c r="F10" s="4">
        <f>SUMIF(Sheet1!$A$4:$A$10,'Capital Exp by Function Chart'!F$1,Sheet1!$AG$4:$AG$10)*1000000</f>
        <v>51134379</v>
      </c>
      <c r="G10" s="4">
        <f>SUMIF(Sheet1!$A$4:$A$10,'Capital Exp by Function Chart'!G$1,Sheet1!$AG$4:$AG$10)*1000000</f>
        <v>52905275</v>
      </c>
      <c r="H10" s="4">
        <f>SUMIF(Sheet1!$A$4:$A$10,'Capital Exp by Function Chart'!H$1,Sheet1!$AG$4:$AG$10)*1000000</f>
        <v>36023346</v>
      </c>
      <c r="I10" s="4">
        <f>SUMIF(Sheet1!$A$4:$A$10,'Capital Exp by Function Chart'!I$1,Sheet1!$AG$4:$AG$10)*1000000</f>
        <v>145171365</v>
      </c>
      <c r="J10" s="4"/>
      <c r="K10" s="34">
        <f>SUM(C10:I10)-'Capital Expenditures Chart'!C7</f>
        <v>0</v>
      </c>
    </row>
    <row r="11" spans="1:11" x14ac:dyDescent="0.3">
      <c r="A11" s="40"/>
      <c r="B11">
        <f>+B10+1</f>
        <v>2022</v>
      </c>
      <c r="C11" s="4">
        <f>SUMIF(Sheet1!$A$4:$A$10,'Capital Exp by Function Chart'!C$1,Sheet1!$AH$4:$AH$10)*1000000</f>
        <v>6096910</v>
      </c>
      <c r="D11" s="4">
        <f>SUMIF(Sheet1!$A$4:$A$10,'Capital Exp by Function Chart'!D$1,Sheet1!$AH$4:$AH$10)*1000000</f>
        <v>49549816</v>
      </c>
      <c r="E11" s="4">
        <f>SUMIF(Sheet1!$A$4:$A$10,'Capital Exp by Function Chart'!E$1,Sheet1!$AH$4:$AH$10)*1000000</f>
        <v>54488738</v>
      </c>
      <c r="F11" s="4">
        <f>SUMIF(Sheet1!$A$4:$A$10,'Capital Exp by Function Chart'!F$1,Sheet1!$AH$4:$AH$10)*1000000</f>
        <v>49859819</v>
      </c>
      <c r="G11" s="4">
        <f>SUMIF(Sheet1!$A$4:$A$10,'Capital Exp by Function Chart'!G$1,Sheet1!$AH$4:$AH$10)*1000000</f>
        <v>59687121</v>
      </c>
      <c r="H11" s="4">
        <f>SUMIF(Sheet1!$A$4:$A$10,'Capital Exp by Function Chart'!H$1,Sheet1!$AH$4:$AH$10)*1000000</f>
        <v>33761476</v>
      </c>
      <c r="I11" s="4">
        <f>SUMIF(Sheet1!$A$4:$A$10,'Capital Exp by Function Chart'!I$1,Sheet1!$AH$4:$AH$10)*1000000</f>
        <v>151556120</v>
      </c>
      <c r="J11" s="4"/>
      <c r="K11" s="34">
        <f>SUM(C11:I11)-'Capital Expenditures Chart'!C8</f>
        <v>0</v>
      </c>
    </row>
    <row r="12" spans="1:11" x14ac:dyDescent="0.3">
      <c r="A12" s="40"/>
      <c r="B12">
        <f t="shared" si="0"/>
        <v>2023</v>
      </c>
      <c r="C12" s="4">
        <f>SUMIF(Sheet1!$A$4:$A$10,'Capital Exp by Function Chart'!C$1,Sheet1!$AI$4:$AI$10)*1000000</f>
        <v>5282698</v>
      </c>
      <c r="D12" s="4">
        <f>SUMIF(Sheet1!$A$4:$A$10,'Capital Exp by Function Chart'!D$1,Sheet1!$AI$4:$AI$10)*1000000</f>
        <v>45988645</v>
      </c>
      <c r="E12" s="4">
        <f>SUMIF(Sheet1!$A$4:$A$10,'Capital Exp by Function Chart'!E$1,Sheet1!$AI$4:$AI$10)*1000000</f>
        <v>61201000</v>
      </c>
      <c r="F12" s="4">
        <f>SUMIF(Sheet1!$A$4:$A$10,'Capital Exp by Function Chart'!F$1,Sheet1!$AI$4:$AI$10)*1000000</f>
        <v>49734401</v>
      </c>
      <c r="G12" s="4">
        <f>SUMIF(Sheet1!$A$4:$A$10,'Capital Exp by Function Chart'!G$1,Sheet1!$AI$4:$AI$10)*1000000</f>
        <v>57584578</v>
      </c>
      <c r="H12" s="4">
        <f>SUMIF(Sheet1!$A$4:$A$10,'Capital Exp by Function Chart'!H$1,Sheet1!$AI$4:$AI$10)*1000000</f>
        <v>38885258</v>
      </c>
      <c r="I12" s="4">
        <f>SUMIF(Sheet1!$A$4:$A$10,'Capital Exp by Function Chart'!I$1,Sheet1!$AI$4:$AI$10)*1000000</f>
        <v>146323420</v>
      </c>
      <c r="J12" s="4"/>
      <c r="K12" s="34">
        <f>SUM(C12:I12)-'Capital Expenditures Chart'!C9</f>
        <v>0</v>
      </c>
    </row>
    <row r="13" spans="1:11" x14ac:dyDescent="0.3">
      <c r="A13" s="40"/>
      <c r="B13">
        <v>2024</v>
      </c>
      <c r="C13" s="4">
        <f>SUMIF(Sheet1!$A$4:$A$10,'Capital Exp by Function Chart'!C$1,Sheet1!$AJ$4:$AJ$10)*1000000</f>
        <v>5094679</v>
      </c>
      <c r="D13" s="4">
        <f>SUMIF(Sheet1!$A$4:$A$10,'Capital Exp by Function Chart'!D$1,Sheet1!$AJ$4:$AJ$10)*1000000</f>
        <v>45355648</v>
      </c>
      <c r="E13" s="4">
        <f>SUMIF(Sheet1!$A$4:$A$10,'Capital Exp by Function Chart'!E$1,Sheet1!$AJ$4:$AJ$10)*1000000</f>
        <v>61199000</v>
      </c>
      <c r="F13" s="4">
        <f>SUMIF(Sheet1!$A$4:$A$10,'Capital Exp by Function Chart'!F$1,Sheet1!$AJ$4:$AJ$10)*1000000</f>
        <v>50362596</v>
      </c>
      <c r="G13" s="4">
        <f>SUMIF(Sheet1!$A$4:$A$10,'Capital Exp by Function Chart'!G$1,Sheet1!$AJ$4:$AJ$10)*1000000</f>
        <v>54836578</v>
      </c>
      <c r="H13" s="4">
        <f>SUMIF(Sheet1!$A$4:$A$10,'Capital Exp by Function Chart'!H$1,Sheet1!$AJ$4:$AJ$10)*1000000</f>
        <v>53946179</v>
      </c>
      <c r="I13" s="4">
        <f>SUMIF(Sheet1!$A$4:$A$10,'Capital Exp by Function Chart'!I$1,Sheet1!$AJ$4:$AJ$10)*1000000</f>
        <v>134205320</v>
      </c>
      <c r="K13" s="34">
        <f>SUM(C13:I13)-'Capital Expenditures Chart'!C10</f>
        <v>0</v>
      </c>
    </row>
  </sheetData>
  <mergeCells count="2">
    <mergeCell ref="A9:A13"/>
    <mergeCell ref="A2:A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"/>
  <sheetViews>
    <sheetView tabSelected="1" workbookViewId="0">
      <selection activeCell="E8" sqref="E8"/>
    </sheetView>
  </sheetViews>
  <sheetFormatPr defaultColWidth="9.15234375" defaultRowHeight="14.6" x14ac:dyDescent="0.4"/>
  <cols>
    <col min="1" max="1" width="11.84375" style="35" customWidth="1"/>
    <col min="2" max="4" width="13" style="35" customWidth="1"/>
    <col min="5" max="5" width="20.69140625" style="35" customWidth="1"/>
    <col min="6" max="16384" width="9.15234375" style="35"/>
  </cols>
  <sheetData>
    <row r="1" spans="1:5" x14ac:dyDescent="0.4">
      <c r="A1" s="35" t="s">
        <v>86</v>
      </c>
    </row>
    <row r="4" spans="1:5" ht="15.45" x14ac:dyDescent="0.4">
      <c r="A4" s="36" t="s">
        <v>85</v>
      </c>
      <c r="B4" s="36" t="s">
        <v>84</v>
      </c>
      <c r="C4" s="36" t="s">
        <v>83</v>
      </c>
      <c r="D4" s="36" t="s">
        <v>82</v>
      </c>
      <c r="E4" s="36" t="s">
        <v>81</v>
      </c>
    </row>
    <row r="5" spans="1:5" ht="15.45" x14ac:dyDescent="0.4">
      <c r="A5" s="37">
        <v>2017</v>
      </c>
      <c r="B5" s="38">
        <v>461</v>
      </c>
      <c r="C5" s="38">
        <v>405</v>
      </c>
      <c r="D5" s="38">
        <f t="shared" ref="D5:D12" si="0">B5-C5</f>
        <v>56</v>
      </c>
      <c r="E5" s="39">
        <f t="shared" ref="E5:E12" si="1">D5/B5</f>
        <v>0.12147505422993492</v>
      </c>
    </row>
    <row r="6" spans="1:5" ht="15.45" x14ac:dyDescent="0.4">
      <c r="A6" s="37">
        <f t="shared" ref="A6:A11" si="2">+A5+1</f>
        <v>2018</v>
      </c>
      <c r="B6" s="38">
        <v>455</v>
      </c>
      <c r="C6" s="38">
        <v>405</v>
      </c>
      <c r="D6" s="38">
        <f t="shared" si="0"/>
        <v>50</v>
      </c>
      <c r="E6" s="39">
        <f t="shared" si="1"/>
        <v>0.10989010989010989</v>
      </c>
    </row>
    <row r="7" spans="1:5" ht="15.45" x14ac:dyDescent="0.4">
      <c r="A7" s="37">
        <f t="shared" si="2"/>
        <v>2019</v>
      </c>
      <c r="B7" s="38">
        <v>528</v>
      </c>
      <c r="C7" s="38">
        <v>405</v>
      </c>
      <c r="D7" s="38">
        <f t="shared" si="0"/>
        <v>123</v>
      </c>
      <c r="E7" s="39">
        <f t="shared" si="1"/>
        <v>0.23295454545454544</v>
      </c>
    </row>
    <row r="8" spans="1:5" ht="15.45" x14ac:dyDescent="0.4">
      <c r="A8" s="37">
        <f t="shared" si="2"/>
        <v>2020</v>
      </c>
      <c r="B8" s="38">
        <v>505</v>
      </c>
      <c r="C8" s="38">
        <v>405</v>
      </c>
      <c r="D8" s="38">
        <f t="shared" si="0"/>
        <v>100</v>
      </c>
      <c r="E8" s="39">
        <f t="shared" si="1"/>
        <v>0.19801980198019803</v>
      </c>
    </row>
    <row r="9" spans="1:5" ht="15.45" x14ac:dyDescent="0.4">
      <c r="A9" s="37">
        <f t="shared" si="2"/>
        <v>2021</v>
      </c>
      <c r="B9" s="38">
        <v>477</v>
      </c>
      <c r="C9" s="38">
        <v>405</v>
      </c>
      <c r="D9" s="38">
        <f t="shared" si="0"/>
        <v>72</v>
      </c>
      <c r="E9" s="39">
        <f t="shared" si="1"/>
        <v>0.15094339622641509</v>
      </c>
    </row>
    <row r="10" spans="1:5" ht="15.45" x14ac:dyDescent="0.4">
      <c r="A10" s="37">
        <f t="shared" si="2"/>
        <v>2022</v>
      </c>
      <c r="B10" s="38">
        <v>524</v>
      </c>
      <c r="C10" s="38">
        <v>405</v>
      </c>
      <c r="D10" s="38">
        <f t="shared" si="0"/>
        <v>119</v>
      </c>
      <c r="E10" s="39">
        <f t="shared" si="1"/>
        <v>0.22709923664122136</v>
      </c>
    </row>
    <row r="11" spans="1:5" ht="15.45" x14ac:dyDescent="0.4">
      <c r="A11" s="37">
        <f t="shared" si="2"/>
        <v>2023</v>
      </c>
      <c r="B11" s="38">
        <v>463</v>
      </c>
      <c r="C11" s="38">
        <v>405</v>
      </c>
      <c r="D11" s="38">
        <f t="shared" si="0"/>
        <v>58</v>
      </c>
      <c r="E11" s="39">
        <f t="shared" si="1"/>
        <v>0.12526997840172785</v>
      </c>
    </row>
    <row r="12" spans="1:5" ht="15.45" x14ac:dyDescent="0.4">
      <c r="A12" s="37">
        <v>2024</v>
      </c>
      <c r="B12" s="38">
        <v>471</v>
      </c>
      <c r="C12" s="38">
        <v>405</v>
      </c>
      <c r="D12" s="38">
        <f t="shared" si="0"/>
        <v>66</v>
      </c>
      <c r="E12" s="39">
        <f t="shared" si="1"/>
        <v>0.14012738853503184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9"/>
  <sheetViews>
    <sheetView showGridLines="0" workbookViewId="0">
      <selection activeCell="D18" sqref="D18"/>
    </sheetView>
  </sheetViews>
  <sheetFormatPr defaultColWidth="9.15234375" defaultRowHeight="12.45" x14ac:dyDescent="0.3"/>
  <cols>
    <col min="1" max="1" width="9.15234375" style="16"/>
    <col min="2" max="2" width="17.53515625" style="16" bestFit="1" customWidth="1"/>
    <col min="3" max="5" width="13.3046875" style="16" customWidth="1"/>
    <col min="6" max="6" width="2.69140625" style="16" customWidth="1"/>
    <col min="7" max="16384" width="9.15234375" style="16"/>
  </cols>
  <sheetData>
    <row r="1" spans="2:6" ht="12.9" thickBot="1" x14ac:dyDescent="0.35"/>
    <row r="2" spans="2:6" x14ac:dyDescent="0.3">
      <c r="B2" s="41" t="s">
        <v>75</v>
      </c>
      <c r="C2" s="42"/>
      <c r="D2" s="42"/>
      <c r="E2" s="42"/>
      <c r="F2" s="43"/>
    </row>
    <row r="3" spans="2:6" x14ac:dyDescent="0.3">
      <c r="B3" s="44" t="s">
        <v>76</v>
      </c>
      <c r="C3" s="45"/>
      <c r="D3" s="45"/>
      <c r="E3" s="45"/>
      <c r="F3" s="46"/>
    </row>
    <row r="4" spans="2:6" ht="24.9" x14ac:dyDescent="0.3">
      <c r="B4" s="24"/>
      <c r="C4" s="22" t="s">
        <v>71</v>
      </c>
      <c r="D4" s="22" t="s">
        <v>72</v>
      </c>
      <c r="E4" s="22" t="s">
        <v>73</v>
      </c>
      <c r="F4" s="25"/>
    </row>
    <row r="5" spans="2:6" x14ac:dyDescent="0.3">
      <c r="B5" s="26"/>
      <c r="C5" s="23"/>
      <c r="D5" s="23"/>
      <c r="E5" s="23"/>
      <c r="F5" s="27"/>
    </row>
    <row r="6" spans="2:6" x14ac:dyDescent="0.3">
      <c r="B6" s="30">
        <v>2010</v>
      </c>
      <c r="C6" s="31">
        <f>+Sheet1!M24</f>
        <v>235.02599700000002</v>
      </c>
      <c r="D6" s="31">
        <f>+Sheet1!L11</f>
        <v>206.8</v>
      </c>
      <c r="E6" s="32">
        <f t="shared" ref="E6:E15" si="0">D6/C6</f>
        <v>0.87990266030017095</v>
      </c>
      <c r="F6" s="27"/>
    </row>
    <row r="7" spans="2:6" x14ac:dyDescent="0.3">
      <c r="B7" s="30">
        <f t="shared" ref="B7:B15" si="1">+B6+1</f>
        <v>2011</v>
      </c>
      <c r="C7" s="31">
        <f>+Sheet1!O24</f>
        <v>259.96899999999994</v>
      </c>
      <c r="D7" s="31">
        <f>+Sheet1!N11</f>
        <v>246.95559709999998</v>
      </c>
      <c r="E7" s="32">
        <f t="shared" si="0"/>
        <v>0.94994248198823716</v>
      </c>
      <c r="F7" s="27"/>
    </row>
    <row r="8" spans="2:6" x14ac:dyDescent="0.3">
      <c r="B8" s="30">
        <f t="shared" si="1"/>
        <v>2012</v>
      </c>
      <c r="C8" s="31">
        <f>+Sheet1!Q24</f>
        <v>256.50000000000006</v>
      </c>
      <c r="D8" s="31">
        <f>+Sheet1!P11</f>
        <v>261.99299999999999</v>
      </c>
      <c r="E8" s="32">
        <f t="shared" si="0"/>
        <v>1.0214152046783622</v>
      </c>
      <c r="F8" s="27"/>
    </row>
    <row r="9" spans="2:6" x14ac:dyDescent="0.3">
      <c r="B9" s="30">
        <f t="shared" si="1"/>
        <v>2013</v>
      </c>
      <c r="C9" s="31">
        <f>+Sheet1!S11</f>
        <v>264.39477399999998</v>
      </c>
      <c r="D9" s="31">
        <f>+Sheet1!R11</f>
        <v>295.86362965000001</v>
      </c>
      <c r="E9" s="32">
        <f t="shared" si="0"/>
        <v>1.1190222301822048</v>
      </c>
      <c r="F9" s="27"/>
    </row>
    <row r="10" spans="2:6" x14ac:dyDescent="0.3">
      <c r="B10" s="30">
        <f t="shared" si="1"/>
        <v>2014</v>
      </c>
      <c r="C10" s="31">
        <f>+Sheet1!U11</f>
        <v>331</v>
      </c>
      <c r="D10" s="31">
        <f>+Sheet1!T11</f>
        <v>352.27707799999996</v>
      </c>
      <c r="E10" s="32">
        <f t="shared" si="0"/>
        <v>1.0642812024169184</v>
      </c>
      <c r="F10" s="27"/>
    </row>
    <row r="11" spans="2:6" x14ac:dyDescent="0.3">
      <c r="B11" s="30">
        <f t="shared" si="1"/>
        <v>2015</v>
      </c>
      <c r="C11" s="31">
        <f>+Sheet1!W11</f>
        <v>376.29999999999995</v>
      </c>
      <c r="D11" s="31">
        <f>+Sheet1!V11</f>
        <v>415.3</v>
      </c>
      <c r="E11" s="32">
        <f t="shared" si="0"/>
        <v>1.1036407121977148</v>
      </c>
      <c r="F11" s="27"/>
    </row>
    <row r="12" spans="2:6" x14ac:dyDescent="0.3">
      <c r="B12" s="30">
        <f t="shared" si="1"/>
        <v>2016</v>
      </c>
      <c r="C12" s="31">
        <f>+Sheet1!X11</f>
        <v>375</v>
      </c>
      <c r="D12" s="31">
        <f>+Sheet1!Y11</f>
        <v>397.38800000000003</v>
      </c>
      <c r="E12" s="32">
        <f t="shared" si="0"/>
        <v>1.0597013333333334</v>
      </c>
      <c r="F12" s="27"/>
    </row>
    <row r="13" spans="2:6" x14ac:dyDescent="0.3">
      <c r="B13" s="30">
        <f t="shared" si="1"/>
        <v>2017</v>
      </c>
      <c r="C13" s="31">
        <f>+Sheet1!Z11</f>
        <v>405.00200000000001</v>
      </c>
      <c r="D13" s="31">
        <f>+Sheet1!AA11</f>
        <v>427.54900000000004</v>
      </c>
      <c r="E13" s="32">
        <f t="shared" si="0"/>
        <v>1.0556713300181235</v>
      </c>
      <c r="F13" s="27"/>
    </row>
    <row r="14" spans="2:6" x14ac:dyDescent="0.3">
      <c r="B14" s="30">
        <f t="shared" si="1"/>
        <v>2018</v>
      </c>
      <c r="C14" s="31">
        <f>Sheet1!AB11</f>
        <v>405</v>
      </c>
      <c r="D14" s="31">
        <f>Sheet1!AC11</f>
        <v>435.58099999999996</v>
      </c>
      <c r="E14" s="32">
        <f t="shared" si="0"/>
        <v>1.0755086419753086</v>
      </c>
      <c r="F14" s="27"/>
    </row>
    <row r="15" spans="2:6" x14ac:dyDescent="0.3">
      <c r="B15" s="30">
        <f t="shared" si="1"/>
        <v>2019</v>
      </c>
      <c r="C15" s="31">
        <f>Sheet1!AD11</f>
        <v>405</v>
      </c>
      <c r="D15" s="31">
        <f>Sheet1!AE11</f>
        <v>448.807863</v>
      </c>
      <c r="E15" s="32">
        <f t="shared" si="0"/>
        <v>1.108167562962963</v>
      </c>
      <c r="F15" s="27"/>
    </row>
    <row r="16" spans="2:6" x14ac:dyDescent="0.3">
      <c r="B16" s="28"/>
      <c r="F16" s="27"/>
    </row>
    <row r="17" spans="2:6" ht="12.9" thickBot="1" x14ac:dyDescent="0.35">
      <c r="B17" s="26" t="s">
        <v>74</v>
      </c>
      <c r="C17" s="29">
        <f>AVERAGE(C6:C15)</f>
        <v>331.31917710000005</v>
      </c>
      <c r="D17" s="29">
        <f>AVERAGE(D6:D15)</f>
        <v>348.85151677500005</v>
      </c>
      <c r="E17" s="33">
        <f>AVERAGE(E6:E15)</f>
        <v>1.0437253360053336</v>
      </c>
      <c r="F17" s="27"/>
    </row>
    <row r="18" spans="2:6" ht="7.5" customHeight="1" x14ac:dyDescent="0.3">
      <c r="B18" s="24"/>
      <c r="C18" s="21"/>
      <c r="D18" s="21"/>
      <c r="E18" s="21"/>
      <c r="F18" s="25"/>
    </row>
    <row r="19" spans="2:6" ht="51" customHeight="1" thickBot="1" x14ac:dyDescent="0.35">
      <c r="B19" s="47" t="s">
        <v>77</v>
      </c>
      <c r="C19" s="48"/>
      <c r="D19" s="48"/>
      <c r="E19" s="48"/>
      <c r="F19" s="49"/>
    </row>
  </sheetData>
  <mergeCells count="3">
    <mergeCell ref="B2:F2"/>
    <mergeCell ref="B3:F3"/>
    <mergeCell ref="B19:F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FAE423-ABB4-4D86-AF26-DDA05827FCC7}"/>
</file>

<file path=customXml/itemProps2.xml><?xml version="1.0" encoding="utf-8"?>
<ds:datastoreItem xmlns:ds="http://schemas.openxmlformats.org/officeDocument/2006/customXml" ds:itemID="{253A1D7F-0DDE-43CA-AB7E-B0FBA9C586B0}"/>
</file>

<file path=customXml/itemProps3.xml><?xml version="1.0" encoding="utf-8"?>
<ds:datastoreItem xmlns:ds="http://schemas.openxmlformats.org/officeDocument/2006/customXml" ds:itemID="{177EA00E-CDC8-40D1-B7B8-AB195237C203}"/>
</file>

<file path=customXml/itemProps4.xml><?xml version="1.0" encoding="utf-8"?>
<ds:datastoreItem xmlns:ds="http://schemas.openxmlformats.org/officeDocument/2006/customXml" ds:itemID="{32CDC112-66F3-4351-8EAB-8ED379100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Capital Expenditures Chart</vt:lpstr>
      <vt:lpstr>Capital Exp by Function Chart</vt:lpstr>
      <vt:lpstr>Requested vs Approved</vt:lpstr>
      <vt:lpstr>Planned vs Actual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Stevens, Margie</dc:creator>
  <cp:lastModifiedBy>Ehrbar, Pat</cp:lastModifiedBy>
  <cp:lastPrinted>2013-03-12T18:28:03Z</cp:lastPrinted>
  <dcterms:created xsi:type="dcterms:W3CDTF">2009-08-13T17:59:10Z</dcterms:created>
  <dcterms:modified xsi:type="dcterms:W3CDTF">2020-10-06T15:05:11Z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0x0101006E56B4D1795A2E4DB2F0B01679ED314A00EA77B5ED84937743973E7F67CD421E1E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