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worksheets/sheet15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.xml" ContentType="application/vnd.openxmlformats-officedocument.drawing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0" windowWidth="16800" windowHeight="8700"/>
  </bookViews>
  <sheets>
    <sheet name="MPG-5" sheetId="1" r:id="rId1"/>
    <sheet name="MPG-6" sheetId="3" r:id="rId2"/>
    <sheet name="MPG-7" sheetId="4" r:id="rId3"/>
    <sheet name="MPG-8" sheetId="5" r:id="rId4"/>
    <sheet name="MPG-9" sheetId="6" r:id="rId5"/>
    <sheet name="MPG-10a&amp;b" sheetId="7" r:id="rId6"/>
    <sheet name="MPG-11" sheetId="8" r:id="rId7"/>
    <sheet name="MPG-12" sheetId="9" r:id="rId8"/>
    <sheet name="MPG-13" sheetId="10" r:id="rId9"/>
    <sheet name="MPG-14" sheetId="11" r:id="rId10"/>
    <sheet name="MPG-15" sheetId="12" r:id="rId11"/>
    <sheet name="MPG-16" sheetId="13" r:id="rId12"/>
    <sheet name="MPG-17a" sheetId="14" r:id="rId13"/>
    <sheet name="MPG-17b" sheetId="15" r:id="rId14"/>
    <sheet name="MPG-17c" sheetId="16" r:id="rId15"/>
    <sheet name="MPG-18" sheetId="17" r:id="rId16"/>
    <sheet name="MPG-19" sheetId="18" r:id="rId17"/>
    <sheet name="Workpaper 1" sheetId="19" r:id="rId18"/>
    <sheet name="Workpaper 2" sheetId="20" r:id="rId19"/>
    <sheet name="Workpaper 3" sheetId="21" r:id="rId20"/>
    <sheet name="Workpaper 4" sheetId="22" r:id="rId21"/>
    <sheet name="Workpaper 5" sheetId="23" r:id="rId22"/>
    <sheet name="Workpaper 6" sheetId="24" r:id="rId23"/>
    <sheet name="Workpaper 7" sheetId="25" r:id="rId24"/>
    <sheet name="Workpaper 8" sheetId="2" r:id="rId25"/>
  </sheets>
  <externalReferences>
    <externalReference r:id="rId26"/>
    <externalReference r:id="rId27"/>
    <externalReference r:id="rId28"/>
  </externalReferences>
  <definedNames>
    <definedName name="\d" localSheetId="5">#REF!</definedName>
    <definedName name="\d" localSheetId="8">#REF!</definedName>
    <definedName name="\d" localSheetId="12">#REF!</definedName>
    <definedName name="\d" localSheetId="0">#REF!</definedName>
    <definedName name="\d" localSheetId="1">#REF!</definedName>
    <definedName name="\d" localSheetId="2">#REF!</definedName>
    <definedName name="\d" localSheetId="17">#REF!</definedName>
    <definedName name="\d" localSheetId="18">#REF!</definedName>
    <definedName name="\d" localSheetId="24">#REF!</definedName>
    <definedName name="\d">#REF!</definedName>
    <definedName name="\h" localSheetId="5">#REF!</definedName>
    <definedName name="\h" localSheetId="7">#REF!</definedName>
    <definedName name="\h" localSheetId="8">#REF!</definedName>
    <definedName name="\h" localSheetId="12">#REF!</definedName>
    <definedName name="\h" localSheetId="16">#REF!</definedName>
    <definedName name="\h" localSheetId="0">#REF!</definedName>
    <definedName name="\h" localSheetId="1">#REF!</definedName>
    <definedName name="\h" localSheetId="2">#REF!</definedName>
    <definedName name="\h" localSheetId="17">#REF!</definedName>
    <definedName name="\h" localSheetId="18">#REF!</definedName>
    <definedName name="\h" localSheetId="24">#REF!</definedName>
    <definedName name="\h">#REF!</definedName>
    <definedName name="\p" localSheetId="5">#REF!</definedName>
    <definedName name="\p" localSheetId="7">#REF!</definedName>
    <definedName name="\p" localSheetId="8">#REF!</definedName>
    <definedName name="\p" localSheetId="12">#REF!</definedName>
    <definedName name="\p" localSheetId="16">#REF!</definedName>
    <definedName name="\p" localSheetId="0">#REF!</definedName>
    <definedName name="\p" localSheetId="1">#REF!</definedName>
    <definedName name="\p" localSheetId="2">#REF!</definedName>
    <definedName name="\p" localSheetId="17">#REF!</definedName>
    <definedName name="\p" localSheetId="18">#REF!</definedName>
    <definedName name="\p" localSheetId="24">#REF!</definedName>
    <definedName name="\p">#REF!</definedName>
    <definedName name="\w" localSheetId="5">#REF!</definedName>
    <definedName name="\w" localSheetId="7">#REF!</definedName>
    <definedName name="\w" localSheetId="8">#REF!</definedName>
    <definedName name="\w" localSheetId="12">#REF!</definedName>
    <definedName name="\w" localSheetId="16">#REF!</definedName>
    <definedName name="\w" localSheetId="0">#REF!</definedName>
    <definedName name="\w" localSheetId="1">#REF!</definedName>
    <definedName name="\w" localSheetId="2">#REF!</definedName>
    <definedName name="\w" localSheetId="17">#REF!</definedName>
    <definedName name="\w" localSheetId="18">#REF!</definedName>
    <definedName name="\w" localSheetId="24">#REF!</definedName>
    <definedName name="\w">#REF!</definedName>
    <definedName name="_1" localSheetId="5">#REF!</definedName>
    <definedName name="_1" localSheetId="7">#REF!</definedName>
    <definedName name="_1" localSheetId="8">#REF!</definedName>
    <definedName name="_1" localSheetId="12">#REF!</definedName>
    <definedName name="_1" localSheetId="16">#REF!</definedName>
    <definedName name="_1" localSheetId="0">#REF!</definedName>
    <definedName name="_1" localSheetId="1">#REF!</definedName>
    <definedName name="_1" localSheetId="2">#REF!</definedName>
    <definedName name="_1" localSheetId="17">#REF!</definedName>
    <definedName name="_1" localSheetId="18">#REF!</definedName>
    <definedName name="_1" localSheetId="24">#REF!</definedName>
    <definedName name="_1">#REF!</definedName>
    <definedName name="_2" localSheetId="5">#REF!</definedName>
    <definedName name="_2" localSheetId="7">#REF!</definedName>
    <definedName name="_2" localSheetId="8">#REF!</definedName>
    <definedName name="_2" localSheetId="12">#REF!</definedName>
    <definedName name="_2" localSheetId="16">#REF!</definedName>
    <definedName name="_2" localSheetId="0">#REF!</definedName>
    <definedName name="_2" localSheetId="1">#REF!</definedName>
    <definedName name="_2" localSheetId="2">#REF!</definedName>
    <definedName name="_2" localSheetId="17">#REF!</definedName>
    <definedName name="_2" localSheetId="18">#REF!</definedName>
    <definedName name="_2" localSheetId="24">#REF!</definedName>
    <definedName name="_2">#REF!</definedName>
    <definedName name="_3" localSheetId="5">#REF!</definedName>
    <definedName name="_3" localSheetId="7">#REF!</definedName>
    <definedName name="_3" localSheetId="8">#REF!</definedName>
    <definedName name="_3" localSheetId="12">#REF!</definedName>
    <definedName name="_3" localSheetId="16">#REF!</definedName>
    <definedName name="_3" localSheetId="0">#REF!</definedName>
    <definedName name="_3" localSheetId="1">#REF!</definedName>
    <definedName name="_3" localSheetId="2">#REF!</definedName>
    <definedName name="_3" localSheetId="17">#REF!</definedName>
    <definedName name="_3" localSheetId="18">#REF!</definedName>
    <definedName name="_3" localSheetId="24">#REF!</definedName>
    <definedName name="_3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localSheetId="12" hidden="1">#REF!</definedName>
    <definedName name="_Key1" localSheetId="1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17" hidden="1">#REF!</definedName>
    <definedName name="_Key1" localSheetId="18" hidden="1">#REF!</definedName>
    <definedName name="_Key1" localSheetId="24" hidden="1">#REF!</definedName>
    <definedName name="_Key1" hidden="1">#REF!</definedName>
    <definedName name="_Key2" localSheetId="5" hidden="1">#REF!</definedName>
    <definedName name="_Key2" localSheetId="7" hidden="1">#REF!</definedName>
    <definedName name="_Key2" localSheetId="8" hidden="1">#REF!</definedName>
    <definedName name="_Key2" localSheetId="12" hidden="1">#REF!</definedName>
    <definedName name="_Key2" localSheetId="16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17" hidden="1">#REF!</definedName>
    <definedName name="_Key2" localSheetId="18" hidden="1">#REF!</definedName>
    <definedName name="_Key2" localSheetId="24" hidden="1">#REF!</definedName>
    <definedName name="_Key2" hidden="1">#REF!</definedName>
    <definedName name="_Order1" hidden="1">255</definedName>
    <definedName name="_Order2" hidden="1">255</definedName>
    <definedName name="_Regression_Out" localSheetId="5" hidden="1">#REF!</definedName>
    <definedName name="_Regression_Out" localSheetId="7" hidden="1">#REF!</definedName>
    <definedName name="_Regression_Out" localSheetId="8" hidden="1">#REF!</definedName>
    <definedName name="_Regression_Out" localSheetId="12" hidden="1">#REF!</definedName>
    <definedName name="_Regression_Out" localSheetId="16" hidden="1">#REF!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17" hidden="1">#REF!</definedName>
    <definedName name="_Regression_Out" localSheetId="18" hidden="1">#REF!</definedName>
    <definedName name="_Regression_Out" localSheetId="24" hidden="1">#REF!</definedName>
    <definedName name="_Regression_Out" hidden="1">#REF!</definedName>
    <definedName name="_Regression_X" localSheetId="5" hidden="1">#REF!</definedName>
    <definedName name="_Regression_X" localSheetId="7" hidden="1">#REF!</definedName>
    <definedName name="_Regression_X" localSheetId="8" hidden="1">#REF!</definedName>
    <definedName name="_Regression_X" localSheetId="12" hidden="1">#REF!</definedName>
    <definedName name="_Regression_X" localSheetId="16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17" hidden="1">#REF!</definedName>
    <definedName name="_Regression_X" localSheetId="18" hidden="1">#REF!</definedName>
    <definedName name="_Regression_X" localSheetId="24" hidden="1">#REF!</definedName>
    <definedName name="_Regression_X" hidden="1">#REF!</definedName>
    <definedName name="_Regression_Y" localSheetId="5" hidden="1">#REF!</definedName>
    <definedName name="_Regression_Y" localSheetId="7" hidden="1">#REF!</definedName>
    <definedName name="_Regression_Y" localSheetId="8" hidden="1">#REF!</definedName>
    <definedName name="_Regression_Y" localSheetId="12" hidden="1">#REF!</definedName>
    <definedName name="_Regression_Y" localSheetId="16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17" hidden="1">#REF!</definedName>
    <definedName name="_Regression_Y" localSheetId="18" hidden="1">#REF!</definedName>
    <definedName name="_Regression_Y" localSheetId="24" hidden="1">#REF!</definedName>
    <definedName name="_Regression_Y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12" hidden="1">#REF!</definedName>
    <definedName name="_Sort" localSheetId="1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17" hidden="1">#REF!</definedName>
    <definedName name="_Sort" localSheetId="18" hidden="1">#REF!</definedName>
    <definedName name="_Sort" localSheetId="24" hidden="1">#REF!</definedName>
    <definedName name="_Sort" hidden="1">#REF!</definedName>
    <definedName name="_WRK1">#REF!</definedName>
    <definedName name="_WRK2">#REF!</definedName>
    <definedName name="A" localSheetId="5">#REF!</definedName>
    <definedName name="A" localSheetId="7">#REF!</definedName>
    <definedName name="A" localSheetId="8">#REF!</definedName>
    <definedName name="A" localSheetId="12">#REF!</definedName>
    <definedName name="A" localSheetId="16">#REF!</definedName>
    <definedName name="A" localSheetId="0">#REF!</definedName>
    <definedName name="A" localSheetId="1">#REF!</definedName>
    <definedName name="A" localSheetId="2">#REF!</definedName>
    <definedName name="A" localSheetId="17">#REF!</definedName>
    <definedName name="A" localSheetId="18">#REF!</definedName>
    <definedName name="A" localSheetId="24">#REF!</definedName>
    <definedName name="A">#REF!</definedName>
    <definedName name="B" localSheetId="5">#REF!</definedName>
    <definedName name="B" localSheetId="7">#REF!</definedName>
    <definedName name="B" localSheetId="8">#REF!</definedName>
    <definedName name="B" localSheetId="12">#REF!</definedName>
    <definedName name="B" localSheetId="16">#REF!</definedName>
    <definedName name="B" localSheetId="0">#REF!</definedName>
    <definedName name="B" localSheetId="1">#REF!</definedName>
    <definedName name="B" localSheetId="2">#REF!</definedName>
    <definedName name="B" localSheetId="17">#REF!</definedName>
    <definedName name="B" localSheetId="18">#REF!</definedName>
    <definedName name="B" localSheetId="24">#REF!</definedName>
    <definedName name="B">#REF!</definedName>
    <definedName name="bruce" localSheetId="5">#REF!</definedName>
    <definedName name="bruce" localSheetId="7">#REF!</definedName>
    <definedName name="bruce" localSheetId="8">#REF!</definedName>
    <definedName name="bruce" localSheetId="12">#REF!</definedName>
    <definedName name="bruce" localSheetId="16">#REF!</definedName>
    <definedName name="bruce" localSheetId="0">#REF!</definedName>
    <definedName name="bruce" localSheetId="1">#REF!</definedName>
    <definedName name="bruce" localSheetId="2">#REF!</definedName>
    <definedName name="bruce" localSheetId="17">#REF!</definedName>
    <definedName name="bruce" localSheetId="18">#REF!</definedName>
    <definedName name="bruce" localSheetId="24">#REF!</definedName>
    <definedName name="bruce">#REF!</definedName>
    <definedName name="C_" localSheetId="5">#REF!</definedName>
    <definedName name="C_" localSheetId="7">#REF!</definedName>
    <definedName name="C_" localSheetId="8">#REF!</definedName>
    <definedName name="C_" localSheetId="12">#REF!</definedName>
    <definedName name="C_" localSheetId="16">#REF!</definedName>
    <definedName name="C_" localSheetId="0">#REF!</definedName>
    <definedName name="C_" localSheetId="1">#REF!</definedName>
    <definedName name="C_" localSheetId="2">#REF!</definedName>
    <definedName name="C_" localSheetId="17">#REF!</definedName>
    <definedName name="C_" localSheetId="18">#REF!</definedName>
    <definedName name="C_" localSheetId="24">#REF!</definedName>
    <definedName name="C_">#REF!</definedName>
    <definedName name="DATA">#N/A</definedName>
    <definedName name="DLX1.USE" localSheetId="7">#REF!</definedName>
    <definedName name="DLX1.USE" localSheetId="12">#REF!</definedName>
    <definedName name="DLX1.USE" localSheetId="24">#REF!</definedName>
    <definedName name="DLX1.USE">#REF!</definedName>
    <definedName name="DLX2.USE" localSheetId="12">#REF!</definedName>
    <definedName name="DLX2.USE" localSheetId="24">#REF!</definedName>
    <definedName name="DLX2.USE">#REF!</definedName>
    <definedName name="dsfsd" localSheetId="4">'[1]Credit Ratings-DO Not'!$E$5:$F$23</definedName>
    <definedName name="dsfsd">'[1]Credit Ratings-DO Not'!$E$5:$F$23</definedName>
    <definedName name="EV__LASTREFTIME__" hidden="1">39198.5712152778</definedName>
    <definedName name="m" localSheetId="7">'[2]Credit Ratings-DO Not'!$E$5:$F$23</definedName>
    <definedName name="m" localSheetId="4">'[2]Credit Ratings-DO Not'!$E$5:$F$23</definedName>
    <definedName name="m">'[2]Credit Ratings-DO Not'!$E$5:$F$23</definedName>
    <definedName name="Moodys" localSheetId="5">#REF!</definedName>
    <definedName name="Moodys" localSheetId="12">#REF!</definedName>
    <definedName name="Moodys" localSheetId="0">#REF!</definedName>
    <definedName name="Moodys" localSheetId="1">#REF!</definedName>
    <definedName name="Moodys" localSheetId="17">#REF!</definedName>
    <definedName name="Moodys" localSheetId="18">#REF!</definedName>
    <definedName name="Moodys" localSheetId="24">#REF!</definedName>
    <definedName name="Moodys">#REF!</definedName>
    <definedName name="N" localSheetId="5">#REF!</definedName>
    <definedName name="N" localSheetId="7">#REF!</definedName>
    <definedName name="N" localSheetId="8">#REF!</definedName>
    <definedName name="N" localSheetId="12">#REF!</definedName>
    <definedName name="N" localSheetId="16">#REF!</definedName>
    <definedName name="N" localSheetId="0">#REF!</definedName>
    <definedName name="N" localSheetId="1">#REF!</definedName>
    <definedName name="N" localSheetId="2">#REF!</definedName>
    <definedName name="N" localSheetId="17">#REF!</definedName>
    <definedName name="N" localSheetId="18">#REF!</definedName>
    <definedName name="N" localSheetId="24">#REF!</definedName>
    <definedName name="N">#REF!</definedName>
    <definedName name="NAME">#N/A</definedName>
    <definedName name="NOTBALANCED">#REF!</definedName>
    <definedName name="NvsASD">"V1999-12-31"</definedName>
    <definedName name="NvsAutoDrillOk">"VN"</definedName>
    <definedName name="NvsElapsedTime">0.0136769675955293</definedName>
    <definedName name="NvsEndTime">36546.4462868056</definedName>
    <definedName name="NvsInstSpec">"%"</definedName>
    <definedName name="NvsLayoutType">"M3"</definedName>
    <definedName name="NvsNplSpec">"%,X,RZF..,CZF.."</definedName>
    <definedName name="NvsPanelEffdt">"V1990-01-01"</definedName>
    <definedName name="NvsPanelSetid">"VAEP"</definedName>
    <definedName name="NvsReqBU">"VX60"</definedName>
    <definedName name="NvsReqBUOnly">"VN"</definedName>
    <definedName name="NvsTransLed">"VN"</definedName>
    <definedName name="NvsTreeASD">"V2020-01-01"</definedName>
    <definedName name="NvsValTbl.CURRENCY_CD">"CURRENCY_CD_TBL"</definedName>
    <definedName name="PAGE3">#REF!</definedName>
    <definedName name="PAGE4">#REF!</definedName>
    <definedName name="_xlnm.Print_Area" localSheetId="5">'MPG-10a&amp;b'!$A$1:$Z$35</definedName>
    <definedName name="_xlnm.Print_Area" localSheetId="6">'MPG-11'!$A$1:$H$30</definedName>
    <definedName name="_xlnm.Print_Area" localSheetId="7">'MPG-12'!$A$1:$M$32</definedName>
    <definedName name="_xlnm.Print_Area" localSheetId="8">'MPG-13'!$F$1:$R$35</definedName>
    <definedName name="_xlnm.Print_Area" localSheetId="9">'MPG-14'!$A$1:$G$50</definedName>
    <definedName name="_xlnm.Print_Area" localSheetId="10">'MPG-15'!$A$1:$G$51</definedName>
    <definedName name="_xlnm.Print_Area" localSheetId="11">'MPG-16'!$A$1:$L$73</definedName>
    <definedName name="_xlnm.Print_Area" localSheetId="12">'MPG-17a'!$A$1:$E$39</definedName>
    <definedName name="_xlnm.Print_Area" localSheetId="15">'MPG-18'!$A$1:$F$28</definedName>
    <definedName name="_xlnm.Print_Area" localSheetId="16">'MPG-19'!$A$1:$H$36</definedName>
    <definedName name="_xlnm.Print_Area" localSheetId="0">'MPG-5'!$A$1:$K$36</definedName>
    <definedName name="_xlnm.Print_Area" localSheetId="2">'MPG-7'!$A$1:$H$33</definedName>
    <definedName name="_xlnm.Print_Area" localSheetId="3">'MPG-8'!$A$1:$L$35</definedName>
    <definedName name="_xlnm.Print_Area" localSheetId="4">'MPG-9'!$A$1:$K$27</definedName>
    <definedName name="_xlnm.Print_Area" localSheetId="17">'Workpaper 1'!$A$1:$Q$140</definedName>
    <definedName name="_xlnm.Print_Area" localSheetId="18">'Workpaper 2'!$A$1:$Q$24</definedName>
    <definedName name="_xlnm.Print_Area" localSheetId="20">'Workpaper 4'!$A$1:$D$46</definedName>
    <definedName name="_xlnm.Print_Area" localSheetId="21">'Workpaper 5'!$A$1:$D$40</definedName>
    <definedName name="_xlnm.Print_Area" localSheetId="22">'Workpaper 6'!$A$1:$D$42</definedName>
    <definedName name="_xlnm.Print_Area" localSheetId="23">'Workpaper 7'!$A$1:$E$44</definedName>
    <definedName name="Print_Area_MI">#REF!</definedName>
    <definedName name="_xlnm.Print_Titles" localSheetId="17">'Workpaper 1'!$1:$4</definedName>
    <definedName name="PRINTJE1">#REF!</definedName>
    <definedName name="PRINTJE2">#REF!</definedName>
    <definedName name="PRTWORK">#REF!</definedName>
    <definedName name="s" localSheetId="7">'[3]Credit Ratings-DO Not'!$B$5:$C$26</definedName>
    <definedName name="s">'[3]Credit Ratings-DO Not'!$B$5:$C$26</definedName>
    <definedName name="SAP" localSheetId="5">#REF!</definedName>
    <definedName name="SAP" localSheetId="7">#REF!</definedName>
    <definedName name="SAP" localSheetId="8">#REF!</definedName>
    <definedName name="SAP" localSheetId="11">#REF!</definedName>
    <definedName name="SAP" localSheetId="12">#REF!</definedName>
    <definedName name="SAP" localSheetId="16">#REF!</definedName>
    <definedName name="SAP" localSheetId="0">#REF!</definedName>
    <definedName name="SAP" localSheetId="1">#REF!</definedName>
    <definedName name="SAP" localSheetId="2">#REF!</definedName>
    <definedName name="SAP" localSheetId="17">#REF!</definedName>
    <definedName name="SAP" localSheetId="18">#REF!</definedName>
    <definedName name="SAP" localSheetId="24">#REF!</definedName>
    <definedName name="SAP">#REF!</definedName>
    <definedName name="SPWS_WBID">"5C3BEB3C-3631-11D4-B07C-00104BC5D17F"</definedName>
    <definedName name="START" localSheetId="5">#REF!</definedName>
    <definedName name="START" localSheetId="12">#REF!</definedName>
    <definedName name="START" localSheetId="0">#REF!</definedName>
    <definedName name="START" localSheetId="24">#REF!</definedName>
    <definedName name="START">#REF!</definedName>
    <definedName name="temp" localSheetId="5">#REF!</definedName>
    <definedName name="temp" localSheetId="7">#REF!</definedName>
    <definedName name="temp" localSheetId="8">#REF!</definedName>
    <definedName name="temp" localSheetId="12">#REF!</definedName>
    <definedName name="temp" localSheetId="16">#REF!</definedName>
    <definedName name="temp" localSheetId="0">#REF!</definedName>
    <definedName name="temp" localSheetId="1">#REF!</definedName>
    <definedName name="temp" localSheetId="2">#REF!</definedName>
    <definedName name="temp" localSheetId="17">#REF!</definedName>
    <definedName name="temp" localSheetId="18">#REF!</definedName>
    <definedName name="temp" localSheetId="24">#REF!</definedName>
    <definedName name="temp">#REF!</definedName>
    <definedName name="Ticker">""</definedName>
    <definedName name="WORKSHEET">#REF!</definedName>
    <definedName name="X" localSheetId="5">#REF!</definedName>
    <definedName name="X" localSheetId="7">#REF!</definedName>
    <definedName name="X" localSheetId="8">#REF!</definedName>
    <definedName name="X" localSheetId="12">#REF!</definedName>
    <definedName name="X" localSheetId="16">#REF!</definedName>
    <definedName name="X" localSheetId="0">#REF!</definedName>
    <definedName name="X" localSheetId="1">#REF!</definedName>
    <definedName name="X" localSheetId="2">#REF!</definedName>
    <definedName name="X" localSheetId="17">#REF!</definedName>
    <definedName name="X" localSheetId="18">#REF!</definedName>
    <definedName name="X" localSheetId="24">#REF!</definedName>
    <definedName name="X">#REF!</definedName>
    <definedName name="Z" localSheetId="5">#REF!</definedName>
    <definedName name="Z" localSheetId="7">#REF!</definedName>
    <definedName name="Z" localSheetId="8">#REF!</definedName>
    <definedName name="Z" localSheetId="12">#REF!</definedName>
    <definedName name="Z" localSheetId="16">#REF!</definedName>
    <definedName name="Z" localSheetId="0">#REF!</definedName>
    <definedName name="Z" localSheetId="1">#REF!</definedName>
    <definedName name="Z" localSheetId="2">#REF!</definedName>
    <definedName name="Z" localSheetId="17">#REF!</definedName>
    <definedName name="Z" localSheetId="18">#REF!</definedName>
    <definedName name="Z" localSheetId="24">#REF!</definedName>
    <definedName name="Z">#REF!</definedName>
  </definedNames>
  <calcPr calcId="125725"/>
</workbook>
</file>

<file path=xl/calcChain.xml><?xml version="1.0" encoding="utf-8"?>
<calcChain xmlns="http://schemas.openxmlformats.org/spreadsheetml/2006/main">
  <c r="M15" i="18"/>
  <c r="E27" i="14"/>
  <c r="D27"/>
  <c r="C27"/>
  <c r="D13" i="6" l="1"/>
  <c r="J13" s="1"/>
  <c r="E13"/>
  <c r="K13" s="1"/>
  <c r="G13"/>
  <c r="H13"/>
  <c r="D14"/>
  <c r="J14" s="1"/>
  <c r="E14"/>
  <c r="K14" s="1"/>
  <c r="G14"/>
  <c r="H14"/>
  <c r="D15"/>
  <c r="J15" s="1"/>
  <c r="E15"/>
  <c r="K15" s="1"/>
  <c r="G15"/>
  <c r="H15"/>
  <c r="D16"/>
  <c r="J16" s="1"/>
  <c r="E16"/>
  <c r="K16" s="1"/>
  <c r="G16"/>
  <c r="H16"/>
  <c r="D17"/>
  <c r="J17" s="1"/>
  <c r="E17"/>
  <c r="K17" s="1"/>
  <c r="G17"/>
  <c r="H17"/>
  <c r="D18"/>
  <c r="J18" s="1"/>
  <c r="E18"/>
  <c r="K18" s="1"/>
  <c r="G18"/>
  <c r="H18"/>
  <c r="D19"/>
  <c r="J19" s="1"/>
  <c r="E19"/>
  <c r="K19" s="1"/>
  <c r="G19"/>
  <c r="H19"/>
  <c r="D20"/>
  <c r="J20" s="1"/>
  <c r="E20"/>
  <c r="K20" s="1"/>
  <c r="G20"/>
  <c r="H20"/>
  <c r="E12"/>
  <c r="K12" s="1"/>
  <c r="K22" s="1"/>
  <c r="G12"/>
  <c r="H12"/>
  <c r="B22" l="1"/>
  <c r="B14" i="20"/>
  <c r="B15"/>
  <c r="B16"/>
  <c r="B17"/>
  <c r="B18"/>
  <c r="B19"/>
  <c r="B20"/>
  <c r="B21"/>
  <c r="B13"/>
  <c r="A1"/>
  <c r="C12" i="17"/>
  <c r="C13"/>
  <c r="C14"/>
  <c r="C15"/>
  <c r="C16"/>
  <c r="C17"/>
  <c r="C18"/>
  <c r="C19"/>
  <c r="C11"/>
  <c r="B13" i="7"/>
  <c r="B14"/>
  <c r="B15"/>
  <c r="B16"/>
  <c r="B17"/>
  <c r="B18"/>
  <c r="B19"/>
  <c r="B20"/>
  <c r="B12"/>
  <c r="B13" i="6"/>
  <c r="B14" i="8" s="1"/>
  <c r="B14" i="9" s="1"/>
  <c r="B14" i="6"/>
  <c r="B15" i="8" s="1"/>
  <c r="B15" i="9" s="1"/>
  <c r="B15" i="6"/>
  <c r="B16" i="8" s="1"/>
  <c r="B16" i="9" s="1"/>
  <c r="B16" i="6"/>
  <c r="B17" i="8" s="1"/>
  <c r="B17" i="9" s="1"/>
  <c r="B17" i="6"/>
  <c r="B18" i="8" s="1"/>
  <c r="B18" i="9" s="1"/>
  <c r="B18" i="6"/>
  <c r="B19" i="8" s="1"/>
  <c r="B19" i="9" s="1"/>
  <c r="B19" i="6"/>
  <c r="B20" i="8" s="1"/>
  <c r="B20" i="9" s="1"/>
  <c r="B20" i="6"/>
  <c r="B21" i="8" s="1"/>
  <c r="B21" i="9" s="1"/>
  <c r="B12" i="6"/>
  <c r="B13" i="8" s="1"/>
  <c r="B13" i="9" s="1"/>
  <c r="Q54" i="19"/>
  <c r="K54"/>
  <c r="E54"/>
  <c r="Q53"/>
  <c r="K53"/>
  <c r="E53"/>
  <c r="Q52"/>
  <c r="K52"/>
  <c r="E52"/>
  <c r="Q51"/>
  <c r="K51"/>
  <c r="E51"/>
  <c r="Q50"/>
  <c r="K50"/>
  <c r="E50"/>
  <c r="Q49"/>
  <c r="K49"/>
  <c r="E49"/>
  <c r="Q48"/>
  <c r="K48"/>
  <c r="E48"/>
  <c r="Q47"/>
  <c r="K47"/>
  <c r="E47"/>
  <c r="Q46"/>
  <c r="K46"/>
  <c r="E46"/>
  <c r="Q45"/>
  <c r="K45"/>
  <c r="E45"/>
  <c r="Q44"/>
  <c r="K44"/>
  <c r="E44"/>
  <c r="Q43"/>
  <c r="K43"/>
  <c r="E43"/>
  <c r="Q42"/>
  <c r="Q55" s="1"/>
  <c r="U14" s="1"/>
  <c r="K42"/>
  <c r="K55" s="1"/>
  <c r="U13" s="1"/>
  <c r="E42"/>
  <c r="E55" s="1"/>
  <c r="U12" s="1"/>
  <c r="Q37"/>
  <c r="K37"/>
  <c r="E37"/>
  <c r="Q36"/>
  <c r="K36"/>
  <c r="E36"/>
  <c r="Q35"/>
  <c r="K35"/>
  <c r="E35"/>
  <c r="Q34"/>
  <c r="K34"/>
  <c r="E34"/>
  <c r="Q33"/>
  <c r="K33"/>
  <c r="E33"/>
  <c r="Q32"/>
  <c r="K32"/>
  <c r="E32"/>
  <c r="Q31"/>
  <c r="K31"/>
  <c r="E31"/>
  <c r="Q30"/>
  <c r="K30"/>
  <c r="E30"/>
  <c r="Q29"/>
  <c r="K29"/>
  <c r="E29"/>
  <c r="Q28"/>
  <c r="K28"/>
  <c r="E28"/>
  <c r="Q27"/>
  <c r="K27"/>
  <c r="E27"/>
  <c r="Q26"/>
  <c r="K26"/>
  <c r="E26"/>
  <c r="Q25"/>
  <c r="Q38" s="1"/>
  <c r="U11" s="1"/>
  <c r="K25"/>
  <c r="K38" s="1"/>
  <c r="U10" s="1"/>
  <c r="E25"/>
  <c r="E38" s="1"/>
  <c r="U9" s="1"/>
  <c r="Q20"/>
  <c r="K20"/>
  <c r="E20"/>
  <c r="Q19"/>
  <c r="K19"/>
  <c r="E19"/>
  <c r="Q18"/>
  <c r="K18"/>
  <c r="E18"/>
  <c r="Q17"/>
  <c r="K17"/>
  <c r="E17"/>
  <c r="Q16"/>
  <c r="K16"/>
  <c r="E16"/>
  <c r="Q15"/>
  <c r="K15"/>
  <c r="E15"/>
  <c r="Q14"/>
  <c r="K14"/>
  <c r="E14"/>
  <c r="Q13"/>
  <c r="K13"/>
  <c r="E13"/>
  <c r="Q12"/>
  <c r="K12"/>
  <c r="E12"/>
  <c r="Q11"/>
  <c r="K11"/>
  <c r="E11"/>
  <c r="Q10"/>
  <c r="K10"/>
  <c r="E10"/>
  <c r="Q9"/>
  <c r="K9"/>
  <c r="E9"/>
  <c r="Q8"/>
  <c r="Q21" s="1"/>
  <c r="U8" s="1"/>
  <c r="K8"/>
  <c r="K21" s="1"/>
  <c r="U7" s="1"/>
  <c r="E8"/>
  <c r="E21" s="1"/>
  <c r="U6" s="1"/>
  <c r="B6"/>
  <c r="A6"/>
  <c r="G5"/>
  <c r="H6" s="1"/>
  <c r="G6" l="1"/>
  <c r="M5"/>
  <c r="A22" l="1"/>
  <c r="N6"/>
  <c r="M6"/>
  <c r="B23" l="1"/>
  <c r="A23"/>
  <c r="G22"/>
  <c r="H23" l="1"/>
  <c r="M22"/>
  <c r="G23"/>
  <c r="N23" l="1"/>
  <c r="A39"/>
  <c r="M23"/>
  <c r="A40" l="1"/>
  <c r="G39"/>
  <c r="B40"/>
  <c r="G40" l="1"/>
  <c r="H40"/>
  <c r="M39"/>
  <c r="M40" l="1"/>
  <c r="N40"/>
  <c r="B14" i="4"/>
  <c r="B15"/>
  <c r="B16"/>
  <c r="B17"/>
  <c r="B18"/>
  <c r="B19"/>
  <c r="B20"/>
  <c r="B21"/>
  <c r="B13"/>
  <c r="B13" i="3"/>
  <c r="B14"/>
  <c r="B15"/>
  <c r="B16"/>
  <c r="B17"/>
  <c r="B18"/>
  <c r="B19"/>
  <c r="B20"/>
  <c r="B12"/>
  <c r="A1"/>
  <c r="E53" i="25"/>
  <c r="C53"/>
  <c r="E44"/>
  <c r="C44"/>
  <c r="D34"/>
  <c r="B34"/>
  <c r="D33"/>
  <c r="B33"/>
  <c r="E32"/>
  <c r="D32"/>
  <c r="C32"/>
  <c r="B32"/>
  <c r="D31"/>
  <c r="B31"/>
  <c r="D30"/>
  <c r="B30"/>
  <c r="E20"/>
  <c r="C20"/>
  <c r="J196" i="24"/>
  <c r="I196"/>
  <c r="J180"/>
  <c r="I180"/>
  <c r="J160"/>
  <c r="J164" s="1"/>
  <c r="C37" s="1"/>
  <c r="E42" i="13" s="1"/>
  <c r="L42" s="1"/>
  <c r="I160" i="24"/>
  <c r="I164" s="1"/>
  <c r="B37" s="1"/>
  <c r="J148"/>
  <c r="I148"/>
  <c r="H148"/>
  <c r="J132"/>
  <c r="I132"/>
  <c r="H132"/>
  <c r="J116"/>
  <c r="I116"/>
  <c r="H116"/>
  <c r="J100"/>
  <c r="I100"/>
  <c r="H100"/>
  <c r="J84"/>
  <c r="I84"/>
  <c r="H84"/>
  <c r="J68"/>
  <c r="I68"/>
  <c r="H68"/>
  <c r="J52"/>
  <c r="I52"/>
  <c r="H52"/>
  <c r="C39"/>
  <c r="B39"/>
  <c r="C38"/>
  <c r="B38"/>
  <c r="J36"/>
  <c r="I36"/>
  <c r="H36"/>
  <c r="G36"/>
  <c r="C36"/>
  <c r="B36"/>
  <c r="C35"/>
  <c r="B35"/>
  <c r="C34"/>
  <c r="B34"/>
  <c r="C33"/>
  <c r="B33"/>
  <c r="C32"/>
  <c r="B32"/>
  <c r="C31"/>
  <c r="B31"/>
  <c r="C30"/>
  <c r="B30"/>
  <c r="C29"/>
  <c r="B29"/>
  <c r="J20"/>
  <c r="C28" s="1"/>
  <c r="E33" i="13" s="1"/>
  <c r="L33" s="1"/>
  <c r="I20" i="24"/>
  <c r="B28" s="1"/>
  <c r="H20"/>
  <c r="G20"/>
  <c r="D41" i="23"/>
  <c r="C41"/>
  <c r="B41"/>
  <c r="D40"/>
  <c r="C40"/>
  <c r="D39"/>
  <c r="C39"/>
  <c r="B39"/>
  <c r="D38"/>
  <c r="C38"/>
  <c r="B38"/>
  <c r="D37"/>
  <c r="C37"/>
  <c r="B37"/>
  <c r="D36"/>
  <c r="C36"/>
  <c r="B36"/>
  <c r="D35"/>
  <c r="C35"/>
  <c r="D34"/>
  <c r="C34"/>
  <c r="D33"/>
  <c r="C33"/>
  <c r="D32"/>
  <c r="C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G344" i="22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K60"/>
  <c r="G60"/>
  <c r="K59"/>
  <c r="G59"/>
  <c r="K58"/>
  <c r="G58"/>
  <c r="K57"/>
  <c r="G57"/>
  <c r="K56"/>
  <c r="G56"/>
  <c r="K55"/>
  <c r="G55"/>
  <c r="K54"/>
  <c r="G54"/>
  <c r="K53"/>
  <c r="G53"/>
  <c r="K52"/>
  <c r="G52"/>
  <c r="K51"/>
  <c r="G51"/>
  <c r="K50"/>
  <c r="G50"/>
  <c r="K49"/>
  <c r="G49"/>
  <c r="K48"/>
  <c r="G48"/>
  <c r="K47"/>
  <c r="G47"/>
  <c r="K46"/>
  <c r="G46"/>
  <c r="K45"/>
  <c r="G45"/>
  <c r="K44"/>
  <c r="G44"/>
  <c r="C44"/>
  <c r="K43"/>
  <c r="G43"/>
  <c r="C43"/>
  <c r="B40" i="23" s="1"/>
  <c r="K42" i="22"/>
  <c r="G42"/>
  <c r="C42"/>
  <c r="K41"/>
  <c r="G41"/>
  <c r="C41"/>
  <c r="K40"/>
  <c r="G40"/>
  <c r="C40"/>
  <c r="K39"/>
  <c r="G39"/>
  <c r="C39"/>
  <c r="K38"/>
  <c r="G38"/>
  <c r="C38"/>
  <c r="B35" i="23" s="1"/>
  <c r="K37" i="22"/>
  <c r="G37"/>
  <c r="C37"/>
  <c r="B34" i="23" s="1"/>
  <c r="K36" i="22"/>
  <c r="G36"/>
  <c r="C36"/>
  <c r="B33" i="23" s="1"/>
  <c r="K35" i="22"/>
  <c r="G35"/>
  <c r="C35"/>
  <c r="B32" i="23" s="1"/>
  <c r="K34" i="22"/>
  <c r="G34"/>
  <c r="C34"/>
  <c r="K33"/>
  <c r="G33"/>
  <c r="C33"/>
  <c r="K32"/>
  <c r="G32"/>
  <c r="C32"/>
  <c r="K31"/>
  <c r="G31"/>
  <c r="C31"/>
  <c r="K30"/>
  <c r="G30"/>
  <c r="C30"/>
  <c r="K29"/>
  <c r="G29"/>
  <c r="C29"/>
  <c r="K28"/>
  <c r="G28"/>
  <c r="C28"/>
  <c r="K27"/>
  <c r="G27"/>
  <c r="C27"/>
  <c r="K26"/>
  <c r="G26"/>
  <c r="C26"/>
  <c r="K25"/>
  <c r="G25"/>
  <c r="C25"/>
  <c r="K24"/>
  <c r="G24"/>
  <c r="C24"/>
  <c r="K23"/>
  <c r="G23"/>
  <c r="C23"/>
  <c r="K22"/>
  <c r="G22"/>
  <c r="C22"/>
  <c r="K21"/>
  <c r="G21"/>
  <c r="C21"/>
  <c r="K20"/>
  <c r="G20"/>
  <c r="C20"/>
  <c r="K19"/>
  <c r="G19"/>
  <c r="C19"/>
  <c r="K18"/>
  <c r="G18"/>
  <c r="C18"/>
  <c r="K17"/>
  <c r="G17"/>
  <c r="C17"/>
  <c r="K16"/>
  <c r="G16"/>
  <c r="C16"/>
  <c r="K15"/>
  <c r="G15"/>
  <c r="C15"/>
  <c r="K14"/>
  <c r="G14"/>
  <c r="C14"/>
  <c r="K13"/>
  <c r="G13"/>
  <c r="C13"/>
  <c r="I10"/>
  <c r="E10"/>
  <c r="D73" i="21"/>
  <c r="C73"/>
  <c r="B73"/>
  <c r="D72"/>
  <c r="C72"/>
  <c r="G72" s="1"/>
  <c r="B72"/>
  <c r="D71"/>
  <c r="C71"/>
  <c r="B71"/>
  <c r="D70"/>
  <c r="C70"/>
  <c r="G70" s="1"/>
  <c r="B70"/>
  <c r="D69"/>
  <c r="C69"/>
  <c r="B69"/>
  <c r="D68"/>
  <c r="C68"/>
  <c r="G68" s="1"/>
  <c r="B68"/>
  <c r="D67"/>
  <c r="C67"/>
  <c r="B67"/>
  <c r="D66"/>
  <c r="C66"/>
  <c r="G66" s="1"/>
  <c r="B66"/>
  <c r="D65"/>
  <c r="C65"/>
  <c r="B65"/>
  <c r="D64"/>
  <c r="C64"/>
  <c r="B64"/>
  <c r="D63"/>
  <c r="C63"/>
  <c r="B63"/>
  <c r="D62"/>
  <c r="C62"/>
  <c r="B62"/>
  <c r="D61"/>
  <c r="C61"/>
  <c r="B61"/>
  <c r="D60"/>
  <c r="C60"/>
  <c r="B60"/>
  <c r="D59"/>
  <c r="C59"/>
  <c r="B59"/>
  <c r="D58"/>
  <c r="C58"/>
  <c r="B58"/>
  <c r="D57"/>
  <c r="C57"/>
  <c r="B57"/>
  <c r="D56"/>
  <c r="C56"/>
  <c r="B56"/>
  <c r="D55"/>
  <c r="C55"/>
  <c r="B55"/>
  <c r="D54"/>
  <c r="C54"/>
  <c r="B54"/>
  <c r="D53"/>
  <c r="C53"/>
  <c r="B53"/>
  <c r="D52"/>
  <c r="C52"/>
  <c r="B52"/>
  <c r="D51"/>
  <c r="C51"/>
  <c r="G51" s="1"/>
  <c r="B51"/>
  <c r="D50"/>
  <c r="C50"/>
  <c r="B50"/>
  <c r="D49"/>
  <c r="C49"/>
  <c r="G49" s="1"/>
  <c r="B49"/>
  <c r="D48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G36" s="1"/>
  <c r="B36"/>
  <c r="D35"/>
  <c r="C35"/>
  <c r="B35"/>
  <c r="D34"/>
  <c r="C34"/>
  <c r="G34" s="1"/>
  <c r="B34"/>
  <c r="D33"/>
  <c r="C33"/>
  <c r="B33"/>
  <c r="D32"/>
  <c r="C32"/>
  <c r="G32" s="1"/>
  <c r="B32"/>
  <c r="D31"/>
  <c r="C31"/>
  <c r="B31"/>
  <c r="D30"/>
  <c r="C30"/>
  <c r="B30"/>
  <c r="D29"/>
  <c r="C29"/>
  <c r="B29"/>
  <c r="D28"/>
  <c r="C28"/>
  <c r="G28" s="1"/>
  <c r="B28"/>
  <c r="D27"/>
  <c r="C27"/>
  <c r="B27"/>
  <c r="D26"/>
  <c r="C26"/>
  <c r="G26" s="1"/>
  <c r="B26"/>
  <c r="D25"/>
  <c r="C25"/>
  <c r="B25"/>
  <c r="D24"/>
  <c r="C24"/>
  <c r="G24" s="1"/>
  <c r="B24"/>
  <c r="D23"/>
  <c r="C23"/>
  <c r="B23"/>
  <c r="D22"/>
  <c r="C22"/>
  <c r="G22" s="1"/>
  <c r="B22"/>
  <c r="D21"/>
  <c r="C21"/>
  <c r="B21"/>
  <c r="D20"/>
  <c r="C20"/>
  <c r="G20" s="1"/>
  <c r="B20"/>
  <c r="D19"/>
  <c r="C19"/>
  <c r="B19"/>
  <c r="D18"/>
  <c r="C18"/>
  <c r="G18" s="1"/>
  <c r="B18"/>
  <c r="D17"/>
  <c r="C17"/>
  <c r="B17"/>
  <c r="D16"/>
  <c r="C16"/>
  <c r="G16" s="1"/>
  <c r="B16"/>
  <c r="D15"/>
  <c r="C15"/>
  <c r="B15"/>
  <c r="D14"/>
  <c r="C14"/>
  <c r="G14" s="1"/>
  <c r="B14"/>
  <c r="D13"/>
  <c r="C13"/>
  <c r="B13"/>
  <c r="D12"/>
  <c r="C12"/>
  <c r="G12" s="1"/>
  <c r="B12"/>
  <c r="D11"/>
  <c r="C11"/>
  <c r="B11"/>
  <c r="D10"/>
  <c r="C10"/>
  <c r="G10" s="1"/>
  <c r="B10"/>
  <c r="D9"/>
  <c r="C9"/>
  <c r="B9"/>
  <c r="D8"/>
  <c r="C8"/>
  <c r="G8" s="1"/>
  <c r="B8"/>
  <c r="D7"/>
  <c r="C7"/>
  <c r="B7"/>
  <c r="D6"/>
  <c r="C6"/>
  <c r="G6" s="1"/>
  <c r="B6"/>
  <c r="Q23" i="20"/>
  <c r="P23"/>
  <c r="N23"/>
  <c r="M23"/>
  <c r="K23"/>
  <c r="J23"/>
  <c r="H23"/>
  <c r="G23"/>
  <c r="E23"/>
  <c r="D23"/>
  <c r="B23"/>
  <c r="A13"/>
  <c r="A14" s="1"/>
  <c r="M14" i="18"/>
  <c r="M16" s="1"/>
  <c r="K24" i="17"/>
  <c r="E19"/>
  <c r="E18"/>
  <c r="E17"/>
  <c r="E16"/>
  <c r="E15"/>
  <c r="E14"/>
  <c r="E13"/>
  <c r="E12"/>
  <c r="K12" s="1"/>
  <c r="E11"/>
  <c r="B11"/>
  <c r="B12" s="1"/>
  <c r="E28" i="14"/>
  <c r="A14"/>
  <c r="A13"/>
  <c r="I43" i="13"/>
  <c r="H43"/>
  <c r="E43"/>
  <c r="D43"/>
  <c r="I42"/>
  <c r="H42"/>
  <c r="C42"/>
  <c r="I41"/>
  <c r="H41"/>
  <c r="J41" s="1"/>
  <c r="E41"/>
  <c r="D41"/>
  <c r="F41" s="1"/>
  <c r="C41"/>
  <c r="I40"/>
  <c r="H40"/>
  <c r="E40"/>
  <c r="D40"/>
  <c r="C40"/>
  <c r="I39"/>
  <c r="H39"/>
  <c r="J39" s="1"/>
  <c r="E39"/>
  <c r="D39"/>
  <c r="F39" s="1"/>
  <c r="C39"/>
  <c r="I38"/>
  <c r="H38"/>
  <c r="E38"/>
  <c r="L38" s="1"/>
  <c r="D38"/>
  <c r="I37"/>
  <c r="H37"/>
  <c r="E37"/>
  <c r="L37" s="1"/>
  <c r="D37"/>
  <c r="I36"/>
  <c r="H36"/>
  <c r="E36"/>
  <c r="L36" s="1"/>
  <c r="D36"/>
  <c r="I35"/>
  <c r="H35"/>
  <c r="E35"/>
  <c r="D35"/>
  <c r="I34"/>
  <c r="H34"/>
  <c r="E34"/>
  <c r="D34"/>
  <c r="C34"/>
  <c r="I33"/>
  <c r="H33"/>
  <c r="C33"/>
  <c r="L32"/>
  <c r="I32"/>
  <c r="H32"/>
  <c r="E32"/>
  <c r="D32"/>
  <c r="F32" s="1"/>
  <c r="C32"/>
  <c r="I31"/>
  <c r="H31"/>
  <c r="E31"/>
  <c r="L31" s="1"/>
  <c r="D31"/>
  <c r="C31"/>
  <c r="I30"/>
  <c r="H30"/>
  <c r="E30"/>
  <c r="L30" s="1"/>
  <c r="D30"/>
  <c r="C30"/>
  <c r="I29"/>
  <c r="H29"/>
  <c r="E29"/>
  <c r="L29" s="1"/>
  <c r="D29"/>
  <c r="C29"/>
  <c r="I28"/>
  <c r="H28"/>
  <c r="E28"/>
  <c r="L28" s="1"/>
  <c r="D28"/>
  <c r="C28"/>
  <c r="I27"/>
  <c r="H27"/>
  <c r="E27"/>
  <c r="L27" s="1"/>
  <c r="D27"/>
  <c r="C27"/>
  <c r="I26"/>
  <c r="H26"/>
  <c r="E26"/>
  <c r="L26" s="1"/>
  <c r="D26"/>
  <c r="C26"/>
  <c r="I25"/>
  <c r="H25"/>
  <c r="E25"/>
  <c r="L25" s="1"/>
  <c r="D25"/>
  <c r="C25"/>
  <c r="I24"/>
  <c r="H24"/>
  <c r="E24"/>
  <c r="L24" s="1"/>
  <c r="D24"/>
  <c r="C24"/>
  <c r="I23"/>
  <c r="H23"/>
  <c r="E23"/>
  <c r="L23" s="1"/>
  <c r="D23"/>
  <c r="C23"/>
  <c r="I22"/>
  <c r="H22"/>
  <c r="E22"/>
  <c r="L22" s="1"/>
  <c r="D22"/>
  <c r="C22"/>
  <c r="I21"/>
  <c r="H21"/>
  <c r="E21"/>
  <c r="L21" s="1"/>
  <c r="D21"/>
  <c r="C21"/>
  <c r="I20"/>
  <c r="H20"/>
  <c r="E20"/>
  <c r="L20" s="1"/>
  <c r="D20"/>
  <c r="C20"/>
  <c r="I19"/>
  <c r="H19"/>
  <c r="E19"/>
  <c r="L19" s="1"/>
  <c r="D19"/>
  <c r="C19"/>
  <c r="I18"/>
  <c r="H18"/>
  <c r="E18"/>
  <c r="L18" s="1"/>
  <c r="D18"/>
  <c r="C18"/>
  <c r="I17"/>
  <c r="H17"/>
  <c r="E17"/>
  <c r="L17" s="1"/>
  <c r="D17"/>
  <c r="C17"/>
  <c r="I16"/>
  <c r="H16"/>
  <c r="E16"/>
  <c r="L16" s="1"/>
  <c r="D16"/>
  <c r="C16"/>
  <c r="I15"/>
  <c r="H15"/>
  <c r="E15"/>
  <c r="L15" s="1"/>
  <c r="D15"/>
  <c r="C15"/>
  <c r="K15" s="1"/>
  <c r="I14"/>
  <c r="H14"/>
  <c r="E14"/>
  <c r="L14" s="1"/>
  <c r="D14"/>
  <c r="C14"/>
  <c r="I13"/>
  <c r="I45" s="1"/>
  <c r="H13"/>
  <c r="H45" s="1"/>
  <c r="E13"/>
  <c r="L13" s="1"/>
  <c r="D13"/>
  <c r="C13"/>
  <c r="E39" i="12"/>
  <c r="D39"/>
  <c r="E38"/>
  <c r="D38"/>
  <c r="D37"/>
  <c r="E36"/>
  <c r="D36"/>
  <c r="E35"/>
  <c r="D35"/>
  <c r="E34"/>
  <c r="D34"/>
  <c r="E33"/>
  <c r="D33"/>
  <c r="E32"/>
  <c r="D32"/>
  <c r="E31"/>
  <c r="D31"/>
  <c r="E30"/>
  <c r="D30"/>
  <c r="E29"/>
  <c r="D29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D41" s="1"/>
  <c r="B14"/>
  <c r="D41" i="11"/>
  <c r="E39"/>
  <c r="F39" s="1"/>
  <c r="E37"/>
  <c r="F37" s="1"/>
  <c r="E36"/>
  <c r="F36" s="1"/>
  <c r="E35"/>
  <c r="F35" s="1"/>
  <c r="E34"/>
  <c r="F34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B14"/>
  <c r="E31" i="10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A11"/>
  <c r="L23" i="9"/>
  <c r="A13"/>
  <c r="A13" i="8"/>
  <c r="A4"/>
  <c r="P22" i="7"/>
  <c r="V20"/>
  <c r="U20"/>
  <c r="S20"/>
  <c r="F20"/>
  <c r="E20"/>
  <c r="D20"/>
  <c r="P20"/>
  <c r="V19"/>
  <c r="U19"/>
  <c r="S19"/>
  <c r="F19"/>
  <c r="E19"/>
  <c r="D19"/>
  <c r="P19"/>
  <c r="V18"/>
  <c r="U18"/>
  <c r="S18"/>
  <c r="G18" s="1"/>
  <c r="I18" s="1"/>
  <c r="F18"/>
  <c r="E18"/>
  <c r="D18"/>
  <c r="P18"/>
  <c r="V17"/>
  <c r="U17"/>
  <c r="S17"/>
  <c r="F17"/>
  <c r="G17" s="1"/>
  <c r="I17" s="1"/>
  <c r="E17"/>
  <c r="D17"/>
  <c r="P17"/>
  <c r="V16"/>
  <c r="U16"/>
  <c r="S16"/>
  <c r="F16"/>
  <c r="E16"/>
  <c r="D16"/>
  <c r="P16"/>
  <c r="V15"/>
  <c r="U15"/>
  <c r="S15"/>
  <c r="F15"/>
  <c r="E15"/>
  <c r="D15"/>
  <c r="P15"/>
  <c r="V14"/>
  <c r="U14"/>
  <c r="S14"/>
  <c r="F14"/>
  <c r="E14"/>
  <c r="K14" s="1"/>
  <c r="L14" s="1"/>
  <c r="D14"/>
  <c r="P14"/>
  <c r="V13"/>
  <c r="U13"/>
  <c r="S13"/>
  <c r="F13"/>
  <c r="E13"/>
  <c r="D13"/>
  <c r="P13"/>
  <c r="V12"/>
  <c r="U12"/>
  <c r="S12"/>
  <c r="F12"/>
  <c r="E12"/>
  <c r="D12"/>
  <c r="P12"/>
  <c r="AA8"/>
  <c r="O4"/>
  <c r="H22" i="6"/>
  <c r="G22"/>
  <c r="E22"/>
  <c r="D12"/>
  <c r="J12" s="1"/>
  <c r="J22" s="1"/>
  <c r="A12"/>
  <c r="F21" i="4"/>
  <c r="E21" i="9" s="1"/>
  <c r="D21" i="4"/>
  <c r="D21" i="9" s="1"/>
  <c r="O21" s="1"/>
  <c r="F20" i="4"/>
  <c r="E20" i="9" s="1"/>
  <c r="D20" i="4"/>
  <c r="D20" i="9" s="1"/>
  <c r="O20" s="1"/>
  <c r="F19" i="4"/>
  <c r="E19" i="9" s="1"/>
  <c r="D19" i="4"/>
  <c r="D19" i="9" s="1"/>
  <c r="O19" s="1"/>
  <c r="F18" i="4"/>
  <c r="E18" i="9" s="1"/>
  <c r="D18" i="4"/>
  <c r="D18" i="9" s="1"/>
  <c r="O18" s="1"/>
  <c r="F17" i="4"/>
  <c r="F17" i="8" s="1"/>
  <c r="D17" i="4"/>
  <c r="D17" i="9" s="1"/>
  <c r="O17" s="1"/>
  <c r="F16" i="4"/>
  <c r="E16" i="9" s="1"/>
  <c r="D16" i="4"/>
  <c r="D16" i="9" s="1"/>
  <c r="O16" s="1"/>
  <c r="F15" i="4"/>
  <c r="F15" i="8" s="1"/>
  <c r="D15" i="4"/>
  <c r="D15" i="9" s="1"/>
  <c r="O15" s="1"/>
  <c r="F14" i="4"/>
  <c r="E14" i="9" s="1"/>
  <c r="D14" i="4"/>
  <c r="D14" i="9" s="1"/>
  <c r="O14" s="1"/>
  <c r="F13" i="4"/>
  <c r="F13" i="8" s="1"/>
  <c r="D13" i="4"/>
  <c r="D13" i="9" s="1"/>
  <c r="A13" i="4"/>
  <c r="A4"/>
  <c r="K22" i="3"/>
  <c r="J22"/>
  <c r="H22"/>
  <c r="G22"/>
  <c r="D22"/>
  <c r="M20"/>
  <c r="F21" i="9" s="1"/>
  <c r="G21" s="1"/>
  <c r="H21" s="1"/>
  <c r="I21" s="1"/>
  <c r="J21" s="1"/>
  <c r="K21" s="1"/>
  <c r="M19" i="3"/>
  <c r="F20" i="9" s="1"/>
  <c r="G20" s="1"/>
  <c r="H20" s="1"/>
  <c r="I20" s="1"/>
  <c r="J20" s="1"/>
  <c r="K20" s="1"/>
  <c r="M18" i="3"/>
  <c r="F19" i="9" s="1"/>
  <c r="G19" s="1"/>
  <c r="H19" s="1"/>
  <c r="I19" s="1"/>
  <c r="J19" s="1"/>
  <c r="K19" s="1"/>
  <c r="M17" i="3"/>
  <c r="F18" i="9" s="1"/>
  <c r="G18" s="1"/>
  <c r="H18" s="1"/>
  <c r="I18" s="1"/>
  <c r="J18" s="1"/>
  <c r="K18" s="1"/>
  <c r="M16" i="3"/>
  <c r="F17" i="9" s="1"/>
  <c r="G17" s="1"/>
  <c r="H17" s="1"/>
  <c r="I17" s="1"/>
  <c r="J17" s="1"/>
  <c r="K17" s="1"/>
  <c r="M15" i="3"/>
  <c r="F16" i="9" s="1"/>
  <c r="G16" s="1"/>
  <c r="H16" s="1"/>
  <c r="I16" s="1"/>
  <c r="J16" s="1"/>
  <c r="K16" s="1"/>
  <c r="M14" i="3"/>
  <c r="F15" i="9" s="1"/>
  <c r="G15" s="1"/>
  <c r="H15" s="1"/>
  <c r="I15" s="1"/>
  <c r="J15" s="1"/>
  <c r="K15" s="1"/>
  <c r="M13" i="3"/>
  <c r="F14" i="9" s="1"/>
  <c r="G14" s="1"/>
  <c r="H14" s="1"/>
  <c r="I14" s="1"/>
  <c r="J14" s="1"/>
  <c r="K14" s="1"/>
  <c r="M12" i="3"/>
  <c r="F13" i="9" s="1"/>
  <c r="A12" i="3"/>
  <c r="A1" i="4"/>
  <c r="A2" i="5" s="1"/>
  <c r="A1" i="6" s="1"/>
  <c r="A1" i="7" s="1"/>
  <c r="O14" i="1"/>
  <c r="O15"/>
  <c r="O16"/>
  <c r="O17"/>
  <c r="O18"/>
  <c r="O19"/>
  <c r="O20"/>
  <c r="O21"/>
  <c r="O13"/>
  <c r="O23" s="1"/>
  <c r="N14"/>
  <c r="N15"/>
  <c r="N16"/>
  <c r="N17"/>
  <c r="N18"/>
  <c r="N19"/>
  <c r="N20"/>
  <c r="N21"/>
  <c r="N13"/>
  <c r="B25"/>
  <c r="E37" i="12" l="1"/>
  <c r="D42" i="13"/>
  <c r="E28" i="12"/>
  <c r="D33" i="13"/>
  <c r="E41" i="12"/>
  <c r="D45" i="13"/>
  <c r="F15" i="12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L35" i="13"/>
  <c r="F15"/>
  <c r="K16"/>
  <c r="F17"/>
  <c r="J17"/>
  <c r="K18"/>
  <c r="F19"/>
  <c r="J19"/>
  <c r="K20"/>
  <c r="F21"/>
  <c r="J21"/>
  <c r="K22"/>
  <c r="F23"/>
  <c r="J23"/>
  <c r="K24"/>
  <c r="F25"/>
  <c r="J25"/>
  <c r="K26"/>
  <c r="F27"/>
  <c r="J27"/>
  <c r="K28"/>
  <c r="F29"/>
  <c r="J29"/>
  <c r="K30"/>
  <c r="F31"/>
  <c r="J31"/>
  <c r="G32"/>
  <c r="K32"/>
  <c r="K33"/>
  <c r="F34"/>
  <c r="J34"/>
  <c r="G39"/>
  <c r="K39"/>
  <c r="F40"/>
  <c r="J40"/>
  <c r="G41"/>
  <c r="K41"/>
  <c r="J42"/>
  <c r="F16"/>
  <c r="J16"/>
  <c r="K17"/>
  <c r="F18"/>
  <c r="J18"/>
  <c r="K19"/>
  <c r="F20"/>
  <c r="J20"/>
  <c r="K21"/>
  <c r="F22"/>
  <c r="J22"/>
  <c r="K23"/>
  <c r="F24"/>
  <c r="J24"/>
  <c r="K25"/>
  <c r="F26"/>
  <c r="J26"/>
  <c r="K27"/>
  <c r="F28"/>
  <c r="J28"/>
  <c r="K29"/>
  <c r="F30"/>
  <c r="J30"/>
  <c r="K31"/>
  <c r="J32"/>
  <c r="F33"/>
  <c r="J33"/>
  <c r="G34"/>
  <c r="K34"/>
  <c r="G40"/>
  <c r="K40"/>
  <c r="K42"/>
  <c r="H7" i="21"/>
  <c r="H9"/>
  <c r="H11"/>
  <c r="H13"/>
  <c r="H15"/>
  <c r="H17"/>
  <c r="H19"/>
  <c r="H21"/>
  <c r="H23"/>
  <c r="H25"/>
  <c r="H27"/>
  <c r="H29"/>
  <c r="G30"/>
  <c r="H31"/>
  <c r="H33"/>
  <c r="H35"/>
  <c r="H37"/>
  <c r="G38"/>
  <c r="H39"/>
  <c r="G40"/>
  <c r="H41"/>
  <c r="G42"/>
  <c r="H43"/>
  <c r="G44"/>
  <c r="H45"/>
  <c r="G46"/>
  <c r="H47"/>
  <c r="G48"/>
  <c r="H49"/>
  <c r="G50"/>
  <c r="H51"/>
  <c r="G52"/>
  <c r="H53"/>
  <c r="G54"/>
  <c r="H55"/>
  <c r="G56"/>
  <c r="H57"/>
  <c r="G58"/>
  <c r="H59"/>
  <c r="G60"/>
  <c r="H61"/>
  <c r="G62"/>
  <c r="H63"/>
  <c r="G64"/>
  <c r="H65"/>
  <c r="H67"/>
  <c r="H69"/>
  <c r="H71"/>
  <c r="H73"/>
  <c r="H6"/>
  <c r="G7"/>
  <c r="H8"/>
  <c r="G9"/>
  <c r="H10"/>
  <c r="G11"/>
  <c r="H12"/>
  <c r="G13"/>
  <c r="H14"/>
  <c r="G15"/>
  <c r="H16"/>
  <c r="G17"/>
  <c r="H18"/>
  <c r="G19"/>
  <c r="H20"/>
  <c r="G21"/>
  <c r="H22"/>
  <c r="G23"/>
  <c r="H24"/>
  <c r="G25"/>
  <c r="H26"/>
  <c r="G27"/>
  <c r="H28"/>
  <c r="G29"/>
  <c r="H30"/>
  <c r="G31"/>
  <c r="H32"/>
  <c r="G33"/>
  <c r="H34"/>
  <c r="G35"/>
  <c r="H36"/>
  <c r="G37"/>
  <c r="H38"/>
  <c r="G39"/>
  <c r="H40"/>
  <c r="G41"/>
  <c r="H42"/>
  <c r="G43"/>
  <c r="H44"/>
  <c r="G45"/>
  <c r="H46"/>
  <c r="G47"/>
  <c r="H48"/>
  <c r="H50"/>
  <c r="H52"/>
  <c r="G53"/>
  <c r="H54"/>
  <c r="G55"/>
  <c r="H56"/>
  <c r="G57"/>
  <c r="H58"/>
  <c r="G59"/>
  <c r="H60"/>
  <c r="G61"/>
  <c r="H62"/>
  <c r="G63"/>
  <c r="H64"/>
  <c r="G65"/>
  <c r="H66"/>
  <c r="G67"/>
  <c r="H68"/>
  <c r="G69"/>
  <c r="H70"/>
  <c r="G71"/>
  <c r="H72"/>
  <c r="G73"/>
  <c r="D22" i="6"/>
  <c r="U22" i="7"/>
  <c r="K14" i="13"/>
  <c r="J15"/>
  <c r="G16"/>
  <c r="G17"/>
  <c r="G18"/>
  <c r="G19"/>
  <c r="G20"/>
  <c r="G21"/>
  <c r="G22"/>
  <c r="G23"/>
  <c r="G24"/>
  <c r="G25"/>
  <c r="G26"/>
  <c r="G27"/>
  <c r="G28"/>
  <c r="G29"/>
  <c r="G30"/>
  <c r="G31"/>
  <c r="L34"/>
  <c r="L39"/>
  <c r="L40"/>
  <c r="L41"/>
  <c r="F42"/>
  <c r="F14"/>
  <c r="J14"/>
  <c r="L43"/>
  <c r="L45" s="1"/>
  <c r="G20" i="7"/>
  <c r="I20" s="1"/>
  <c r="K18"/>
  <c r="L18" s="1"/>
  <c r="K17"/>
  <c r="L17" s="1"/>
  <c r="K16"/>
  <c r="L16" s="1"/>
  <c r="G16"/>
  <c r="I16" s="1"/>
  <c r="K15"/>
  <c r="L15" s="1"/>
  <c r="G15"/>
  <c r="I15" s="1"/>
  <c r="F22"/>
  <c r="G14"/>
  <c r="I14" s="1"/>
  <c r="K13"/>
  <c r="L13" s="1"/>
  <c r="G13"/>
  <c r="I13" s="1"/>
  <c r="E21" i="17"/>
  <c r="F15" i="18" s="1"/>
  <c r="K12" i="7"/>
  <c r="L12" s="1"/>
  <c r="G12"/>
  <c r="I12" s="1"/>
  <c r="D28" i="14"/>
  <c r="D22" i="7"/>
  <c r="S22"/>
  <c r="V22"/>
  <c r="G19"/>
  <c r="I19" s="1"/>
  <c r="K11" i="17"/>
  <c r="A14" i="8"/>
  <c r="W13" i="7"/>
  <c r="W14"/>
  <c r="W15"/>
  <c r="W16"/>
  <c r="W17"/>
  <c r="W18"/>
  <c r="W19"/>
  <c r="W20"/>
  <c r="K19"/>
  <c r="L19" s="1"/>
  <c r="K20"/>
  <c r="L20" s="1"/>
  <c r="A13" i="6"/>
  <c r="P14" i="9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BL14" s="1"/>
  <c r="BM14" s="1"/>
  <c r="BN14" s="1"/>
  <c r="BO14" s="1"/>
  <c r="BP14" s="1"/>
  <c r="BQ14" s="1"/>
  <c r="BR14" s="1"/>
  <c r="BS14" s="1"/>
  <c r="BT14" s="1"/>
  <c r="BU14" s="1"/>
  <c r="BV14" s="1"/>
  <c r="BW14" s="1"/>
  <c r="BX14" s="1"/>
  <c r="BY14" s="1"/>
  <c r="BZ14" s="1"/>
  <c r="CA14" s="1"/>
  <c r="CB14" s="1"/>
  <c r="CC14" s="1"/>
  <c r="CD14" s="1"/>
  <c r="CE14" s="1"/>
  <c r="CF14" s="1"/>
  <c r="CG14" s="1"/>
  <c r="CH14" s="1"/>
  <c r="CI14" s="1"/>
  <c r="CJ14" s="1"/>
  <c r="CK14" s="1"/>
  <c r="CL14" s="1"/>
  <c r="CM14" s="1"/>
  <c r="CN14" s="1"/>
  <c r="CO14" s="1"/>
  <c r="CP14" s="1"/>
  <c r="CQ14" s="1"/>
  <c r="CR14" s="1"/>
  <c r="CS14" s="1"/>
  <c r="CT14" s="1"/>
  <c r="CU14" s="1"/>
  <c r="CV14" s="1"/>
  <c r="CW14" s="1"/>
  <c r="CX14" s="1"/>
  <c r="CY14" s="1"/>
  <c r="CZ14" s="1"/>
  <c r="DA14" s="1"/>
  <c r="DB14" s="1"/>
  <c r="DC14" s="1"/>
  <c r="DD14" s="1"/>
  <c r="DE14" s="1"/>
  <c r="DF14" s="1"/>
  <c r="DG14" s="1"/>
  <c r="DH14" s="1"/>
  <c r="DI14" s="1"/>
  <c r="DJ14" s="1"/>
  <c r="DK14" s="1"/>
  <c r="DL14" s="1"/>
  <c r="DM14" s="1"/>
  <c r="DN14" s="1"/>
  <c r="DO14" s="1"/>
  <c r="DP14" s="1"/>
  <c r="DQ14" s="1"/>
  <c r="DR14" s="1"/>
  <c r="DS14" s="1"/>
  <c r="DT14" s="1"/>
  <c r="DU14" s="1"/>
  <c r="DV14" s="1"/>
  <c r="DW14" s="1"/>
  <c r="DX14" s="1"/>
  <c r="DY14" s="1"/>
  <c r="DZ14" s="1"/>
  <c r="EA14" s="1"/>
  <c r="EB14" s="1"/>
  <c r="EC14" s="1"/>
  <c r="ED14" s="1"/>
  <c r="EE14" s="1"/>
  <c r="EF14" s="1"/>
  <c r="EG14" s="1"/>
  <c r="EH14" s="1"/>
  <c r="EI14" s="1"/>
  <c r="EJ14" s="1"/>
  <c r="EK14" s="1"/>
  <c r="EL14" s="1"/>
  <c r="EM14" s="1"/>
  <c r="EN14" s="1"/>
  <c r="EO14" s="1"/>
  <c r="EP14" s="1"/>
  <c r="EQ14" s="1"/>
  <c r="ER14" s="1"/>
  <c r="ES14" s="1"/>
  <c r="ET14" s="1"/>
  <c r="EU14" s="1"/>
  <c r="EV14" s="1"/>
  <c r="EW14" s="1"/>
  <c r="EX14" s="1"/>
  <c r="EY14" s="1"/>
  <c r="EZ14" s="1"/>
  <c r="FA14" s="1"/>
  <c r="FB14" s="1"/>
  <c r="FC14" s="1"/>
  <c r="FD14" s="1"/>
  <c r="FE14" s="1"/>
  <c r="FF14" s="1"/>
  <c r="FG14" s="1"/>
  <c r="FH14" s="1"/>
  <c r="FI14" s="1"/>
  <c r="FJ14" s="1"/>
  <c r="FK14" s="1"/>
  <c r="FL14" s="1"/>
  <c r="FM14" s="1"/>
  <c r="FN14" s="1"/>
  <c r="FO14" s="1"/>
  <c r="FP14" s="1"/>
  <c r="FQ14" s="1"/>
  <c r="FR14" s="1"/>
  <c r="FS14" s="1"/>
  <c r="FT14" s="1"/>
  <c r="FU14" s="1"/>
  <c r="FV14" s="1"/>
  <c r="FW14" s="1"/>
  <c r="FX14" s="1"/>
  <c r="FY14" s="1"/>
  <c r="FZ14" s="1"/>
  <c r="GA14" s="1"/>
  <c r="GB14" s="1"/>
  <c r="GC14" s="1"/>
  <c r="GD14" s="1"/>
  <c r="GE14" s="1"/>
  <c r="GF14" s="1"/>
  <c r="GG14" s="1"/>
  <c r="GH14" s="1"/>
  <c r="GI14" s="1"/>
  <c r="GJ14" s="1"/>
  <c r="GK14" s="1"/>
  <c r="GL14" s="1"/>
  <c r="GM14" s="1"/>
  <c r="GN14" s="1"/>
  <c r="GO14" s="1"/>
  <c r="GP14" s="1"/>
  <c r="GQ14" s="1"/>
  <c r="GR14" s="1"/>
  <c r="GS14" s="1"/>
  <c r="GT14" s="1"/>
  <c r="GU14" s="1"/>
  <c r="GV14" s="1"/>
  <c r="GW14" s="1"/>
  <c r="GX14" s="1"/>
  <c r="GY14" s="1"/>
  <c r="GZ14" s="1"/>
  <c r="HA14" s="1"/>
  <c r="HB14" s="1"/>
  <c r="HC14" s="1"/>
  <c r="HD14" s="1"/>
  <c r="HE14" s="1"/>
  <c r="HF14" s="1"/>
  <c r="HG14" s="1"/>
  <c r="P16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AP16" s="1"/>
  <c r="AQ16" s="1"/>
  <c r="AR16" s="1"/>
  <c r="AS16" s="1"/>
  <c r="AT16" s="1"/>
  <c r="AU16" s="1"/>
  <c r="AV16" s="1"/>
  <c r="AW16" s="1"/>
  <c r="AX16" s="1"/>
  <c r="AY16" s="1"/>
  <c r="AZ16" s="1"/>
  <c r="BA16" s="1"/>
  <c r="BB16" s="1"/>
  <c r="BC16" s="1"/>
  <c r="BD16" s="1"/>
  <c r="BE16" s="1"/>
  <c r="BF16" s="1"/>
  <c r="BG16" s="1"/>
  <c r="BH16" s="1"/>
  <c r="BI16" s="1"/>
  <c r="BJ16" s="1"/>
  <c r="BK16" s="1"/>
  <c r="BL16" s="1"/>
  <c r="BM16" s="1"/>
  <c r="BN16" s="1"/>
  <c r="BO16" s="1"/>
  <c r="BP16" s="1"/>
  <c r="BQ16" s="1"/>
  <c r="BR16" s="1"/>
  <c r="BS16" s="1"/>
  <c r="BT16" s="1"/>
  <c r="BU16" s="1"/>
  <c r="BV16" s="1"/>
  <c r="BW16" s="1"/>
  <c r="BX16" s="1"/>
  <c r="BY16" s="1"/>
  <c r="BZ16" s="1"/>
  <c r="CA16" s="1"/>
  <c r="CB16" s="1"/>
  <c r="CC16" s="1"/>
  <c r="CD16" s="1"/>
  <c r="CE16" s="1"/>
  <c r="CF16" s="1"/>
  <c r="CG16" s="1"/>
  <c r="CH16" s="1"/>
  <c r="CI16" s="1"/>
  <c r="CJ16" s="1"/>
  <c r="CK16" s="1"/>
  <c r="CL16" s="1"/>
  <c r="CM16" s="1"/>
  <c r="CN16" s="1"/>
  <c r="CO16" s="1"/>
  <c r="CP16" s="1"/>
  <c r="CQ16" s="1"/>
  <c r="CR16" s="1"/>
  <c r="CS16" s="1"/>
  <c r="CT16" s="1"/>
  <c r="CU16" s="1"/>
  <c r="CV16" s="1"/>
  <c r="CW16" s="1"/>
  <c r="CX16" s="1"/>
  <c r="CY16" s="1"/>
  <c r="CZ16" s="1"/>
  <c r="DA16" s="1"/>
  <c r="DB16" s="1"/>
  <c r="DC16" s="1"/>
  <c r="DD16" s="1"/>
  <c r="DE16" s="1"/>
  <c r="DF16" s="1"/>
  <c r="DG16" s="1"/>
  <c r="DH16" s="1"/>
  <c r="DI16" s="1"/>
  <c r="DJ16" s="1"/>
  <c r="DK16" s="1"/>
  <c r="DL16" s="1"/>
  <c r="DM16" s="1"/>
  <c r="DN16" s="1"/>
  <c r="DO16" s="1"/>
  <c r="DP16" s="1"/>
  <c r="DQ16" s="1"/>
  <c r="DR16" s="1"/>
  <c r="DS16" s="1"/>
  <c r="DT16" s="1"/>
  <c r="DU16" s="1"/>
  <c r="DV16" s="1"/>
  <c r="DW16" s="1"/>
  <c r="DX16" s="1"/>
  <c r="DY16" s="1"/>
  <c r="DZ16" s="1"/>
  <c r="EA16" s="1"/>
  <c r="EB16" s="1"/>
  <c r="EC16" s="1"/>
  <c r="ED16" s="1"/>
  <c r="EE16" s="1"/>
  <c r="EF16" s="1"/>
  <c r="EG16" s="1"/>
  <c r="EH16" s="1"/>
  <c r="EI16" s="1"/>
  <c r="EJ16" s="1"/>
  <c r="EK16" s="1"/>
  <c r="EL16" s="1"/>
  <c r="EM16" s="1"/>
  <c r="EN16" s="1"/>
  <c r="EO16" s="1"/>
  <c r="EP16" s="1"/>
  <c r="EQ16" s="1"/>
  <c r="ER16" s="1"/>
  <c r="ES16" s="1"/>
  <c r="ET16" s="1"/>
  <c r="EU16" s="1"/>
  <c r="EV16" s="1"/>
  <c r="EW16" s="1"/>
  <c r="EX16" s="1"/>
  <c r="EY16" s="1"/>
  <c r="EZ16" s="1"/>
  <c r="FA16" s="1"/>
  <c r="FB16" s="1"/>
  <c r="FC16" s="1"/>
  <c r="FD16" s="1"/>
  <c r="FE16" s="1"/>
  <c r="FF16" s="1"/>
  <c r="FG16" s="1"/>
  <c r="FH16" s="1"/>
  <c r="FI16" s="1"/>
  <c r="FJ16" s="1"/>
  <c r="FK16" s="1"/>
  <c r="FL16" s="1"/>
  <c r="FM16" s="1"/>
  <c r="FN16" s="1"/>
  <c r="FO16" s="1"/>
  <c r="FP16" s="1"/>
  <c r="FQ16" s="1"/>
  <c r="FR16" s="1"/>
  <c r="FS16" s="1"/>
  <c r="FT16" s="1"/>
  <c r="FU16" s="1"/>
  <c r="FV16" s="1"/>
  <c r="FW16" s="1"/>
  <c r="FX16" s="1"/>
  <c r="FY16" s="1"/>
  <c r="FZ16" s="1"/>
  <c r="GA16" s="1"/>
  <c r="GB16" s="1"/>
  <c r="GC16" s="1"/>
  <c r="GD16" s="1"/>
  <c r="GE16" s="1"/>
  <c r="GF16" s="1"/>
  <c r="GG16" s="1"/>
  <c r="GH16" s="1"/>
  <c r="GI16" s="1"/>
  <c r="GJ16" s="1"/>
  <c r="GK16" s="1"/>
  <c r="GL16" s="1"/>
  <c r="GM16" s="1"/>
  <c r="GN16" s="1"/>
  <c r="GO16" s="1"/>
  <c r="GP16" s="1"/>
  <c r="GQ16" s="1"/>
  <c r="GR16" s="1"/>
  <c r="GS16" s="1"/>
  <c r="GT16" s="1"/>
  <c r="GU16" s="1"/>
  <c r="GV16" s="1"/>
  <c r="GW16" s="1"/>
  <c r="GX16" s="1"/>
  <c r="GY16" s="1"/>
  <c r="GZ16" s="1"/>
  <c r="HA16" s="1"/>
  <c r="HB16" s="1"/>
  <c r="HC16" s="1"/>
  <c r="HD16" s="1"/>
  <c r="HE16" s="1"/>
  <c r="HF16" s="1"/>
  <c r="HG16" s="1"/>
  <c r="P19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AP19" s="1"/>
  <c r="AQ19" s="1"/>
  <c r="AR19" s="1"/>
  <c r="AS19" s="1"/>
  <c r="AT19" s="1"/>
  <c r="AU19" s="1"/>
  <c r="AV19" s="1"/>
  <c r="AW19" s="1"/>
  <c r="AX19" s="1"/>
  <c r="AY19" s="1"/>
  <c r="AZ19" s="1"/>
  <c r="BA19" s="1"/>
  <c r="BB19" s="1"/>
  <c r="BC19" s="1"/>
  <c r="BD19" s="1"/>
  <c r="BE19" s="1"/>
  <c r="BF19" s="1"/>
  <c r="BG19" s="1"/>
  <c r="BH19" s="1"/>
  <c r="BI19" s="1"/>
  <c r="BJ19" s="1"/>
  <c r="BK19" s="1"/>
  <c r="BL19" s="1"/>
  <c r="BM19" s="1"/>
  <c r="BN19" s="1"/>
  <c r="BO19" s="1"/>
  <c r="BP19" s="1"/>
  <c r="BQ19" s="1"/>
  <c r="BR19" s="1"/>
  <c r="BS19" s="1"/>
  <c r="BT19" s="1"/>
  <c r="BU19" s="1"/>
  <c r="BV19" s="1"/>
  <c r="BW19" s="1"/>
  <c r="BX19" s="1"/>
  <c r="BY19" s="1"/>
  <c r="BZ19" s="1"/>
  <c r="CA19" s="1"/>
  <c r="CB19" s="1"/>
  <c r="CC19" s="1"/>
  <c r="CD19" s="1"/>
  <c r="CE19" s="1"/>
  <c r="CF19" s="1"/>
  <c r="CG19" s="1"/>
  <c r="CH19" s="1"/>
  <c r="CI19" s="1"/>
  <c r="CJ19" s="1"/>
  <c r="CK19" s="1"/>
  <c r="CL19" s="1"/>
  <c r="CM19" s="1"/>
  <c r="CN19" s="1"/>
  <c r="CO19" s="1"/>
  <c r="CP19" s="1"/>
  <c r="CQ19" s="1"/>
  <c r="CR19" s="1"/>
  <c r="CS19" s="1"/>
  <c r="CT19" s="1"/>
  <c r="CU19" s="1"/>
  <c r="CV19" s="1"/>
  <c r="CW19" s="1"/>
  <c r="CX19" s="1"/>
  <c r="CY19" s="1"/>
  <c r="CZ19" s="1"/>
  <c r="DA19" s="1"/>
  <c r="DB19" s="1"/>
  <c r="DC19" s="1"/>
  <c r="DD19" s="1"/>
  <c r="DE19" s="1"/>
  <c r="DF19" s="1"/>
  <c r="DG19" s="1"/>
  <c r="DH19" s="1"/>
  <c r="DI19" s="1"/>
  <c r="DJ19" s="1"/>
  <c r="DK19" s="1"/>
  <c r="DL19" s="1"/>
  <c r="DM19" s="1"/>
  <c r="DN19" s="1"/>
  <c r="DO19" s="1"/>
  <c r="DP19" s="1"/>
  <c r="DQ19" s="1"/>
  <c r="DR19" s="1"/>
  <c r="DS19" s="1"/>
  <c r="DT19" s="1"/>
  <c r="DU19" s="1"/>
  <c r="DV19" s="1"/>
  <c r="DW19" s="1"/>
  <c r="DX19" s="1"/>
  <c r="DY19" s="1"/>
  <c r="DZ19" s="1"/>
  <c r="EA19" s="1"/>
  <c r="EB19" s="1"/>
  <c r="EC19" s="1"/>
  <c r="ED19" s="1"/>
  <c r="EE19" s="1"/>
  <c r="EF19" s="1"/>
  <c r="EG19" s="1"/>
  <c r="EH19" s="1"/>
  <c r="EI19" s="1"/>
  <c r="EJ19" s="1"/>
  <c r="EK19" s="1"/>
  <c r="EL19" s="1"/>
  <c r="EM19" s="1"/>
  <c r="EN19" s="1"/>
  <c r="EO19" s="1"/>
  <c r="EP19" s="1"/>
  <c r="EQ19" s="1"/>
  <c r="ER19" s="1"/>
  <c r="ES19" s="1"/>
  <c r="ET19" s="1"/>
  <c r="EU19" s="1"/>
  <c r="EV19" s="1"/>
  <c r="EW19" s="1"/>
  <c r="EX19" s="1"/>
  <c r="EY19" s="1"/>
  <c r="EZ19" s="1"/>
  <c r="FA19" s="1"/>
  <c r="FB19" s="1"/>
  <c r="FC19" s="1"/>
  <c r="FD19" s="1"/>
  <c r="FE19" s="1"/>
  <c r="FF19" s="1"/>
  <c r="FG19" s="1"/>
  <c r="FH19" s="1"/>
  <c r="FI19" s="1"/>
  <c r="FJ19" s="1"/>
  <c r="FK19" s="1"/>
  <c r="FL19" s="1"/>
  <c r="FM19" s="1"/>
  <c r="FN19" s="1"/>
  <c r="FO19" s="1"/>
  <c r="FP19" s="1"/>
  <c r="FQ19" s="1"/>
  <c r="FR19" s="1"/>
  <c r="FS19" s="1"/>
  <c r="FT19" s="1"/>
  <c r="FU19" s="1"/>
  <c r="FV19" s="1"/>
  <c r="FW19" s="1"/>
  <c r="FX19" s="1"/>
  <c r="FY19" s="1"/>
  <c r="FZ19" s="1"/>
  <c r="GA19" s="1"/>
  <c r="GB19" s="1"/>
  <c r="GC19" s="1"/>
  <c r="GD19" s="1"/>
  <c r="GE19" s="1"/>
  <c r="GF19" s="1"/>
  <c r="GG19" s="1"/>
  <c r="GH19" s="1"/>
  <c r="GI19" s="1"/>
  <c r="GJ19" s="1"/>
  <c r="GK19" s="1"/>
  <c r="GL19" s="1"/>
  <c r="GM19" s="1"/>
  <c r="GN19" s="1"/>
  <c r="GO19" s="1"/>
  <c r="GP19" s="1"/>
  <c r="GQ19" s="1"/>
  <c r="GR19" s="1"/>
  <c r="GS19" s="1"/>
  <c r="GT19" s="1"/>
  <c r="GU19" s="1"/>
  <c r="GV19" s="1"/>
  <c r="GW19" s="1"/>
  <c r="GX19" s="1"/>
  <c r="GY19" s="1"/>
  <c r="GZ19" s="1"/>
  <c r="HA19" s="1"/>
  <c r="HB19" s="1"/>
  <c r="HC19" s="1"/>
  <c r="HD19" s="1"/>
  <c r="HE19" s="1"/>
  <c r="HF19" s="1"/>
  <c r="HG19" s="1"/>
  <c r="P2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BH21" s="1"/>
  <c r="BI21" s="1"/>
  <c r="BJ21" s="1"/>
  <c r="BK21" s="1"/>
  <c r="BL21" s="1"/>
  <c r="BM21" s="1"/>
  <c r="BN21" s="1"/>
  <c r="BO21" s="1"/>
  <c r="BP21" s="1"/>
  <c r="BQ21" s="1"/>
  <c r="BR21" s="1"/>
  <c r="BS21" s="1"/>
  <c r="BT21" s="1"/>
  <c r="BU21" s="1"/>
  <c r="BV21" s="1"/>
  <c r="BW21" s="1"/>
  <c r="BX21" s="1"/>
  <c r="BY21" s="1"/>
  <c r="BZ21" s="1"/>
  <c r="CA21" s="1"/>
  <c r="CB21" s="1"/>
  <c r="CC21" s="1"/>
  <c r="CD21" s="1"/>
  <c r="CE21" s="1"/>
  <c r="CF21" s="1"/>
  <c r="CG21" s="1"/>
  <c r="CH21" s="1"/>
  <c r="CI21" s="1"/>
  <c r="CJ21" s="1"/>
  <c r="CK21" s="1"/>
  <c r="CL21" s="1"/>
  <c r="CM21" s="1"/>
  <c r="CN21" s="1"/>
  <c r="CO21" s="1"/>
  <c r="CP21" s="1"/>
  <c r="CQ21" s="1"/>
  <c r="CR21" s="1"/>
  <c r="CS21" s="1"/>
  <c r="CT21" s="1"/>
  <c r="CU21" s="1"/>
  <c r="CV21" s="1"/>
  <c r="CW21" s="1"/>
  <c r="CX21" s="1"/>
  <c r="CY21" s="1"/>
  <c r="CZ21" s="1"/>
  <c r="DA21" s="1"/>
  <c r="DB21" s="1"/>
  <c r="DC21" s="1"/>
  <c r="DD21" s="1"/>
  <c r="DE21" s="1"/>
  <c r="DF21" s="1"/>
  <c r="DG21" s="1"/>
  <c r="DH21" s="1"/>
  <c r="DI21" s="1"/>
  <c r="DJ21" s="1"/>
  <c r="DK21" s="1"/>
  <c r="DL21" s="1"/>
  <c r="DM21" s="1"/>
  <c r="DN21" s="1"/>
  <c r="DO21" s="1"/>
  <c r="DP21" s="1"/>
  <c r="DQ21" s="1"/>
  <c r="DR21" s="1"/>
  <c r="DS21" s="1"/>
  <c r="DT21" s="1"/>
  <c r="DU21" s="1"/>
  <c r="DV21" s="1"/>
  <c r="DW21" s="1"/>
  <c r="DX21" s="1"/>
  <c r="DY21" s="1"/>
  <c r="DZ21" s="1"/>
  <c r="EA21" s="1"/>
  <c r="EB21" s="1"/>
  <c r="EC21" s="1"/>
  <c r="ED21" s="1"/>
  <c r="EE21" s="1"/>
  <c r="EF21" s="1"/>
  <c r="EG21" s="1"/>
  <c r="EH21" s="1"/>
  <c r="EI21" s="1"/>
  <c r="EJ21" s="1"/>
  <c r="EK21" s="1"/>
  <c r="EL21" s="1"/>
  <c r="EM21" s="1"/>
  <c r="EN21" s="1"/>
  <c r="EO21" s="1"/>
  <c r="EP21" s="1"/>
  <c r="EQ21" s="1"/>
  <c r="ER21" s="1"/>
  <c r="ES21" s="1"/>
  <c r="ET21" s="1"/>
  <c r="EU21" s="1"/>
  <c r="EV21" s="1"/>
  <c r="EW21" s="1"/>
  <c r="EX21" s="1"/>
  <c r="EY21" s="1"/>
  <c r="EZ21" s="1"/>
  <c r="FA21" s="1"/>
  <c r="FB21" s="1"/>
  <c r="FC21" s="1"/>
  <c r="FD21" s="1"/>
  <c r="FE21" s="1"/>
  <c r="FF21" s="1"/>
  <c r="FG21" s="1"/>
  <c r="FH21" s="1"/>
  <c r="FI21" s="1"/>
  <c r="FJ21" s="1"/>
  <c r="FK21" s="1"/>
  <c r="FL21" s="1"/>
  <c r="FM21" s="1"/>
  <c r="FN21" s="1"/>
  <c r="FO21" s="1"/>
  <c r="FP21" s="1"/>
  <c r="FQ21" s="1"/>
  <c r="FR21" s="1"/>
  <c r="FS21" s="1"/>
  <c r="FT21" s="1"/>
  <c r="FU21" s="1"/>
  <c r="FV21" s="1"/>
  <c r="FW21" s="1"/>
  <c r="FX21" s="1"/>
  <c r="FY21" s="1"/>
  <c r="FZ21" s="1"/>
  <c r="GA21" s="1"/>
  <c r="GB21" s="1"/>
  <c r="GC21" s="1"/>
  <c r="GD21" s="1"/>
  <c r="GE21" s="1"/>
  <c r="GF21" s="1"/>
  <c r="GG21" s="1"/>
  <c r="GH21" s="1"/>
  <c r="GI21" s="1"/>
  <c r="GJ21" s="1"/>
  <c r="GK21" s="1"/>
  <c r="GL21" s="1"/>
  <c r="GM21" s="1"/>
  <c r="GN21" s="1"/>
  <c r="GO21" s="1"/>
  <c r="GP21" s="1"/>
  <c r="GQ21" s="1"/>
  <c r="GR21" s="1"/>
  <c r="GS21" s="1"/>
  <c r="GT21" s="1"/>
  <c r="GU21" s="1"/>
  <c r="GV21" s="1"/>
  <c r="GW21" s="1"/>
  <c r="GX21" s="1"/>
  <c r="GY21" s="1"/>
  <c r="GZ21" s="1"/>
  <c r="HA21" s="1"/>
  <c r="HB21" s="1"/>
  <c r="HC21" s="1"/>
  <c r="HD21" s="1"/>
  <c r="HE21" s="1"/>
  <c r="HF21" s="1"/>
  <c r="HG21" s="1"/>
  <c r="A13" i="3"/>
  <c r="A14" s="1"/>
  <c r="D23" i="9"/>
  <c r="O13"/>
  <c r="A1" i="8"/>
  <c r="A1" i="9" s="1"/>
  <c r="O1" i="7"/>
  <c r="F23" i="9"/>
  <c r="G13"/>
  <c r="A14" i="6"/>
  <c r="A14" i="9"/>
  <c r="A15" s="1"/>
  <c r="P20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Y20" s="1"/>
  <c r="AZ20" s="1"/>
  <c r="BA20" s="1"/>
  <c r="BB20" s="1"/>
  <c r="BC20" s="1"/>
  <c r="BD20" s="1"/>
  <c r="BE20" s="1"/>
  <c r="BF20" s="1"/>
  <c r="BG20" s="1"/>
  <c r="BH20" s="1"/>
  <c r="BI20" s="1"/>
  <c r="BJ20" s="1"/>
  <c r="BK20" s="1"/>
  <c r="BL20" s="1"/>
  <c r="BM20" s="1"/>
  <c r="BN20" s="1"/>
  <c r="BO20" s="1"/>
  <c r="BP20" s="1"/>
  <c r="BQ20" s="1"/>
  <c r="BR20" s="1"/>
  <c r="BS20" s="1"/>
  <c r="BT20" s="1"/>
  <c r="BU20" s="1"/>
  <c r="BV20" s="1"/>
  <c r="BW20" s="1"/>
  <c r="BX20" s="1"/>
  <c r="BY20" s="1"/>
  <c r="BZ20" s="1"/>
  <c r="CA20" s="1"/>
  <c r="CB20" s="1"/>
  <c r="CC20" s="1"/>
  <c r="CD20" s="1"/>
  <c r="CE20" s="1"/>
  <c r="CF20" s="1"/>
  <c r="CG20" s="1"/>
  <c r="CH20" s="1"/>
  <c r="CI20" s="1"/>
  <c r="CJ20" s="1"/>
  <c r="CK20" s="1"/>
  <c r="CL20" s="1"/>
  <c r="CM20" s="1"/>
  <c r="CN20" s="1"/>
  <c r="CO20" s="1"/>
  <c r="CP20" s="1"/>
  <c r="CQ20" s="1"/>
  <c r="CR20" s="1"/>
  <c r="CS20" s="1"/>
  <c r="CT20" s="1"/>
  <c r="CU20" s="1"/>
  <c r="CV20" s="1"/>
  <c r="CW20" s="1"/>
  <c r="CX20" s="1"/>
  <c r="CY20" s="1"/>
  <c r="CZ20" s="1"/>
  <c r="DA20" s="1"/>
  <c r="DB20" s="1"/>
  <c r="DC20" s="1"/>
  <c r="DD20" s="1"/>
  <c r="DE20" s="1"/>
  <c r="DF20" s="1"/>
  <c r="DG20" s="1"/>
  <c r="DH20" s="1"/>
  <c r="DI20" s="1"/>
  <c r="DJ20" s="1"/>
  <c r="DK20" s="1"/>
  <c r="DL20" s="1"/>
  <c r="DM20" s="1"/>
  <c r="DN20" s="1"/>
  <c r="DO20" s="1"/>
  <c r="DP20" s="1"/>
  <c r="DQ20" s="1"/>
  <c r="DR20" s="1"/>
  <c r="DS20" s="1"/>
  <c r="DT20" s="1"/>
  <c r="DU20" s="1"/>
  <c r="DV20" s="1"/>
  <c r="DW20" s="1"/>
  <c r="DX20" s="1"/>
  <c r="DY20" s="1"/>
  <c r="DZ20" s="1"/>
  <c r="EA20" s="1"/>
  <c r="EB20" s="1"/>
  <c r="EC20" s="1"/>
  <c r="ED20" s="1"/>
  <c r="EE20" s="1"/>
  <c r="EF20" s="1"/>
  <c r="EG20" s="1"/>
  <c r="EH20" s="1"/>
  <c r="EI20" s="1"/>
  <c r="EJ20" s="1"/>
  <c r="EK20" s="1"/>
  <c r="EL20" s="1"/>
  <c r="EM20" s="1"/>
  <c r="EN20" s="1"/>
  <c r="EO20" s="1"/>
  <c r="EP20" s="1"/>
  <c r="EQ20" s="1"/>
  <c r="ER20" s="1"/>
  <c r="ES20" s="1"/>
  <c r="ET20" s="1"/>
  <c r="EU20" s="1"/>
  <c r="EV20" s="1"/>
  <c r="EW20" s="1"/>
  <c r="EX20" s="1"/>
  <c r="EY20" s="1"/>
  <c r="EZ20" s="1"/>
  <c r="FA20" s="1"/>
  <c r="FB20" s="1"/>
  <c r="FC20" s="1"/>
  <c r="FD20" s="1"/>
  <c r="FE20" s="1"/>
  <c r="FF20" s="1"/>
  <c r="FG20" s="1"/>
  <c r="FH20" s="1"/>
  <c r="FI20" s="1"/>
  <c r="FJ20" s="1"/>
  <c r="FK20" s="1"/>
  <c r="FL20" s="1"/>
  <c r="FM20" s="1"/>
  <c r="FN20" s="1"/>
  <c r="FO20" s="1"/>
  <c r="FP20" s="1"/>
  <c r="FQ20" s="1"/>
  <c r="FR20" s="1"/>
  <c r="FS20" s="1"/>
  <c r="FT20" s="1"/>
  <c r="FU20" s="1"/>
  <c r="FV20" s="1"/>
  <c r="FW20" s="1"/>
  <c r="FX20" s="1"/>
  <c r="FY20" s="1"/>
  <c r="FZ20" s="1"/>
  <c r="GA20" s="1"/>
  <c r="GB20" s="1"/>
  <c r="GC20" s="1"/>
  <c r="GD20" s="1"/>
  <c r="GE20" s="1"/>
  <c r="GF20" s="1"/>
  <c r="GG20" s="1"/>
  <c r="GH20" s="1"/>
  <c r="GI20" s="1"/>
  <c r="GJ20" s="1"/>
  <c r="GK20" s="1"/>
  <c r="GL20" s="1"/>
  <c r="GM20" s="1"/>
  <c r="GN20" s="1"/>
  <c r="GO20" s="1"/>
  <c r="GP20" s="1"/>
  <c r="GQ20" s="1"/>
  <c r="GR20" s="1"/>
  <c r="GS20" s="1"/>
  <c r="GT20" s="1"/>
  <c r="GU20" s="1"/>
  <c r="GV20" s="1"/>
  <c r="GW20" s="1"/>
  <c r="GX20" s="1"/>
  <c r="GY20" s="1"/>
  <c r="GZ20" s="1"/>
  <c r="HA20" s="1"/>
  <c r="HB20" s="1"/>
  <c r="HC20" s="1"/>
  <c r="HD20" s="1"/>
  <c r="HE20" s="1"/>
  <c r="HF20" s="1"/>
  <c r="HG20" s="1"/>
  <c r="M22" i="3"/>
  <c r="M23"/>
  <c r="E13" i="4"/>
  <c r="G13" s="1"/>
  <c r="K13"/>
  <c r="E14"/>
  <c r="K14"/>
  <c r="E15"/>
  <c r="G15" s="1"/>
  <c r="K15"/>
  <c r="E16"/>
  <c r="K16"/>
  <c r="E17"/>
  <c r="G17" s="1"/>
  <c r="K17"/>
  <c r="E18"/>
  <c r="K18"/>
  <c r="E19"/>
  <c r="G19" s="1"/>
  <c r="K19"/>
  <c r="E20"/>
  <c r="K20"/>
  <c r="E21"/>
  <c r="G21" s="1"/>
  <c r="K21"/>
  <c r="D23"/>
  <c r="F23"/>
  <c r="A12" i="7"/>
  <c r="O12" s="1"/>
  <c r="H12"/>
  <c r="W12"/>
  <c r="H13"/>
  <c r="J13" s="1"/>
  <c r="M13" s="1"/>
  <c r="H14"/>
  <c r="J14" s="1"/>
  <c r="M14" s="1"/>
  <c r="H15"/>
  <c r="J15" s="1"/>
  <c r="H16"/>
  <c r="J16" s="1"/>
  <c r="H17"/>
  <c r="J17" s="1"/>
  <c r="H18"/>
  <c r="J18" s="1"/>
  <c r="M18" s="1"/>
  <c r="H19"/>
  <c r="J19" s="1"/>
  <c r="H20"/>
  <c r="J20" s="1"/>
  <c r="E22"/>
  <c r="G22"/>
  <c r="D14" i="8"/>
  <c r="F14"/>
  <c r="D16"/>
  <c r="F16"/>
  <c r="D18"/>
  <c r="F18"/>
  <c r="D20"/>
  <c r="F20"/>
  <c r="E13" i="9"/>
  <c r="E15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AP15" s="1"/>
  <c r="AQ15" s="1"/>
  <c r="AR15" s="1"/>
  <c r="AS15" s="1"/>
  <c r="AT15" s="1"/>
  <c r="AU15" s="1"/>
  <c r="AV15" s="1"/>
  <c r="AW15" s="1"/>
  <c r="AX15" s="1"/>
  <c r="AY15" s="1"/>
  <c r="AZ15" s="1"/>
  <c r="BA15" s="1"/>
  <c r="BB15" s="1"/>
  <c r="BC15" s="1"/>
  <c r="BD15" s="1"/>
  <c r="BE15" s="1"/>
  <c r="BF15" s="1"/>
  <c r="BG15" s="1"/>
  <c r="BH15" s="1"/>
  <c r="BI15" s="1"/>
  <c r="BJ15" s="1"/>
  <c r="BK15" s="1"/>
  <c r="BL15" s="1"/>
  <c r="BM15" s="1"/>
  <c r="BN15" s="1"/>
  <c r="BO15" s="1"/>
  <c r="BP15" s="1"/>
  <c r="BQ15" s="1"/>
  <c r="BR15" s="1"/>
  <c r="BS15" s="1"/>
  <c r="BT15" s="1"/>
  <c r="BU15" s="1"/>
  <c r="BV15" s="1"/>
  <c r="BW15" s="1"/>
  <c r="BX15" s="1"/>
  <c r="BY15" s="1"/>
  <c r="BZ15" s="1"/>
  <c r="CA15" s="1"/>
  <c r="CB15" s="1"/>
  <c r="CC15" s="1"/>
  <c r="CD15" s="1"/>
  <c r="CE15" s="1"/>
  <c r="CF15" s="1"/>
  <c r="CG15" s="1"/>
  <c r="CH15" s="1"/>
  <c r="CI15" s="1"/>
  <c r="CJ15" s="1"/>
  <c r="CK15" s="1"/>
  <c r="CL15" s="1"/>
  <c r="CM15" s="1"/>
  <c r="CN15" s="1"/>
  <c r="CO15" s="1"/>
  <c r="CP15" s="1"/>
  <c r="CQ15" s="1"/>
  <c r="CR15" s="1"/>
  <c r="CS15" s="1"/>
  <c r="CT15" s="1"/>
  <c r="CU15" s="1"/>
  <c r="CV15" s="1"/>
  <c r="CW15" s="1"/>
  <c r="CX15" s="1"/>
  <c r="CY15" s="1"/>
  <c r="CZ15" s="1"/>
  <c r="DA15" s="1"/>
  <c r="DB15" s="1"/>
  <c r="DC15" s="1"/>
  <c r="DD15" s="1"/>
  <c r="DE15" s="1"/>
  <c r="DF15" s="1"/>
  <c r="DG15" s="1"/>
  <c r="DH15" s="1"/>
  <c r="DI15" s="1"/>
  <c r="DJ15" s="1"/>
  <c r="DK15" s="1"/>
  <c r="DL15" s="1"/>
  <c r="DM15" s="1"/>
  <c r="DN15" s="1"/>
  <c r="DO15" s="1"/>
  <c r="DP15" s="1"/>
  <c r="DQ15" s="1"/>
  <c r="DR15" s="1"/>
  <c r="DS15" s="1"/>
  <c r="DT15" s="1"/>
  <c r="DU15" s="1"/>
  <c r="DV15" s="1"/>
  <c r="DW15" s="1"/>
  <c r="DX15" s="1"/>
  <c r="DY15" s="1"/>
  <c r="DZ15" s="1"/>
  <c r="EA15" s="1"/>
  <c r="EB15" s="1"/>
  <c r="EC15" s="1"/>
  <c r="ED15" s="1"/>
  <c r="EE15" s="1"/>
  <c r="EF15" s="1"/>
  <c r="EG15" s="1"/>
  <c r="EH15" s="1"/>
  <c r="EI15" s="1"/>
  <c r="EJ15" s="1"/>
  <c r="EK15" s="1"/>
  <c r="EL15" s="1"/>
  <c r="EM15" s="1"/>
  <c r="EN15" s="1"/>
  <c r="EO15" s="1"/>
  <c r="EP15" s="1"/>
  <c r="EQ15" s="1"/>
  <c r="ER15" s="1"/>
  <c r="ES15" s="1"/>
  <c r="ET15" s="1"/>
  <c r="EU15" s="1"/>
  <c r="EV15" s="1"/>
  <c r="EW15" s="1"/>
  <c r="EX15" s="1"/>
  <c r="EY15" s="1"/>
  <c r="EZ15" s="1"/>
  <c r="FA15" s="1"/>
  <c r="FB15" s="1"/>
  <c r="FC15" s="1"/>
  <c r="FD15" s="1"/>
  <c r="FE15" s="1"/>
  <c r="FF15" s="1"/>
  <c r="FG15" s="1"/>
  <c r="FH15" s="1"/>
  <c r="FI15" s="1"/>
  <c r="FJ15" s="1"/>
  <c r="FK15" s="1"/>
  <c r="FL15" s="1"/>
  <c r="FM15" s="1"/>
  <c r="FN15" s="1"/>
  <c r="FO15" s="1"/>
  <c r="FP15" s="1"/>
  <c r="FQ15" s="1"/>
  <c r="FR15" s="1"/>
  <c r="FS15" s="1"/>
  <c r="FT15" s="1"/>
  <c r="FU15" s="1"/>
  <c r="FV15" s="1"/>
  <c r="FW15" s="1"/>
  <c r="FX15" s="1"/>
  <c r="FY15" s="1"/>
  <c r="FZ15" s="1"/>
  <c r="GA15" s="1"/>
  <c r="GB15" s="1"/>
  <c r="GC15" s="1"/>
  <c r="GD15" s="1"/>
  <c r="GE15" s="1"/>
  <c r="GF15" s="1"/>
  <c r="GG15" s="1"/>
  <c r="GH15" s="1"/>
  <c r="GI15" s="1"/>
  <c r="GJ15" s="1"/>
  <c r="GK15" s="1"/>
  <c r="GL15" s="1"/>
  <c r="GM15" s="1"/>
  <c r="GN15" s="1"/>
  <c r="GO15" s="1"/>
  <c r="GP15" s="1"/>
  <c r="GQ15" s="1"/>
  <c r="GR15" s="1"/>
  <c r="GS15" s="1"/>
  <c r="GT15" s="1"/>
  <c r="GU15" s="1"/>
  <c r="GV15" s="1"/>
  <c r="GW15" s="1"/>
  <c r="GX15" s="1"/>
  <c r="GY15" s="1"/>
  <c r="GZ15" s="1"/>
  <c r="HA15" s="1"/>
  <c r="HB15" s="1"/>
  <c r="HC15" s="1"/>
  <c r="HD15" s="1"/>
  <c r="HE15" s="1"/>
  <c r="HF15" s="1"/>
  <c r="HG15" s="1"/>
  <c r="E17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AP17" s="1"/>
  <c r="AQ17" s="1"/>
  <c r="AR17" s="1"/>
  <c r="AS17" s="1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BI17" s="1"/>
  <c r="BJ17" s="1"/>
  <c r="BK17" s="1"/>
  <c r="BL17" s="1"/>
  <c r="BM17" s="1"/>
  <c r="BN17" s="1"/>
  <c r="BO17" s="1"/>
  <c r="BP17" s="1"/>
  <c r="BQ17" s="1"/>
  <c r="BR17" s="1"/>
  <c r="BS17" s="1"/>
  <c r="BT17" s="1"/>
  <c r="BU17" s="1"/>
  <c r="BV17" s="1"/>
  <c r="BW17" s="1"/>
  <c r="BX17" s="1"/>
  <c r="BY17" s="1"/>
  <c r="BZ17" s="1"/>
  <c r="CA17" s="1"/>
  <c r="CB17" s="1"/>
  <c r="CC17" s="1"/>
  <c r="CD17" s="1"/>
  <c r="CE17" s="1"/>
  <c r="CF17" s="1"/>
  <c r="CG17" s="1"/>
  <c r="CH17" s="1"/>
  <c r="CI17" s="1"/>
  <c r="CJ17" s="1"/>
  <c r="CK17" s="1"/>
  <c r="CL17" s="1"/>
  <c r="CM17" s="1"/>
  <c r="CN17" s="1"/>
  <c r="CO17" s="1"/>
  <c r="CP17" s="1"/>
  <c r="CQ17" s="1"/>
  <c r="CR17" s="1"/>
  <c r="CS17" s="1"/>
  <c r="CT17" s="1"/>
  <c r="CU17" s="1"/>
  <c r="CV17" s="1"/>
  <c r="CW17" s="1"/>
  <c r="CX17" s="1"/>
  <c r="CY17" s="1"/>
  <c r="CZ17" s="1"/>
  <c r="DA17" s="1"/>
  <c r="DB17" s="1"/>
  <c r="DC17" s="1"/>
  <c r="DD17" s="1"/>
  <c r="DE17" s="1"/>
  <c r="DF17" s="1"/>
  <c r="DG17" s="1"/>
  <c r="DH17" s="1"/>
  <c r="DI17" s="1"/>
  <c r="DJ17" s="1"/>
  <c r="DK17" s="1"/>
  <c r="DL17" s="1"/>
  <c r="DM17" s="1"/>
  <c r="DN17" s="1"/>
  <c r="DO17" s="1"/>
  <c r="DP17" s="1"/>
  <c r="DQ17" s="1"/>
  <c r="DR17" s="1"/>
  <c r="DS17" s="1"/>
  <c r="DT17" s="1"/>
  <c r="DU17" s="1"/>
  <c r="DV17" s="1"/>
  <c r="DW17" s="1"/>
  <c r="DX17" s="1"/>
  <c r="DY17" s="1"/>
  <c r="DZ17" s="1"/>
  <c r="EA17" s="1"/>
  <c r="EB17" s="1"/>
  <c r="EC17" s="1"/>
  <c r="ED17" s="1"/>
  <c r="EE17" s="1"/>
  <c r="EF17" s="1"/>
  <c r="EG17" s="1"/>
  <c r="EH17" s="1"/>
  <c r="EI17" s="1"/>
  <c r="EJ17" s="1"/>
  <c r="EK17" s="1"/>
  <c r="EL17" s="1"/>
  <c r="EM17" s="1"/>
  <c r="EN17" s="1"/>
  <c r="EO17" s="1"/>
  <c r="EP17" s="1"/>
  <c r="EQ17" s="1"/>
  <c r="ER17" s="1"/>
  <c r="ES17" s="1"/>
  <c r="ET17" s="1"/>
  <c r="EU17" s="1"/>
  <c r="EV17" s="1"/>
  <c r="EW17" s="1"/>
  <c r="EX17" s="1"/>
  <c r="EY17" s="1"/>
  <c r="EZ17" s="1"/>
  <c r="FA17" s="1"/>
  <c r="FB17" s="1"/>
  <c r="FC17" s="1"/>
  <c r="FD17" s="1"/>
  <c r="FE17" s="1"/>
  <c r="FF17" s="1"/>
  <c r="FG17" s="1"/>
  <c r="FH17" s="1"/>
  <c r="FI17" s="1"/>
  <c r="FJ17" s="1"/>
  <c r="FK17" s="1"/>
  <c r="FL17" s="1"/>
  <c r="FM17" s="1"/>
  <c r="FN17" s="1"/>
  <c r="FO17" s="1"/>
  <c r="FP17" s="1"/>
  <c r="FQ17" s="1"/>
  <c r="FR17" s="1"/>
  <c r="FS17" s="1"/>
  <c r="FT17" s="1"/>
  <c r="FU17" s="1"/>
  <c r="FV17" s="1"/>
  <c r="FW17" s="1"/>
  <c r="FX17" s="1"/>
  <c r="FY17" s="1"/>
  <c r="FZ17" s="1"/>
  <c r="GA17" s="1"/>
  <c r="GB17" s="1"/>
  <c r="GC17" s="1"/>
  <c r="GD17" s="1"/>
  <c r="GE17" s="1"/>
  <c r="GF17" s="1"/>
  <c r="GG17" s="1"/>
  <c r="GH17" s="1"/>
  <c r="GI17" s="1"/>
  <c r="GJ17" s="1"/>
  <c r="GK17" s="1"/>
  <c r="GL17" s="1"/>
  <c r="GM17" s="1"/>
  <c r="GN17" s="1"/>
  <c r="GO17" s="1"/>
  <c r="GP17" s="1"/>
  <c r="GQ17" s="1"/>
  <c r="GR17" s="1"/>
  <c r="GS17" s="1"/>
  <c r="GT17" s="1"/>
  <c r="GU17" s="1"/>
  <c r="GV17" s="1"/>
  <c r="GW17" s="1"/>
  <c r="GX17" s="1"/>
  <c r="GY17" s="1"/>
  <c r="GZ17" s="1"/>
  <c r="HA17" s="1"/>
  <c r="HB17" s="1"/>
  <c r="HC17" s="1"/>
  <c r="HD17" s="1"/>
  <c r="HE17" s="1"/>
  <c r="HF17" s="1"/>
  <c r="HG17" s="1"/>
  <c r="A14" i="4"/>
  <c r="P18" i="9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BF18" s="1"/>
  <c r="BG18" s="1"/>
  <c r="BH18" s="1"/>
  <c r="BI18" s="1"/>
  <c r="BJ18" s="1"/>
  <c r="BK18" s="1"/>
  <c r="BL18" s="1"/>
  <c r="BM18" s="1"/>
  <c r="BN18" s="1"/>
  <c r="BO18" s="1"/>
  <c r="BP18" s="1"/>
  <c r="BQ18" s="1"/>
  <c r="BR18" s="1"/>
  <c r="BS18" s="1"/>
  <c r="BT18" s="1"/>
  <c r="BU18" s="1"/>
  <c r="BV18" s="1"/>
  <c r="BW18" s="1"/>
  <c r="BX18" s="1"/>
  <c r="BY18" s="1"/>
  <c r="BZ18" s="1"/>
  <c r="CA18" s="1"/>
  <c r="CB18" s="1"/>
  <c r="CC18" s="1"/>
  <c r="CD18" s="1"/>
  <c r="CE18" s="1"/>
  <c r="CF18" s="1"/>
  <c r="CG18" s="1"/>
  <c r="CH18" s="1"/>
  <c r="CI18" s="1"/>
  <c r="CJ18" s="1"/>
  <c r="CK18" s="1"/>
  <c r="CL18" s="1"/>
  <c r="CM18" s="1"/>
  <c r="CN18" s="1"/>
  <c r="CO18" s="1"/>
  <c r="CP18" s="1"/>
  <c r="CQ18" s="1"/>
  <c r="CR18" s="1"/>
  <c r="CS18" s="1"/>
  <c r="CT18" s="1"/>
  <c r="CU18" s="1"/>
  <c r="CV18" s="1"/>
  <c r="CW18" s="1"/>
  <c r="CX18" s="1"/>
  <c r="CY18" s="1"/>
  <c r="CZ18" s="1"/>
  <c r="DA18" s="1"/>
  <c r="DB18" s="1"/>
  <c r="DC18" s="1"/>
  <c r="DD18" s="1"/>
  <c r="DE18" s="1"/>
  <c r="DF18" s="1"/>
  <c r="DG18" s="1"/>
  <c r="DH18" s="1"/>
  <c r="DI18" s="1"/>
  <c r="DJ18" s="1"/>
  <c r="DK18" s="1"/>
  <c r="DL18" s="1"/>
  <c r="DM18" s="1"/>
  <c r="DN18" s="1"/>
  <c r="DO18" s="1"/>
  <c r="DP18" s="1"/>
  <c r="DQ18" s="1"/>
  <c r="DR18" s="1"/>
  <c r="DS18" s="1"/>
  <c r="DT18" s="1"/>
  <c r="DU18" s="1"/>
  <c r="DV18" s="1"/>
  <c r="DW18" s="1"/>
  <c r="DX18" s="1"/>
  <c r="DY18" s="1"/>
  <c r="DZ18" s="1"/>
  <c r="EA18" s="1"/>
  <c r="EB18" s="1"/>
  <c r="EC18" s="1"/>
  <c r="ED18" s="1"/>
  <c r="EE18" s="1"/>
  <c r="EF18" s="1"/>
  <c r="EG18" s="1"/>
  <c r="EH18" s="1"/>
  <c r="EI18" s="1"/>
  <c r="EJ18" s="1"/>
  <c r="EK18" s="1"/>
  <c r="EL18" s="1"/>
  <c r="EM18" s="1"/>
  <c r="EN18" s="1"/>
  <c r="EO18" s="1"/>
  <c r="EP18" s="1"/>
  <c r="EQ18" s="1"/>
  <c r="ER18" s="1"/>
  <c r="ES18" s="1"/>
  <c r="ET18" s="1"/>
  <c r="EU18" s="1"/>
  <c r="EV18" s="1"/>
  <c r="EW18" s="1"/>
  <c r="EX18" s="1"/>
  <c r="EY18" s="1"/>
  <c r="EZ18" s="1"/>
  <c r="FA18" s="1"/>
  <c r="FB18" s="1"/>
  <c r="FC18" s="1"/>
  <c r="FD18" s="1"/>
  <c r="FE18" s="1"/>
  <c r="FF18" s="1"/>
  <c r="FG18" s="1"/>
  <c r="FH18" s="1"/>
  <c r="FI18" s="1"/>
  <c r="FJ18" s="1"/>
  <c r="FK18" s="1"/>
  <c r="FL18" s="1"/>
  <c r="FM18" s="1"/>
  <c r="FN18" s="1"/>
  <c r="FO18" s="1"/>
  <c r="FP18" s="1"/>
  <c r="FQ18" s="1"/>
  <c r="FR18" s="1"/>
  <c r="FS18" s="1"/>
  <c r="FT18" s="1"/>
  <c r="FU18" s="1"/>
  <c r="FV18" s="1"/>
  <c r="FW18" s="1"/>
  <c r="FX18" s="1"/>
  <c r="FY18" s="1"/>
  <c r="FZ18" s="1"/>
  <c r="GA18" s="1"/>
  <c r="GB18" s="1"/>
  <c r="GC18" s="1"/>
  <c r="GD18" s="1"/>
  <c r="GE18" s="1"/>
  <c r="GF18" s="1"/>
  <c r="GG18" s="1"/>
  <c r="GH18" s="1"/>
  <c r="GI18" s="1"/>
  <c r="GJ18" s="1"/>
  <c r="GK18" s="1"/>
  <c r="GL18" s="1"/>
  <c r="GM18" s="1"/>
  <c r="GN18" s="1"/>
  <c r="GO18" s="1"/>
  <c r="GP18" s="1"/>
  <c r="GQ18" s="1"/>
  <c r="GR18" s="1"/>
  <c r="GS18" s="1"/>
  <c r="GT18" s="1"/>
  <c r="GU18" s="1"/>
  <c r="GV18" s="1"/>
  <c r="GW18" s="1"/>
  <c r="GX18" s="1"/>
  <c r="GY18" s="1"/>
  <c r="GZ18" s="1"/>
  <c r="HA18" s="1"/>
  <c r="HB18" s="1"/>
  <c r="HC18" s="1"/>
  <c r="HD18" s="1"/>
  <c r="HE18" s="1"/>
  <c r="HF18" s="1"/>
  <c r="HG18" s="1"/>
  <c r="R12" i="7"/>
  <c r="R13"/>
  <c r="T13" s="1"/>
  <c r="Y13" s="1"/>
  <c r="R14"/>
  <c r="T14" s="1"/>
  <c r="Y14" s="1"/>
  <c r="R15"/>
  <c r="T15" s="1"/>
  <c r="Y15" s="1"/>
  <c r="R16"/>
  <c r="T16" s="1"/>
  <c r="Y16" s="1"/>
  <c r="R17"/>
  <c r="T17" s="1"/>
  <c r="Y17" s="1"/>
  <c r="R18"/>
  <c r="T18" s="1"/>
  <c r="Y18" s="1"/>
  <c r="R19"/>
  <c r="T19" s="1"/>
  <c r="Y19" s="1"/>
  <c r="R20"/>
  <c r="T20" s="1"/>
  <c r="Y20" s="1"/>
  <c r="D13" i="8"/>
  <c r="A15"/>
  <c r="A16" s="1"/>
  <c r="D15"/>
  <c r="D17"/>
  <c r="D19"/>
  <c r="F19"/>
  <c r="D21"/>
  <c r="F21"/>
  <c r="L16" i="11"/>
  <c r="L18"/>
  <c r="L20"/>
  <c r="L22"/>
  <c r="L24"/>
  <c r="L26"/>
  <c r="L28"/>
  <c r="L34"/>
  <c r="L36"/>
  <c r="L39"/>
  <c r="E30"/>
  <c r="F30" s="1"/>
  <c r="C35" i="13"/>
  <c r="E32" i="11"/>
  <c r="F32" s="1"/>
  <c r="C37" i="13"/>
  <c r="E38" i="11"/>
  <c r="F38" s="1"/>
  <c r="C43" i="13"/>
  <c r="K43" s="1"/>
  <c r="L15" i="11"/>
  <c r="L17"/>
  <c r="L19"/>
  <c r="L21"/>
  <c r="L23"/>
  <c r="L25"/>
  <c r="L27"/>
  <c r="L29"/>
  <c r="L35"/>
  <c r="L37"/>
  <c r="L15" i="12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F16" i="18"/>
  <c r="E31" i="11"/>
  <c r="F31" s="1"/>
  <c r="C36" i="13"/>
  <c r="E33" i="11"/>
  <c r="F33" s="1"/>
  <c r="C38" i="13"/>
  <c r="A12" i="10"/>
  <c r="F14" i="11"/>
  <c r="B15"/>
  <c r="F14" i="12"/>
  <c r="K15" s="1"/>
  <c r="B15"/>
  <c r="G13" i="13"/>
  <c r="K13"/>
  <c r="G14"/>
  <c r="G15"/>
  <c r="G33"/>
  <c r="G42"/>
  <c r="E45"/>
  <c r="A16" i="14"/>
  <c r="B13" i="17"/>
  <c r="B16" i="12"/>
  <c r="F13" i="13"/>
  <c r="J13"/>
  <c r="A15" i="14"/>
  <c r="A15" i="20"/>
  <c r="I23" i="1"/>
  <c r="H23"/>
  <c r="F23"/>
  <c r="N23"/>
  <c r="E23" s="1"/>
  <c r="A13"/>
  <c r="A14" s="1"/>
  <c r="A15" s="1"/>
  <c r="C45" i="13" l="1"/>
  <c r="K33" i="12"/>
  <c r="K25"/>
  <c r="K17"/>
  <c r="K37"/>
  <c r="K29"/>
  <c r="K21"/>
  <c r="K16" i="11"/>
  <c r="K39" i="12"/>
  <c r="K35"/>
  <c r="K31"/>
  <c r="K27"/>
  <c r="K23"/>
  <c r="K19"/>
  <c r="M20" i="7"/>
  <c r="M19"/>
  <c r="M17"/>
  <c r="M16"/>
  <c r="M15"/>
  <c r="M16" i="9"/>
  <c r="M14"/>
  <c r="K22" i="7"/>
  <c r="I22"/>
  <c r="M19" i="9"/>
  <c r="M21"/>
  <c r="A16"/>
  <c r="J37" i="13"/>
  <c r="F37"/>
  <c r="K37"/>
  <c r="G37"/>
  <c r="T12" i="7"/>
  <c r="R22"/>
  <c r="W22"/>
  <c r="G23" i="9"/>
  <c r="H13"/>
  <c r="A1" i="17"/>
  <c r="A1" i="18" s="1"/>
  <c r="A1" i="10"/>
  <c r="A1" i="11" s="1"/>
  <c r="A1" i="12" s="1"/>
  <c r="A1" i="13" s="1"/>
  <c r="A1" i="14" s="1"/>
  <c r="K39" i="11"/>
  <c r="K34"/>
  <c r="K26"/>
  <c r="K20"/>
  <c r="D23" i="8"/>
  <c r="A17"/>
  <c r="A18" s="1"/>
  <c r="X19" i="7"/>
  <c r="Z19" s="1"/>
  <c r="X17"/>
  <c r="Z17" s="1"/>
  <c r="N17" s="1"/>
  <c r="E18" i="8" s="1"/>
  <c r="X15" i="7"/>
  <c r="Z15" s="1"/>
  <c r="X13"/>
  <c r="Z13" s="1"/>
  <c r="N13" s="1"/>
  <c r="E14" i="8" s="1"/>
  <c r="A17" i="9"/>
  <c r="A15" i="6"/>
  <c r="A15" i="3"/>
  <c r="A16" s="1"/>
  <c r="B14" i="17"/>
  <c r="L33" i="11"/>
  <c r="K33"/>
  <c r="L31"/>
  <c r="K31"/>
  <c r="F43" i="13"/>
  <c r="G43"/>
  <c r="J35"/>
  <c r="F35"/>
  <c r="K35"/>
  <c r="G35"/>
  <c r="L14" i="12"/>
  <c r="F41"/>
  <c r="K14"/>
  <c r="F41" i="11"/>
  <c r="L14"/>
  <c r="K14"/>
  <c r="J38" i="13"/>
  <c r="F38"/>
  <c r="K38"/>
  <c r="G38"/>
  <c r="J36"/>
  <c r="F36"/>
  <c r="K36"/>
  <c r="G36"/>
  <c r="L38" i="11"/>
  <c r="K38"/>
  <c r="L32"/>
  <c r="K32"/>
  <c r="L30"/>
  <c r="K30"/>
  <c r="E23" i="9"/>
  <c r="P13"/>
  <c r="Q13" s="1"/>
  <c r="R13" s="1"/>
  <c r="S13" s="1"/>
  <c r="T13" s="1"/>
  <c r="U13" s="1"/>
  <c r="V13" s="1"/>
  <c r="H22" i="7"/>
  <c r="J12"/>
  <c r="J22" s="1"/>
  <c r="E23" i="4"/>
  <c r="E24"/>
  <c r="H13"/>
  <c r="L22" i="7"/>
  <c r="K36" i="11"/>
  <c r="K28"/>
  <c r="K24"/>
  <c r="K22"/>
  <c r="K18"/>
  <c r="A16" i="20"/>
  <c r="F45" i="13"/>
  <c r="B15" i="17"/>
  <c r="K45" i="13"/>
  <c r="B17" i="12"/>
  <c r="B16" i="11"/>
  <c r="A13" i="10"/>
  <c r="A17" i="14"/>
  <c r="A18" s="1"/>
  <c r="K38" i="12"/>
  <c r="K36"/>
  <c r="K34"/>
  <c r="K32"/>
  <c r="K30"/>
  <c r="K28"/>
  <c r="K26"/>
  <c r="K24"/>
  <c r="K22"/>
  <c r="K20"/>
  <c r="K18"/>
  <c r="K16"/>
  <c r="K37" i="11"/>
  <c r="K35"/>
  <c r="K29"/>
  <c r="K27"/>
  <c r="K25"/>
  <c r="K23"/>
  <c r="K21"/>
  <c r="K19"/>
  <c r="K17"/>
  <c r="K15"/>
  <c r="J43" i="13"/>
  <c r="E41" i="11"/>
  <c r="M18" i="9"/>
  <c r="A15" i="4"/>
  <c r="A16" s="1"/>
  <c r="A13" i="7"/>
  <c r="A14" s="1"/>
  <c r="O14" s="1"/>
  <c r="H21" i="4"/>
  <c r="G20"/>
  <c r="H20" s="1"/>
  <c r="H19"/>
  <c r="G18"/>
  <c r="H18" s="1"/>
  <c r="H17"/>
  <c r="G16"/>
  <c r="H16" s="1"/>
  <c r="H15"/>
  <c r="G14"/>
  <c r="H14" s="1"/>
  <c r="M20" i="9"/>
  <c r="X20" i="7"/>
  <c r="Z20" s="1"/>
  <c r="X18"/>
  <c r="Z18" s="1"/>
  <c r="N18" s="1"/>
  <c r="E19" i="8" s="1"/>
  <c r="X16" i="7"/>
  <c r="Z16" s="1"/>
  <c r="X14"/>
  <c r="Z14" s="1"/>
  <c r="N14" s="1"/>
  <c r="E15" i="8" s="1"/>
  <c r="A16" i="6"/>
  <c r="M15" i="9"/>
  <c r="F23" i="8"/>
  <c r="M17" i="9"/>
  <c r="A16" i="1"/>
  <c r="J45" i="13" l="1"/>
  <c r="G45"/>
  <c r="N20" i="7"/>
  <c r="E21" i="8" s="1"/>
  <c r="G21" s="1"/>
  <c r="H21" s="1"/>
  <c r="N19" i="7"/>
  <c r="E20" i="8" s="1"/>
  <c r="G20" s="1"/>
  <c r="H20" s="1"/>
  <c r="N16" i="7"/>
  <c r="E17" i="8" s="1"/>
  <c r="G17" s="1"/>
  <c r="H17" s="1"/>
  <c r="N15" i="7"/>
  <c r="E16" i="8" s="1"/>
  <c r="G16" s="1"/>
  <c r="H16" s="1"/>
  <c r="G19"/>
  <c r="H19" s="1"/>
  <c r="G15"/>
  <c r="H15" s="1"/>
  <c r="G14"/>
  <c r="H14" s="1"/>
  <c r="G18"/>
  <c r="H18" s="1"/>
  <c r="O13" i="7"/>
  <c r="A14" i="10"/>
  <c r="A17" i="20"/>
  <c r="H24" i="4"/>
  <c r="H23"/>
  <c r="H38" i="12"/>
  <c r="H36"/>
  <c r="H34"/>
  <c r="H32"/>
  <c r="H30"/>
  <c r="H28"/>
  <c r="H26"/>
  <c r="H24"/>
  <c r="H22"/>
  <c r="H20"/>
  <c r="H18"/>
  <c r="H16"/>
  <c r="H14"/>
  <c r="H39"/>
  <c r="H37"/>
  <c r="H35"/>
  <c r="H33"/>
  <c r="H31"/>
  <c r="H29"/>
  <c r="H27"/>
  <c r="H25"/>
  <c r="H23"/>
  <c r="H21"/>
  <c r="H19"/>
  <c r="H17"/>
  <c r="H15"/>
  <c r="A19" i="8"/>
  <c r="T22" i="7"/>
  <c r="Y12"/>
  <c r="Y22" s="1"/>
  <c r="A15"/>
  <c r="A16" s="1"/>
  <c r="B18" i="12"/>
  <c r="M12" i="7"/>
  <c r="B16" i="17"/>
  <c r="G23" i="4"/>
  <c r="A15" i="10"/>
  <c r="B19" i="12"/>
  <c r="B20" s="1"/>
  <c r="A17" i="4"/>
  <c r="A18" i="9"/>
  <c r="A19" s="1"/>
  <c r="H39" i="11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23" i="9"/>
  <c r="I13"/>
  <c r="W13" s="1"/>
  <c r="A19" i="14"/>
  <c r="B17" i="17"/>
  <c r="A17" i="3"/>
  <c r="A20" i="8"/>
  <c r="A16" i="10"/>
  <c r="X12" i="7"/>
  <c r="A17" i="6"/>
  <c r="B17" i="11"/>
  <c r="A17" i="1"/>
  <c r="A18" s="1"/>
  <c r="A17" i="7" l="1"/>
  <c r="O17" s="1"/>
  <c r="I23" i="9"/>
  <c r="J13"/>
  <c r="X13" s="1"/>
  <c r="A21" i="8"/>
  <c r="A18" i="20"/>
  <c r="A20" i="14"/>
  <c r="B18" i="17"/>
  <c r="B19" s="1"/>
  <c r="A21" i="14"/>
  <c r="A20" i="9"/>
  <c r="A21" s="1"/>
  <c r="B21" i="12"/>
  <c r="A18" i="3"/>
  <c r="A19" s="1"/>
  <c r="Z12" i="7"/>
  <c r="Z22" s="1"/>
  <c r="X22"/>
  <c r="O16"/>
  <c r="M22"/>
  <c r="O15"/>
  <c r="A18" i="4"/>
  <c r="A18" i="6"/>
  <c r="A17" i="10"/>
  <c r="B18" i="11"/>
  <c r="A19" i="1"/>
  <c r="A18" i="7" l="1"/>
  <c r="O18" s="1"/>
  <c r="N12"/>
  <c r="N22" s="1"/>
  <c r="J23" i="9"/>
  <c r="K13"/>
  <c r="K23" s="1"/>
  <c r="A18" i="10"/>
  <c r="B22" i="12"/>
  <c r="A19" i="4"/>
  <c r="A20" i="3"/>
  <c r="A19" i="20"/>
  <c r="A19" i="10"/>
  <c r="A19" i="6"/>
  <c r="B19" i="11"/>
  <c r="A22" i="14"/>
  <c r="A23" s="1"/>
  <c r="A19" i="7"/>
  <c r="A21" i="1"/>
  <c r="A20"/>
  <c r="E13" i="8" l="1"/>
  <c r="G13" s="1"/>
  <c r="G23" s="1"/>
  <c r="N23" i="7"/>
  <c r="Y13" i="9"/>
  <c r="O19" i="7"/>
  <c r="A20" i="10"/>
  <c r="A20" i="6"/>
  <c r="A24" i="14"/>
  <c r="A20" i="4"/>
  <c r="A20" i="20"/>
  <c r="B23" i="12"/>
  <c r="B20" i="11"/>
  <c r="B21" i="17"/>
  <c r="A20" i="7"/>
  <c r="B24" i="12"/>
  <c r="A23" i="1"/>
  <c r="A25" s="1"/>
  <c r="Z13" i="9" l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BI13" s="1"/>
  <c r="BJ13" s="1"/>
  <c r="BK13" s="1"/>
  <c r="BL13" s="1"/>
  <c r="BM13" s="1"/>
  <c r="BN13" s="1"/>
  <c r="BO13" s="1"/>
  <c r="BP13" s="1"/>
  <c r="BQ13" s="1"/>
  <c r="BR13" s="1"/>
  <c r="BS13" s="1"/>
  <c r="BT13" s="1"/>
  <c r="BU13" s="1"/>
  <c r="BV13" s="1"/>
  <c r="BW13" s="1"/>
  <c r="BX13" s="1"/>
  <c r="BY13" s="1"/>
  <c r="BZ13" s="1"/>
  <c r="CA13" s="1"/>
  <c r="CB13" s="1"/>
  <c r="CC13" s="1"/>
  <c r="CD13" s="1"/>
  <c r="CE13" s="1"/>
  <c r="CF13" s="1"/>
  <c r="CG13" s="1"/>
  <c r="CH13" s="1"/>
  <c r="CI13" s="1"/>
  <c r="CJ13" s="1"/>
  <c r="CK13" s="1"/>
  <c r="CL13" s="1"/>
  <c r="CM13" s="1"/>
  <c r="CN13" s="1"/>
  <c r="CO13" s="1"/>
  <c r="CP13" s="1"/>
  <c r="CQ13" s="1"/>
  <c r="CR13" s="1"/>
  <c r="CS13" s="1"/>
  <c r="CT13" s="1"/>
  <c r="CU13" s="1"/>
  <c r="CV13" s="1"/>
  <c r="CW13" s="1"/>
  <c r="CX13" s="1"/>
  <c r="CY13" s="1"/>
  <c r="CZ13" s="1"/>
  <c r="DA13" s="1"/>
  <c r="DB13" s="1"/>
  <c r="DC13" s="1"/>
  <c r="DD13" s="1"/>
  <c r="DE13" s="1"/>
  <c r="DF13" s="1"/>
  <c r="DG13" s="1"/>
  <c r="DH13" s="1"/>
  <c r="DI13" s="1"/>
  <c r="DJ13" s="1"/>
  <c r="DK13" s="1"/>
  <c r="DL13" s="1"/>
  <c r="DM13" s="1"/>
  <c r="DN13" s="1"/>
  <c r="DO13" s="1"/>
  <c r="DP13" s="1"/>
  <c r="DQ13" s="1"/>
  <c r="DR13" s="1"/>
  <c r="DS13" s="1"/>
  <c r="DT13" s="1"/>
  <c r="DU13" s="1"/>
  <c r="DV13" s="1"/>
  <c r="DW13" s="1"/>
  <c r="DX13" s="1"/>
  <c r="DY13" s="1"/>
  <c r="DZ13" s="1"/>
  <c r="EA13" s="1"/>
  <c r="EB13" s="1"/>
  <c r="EC13" s="1"/>
  <c r="ED13" s="1"/>
  <c r="EE13" s="1"/>
  <c r="EF13" s="1"/>
  <c r="EG13" s="1"/>
  <c r="EH13" s="1"/>
  <c r="EI13" s="1"/>
  <c r="EJ13" s="1"/>
  <c r="EK13" s="1"/>
  <c r="EL13" s="1"/>
  <c r="EM13" s="1"/>
  <c r="EN13" s="1"/>
  <c r="EO13" s="1"/>
  <c r="EP13" s="1"/>
  <c r="EQ13" s="1"/>
  <c r="ER13" s="1"/>
  <c r="ES13" s="1"/>
  <c r="ET13" s="1"/>
  <c r="EU13" s="1"/>
  <c r="EV13" s="1"/>
  <c r="EW13" s="1"/>
  <c r="EX13" s="1"/>
  <c r="EY13" s="1"/>
  <c r="EZ13" s="1"/>
  <c r="FA13" s="1"/>
  <c r="FB13" s="1"/>
  <c r="FC13" s="1"/>
  <c r="FD13" s="1"/>
  <c r="FE13" s="1"/>
  <c r="FF13" s="1"/>
  <c r="FG13" s="1"/>
  <c r="FH13" s="1"/>
  <c r="FI13" s="1"/>
  <c r="FJ13" s="1"/>
  <c r="FK13" s="1"/>
  <c r="FL13" s="1"/>
  <c r="FM13" s="1"/>
  <c r="FN13" s="1"/>
  <c r="FO13" s="1"/>
  <c r="FP13" s="1"/>
  <c r="FQ13" s="1"/>
  <c r="FR13" s="1"/>
  <c r="FS13" s="1"/>
  <c r="FT13" s="1"/>
  <c r="FU13" s="1"/>
  <c r="FV13" s="1"/>
  <c r="FW13" s="1"/>
  <c r="FX13" s="1"/>
  <c r="FY13" s="1"/>
  <c r="FZ13" s="1"/>
  <c r="GA13" s="1"/>
  <c r="GB13" s="1"/>
  <c r="GC13" s="1"/>
  <c r="GD13" s="1"/>
  <c r="GE13" s="1"/>
  <c r="GF13" s="1"/>
  <c r="GG13" s="1"/>
  <c r="GH13" s="1"/>
  <c r="GI13" s="1"/>
  <c r="GJ13" s="1"/>
  <c r="GK13" s="1"/>
  <c r="GL13" s="1"/>
  <c r="GM13" s="1"/>
  <c r="GN13" s="1"/>
  <c r="GO13" s="1"/>
  <c r="GP13" s="1"/>
  <c r="GQ13" s="1"/>
  <c r="GR13" s="1"/>
  <c r="GS13" s="1"/>
  <c r="GT13" s="1"/>
  <c r="GU13" s="1"/>
  <c r="GV13" s="1"/>
  <c r="GW13" s="1"/>
  <c r="GX13" s="1"/>
  <c r="GY13" s="1"/>
  <c r="GZ13" s="1"/>
  <c r="HA13" s="1"/>
  <c r="HB13" s="1"/>
  <c r="HC13" s="1"/>
  <c r="HD13" s="1"/>
  <c r="HE13" s="1"/>
  <c r="HF13" s="1"/>
  <c r="HG13" s="1"/>
  <c r="E23" i="8"/>
  <c r="E24"/>
  <c r="A23"/>
  <c r="A24" s="1"/>
  <c r="A21" i="20"/>
  <c r="A21" i="4"/>
  <c r="A25" i="14"/>
  <c r="A27" s="1"/>
  <c r="A28" s="1"/>
  <c r="H13" i="8"/>
  <c r="O20" i="7"/>
  <c r="B25" i="12"/>
  <c r="A22" i="3"/>
  <c r="A23" s="1"/>
  <c r="B21" i="11"/>
  <c r="B22" s="1"/>
  <c r="A21" i="10"/>
  <c r="A22"/>
  <c r="A23" i="9"/>
  <c r="A24" s="1"/>
  <c r="M13" l="1"/>
  <c r="B23" i="11"/>
  <c r="A23" i="10"/>
  <c r="B26" i="12"/>
  <c r="H24" i="8"/>
  <c r="H23"/>
  <c r="A24" i="10"/>
  <c r="B24" i="11"/>
  <c r="A22" i="6"/>
  <c r="M23" i="9" l="1"/>
  <c r="M24"/>
  <c r="B27" i="12"/>
  <c r="A22" i="7"/>
  <c r="B25" i="11"/>
  <c r="A25" i="10"/>
  <c r="O22" i="7" l="1"/>
  <c r="A23"/>
  <c r="A23" i="20"/>
  <c r="B26" i="11"/>
  <c r="B28" i="12"/>
  <c r="A26" i="10"/>
  <c r="A23" i="4"/>
  <c r="A24" s="1"/>
  <c r="B29" i="12" l="1"/>
  <c r="B27" i="11"/>
  <c r="A27" i="10"/>
  <c r="B28" i="11" l="1"/>
  <c r="B30" i="12"/>
  <c r="B31" s="1"/>
  <c r="A28" i="10"/>
  <c r="B32" i="12" l="1"/>
  <c r="B29" i="11"/>
  <c r="B33" i="12"/>
  <c r="B34" s="1"/>
  <c r="A29" i="10"/>
  <c r="B30" i="11" l="1"/>
  <c r="B31"/>
  <c r="A30" i="10"/>
  <c r="A31"/>
  <c r="B35" i="12"/>
  <c r="B32" i="11" l="1"/>
  <c r="A32" i="10"/>
  <c r="A34" s="1"/>
  <c r="A33"/>
  <c r="B36" i="12"/>
  <c r="B33" i="11"/>
  <c r="B37" i="12" l="1"/>
  <c r="A35" i="10"/>
  <c r="B34" i="11"/>
  <c r="B35" l="1"/>
  <c r="B36"/>
  <c r="A36" i="10"/>
  <c r="B37" i="11"/>
  <c r="B38" i="12"/>
  <c r="B39" s="1"/>
  <c r="B41" l="1"/>
  <c r="A37" i="10"/>
  <c r="A38" s="1"/>
  <c r="B38" i="11"/>
  <c r="B39" l="1"/>
  <c r="B41" s="1"/>
  <c r="A39" i="10"/>
  <c r="A40"/>
  <c r="A41" l="1"/>
  <c r="A42" s="1"/>
</calcChain>
</file>

<file path=xl/sharedStrings.xml><?xml version="1.0" encoding="utf-8"?>
<sst xmlns="http://schemas.openxmlformats.org/spreadsheetml/2006/main" count="1515" uniqueCount="752">
  <si>
    <t>Proxy Group - Investment Risk</t>
  </si>
  <si>
    <t>Common Equity Ratios</t>
  </si>
  <si>
    <t>S&amp;P Business</t>
  </si>
  <si>
    <t>Line</t>
  </si>
  <si>
    <t>Company</t>
  </si>
  <si>
    <t>Ticker</t>
  </si>
  <si>
    <t>(1)</t>
  </si>
  <si>
    <t>(2)</t>
  </si>
  <si>
    <t>(3)</t>
  </si>
  <si>
    <t>(4)</t>
  </si>
  <si>
    <t>(5)</t>
  </si>
  <si>
    <t>S&amp;P</t>
  </si>
  <si>
    <t>Moody's</t>
  </si>
  <si>
    <t>Excellent</t>
  </si>
  <si>
    <t>BBB+</t>
  </si>
  <si>
    <t>A-</t>
  </si>
  <si>
    <t>Average</t>
  </si>
  <si>
    <t>Sources and Notes:</t>
  </si>
  <si>
    <t>N/R: Not Rated.</t>
  </si>
  <si>
    <t>N/A: Not Available.</t>
  </si>
  <si>
    <t>Alliant Energy</t>
  </si>
  <si>
    <t>Baa1</t>
  </si>
  <si>
    <t>s&amp;p</t>
  </si>
  <si>
    <t>moody's</t>
  </si>
  <si>
    <t>c</t>
  </si>
  <si>
    <t>C</t>
  </si>
  <si>
    <t>cc</t>
  </si>
  <si>
    <t>CC</t>
  </si>
  <si>
    <t>ca</t>
  </si>
  <si>
    <t>Ca</t>
  </si>
  <si>
    <t>ccc-</t>
  </si>
  <si>
    <t>CCC-</t>
  </si>
  <si>
    <t>caa</t>
  </si>
  <si>
    <t>Caa</t>
  </si>
  <si>
    <t>ccc</t>
  </si>
  <si>
    <t>CCC</t>
  </si>
  <si>
    <t>b3</t>
  </si>
  <si>
    <t>B3</t>
  </si>
  <si>
    <t>ccc+</t>
  </si>
  <si>
    <t>CCC+</t>
  </si>
  <si>
    <t>b2</t>
  </si>
  <si>
    <t>B2</t>
  </si>
  <si>
    <t>b-</t>
  </si>
  <si>
    <t>B-</t>
  </si>
  <si>
    <t>b1</t>
  </si>
  <si>
    <t>B1</t>
  </si>
  <si>
    <t>b</t>
  </si>
  <si>
    <t>B</t>
  </si>
  <si>
    <t>ba3</t>
  </si>
  <si>
    <t>Ba3</t>
  </si>
  <si>
    <t>b+</t>
  </si>
  <si>
    <t>B+</t>
  </si>
  <si>
    <t>ba2</t>
  </si>
  <si>
    <t>Ba2</t>
  </si>
  <si>
    <t>bb-</t>
  </si>
  <si>
    <t>BB-</t>
  </si>
  <si>
    <t>ba1</t>
  </si>
  <si>
    <t>Ba1</t>
  </si>
  <si>
    <t>bb</t>
  </si>
  <si>
    <t>BB</t>
  </si>
  <si>
    <t>baa3</t>
  </si>
  <si>
    <t>Baa3</t>
  </si>
  <si>
    <t>bb+</t>
  </si>
  <si>
    <t>BB+</t>
  </si>
  <si>
    <t>baa2</t>
  </si>
  <si>
    <t>Baa2</t>
  </si>
  <si>
    <t>bbb-</t>
  </si>
  <si>
    <t>BBB-</t>
  </si>
  <si>
    <t>baa1</t>
  </si>
  <si>
    <t>bbb</t>
  </si>
  <si>
    <t>BBB</t>
  </si>
  <si>
    <t>a3</t>
  </si>
  <si>
    <t>A3</t>
  </si>
  <si>
    <t>bbb+</t>
  </si>
  <si>
    <t>a2</t>
  </si>
  <si>
    <t>A2</t>
  </si>
  <si>
    <t>a-</t>
  </si>
  <si>
    <t>a1</t>
  </si>
  <si>
    <t>A1</t>
  </si>
  <si>
    <t>a</t>
  </si>
  <si>
    <t>A</t>
  </si>
  <si>
    <t>aa3</t>
  </si>
  <si>
    <t>Aa3</t>
  </si>
  <si>
    <t>a+</t>
  </si>
  <si>
    <t>A+</t>
  </si>
  <si>
    <t>aa2</t>
  </si>
  <si>
    <t>Aa2</t>
  </si>
  <si>
    <t>aa-</t>
  </si>
  <si>
    <t>AA-</t>
  </si>
  <si>
    <t>aa1</t>
  </si>
  <si>
    <t>Aa1</t>
  </si>
  <si>
    <t>aa</t>
  </si>
  <si>
    <t>AA</t>
  </si>
  <si>
    <t>aaa</t>
  </si>
  <si>
    <t>Aaa</t>
  </si>
  <si>
    <t>aa+</t>
  </si>
  <si>
    <t>AA+</t>
  </si>
  <si>
    <t>N/R</t>
  </si>
  <si>
    <t>n/a</t>
  </si>
  <si>
    <t>-</t>
  </si>
  <si>
    <t>AAA</t>
  </si>
  <si>
    <t>CMS Energy</t>
  </si>
  <si>
    <t>Great Plains Energy</t>
  </si>
  <si>
    <t>NV Energy</t>
  </si>
  <si>
    <t>OGE Energy</t>
  </si>
  <si>
    <t>Pinnacle West Capital</t>
  </si>
  <si>
    <t>TECO Energy</t>
  </si>
  <si>
    <t>Westar Energy</t>
  </si>
  <si>
    <t>Wisconsin Energy</t>
  </si>
  <si>
    <t>LNT</t>
  </si>
  <si>
    <t>CSM</t>
  </si>
  <si>
    <t>GXP</t>
  </si>
  <si>
    <t>NVE</t>
  </si>
  <si>
    <t>OGE</t>
  </si>
  <si>
    <t>PWN</t>
  </si>
  <si>
    <t>TE</t>
  </si>
  <si>
    <t>WR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</si>
  <si>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SNL Financial, </t>
    </r>
    <r>
      <rPr>
        <sz val="11"/>
        <color theme="1"/>
        <rFont val="Arial"/>
        <family val="2"/>
      </rPr>
      <t>http://www.snl.com, downloaded on November 23, 2011.</t>
    </r>
  </si>
  <si>
    <r>
      <t>Corporate Credit Ratings</t>
    </r>
    <r>
      <rPr>
        <b/>
        <vertAlign val="superscript"/>
        <sz val="11"/>
        <rFont val="Arial"/>
        <family val="2"/>
      </rPr>
      <t>1</t>
    </r>
  </si>
  <si>
    <r>
      <rPr>
        <b/>
        <i/>
        <u/>
        <sz val="11"/>
        <rFont val="Arial"/>
        <family val="2"/>
      </rPr>
      <t>AUS</t>
    </r>
    <r>
      <rPr>
        <b/>
        <vertAlign val="superscript"/>
        <sz val="11"/>
        <rFont val="Arial"/>
        <family val="2"/>
      </rPr>
      <t>2</t>
    </r>
  </si>
  <si>
    <r>
      <rPr>
        <b/>
        <i/>
        <u/>
        <sz val="11"/>
        <rFont val="Arial"/>
        <family val="2"/>
      </rPr>
      <t>Value Line</t>
    </r>
    <r>
      <rPr>
        <b/>
        <vertAlign val="superscript"/>
        <sz val="11"/>
        <rFont val="Arial"/>
        <family val="2"/>
      </rPr>
      <t>3</t>
    </r>
  </si>
  <si>
    <r>
      <t>Risk Score</t>
    </r>
    <r>
      <rPr>
        <b/>
        <u/>
        <vertAlign val="superscript"/>
        <sz val="11"/>
        <rFont val="Arial"/>
        <family val="2"/>
      </rPr>
      <t>4</t>
    </r>
  </si>
  <si>
    <t>WEC</t>
  </si>
  <si>
    <t>Puget Sound Energy</t>
  </si>
  <si>
    <r>
      <t>BBB</t>
    </r>
    <r>
      <rPr>
        <vertAlign val="superscript"/>
        <sz val="11"/>
        <color theme="1"/>
        <rFont val="Arial"/>
        <family val="2"/>
      </rPr>
      <t>1</t>
    </r>
  </si>
  <si>
    <r>
      <t>Baa2</t>
    </r>
    <r>
      <rPr>
        <vertAlign val="superscript"/>
        <sz val="11"/>
        <color theme="1"/>
        <rFont val="Arial"/>
        <family val="2"/>
      </rPr>
      <t>2</t>
    </r>
  </si>
  <si>
    <t>Consensus Analysts' Growth Rates</t>
  </si>
  <si>
    <t>Zacks</t>
  </si>
  <si>
    <t>SNL</t>
  </si>
  <si>
    <t>Reuters</t>
  </si>
  <si>
    <t>Average of</t>
  </si>
  <si>
    <t>Estimated</t>
  </si>
  <si>
    <t>Number of</t>
  </si>
  <si>
    <t>Growth</t>
  </si>
  <si>
    <r>
      <t>Growth %</t>
    </r>
    <r>
      <rPr>
        <b/>
        <u/>
        <vertAlign val="superscript"/>
        <sz val="11"/>
        <rFont val="Arial"/>
        <family val="2"/>
      </rPr>
      <t>1</t>
    </r>
  </si>
  <si>
    <t>Estimates</t>
  </si>
  <si>
    <r>
      <t>Growth %</t>
    </r>
    <r>
      <rPr>
        <b/>
        <u/>
        <vertAlign val="superscript"/>
        <sz val="11"/>
        <rFont val="Arial"/>
        <family val="2"/>
      </rPr>
      <t>2</t>
    </r>
  </si>
  <si>
    <r>
      <t>Growth %</t>
    </r>
    <r>
      <rPr>
        <b/>
        <u/>
        <vertAlign val="superscript"/>
        <sz val="11"/>
        <rFont val="Arial"/>
        <family val="2"/>
      </rPr>
      <t>3</t>
    </r>
  </si>
  <si>
    <t>Rates</t>
  </si>
  <si>
    <t>(6)</t>
  </si>
  <si>
    <t>(7)</t>
  </si>
  <si>
    <t>N/A</t>
  </si>
  <si>
    <t>Median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</si>
  <si>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Zacks Elite, http://www.zackselite.com/, downloaded on November 23, 2011.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</si>
  <si>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SNL Interactive, http://www.snl.com/, downloaded on November 23, 2011.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</si>
  <si>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Reuters, http://www.reuters.com/, downloaded on November 23, 2011.</t>
    </r>
  </si>
  <si>
    <t>Constant Growth DCF Model</t>
  </si>
  <si>
    <t>13-Week AVG</t>
  </si>
  <si>
    <t>Analysts'</t>
  </si>
  <si>
    <t>Annualized</t>
  </si>
  <si>
    <t>Adjusted</t>
  </si>
  <si>
    <t>Constant</t>
  </si>
  <si>
    <t>Quarterly</t>
  </si>
  <si>
    <r>
      <t>Stock Price</t>
    </r>
    <r>
      <rPr>
        <b/>
        <u/>
        <vertAlign val="superscript"/>
        <sz val="11"/>
        <rFont val="Arial"/>
        <family val="2"/>
      </rPr>
      <t>1</t>
    </r>
  </si>
  <si>
    <r>
      <t>Growth</t>
    </r>
    <r>
      <rPr>
        <b/>
        <u/>
        <vertAlign val="superscript"/>
        <sz val="11"/>
        <rFont val="Arial"/>
        <family val="2"/>
      </rPr>
      <t>2</t>
    </r>
  </si>
  <si>
    <r>
      <t>Dividend</t>
    </r>
    <r>
      <rPr>
        <b/>
        <u/>
        <vertAlign val="superscript"/>
        <sz val="11"/>
        <rFont val="Arial"/>
        <family val="2"/>
      </rPr>
      <t>3</t>
    </r>
  </si>
  <si>
    <t>Yield</t>
  </si>
  <si>
    <t>Growth DCF</t>
  </si>
  <si>
    <t>Dividend</t>
  </si>
  <si>
    <t>Sources: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</si>
  <si>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http://moneycentral.msn.com, downloaded on November 23, 2011.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</si>
  <si>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The Value Line Investment Survey,</t>
    </r>
    <r>
      <rPr>
        <sz val="11"/>
        <color theme="1"/>
        <rFont val="Arial"/>
        <family val="2"/>
      </rPr>
      <t xml:space="preserve"> September 23,  November 4 and November 25, 2011.</t>
    </r>
  </si>
  <si>
    <t>Payout Ratios</t>
  </si>
  <si>
    <t>Dividends Per Share</t>
  </si>
  <si>
    <t>Earnings Per Share</t>
  </si>
  <si>
    <t>Payout Ratio</t>
  </si>
  <si>
    <t>Projected</t>
  </si>
  <si>
    <t>Source:</t>
  </si>
  <si>
    <r>
      <rPr>
        <i/>
        <sz val="11"/>
        <color theme="1"/>
        <rFont val="Arial"/>
        <family val="2"/>
      </rPr>
      <t>The Value Line Investment Survey,</t>
    </r>
    <r>
      <rPr>
        <sz val="11"/>
        <color theme="1"/>
        <rFont val="Arial"/>
        <family val="2"/>
      </rPr>
      <t xml:space="preserve"> September 23,  November 4 and November 25, 2011.</t>
    </r>
  </si>
  <si>
    <t>Sustainable Growth Rates</t>
  </si>
  <si>
    <t>Value Line Projection Years</t>
  </si>
  <si>
    <t>3 to 5 Year Projections</t>
  </si>
  <si>
    <t>Sustainable</t>
  </si>
  <si>
    <t>13-Week</t>
  </si>
  <si>
    <t>2010</t>
  </si>
  <si>
    <t>Market</t>
  </si>
  <si>
    <t xml:space="preserve">Common Shares </t>
  </si>
  <si>
    <t>Dividends</t>
  </si>
  <si>
    <t>Earnings</t>
  </si>
  <si>
    <t>Book Value</t>
  </si>
  <si>
    <t>Adjustment</t>
  </si>
  <si>
    <t>Payout</t>
  </si>
  <si>
    <t>Retention</t>
  </si>
  <si>
    <t>Internal</t>
  </si>
  <si>
    <t>to Book</t>
  </si>
  <si>
    <r>
      <t xml:space="preserve">   Outstanding (in Millions)</t>
    </r>
    <r>
      <rPr>
        <b/>
        <vertAlign val="superscript"/>
        <sz val="11"/>
        <color indexed="8"/>
        <rFont val="Arial"/>
        <family val="2"/>
      </rPr>
      <t xml:space="preserve">2   </t>
    </r>
  </si>
  <si>
    <t>Per Share</t>
  </si>
  <si>
    <t>ROE</t>
  </si>
  <si>
    <t>Factor</t>
  </si>
  <si>
    <t>Ratio</t>
  </si>
  <si>
    <t>Rate</t>
  </si>
  <si>
    <t>Growth Rate</t>
  </si>
  <si>
    <r>
      <t>Stock Price</t>
    </r>
    <r>
      <rPr>
        <b/>
        <u/>
        <vertAlign val="superscript"/>
        <sz val="11"/>
        <color indexed="8"/>
        <rFont val="Arial"/>
        <family val="2"/>
      </rPr>
      <t>1</t>
    </r>
  </si>
  <si>
    <r>
      <t>Per Share</t>
    </r>
    <r>
      <rPr>
        <b/>
        <u/>
        <vertAlign val="superscript"/>
        <sz val="11"/>
        <rFont val="Arial"/>
        <family val="2"/>
      </rPr>
      <t>2</t>
    </r>
  </si>
  <si>
    <t>3-5 Years</t>
  </si>
  <si>
    <r>
      <t>S Factor</t>
    </r>
    <r>
      <rPr>
        <b/>
        <u/>
        <vertAlign val="superscript"/>
        <sz val="11"/>
        <color indexed="8"/>
        <rFont val="Arial"/>
        <family val="2"/>
      </rPr>
      <t>3</t>
    </r>
  </si>
  <si>
    <r>
      <t>V Factor</t>
    </r>
    <r>
      <rPr>
        <b/>
        <u/>
        <vertAlign val="superscript"/>
        <sz val="11"/>
        <color indexed="8"/>
        <rFont val="Arial"/>
        <family val="2"/>
      </rPr>
      <t>4</t>
    </r>
    <r>
      <rPr>
        <sz val="10"/>
        <rFont val="Arial"/>
        <family val="2"/>
      </rPr>
      <t/>
    </r>
  </si>
  <si>
    <r>
      <t>S * V</t>
    </r>
    <r>
      <rPr>
        <b/>
        <u/>
        <vertAlign val="superscript"/>
        <sz val="11"/>
        <color theme="1"/>
        <rFont val="Arial"/>
        <family val="2"/>
      </rPr>
      <t>5</t>
    </r>
  </si>
  <si>
    <t>(8)</t>
  </si>
  <si>
    <t>(9)</t>
  </si>
  <si>
    <t>(10)</t>
  </si>
  <si>
    <t>(11)</t>
  </si>
  <si>
    <r>
      <t xml:space="preserve">Cols. (1), (2) and (3): </t>
    </r>
    <r>
      <rPr>
        <i/>
        <sz val="11"/>
        <color theme="1"/>
        <rFont val="Arial"/>
        <family val="2"/>
      </rPr>
      <t xml:space="preserve">The Value Line Investment Survey, </t>
    </r>
    <r>
      <rPr>
        <sz val="11"/>
        <color theme="1"/>
        <rFont val="Arial"/>
        <family val="2"/>
      </rPr>
      <t>September 23,  November 4 and November 25, 2011.</t>
    </r>
  </si>
  <si>
    <t>Col. (4): [ Col. (3) / Page 2 Col. (2) ] ^ (1/5) - 1.</t>
  </si>
  <si>
    <r>
      <rPr>
        <vertAlign val="superscript"/>
        <sz val="11"/>
        <color theme="1"/>
        <rFont val="Arial"/>
        <family val="2"/>
      </rPr>
      <t xml:space="preserve">2 </t>
    </r>
    <r>
      <rPr>
        <i/>
        <sz val="11"/>
        <color theme="1"/>
        <rFont val="Arial"/>
        <family val="2"/>
      </rPr>
      <t xml:space="preserve">The Value Line Investment Survey, </t>
    </r>
    <r>
      <rPr>
        <sz val="11"/>
        <color theme="1"/>
        <rFont val="Arial"/>
        <family val="2"/>
      </rPr>
      <t>September 23,  November 4 and November 25, 2011.</t>
    </r>
  </si>
  <si>
    <t>Col. (5): Col. (2) / Col. (3).</t>
  </si>
  <si>
    <r>
      <rPr>
        <vertAlign val="superscript"/>
        <sz val="11"/>
        <color indexed="8"/>
        <rFont val="Arial"/>
        <family val="2"/>
      </rPr>
      <t>3</t>
    </r>
    <r>
      <rPr>
        <sz val="11"/>
        <rFont val="Arial"/>
        <family val="2"/>
      </rPr>
      <t xml:space="preserve"> Expected Growth in the Number of Shares, Column (3) * Column (6).</t>
    </r>
  </si>
  <si>
    <t>Col. (6): [ 2 * (1 + Col. (4)) ] / (2 + Col. (4)).</t>
  </si>
  <si>
    <r>
      <rPr>
        <vertAlign val="superscript"/>
        <sz val="11"/>
        <color indexed="8"/>
        <rFont val="Arial"/>
        <family val="2"/>
      </rPr>
      <t>4</t>
    </r>
    <r>
      <rPr>
        <sz val="11"/>
        <rFont val="Arial"/>
        <family val="2"/>
      </rPr>
      <t xml:space="preserve"> Expected Profit of Stock Investment, [ 1 - 1 / Column (3) ].</t>
    </r>
  </si>
  <si>
    <t>Col. (7): Col. (6) * Col. (5).</t>
  </si>
  <si>
    <r>
      <rPr>
        <vertAlign val="superscript"/>
        <sz val="11"/>
        <color indexed="8"/>
        <rFont val="Arial"/>
        <family val="2"/>
      </rPr>
      <t>5</t>
    </r>
    <r>
      <rPr>
        <sz val="11"/>
        <rFont val="Arial"/>
        <family val="2"/>
      </rPr>
      <t xml:space="preserve"> Column (7) * Column (8).</t>
    </r>
  </si>
  <si>
    <t>Col. (8): Col. (1) / Col. (2).</t>
  </si>
  <si>
    <t>Col. (9): 1 - Col. (8).</t>
  </si>
  <si>
    <t>Col. (10): Col. (9) * Col. (7).</t>
  </si>
  <si>
    <t>Col. (11): Col. (10) + Page 2 Col. (9).</t>
  </si>
  <si>
    <t>Multi-Stage Growth DCF Model</t>
  </si>
  <si>
    <t>First Stage</t>
  </si>
  <si>
    <t>Second Stage Growth</t>
  </si>
  <si>
    <t>Third Stage</t>
  </si>
  <si>
    <t>Multi-Stage</t>
  </si>
  <si>
    <t>Second Stage</t>
  </si>
  <si>
    <r>
      <t>Dividend</t>
    </r>
    <r>
      <rPr>
        <b/>
        <u/>
        <vertAlign val="superscript"/>
        <sz val="11"/>
        <rFont val="Arial"/>
        <family val="2"/>
      </rPr>
      <t>2</t>
    </r>
  </si>
  <si>
    <r>
      <t>Growth</t>
    </r>
    <r>
      <rPr>
        <b/>
        <u/>
        <vertAlign val="superscript"/>
        <sz val="11"/>
        <rFont val="Arial"/>
        <family val="2"/>
      </rPr>
      <t>3</t>
    </r>
  </si>
  <si>
    <t>Year 6</t>
  </si>
  <si>
    <t>Year 7</t>
  </si>
  <si>
    <t>Year 8</t>
  </si>
  <si>
    <t>Year 9</t>
  </si>
  <si>
    <t>Year 10</t>
  </si>
  <si>
    <r>
      <t>Growth</t>
    </r>
    <r>
      <rPr>
        <b/>
        <u/>
        <vertAlign val="superscript"/>
        <sz val="11"/>
        <rFont val="Arial"/>
        <family val="2"/>
      </rPr>
      <t>4</t>
    </r>
  </si>
  <si>
    <t>Price</t>
  </si>
  <si>
    <r>
      <t>Year</t>
    </r>
    <r>
      <rPr>
        <b/>
        <vertAlign val="subscript"/>
        <sz val="11"/>
        <rFont val="Arial"/>
        <family val="2"/>
      </rPr>
      <t>1</t>
    </r>
  </si>
  <si>
    <r>
      <t>Year</t>
    </r>
    <r>
      <rPr>
        <b/>
        <vertAlign val="subscript"/>
        <sz val="11"/>
        <rFont val="Arial"/>
        <family val="2"/>
      </rPr>
      <t>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</si>
  <si>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</si>
  <si>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</si>
  <si>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</si>
  <si>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</si>
  <si>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</si>
  <si>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</si>
  <si>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</si>
  <si>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</si>
  <si>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</si>
  <si>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</si>
  <si>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</si>
  <si>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</si>
  <si>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</si>
  <si>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</si>
  <si>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</si>
  <si>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</si>
  <si>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</si>
  <si>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</si>
  <si>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</si>
  <si>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</si>
  <si>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</si>
  <si>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</si>
  <si>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</si>
  <si>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</si>
  <si>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</si>
  <si>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</si>
  <si>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</si>
  <si>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</si>
  <si>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</si>
  <si>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</si>
  <si>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</si>
  <si>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</si>
  <si>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</si>
  <si>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</si>
  <si>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</si>
  <si>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</si>
  <si>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</si>
  <si>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</si>
  <si>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</si>
  <si>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</si>
  <si>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</si>
  <si>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</si>
  <si>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</si>
  <si>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</si>
  <si>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</si>
  <si>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</si>
  <si>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</si>
  <si>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</si>
  <si>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</si>
  <si>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</si>
  <si>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</si>
  <si>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</si>
  <si>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</si>
  <si>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</si>
  <si>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</si>
  <si>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</si>
  <si>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</si>
  <si>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</si>
  <si>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</si>
  <si>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</si>
  <si>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</si>
  <si>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</si>
  <si>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</si>
  <si>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</si>
  <si>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</si>
  <si>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</si>
  <si>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</si>
  <si>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</si>
  <si>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</si>
  <si>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</si>
  <si>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</si>
  <si>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</si>
  <si>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</si>
  <si>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</si>
  <si>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</si>
  <si>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</si>
  <si>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</si>
  <si>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</si>
  <si>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</si>
  <si>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</si>
  <si>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</si>
  <si>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</si>
  <si>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</si>
  <si>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</si>
  <si>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</si>
  <si>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</si>
  <si>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</si>
  <si>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</si>
  <si>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</si>
  <si>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</si>
  <si>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</si>
  <si>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</si>
  <si>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</si>
  <si>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</si>
  <si>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</si>
  <si>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</si>
  <si>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</si>
  <si>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</si>
  <si>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</si>
  <si>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</si>
  <si>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</si>
  <si>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</si>
  <si>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</si>
  <si>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</si>
  <si>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</si>
  <si>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</si>
  <si>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109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</si>
  <si>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</si>
  <si>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</si>
  <si>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</si>
  <si>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</si>
  <si>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</si>
  <si>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</si>
  <si>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</si>
  <si>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</si>
  <si>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</si>
  <si>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119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</si>
  <si>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</si>
  <si>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</si>
  <si>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</si>
  <si>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</si>
  <si>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</si>
  <si>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</si>
  <si>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</si>
  <si>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</si>
  <si>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</si>
  <si>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129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</si>
  <si>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</si>
  <si>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</si>
  <si>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</si>
  <si>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</si>
  <si>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</si>
  <si>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</si>
  <si>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</si>
  <si>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</si>
  <si>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</si>
  <si>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139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</si>
  <si>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</si>
  <si>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</si>
  <si>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</si>
  <si>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</si>
  <si>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</si>
  <si>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</si>
  <si>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</si>
  <si>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</si>
  <si>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</si>
  <si>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149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</si>
  <si>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</si>
  <si>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</si>
  <si>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</si>
  <si>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</si>
  <si>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</si>
  <si>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</si>
  <si>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</si>
  <si>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</si>
  <si>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</si>
  <si>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159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</si>
  <si>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</si>
  <si>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</si>
  <si>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</si>
  <si>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</si>
  <si>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</si>
  <si>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</si>
  <si>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</si>
  <si>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</si>
  <si>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</si>
  <si>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169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</si>
  <si>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</si>
  <si>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</si>
  <si>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</si>
  <si>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</si>
  <si>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</si>
  <si>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</si>
  <si>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</si>
  <si>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</si>
  <si>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</si>
  <si>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179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</si>
  <si>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</si>
  <si>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</si>
  <si>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</si>
  <si>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</si>
  <si>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</si>
  <si>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</si>
  <si>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</si>
  <si>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</si>
  <si>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</si>
  <si>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189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</si>
  <si>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190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</si>
  <si>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191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</si>
  <si>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192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</si>
  <si>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193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</si>
  <si>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194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</si>
  <si>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195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</si>
  <si>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196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</si>
  <si>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197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</si>
  <si>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198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</si>
  <si>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199</t>
    </r>
    <r>
      <rPr>
        <sz val="10"/>
        <rFont val="Arial"/>
        <family val="2"/>
      </rPr>
      <t/>
    </r>
  </si>
  <si>
    <r>
      <t>Year</t>
    </r>
    <r>
      <rPr>
        <b/>
        <vertAlign val="subscript"/>
        <sz val="11"/>
        <rFont val="Arial"/>
        <family val="2"/>
      </rPr>
      <t>200</t>
    </r>
    <r>
      <rPr>
        <sz val="10"/>
        <rFont val="Arial"/>
        <family val="2"/>
      </rPr>
      <t/>
    </r>
  </si>
  <si>
    <r>
      <t>4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Blue Chip Economic Indicators,</t>
    </r>
    <r>
      <rPr>
        <sz val="11"/>
        <rFont val="Arial"/>
        <family val="2"/>
      </rPr>
      <t xml:space="preserve"> October 10, 2011 at 15.</t>
    </r>
  </si>
  <si>
    <t>Market/Book Ratio</t>
  </si>
  <si>
    <t>Book</t>
  </si>
  <si>
    <t>Electric Utilities</t>
  </si>
  <si>
    <t>Year</t>
  </si>
  <si>
    <t>Value</t>
  </si>
  <si>
    <t>Market/Book</t>
  </si>
  <si>
    <t>Equity Risk Premium - Treasury Bond</t>
  </si>
  <si>
    <t>Authorized</t>
  </si>
  <si>
    <t xml:space="preserve">Indicated </t>
  </si>
  <si>
    <t>Electric</t>
  </si>
  <si>
    <t xml:space="preserve">Treasury </t>
  </si>
  <si>
    <t xml:space="preserve">Risk </t>
  </si>
  <si>
    <r>
      <t>Returns</t>
    </r>
    <r>
      <rPr>
        <b/>
        <u/>
        <vertAlign val="superscript"/>
        <sz val="10"/>
        <rFont val="Arial"/>
        <family val="2"/>
      </rPr>
      <t>1</t>
    </r>
  </si>
  <si>
    <r>
      <t>Bond Yield</t>
    </r>
    <r>
      <rPr>
        <b/>
        <u/>
        <vertAlign val="superscript"/>
        <sz val="10"/>
        <rFont val="Arial"/>
        <family val="2"/>
      </rPr>
      <t>2</t>
    </r>
  </si>
  <si>
    <t>Premium</t>
  </si>
  <si>
    <r>
      <t>2010</t>
    </r>
    <r>
      <rPr>
        <vertAlign val="superscript"/>
        <sz val="10"/>
        <rFont val="Arial"/>
        <family val="2"/>
      </rPr>
      <t>3</t>
    </r>
  </si>
  <si>
    <r>
      <t>Q3 2011</t>
    </r>
    <r>
      <rPr>
        <vertAlign val="superscript"/>
        <sz val="10"/>
        <rFont val="Arial"/>
        <family val="2"/>
      </rPr>
      <t>3</t>
    </r>
  </si>
  <si>
    <t xml:space="preserve">Sources: </t>
  </si>
  <si>
    <r>
      <t>1</t>
    </r>
    <r>
      <rPr>
        <sz val="10"/>
        <rFont val="Arial"/>
        <family val="2"/>
      </rPr>
      <t xml:space="preserve"> Regulatory Research Associates, Inc., </t>
    </r>
    <r>
      <rPr>
        <i/>
        <sz val="10"/>
        <rFont val="Arial"/>
        <family val="2"/>
      </rPr>
      <t>Regulatory Focus,</t>
    </r>
    <r>
      <rPr>
        <sz val="10"/>
        <rFont val="Arial"/>
        <family val="2"/>
      </rPr>
      <t xml:space="preserve"> Jan. 85 - Dec. 06, </t>
    </r>
  </si>
  <si>
    <t xml:space="preserve">  and October 6, 2011.</t>
  </si>
  <si>
    <r>
      <t>2</t>
    </r>
    <r>
      <rPr>
        <sz val="10"/>
        <rFont val="Arial"/>
        <family val="2"/>
      </rPr>
      <t xml:space="preserve"> Economic Report of the President 2010: Table 73. The yields from 2002 to 2005</t>
    </r>
  </si>
  <si>
    <t xml:space="preserve">  represent the 20-Year Treasury yields obtained from the Federal Reserve Bank. </t>
  </si>
  <si>
    <r>
      <t>3</t>
    </r>
    <r>
      <rPr>
        <sz val="10"/>
        <rFont val="Arial"/>
        <family val="2"/>
      </rPr>
      <t xml:space="preserve"> St. Louis Federal Reserve: Economic Research, http://research.stlouisfed.org/.</t>
    </r>
  </si>
  <si>
    <t>Equity Risk Premium - Utility Bond</t>
  </si>
  <si>
    <t>"A" Rated Utility</t>
  </si>
  <si>
    <r>
      <t>2</t>
    </r>
    <r>
      <rPr>
        <sz val="10"/>
        <rFont val="Arial"/>
        <family val="2"/>
      </rPr>
      <t xml:space="preserve"> Mergent Public Utility Manual, Mergent Weekly News Reports, 2003. The utility yields</t>
    </r>
  </si>
  <si>
    <t xml:space="preserve">  for the period 2001-2009 were obtained from the Mergent Bond Record.  The utility</t>
  </si>
  <si>
    <t xml:space="preserve">  yields were obtained from http://credittrends.moodys.com/.</t>
  </si>
  <si>
    <r>
      <t>3</t>
    </r>
    <r>
      <rPr>
        <sz val="10"/>
        <rFont val="Arial"/>
        <family val="2"/>
      </rPr>
      <t xml:space="preserve"> www.moodys.com, Bond Yields and Key Indicators.</t>
    </r>
  </si>
  <si>
    <t xml:space="preserve"> </t>
  </si>
  <si>
    <t>Bond Yield Spreads</t>
  </si>
  <si>
    <t>Public Utility Bond Yields</t>
  </si>
  <si>
    <t>Corporate Bond Yields</t>
  </si>
  <si>
    <r>
      <t xml:space="preserve">T-Bond </t>
    </r>
    <r>
      <rPr>
        <b/>
        <u/>
        <sz val="10"/>
        <rFont val="Arial"/>
        <family val="2"/>
      </rPr>
      <t>Yield</t>
    </r>
    <r>
      <rPr>
        <b/>
        <u/>
        <vertAlign val="superscript"/>
        <sz val="10"/>
        <rFont val="Arial"/>
        <family val="2"/>
      </rPr>
      <t>1</t>
    </r>
  </si>
  <si>
    <r>
      <t>A</t>
    </r>
    <r>
      <rPr>
        <b/>
        <u/>
        <vertAlign val="superscript"/>
        <sz val="10"/>
        <rFont val="Arial"/>
        <family val="2"/>
      </rPr>
      <t>2</t>
    </r>
  </si>
  <si>
    <r>
      <t>Baa</t>
    </r>
    <r>
      <rPr>
        <b/>
        <u/>
        <vertAlign val="superscript"/>
        <sz val="10"/>
        <rFont val="Arial"/>
        <family val="2"/>
      </rPr>
      <t>2</t>
    </r>
  </si>
  <si>
    <r>
      <t xml:space="preserve">A-T-Bond </t>
    </r>
    <r>
      <rPr>
        <b/>
        <u/>
        <sz val="10"/>
        <rFont val="Arial"/>
        <family val="2"/>
      </rPr>
      <t>Spread</t>
    </r>
  </si>
  <si>
    <r>
      <t>Baa-T-Bond</t>
    </r>
    <r>
      <rPr>
        <b/>
        <u/>
        <sz val="10"/>
        <rFont val="Arial"/>
        <family val="2"/>
      </rPr>
      <t xml:space="preserve"> Spread</t>
    </r>
  </si>
  <si>
    <r>
      <t>Aaa</t>
    </r>
    <r>
      <rPr>
        <b/>
        <u/>
        <vertAlign val="superscript"/>
        <sz val="10"/>
        <rFont val="Arial"/>
        <family val="2"/>
      </rPr>
      <t>1</t>
    </r>
  </si>
  <si>
    <r>
      <t>Baa</t>
    </r>
    <r>
      <rPr>
        <b/>
        <u/>
        <vertAlign val="superscript"/>
        <sz val="10"/>
        <rFont val="Arial"/>
        <family val="2"/>
      </rPr>
      <t>1</t>
    </r>
  </si>
  <si>
    <r>
      <t xml:space="preserve">Aaa-T-Bond </t>
    </r>
    <r>
      <rPr>
        <b/>
        <u/>
        <sz val="10"/>
        <rFont val="Arial"/>
        <family val="2"/>
      </rPr>
      <t>Spread</t>
    </r>
  </si>
  <si>
    <r>
      <rPr>
        <b/>
        <sz val="10"/>
        <rFont val="Arial"/>
        <family val="2"/>
      </rPr>
      <t xml:space="preserve">Baa Utility - </t>
    </r>
    <r>
      <rPr>
        <b/>
        <u/>
        <sz val="10"/>
        <rFont val="Arial"/>
        <family val="2"/>
      </rPr>
      <t>Corporate</t>
    </r>
  </si>
  <si>
    <t>Utility A - T-Bond Spread</t>
  </si>
  <si>
    <t>Utility Baa - T-Bond Spread</t>
  </si>
  <si>
    <t>Corporate Aaa - T-Bond Spread</t>
  </si>
  <si>
    <t>Corporate Baa - T-Bond Spread</t>
  </si>
  <si>
    <r>
      <t>1</t>
    </r>
    <r>
      <rPr>
        <sz val="10"/>
        <rFont val="Arial"/>
        <family val="2"/>
      </rPr>
      <t xml:space="preserve"> Economic Report of the President 2008: Table 73 at 316. The yields from 2002 to 2005 </t>
    </r>
  </si>
  <si>
    <t xml:space="preserve">  represent the 20-Year Treasury yields obtained from the Federal Reserve Bank.</t>
  </si>
  <si>
    <r>
      <t xml:space="preserve">2 </t>
    </r>
    <r>
      <rPr>
        <i/>
        <sz val="10"/>
        <rFont val="Arial"/>
        <family val="2"/>
      </rPr>
      <t>Mergent Public Utility Manual</t>
    </r>
    <r>
      <rPr>
        <sz val="10"/>
        <rFont val="Arial"/>
        <family val="2"/>
      </rPr>
      <t xml:space="preserve"> 2003. Moody's Daily News Reports.</t>
    </r>
  </si>
  <si>
    <t>Utility and Treasury Bond Yields</t>
  </si>
  <si>
    <t>Treasury</t>
  </si>
  <si>
    <t>"Baa" Rated Utility</t>
  </si>
  <si>
    <t>Date</t>
  </si>
  <si>
    <r>
      <t>Bond Yield</t>
    </r>
    <r>
      <rPr>
        <b/>
        <u/>
        <vertAlign val="superscript"/>
        <sz val="11"/>
        <rFont val="Arial"/>
        <family val="2"/>
      </rPr>
      <t>1</t>
    </r>
  </si>
  <si>
    <r>
      <t>Bond Yield</t>
    </r>
    <r>
      <rPr>
        <b/>
        <u/>
        <vertAlign val="superscript"/>
        <sz val="11"/>
        <rFont val="Arial"/>
        <family val="2"/>
      </rPr>
      <t>2</t>
    </r>
    <r>
      <rPr>
        <sz val="11"/>
        <color theme="1"/>
        <rFont val="Arial"/>
        <family val="2"/>
      </rPr>
      <t/>
    </r>
  </si>
  <si>
    <r>
      <t>Bond Yield</t>
    </r>
    <r>
      <rPr>
        <b/>
        <u/>
        <vertAlign val="superscript"/>
        <sz val="11"/>
        <rFont val="Arial"/>
        <family val="2"/>
      </rPr>
      <t>2</t>
    </r>
  </si>
  <si>
    <t>Spread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</si>
  <si>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St. Louis Federal Reserve: Economic Research, http://research.stlouisfed.org.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</si>
  <si>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www.moodys.com, Bond Yields and Key Indicators.</t>
    </r>
  </si>
  <si>
    <t>Value Line Beta</t>
  </si>
  <si>
    <t>Beta</t>
  </si>
  <si>
    <t>5-Yr. AVG</t>
  </si>
  <si>
    <t>The Value Line Investment Survey,</t>
  </si>
  <si>
    <t>September 23,  November 4 and November 25, 2011.</t>
  </si>
  <si>
    <t>CAPM Return</t>
  </si>
  <si>
    <t>Market Risk</t>
  </si>
  <si>
    <t>Description</t>
  </si>
  <si>
    <t>Notes:</t>
  </si>
  <si>
    <t>Lg. Co. Stocks Market Return</t>
  </si>
  <si>
    <t>Classic Yearbook 86</t>
  </si>
  <si>
    <r>
      <t>Risk-Free Rate</t>
    </r>
    <r>
      <rPr>
        <vertAlign val="superscript"/>
        <sz val="11"/>
        <rFont val="Arial"/>
        <family val="2"/>
      </rPr>
      <t>1</t>
    </r>
  </si>
  <si>
    <t>Consumer Price Index</t>
  </si>
  <si>
    <r>
      <t>Risk Premium</t>
    </r>
    <r>
      <rPr>
        <vertAlign val="superscript"/>
        <sz val="11"/>
        <rFont val="Arial"/>
        <family val="2"/>
      </rPr>
      <t>2</t>
    </r>
  </si>
  <si>
    <t>Expected Market Return</t>
  </si>
  <si>
    <r>
      <t>Beta</t>
    </r>
    <r>
      <rPr>
        <vertAlign val="superscript"/>
        <sz val="11"/>
        <rFont val="Arial"/>
        <family val="2"/>
      </rPr>
      <t>3</t>
    </r>
  </si>
  <si>
    <t>Risk Free Rate</t>
  </si>
  <si>
    <t>CAPM</t>
  </si>
  <si>
    <t>Risk Premium</t>
  </si>
  <si>
    <t>Morningstar Equity Risk Prem.</t>
  </si>
  <si>
    <t xml:space="preserve">   S&amp;P 500</t>
  </si>
  <si>
    <t>Valuation Yearbook 54 / 66</t>
  </si>
  <si>
    <t xml:space="preserve">   Total Value-Weighted NYSE</t>
  </si>
  <si>
    <t>Valuation Yearbook 54</t>
  </si>
  <si>
    <t xml:space="preserve">   NYSE Deciles 1-2</t>
  </si>
  <si>
    <r>
      <t>2</t>
    </r>
    <r>
      <rPr>
        <sz val="11"/>
        <rFont val="Arial"/>
        <family val="2"/>
      </rPr>
      <t xml:space="preserve">  Morningstar, Inc. </t>
    </r>
    <r>
      <rPr>
        <i/>
        <sz val="11"/>
        <rFont val="Arial"/>
        <family val="2"/>
      </rPr>
      <t>Ibbotson SBBI 2011 Classic Yearbook</t>
    </r>
    <r>
      <rPr>
        <sz val="11"/>
        <rFont val="Arial"/>
        <family val="2"/>
      </rPr>
      <t xml:space="preserve"> at 86, and </t>
    </r>
  </si>
  <si>
    <r>
      <t xml:space="preserve">   Morningstar, Inc. </t>
    </r>
    <r>
      <rPr>
        <i/>
        <sz val="11"/>
        <rFont val="Arial"/>
        <family val="2"/>
      </rPr>
      <t>Ibbotson SBBI 2011 Valuation Yearbook</t>
    </r>
    <r>
      <rPr>
        <sz val="11"/>
        <rFont val="Arial"/>
        <family val="2"/>
      </rPr>
      <t xml:space="preserve"> at 54 and 66.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</si>
  <si>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The Value Line Investment Survey, </t>
    </r>
    <r>
      <rPr>
        <sz val="11"/>
        <color theme="1"/>
        <rFont val="Arial"/>
        <family val="2"/>
      </rPr>
      <t>September 23,  November 4 and</t>
    </r>
  </si>
  <si>
    <t xml:space="preserve">  November 25, 2011.</t>
  </si>
  <si>
    <t>Stock Prices</t>
  </si>
  <si>
    <t>13 Week Average Stock Prices</t>
  </si>
  <si>
    <t>Open</t>
  </si>
  <si>
    <t>High</t>
  </si>
  <si>
    <t>Low</t>
  </si>
  <si>
    <t>AVG</t>
  </si>
  <si>
    <t>13 Week Average</t>
  </si>
  <si>
    <t>Value Line Data Workpaper</t>
  </si>
  <si>
    <t>Common Shares</t>
  </si>
  <si>
    <t>Outstanding (millions)</t>
  </si>
  <si>
    <t>Book Value Per Share</t>
  </si>
  <si>
    <t>Graph Workpaper</t>
  </si>
  <si>
    <t>30-Year Treasury Bond</t>
  </si>
  <si>
    <t>"A" Rated Utility Bond Yield</t>
  </si>
  <si>
    <t>Month</t>
  </si>
  <si>
    <t>"Baa" Rated Utility Bond Yield</t>
  </si>
  <si>
    <t>A Spread</t>
  </si>
  <si>
    <t>Baa Spread</t>
  </si>
  <si>
    <t>Feb 06</t>
  </si>
  <si>
    <t>Mar 06</t>
  </si>
  <si>
    <t>Apr 06</t>
  </si>
  <si>
    <t>May 06</t>
  </si>
  <si>
    <t>Jun 06</t>
  </si>
  <si>
    <t>Jul 06</t>
  </si>
  <si>
    <t>Aug 06</t>
  </si>
  <si>
    <t>Sep 06</t>
  </si>
  <si>
    <t>Oct 06</t>
  </si>
  <si>
    <t>Nov 06</t>
  </si>
  <si>
    <t>Dec 06</t>
  </si>
  <si>
    <t>Jan 07</t>
  </si>
  <si>
    <t>Feb 07</t>
  </si>
  <si>
    <t>Mar 07</t>
  </si>
  <si>
    <t>Apr 07</t>
  </si>
  <si>
    <t>May 07</t>
  </si>
  <si>
    <t>Jun 07</t>
  </si>
  <si>
    <t>Jul 07</t>
  </si>
  <si>
    <t>Aug 07</t>
  </si>
  <si>
    <t>Sep 07</t>
  </si>
  <si>
    <t>Oct 07</t>
  </si>
  <si>
    <t>Nov 07</t>
  </si>
  <si>
    <t>Dec 07</t>
  </si>
  <si>
    <t>Jan 08</t>
  </si>
  <si>
    <t>Feb 08</t>
  </si>
  <si>
    <t>Mar 08</t>
  </si>
  <si>
    <t>Apr 08</t>
  </si>
  <si>
    <t>May 08</t>
  </si>
  <si>
    <t>Jun 08</t>
  </si>
  <si>
    <t>Jul 08</t>
  </si>
  <si>
    <t>Aug 08</t>
  </si>
  <si>
    <t>Sep 08</t>
  </si>
  <si>
    <t>Oct 08</t>
  </si>
  <si>
    <t>Nov 08</t>
  </si>
  <si>
    <t>Dec 08</t>
  </si>
  <si>
    <t>Jan 09</t>
  </si>
  <si>
    <t>Feb 09</t>
  </si>
  <si>
    <t>Mar 09</t>
  </si>
  <si>
    <t>Apr 09</t>
  </si>
  <si>
    <t>May 09</t>
  </si>
  <si>
    <t>Jun 09</t>
  </si>
  <si>
    <t>Jul 09</t>
  </si>
  <si>
    <t>Aug 09</t>
  </si>
  <si>
    <t>Sep 09</t>
  </si>
  <si>
    <t>Oct 09</t>
  </si>
  <si>
    <t>Nov 09</t>
  </si>
  <si>
    <t>Dec 09</t>
  </si>
  <si>
    <t>Jan 10</t>
  </si>
  <si>
    <t>Feb 10</t>
  </si>
  <si>
    <t>Mar 10</t>
  </si>
  <si>
    <t>Apr 10</t>
  </si>
  <si>
    <t>May 10</t>
  </si>
  <si>
    <t>Jun 10</t>
  </si>
  <si>
    <t>Jul 10</t>
  </si>
  <si>
    <t>Aug 10</t>
  </si>
  <si>
    <t>Sep 10</t>
  </si>
  <si>
    <t>Oct 10</t>
  </si>
  <si>
    <t>Nov 10</t>
  </si>
  <si>
    <t>Dec 10</t>
  </si>
  <si>
    <t>Jan 11</t>
  </si>
  <si>
    <t>Feb 11</t>
  </si>
  <si>
    <t>Mar 11</t>
  </si>
  <si>
    <t>Apr 11</t>
  </si>
  <si>
    <t>May 11</t>
  </si>
  <si>
    <t>Jun 11</t>
  </si>
  <si>
    <t>Jul 11</t>
  </si>
  <si>
    <t>Aug 11</t>
  </si>
  <si>
    <t>Sep 11</t>
  </si>
  <si>
    <t>30-Year Treasury Constant Maturity Rate</t>
  </si>
  <si>
    <t>GS30</t>
  </si>
  <si>
    <t>20-Year Treasury Constant Maturity Rate</t>
  </si>
  <si>
    <t>GS20</t>
  </si>
  <si>
    <t>Dowloaded from the St. Louis Fed</t>
  </si>
  <si>
    <t>http://research.stlouisfed.org/fred2/</t>
  </si>
  <si>
    <t>Q3 2011</t>
  </si>
  <si>
    <r>
      <t>TABLE B–73.</t>
    </r>
    <r>
      <rPr>
        <b/>
        <i/>
        <sz val="11"/>
        <rFont val="Arial"/>
        <family val="2"/>
      </rPr>
      <t>—Bond yields and interest rates</t>
    </r>
  </si>
  <si>
    <t>[Percent per annum]</t>
  </si>
  <si>
    <t>Year and month</t>
  </si>
  <si>
    <t>U.S. Treasury securities</t>
  </si>
  <si>
    <t>Corporate  bonds  (Moody's)</t>
  </si>
  <si>
    <t>High-grade municipal  bonds  (Standard &amp;  Poor's)</t>
  </si>
  <si>
    <r>
      <t xml:space="preserve">New- home  mortgage  yields </t>
    </r>
    <r>
      <rPr>
        <vertAlign val="superscript"/>
        <sz val="8"/>
        <rFont val="News Gothic Condensed"/>
        <family val="2"/>
      </rPr>
      <t>4</t>
    </r>
  </si>
  <si>
    <r>
      <t xml:space="preserve">Prime  rate  charged  by  banks </t>
    </r>
    <r>
      <rPr>
        <vertAlign val="superscript"/>
        <sz val="8"/>
        <rFont val="News Gothic Condensed"/>
        <family val="2"/>
      </rPr>
      <t>5</t>
    </r>
  </si>
  <si>
    <r>
      <t xml:space="preserve">Discount window  (Federal Reserve Bank  of New York) </t>
    </r>
    <r>
      <rPr>
        <vertAlign val="superscript"/>
        <sz val="8"/>
        <rFont val="News Gothic Condensed"/>
        <family val="2"/>
      </rPr>
      <t>5,</t>
    </r>
    <r>
      <rPr>
        <sz val="8"/>
        <rFont val="News Gothic Condensed"/>
        <family val="2"/>
      </rPr>
      <t xml:space="preserve"> </t>
    </r>
    <r>
      <rPr>
        <vertAlign val="superscript"/>
        <sz val="8"/>
        <rFont val="News Gothic Condensed"/>
        <family val="2"/>
      </rPr>
      <t>6</t>
    </r>
  </si>
  <si>
    <r>
      <t xml:space="preserve">Federal  funds  rate </t>
    </r>
    <r>
      <rPr>
        <vertAlign val="superscript"/>
        <sz val="8"/>
        <rFont val="News Gothic Condensed"/>
        <family val="2"/>
      </rPr>
      <t>7</t>
    </r>
  </si>
  <si>
    <r>
      <t xml:space="preserve">Bills  (at auction) </t>
    </r>
    <r>
      <rPr>
        <vertAlign val="superscript"/>
        <sz val="8"/>
        <rFont val="News Gothic Condensed"/>
        <family val="2"/>
      </rPr>
      <t>1</t>
    </r>
  </si>
  <si>
    <r>
      <t xml:space="preserve">Constant  maturities </t>
    </r>
    <r>
      <rPr>
        <vertAlign val="superscript"/>
        <sz val="8"/>
        <rFont val="News Gothic Condensed"/>
        <family val="2"/>
      </rPr>
      <t>2</t>
    </r>
  </si>
  <si>
    <t>30 Year</t>
  </si>
  <si>
    <t>Baa</t>
  </si>
  <si>
    <t>3-month</t>
  </si>
  <si>
    <t>6-month</t>
  </si>
  <si>
    <t>3-year</t>
  </si>
  <si>
    <t>10-year</t>
  </si>
  <si>
    <t>30-year</t>
  </si>
  <si>
    <r>
      <t xml:space="preserve">Aaa </t>
    </r>
    <r>
      <rPr>
        <vertAlign val="superscript"/>
        <sz val="8"/>
        <rFont val="News Gothic Condensed"/>
        <family val="2"/>
      </rPr>
      <t>3</t>
    </r>
  </si>
  <si>
    <t>Primary        credit</t>
  </si>
  <si>
    <t>Adjustment       credit</t>
  </si>
  <si>
    <t>1929.</t>
  </si>
  <si>
    <t>......</t>
  </si>
  <si>
    <t>5.50-6.00</t>
  </si>
  <si>
    <t>1933.</t>
  </si>
  <si>
    <t>1.50-4.00</t>
  </si>
  <si>
    <t>1939.</t>
  </si>
  <si>
    <t>1940.</t>
  </si>
  <si>
    <t>1941.</t>
  </si>
  <si>
    <t>1942.</t>
  </si>
  <si>
    <r>
      <t xml:space="preserve">8 </t>
    </r>
    <r>
      <rPr>
        <sz val="8"/>
        <rFont val="News Gothic Condensed"/>
        <family val="2"/>
      </rPr>
      <t>1.00</t>
    </r>
  </si>
  <si>
    <t>1943.</t>
  </si>
  <si>
    <t>1944.</t>
  </si>
  <si>
    <t>1945.</t>
  </si>
  <si>
    <t>1946.</t>
  </si>
  <si>
    <t>1947.</t>
  </si>
  <si>
    <t>1.50-1.75</t>
  </si>
  <si>
    <t>1948.</t>
  </si>
  <si>
    <t>1.75-2.00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</si>
  <si>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</si>
  <si>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</si>
  <si>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</si>
  <si>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</si>
  <si>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</si>
  <si>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</si>
  <si>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</si>
  <si>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</si>
  <si>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</si>
  <si>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</si>
  <si>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</si>
  <si>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</si>
  <si>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</si>
  <si>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</si>
  <si>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</si>
  <si>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</si>
  <si>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</si>
  <si>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</si>
  <si>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</si>
  <si>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</si>
  <si>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</si>
  <si>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</si>
  <si>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</si>
  <si>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</si>
  <si>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</si>
  <si>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</si>
  <si>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</si>
  <si>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</si>
  <si>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</si>
  <si>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</si>
  <si>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</si>
  <si>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</si>
  <si>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</si>
  <si>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</si>
  <si>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</si>
  <si>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</si>
  <si>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</si>
  <si>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</si>
  <si>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</si>
  <si>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</si>
  <si>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</si>
  <si>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</si>
  <si>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</si>
  <si>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 xml:space="preserve">1992. 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</si>
  <si>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</si>
  <si>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</si>
  <si>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</si>
  <si>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</si>
  <si>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</si>
  <si>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</si>
  <si>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</si>
  <si>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</si>
  <si>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</si>
  <si>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</si>
  <si>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</si>
  <si>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</si>
  <si>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</si>
  <si>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</si>
  <si>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</si>
  <si>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</si>
  <si>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</si>
  <si>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r>
      <t>1</t>
    </r>
    <r>
      <rPr>
        <sz val="8"/>
        <rFont val="News Gothic Condensed"/>
        <family val="2"/>
      </rPr>
      <t xml:space="preserve"> High bill rate at auction, issue date within period, bank-discount basis.  On or after October 28, 1998, data are stop yields from uniform-price auctions.  Before that date, they are weighted average yields from multiple-price auctions.</t>
    </r>
  </si>
  <si>
    <t>See next page for continuation of table.</t>
  </si>
  <si>
    <t>Public Utility Bond Averages</t>
  </si>
  <si>
    <t>Note:</t>
  </si>
  <si>
    <t>Blue pulled from the Monthy Mergent Bond Record</t>
  </si>
  <si>
    <t>Utility Bond Average Table</t>
  </si>
  <si>
    <t>Red pulled from the Moodys.com daily publication</t>
  </si>
  <si>
    <t>Source</t>
  </si>
  <si>
    <t>Aa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</si>
  <si>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</si>
  <si>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</si>
  <si>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</si>
  <si>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</si>
  <si>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</si>
  <si>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</si>
  <si>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</si>
  <si>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</si>
  <si>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</si>
  <si>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</si>
  <si>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</si>
  <si>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</si>
  <si>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(4) / (5)</t>
  </si>
  <si>
    <t>Moody's Seasoned Aaa Corporate Bond Yield</t>
  </si>
  <si>
    <t>Moody's Seasoned Baa Corporate Bond Yield</t>
  </si>
  <si>
    <t>BAA</t>
  </si>
  <si>
    <t>Avg.</t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</si>
  <si>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AUS Utility Reports,</t>
    </r>
    <r>
      <rPr>
        <sz val="11"/>
        <color theme="1"/>
        <rFont val="Arial"/>
        <family val="2"/>
      </rPr>
      <t xml:space="preserve"> November 2011.</t>
    </r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</si>
  <si>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S&amp;P RatingsDirect: </t>
    </r>
    <r>
      <rPr>
        <sz val="11"/>
        <color theme="1"/>
        <rFont val="Arial"/>
        <family val="2"/>
      </rPr>
      <t>"U.S. Investor-Owned Electric Utilities, Strongest To Weakest," October 4, 2011.</t>
    </r>
  </si>
  <si>
    <r>
      <t>1</t>
    </r>
    <r>
      <rPr>
        <sz val="11"/>
        <rFont val="Arial"/>
        <family val="2"/>
      </rPr>
      <t xml:space="preserve">  </t>
    </r>
    <r>
      <rPr>
        <i/>
        <sz val="11"/>
        <rFont val="Arial"/>
        <family val="2"/>
      </rPr>
      <t xml:space="preserve">Blue Chip Financial Forecasts; </t>
    </r>
    <r>
      <rPr>
        <sz val="11"/>
        <rFont val="Arial"/>
        <family val="2"/>
      </rPr>
      <t>November 1, 2011, at 2.</t>
    </r>
  </si>
  <si>
    <t>Blue Chips November</t>
  </si>
  <si>
    <t>CMS</t>
  </si>
  <si>
    <t>PNW</t>
  </si>
  <si>
    <t>EXcellent</t>
  </si>
  <si>
    <t>Strong</t>
  </si>
  <si>
    <r>
      <t>46.0%</t>
    </r>
    <r>
      <rPr>
        <vertAlign val="superscript"/>
        <sz val="11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</si>
  <si>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Exhibit No.___(MPG-3).</t>
    </r>
  </si>
  <si>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Exhibit No.___(MPG-6).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</si>
  <si>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Exhibit No.___(MPG-10), page 1 of 2.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</si>
  <si>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Exhibit No.___(MPG-6).</t>
    </r>
  </si>
</sst>
</file>

<file path=xl/styles.xml><?xml version="1.0" encoding="utf-8"?>
<styleSheet xmlns="http://schemas.openxmlformats.org/spreadsheetml/2006/main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"/>
    <numFmt numFmtId="167" formatCode="0.0"/>
    <numFmt numFmtId="168" formatCode="&quot;$&quot;#,##0.00"/>
    <numFmt numFmtId="169" formatCode="0.000"/>
    <numFmt numFmtId="170" formatCode="mm/dd/yy"/>
    <numFmt numFmtId="171" formatCode="0.000%"/>
    <numFmt numFmtId="172" formatCode="mm/dd/yy;@"/>
    <numFmt numFmtId="173" formatCode="yyyy\-mm\-dd"/>
    <numFmt numFmtId="174" formatCode="#,##0.000"/>
    <numFmt numFmtId="175" formatCode=".000"/>
    <numFmt numFmtId="176" formatCode=".00"/>
    <numFmt numFmtId="177" formatCode="_(* #,##0.0_);_(* \(#,##0.0\);_(* &quot;-&quot;??_);_(@_)"/>
  </numFmts>
  <fonts count="87">
    <font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u/>
      <vertAlign val="superscript"/>
      <sz val="11"/>
      <name val="Arial"/>
      <family val="2"/>
    </font>
    <font>
      <b/>
      <i/>
      <u/>
      <sz val="11"/>
      <name val="Arial"/>
      <family val="2"/>
    </font>
    <font>
      <b/>
      <vertAlign val="superscript"/>
      <sz val="11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rgb="FFFF0000"/>
      <name val="Arial"/>
      <family val="2"/>
    </font>
    <font>
      <b/>
      <sz val="2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24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u/>
      <vertAlign val="superscript"/>
      <sz val="11"/>
      <color indexed="8"/>
      <name val="Arial"/>
      <family val="2"/>
    </font>
    <font>
      <b/>
      <u/>
      <vertAlign val="superscript"/>
      <sz val="11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theme="1"/>
      <name val="Calibri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vertAlign val="subscript"/>
      <sz val="11"/>
      <name val="Arial"/>
      <family val="2"/>
    </font>
    <font>
      <i/>
      <sz val="1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b/>
      <u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9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sz val="11"/>
      <color rgb="FF0000FF"/>
      <name val="Arial"/>
      <family val="2"/>
    </font>
    <font>
      <b/>
      <i/>
      <sz val="11"/>
      <name val="Arial"/>
      <family val="2"/>
    </font>
    <font>
      <sz val="8"/>
      <name val="News Gothic Condensed"/>
      <family val="2"/>
    </font>
    <font>
      <sz val="10"/>
      <name val="News Gothic Condensed"/>
      <family val="2"/>
    </font>
    <font>
      <vertAlign val="superscript"/>
      <sz val="8"/>
      <name val="News Gothic Condensed"/>
      <family val="2"/>
    </font>
    <font>
      <u/>
      <sz val="11"/>
      <color theme="1"/>
      <name val="Arial"/>
      <family val="2"/>
    </font>
    <font>
      <sz val="6"/>
      <name val="News Gothic Condensed"/>
      <family val="2"/>
    </font>
    <font>
      <i/>
      <sz val="8"/>
      <name val="News Gothic Condensed"/>
      <family val="2"/>
    </font>
    <font>
      <sz val="11"/>
      <color indexed="12"/>
      <name val="Arial"/>
      <family val="2"/>
    </font>
    <font>
      <u val="singleAccounting"/>
      <sz val="11"/>
      <color indexed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0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 applyNumberFormat="0" applyFill="0" applyBorder="0" applyProtection="0">
      <alignment wrapText="1"/>
    </xf>
    <xf numFmtId="0" fontId="18" fillId="0" borderId="0" applyNumberFormat="0" applyFill="0" applyBorder="0" applyProtection="0">
      <alignment horizontal="justify" vertical="top" wrapText="1"/>
    </xf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19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3" fillId="0" borderId="0"/>
    <xf numFmtId="0" fontId="18" fillId="0" borderId="0"/>
    <xf numFmtId="40" fontId="21" fillId="2" borderId="0">
      <alignment horizontal="right"/>
    </xf>
    <xf numFmtId="0" fontId="22" fillId="2" borderId="0">
      <alignment horizontal="right"/>
    </xf>
    <xf numFmtId="0" fontId="23" fillId="2" borderId="2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Protection="0">
      <alignment horizontal="center"/>
    </xf>
    <xf numFmtId="0" fontId="31" fillId="4" borderId="0" applyNumberFormat="0" applyBorder="0" applyAlignment="0" applyProtection="0"/>
    <xf numFmtId="0" fontId="18" fillId="0" borderId="0" applyNumberFormat="0" applyFont="0" applyFill="0" applyBorder="0" applyProtection="0">
      <alignment horizontal="right"/>
    </xf>
    <xf numFmtId="0" fontId="18" fillId="0" borderId="0" applyNumberFormat="0" applyFont="0" applyFill="0" applyBorder="0" applyProtection="0">
      <alignment horizontal="left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5" borderId="0" applyNumberFormat="0" applyFont="0" applyBorder="0" applyAlignment="0" applyProtection="0"/>
    <xf numFmtId="166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3" applyNumberFormat="0" applyFont="0" applyFill="0" applyAlignment="0" applyProtection="0"/>
    <xf numFmtId="44" fontId="3" fillId="0" borderId="0" applyFont="0" applyFill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2" fillId="26" borderId="17" applyNumberFormat="0" applyAlignment="0" applyProtection="0"/>
    <xf numFmtId="0" fontId="72" fillId="26" borderId="17" applyNumberFormat="0" applyAlignment="0" applyProtection="0"/>
    <xf numFmtId="0" fontId="72" fillId="26" borderId="17" applyNumberFormat="0" applyAlignment="0" applyProtection="0"/>
    <xf numFmtId="0" fontId="72" fillId="26" borderId="17" applyNumberFormat="0" applyAlignment="0" applyProtection="0"/>
    <xf numFmtId="0" fontId="72" fillId="26" borderId="17" applyNumberFormat="0" applyAlignment="0" applyProtection="0"/>
    <xf numFmtId="0" fontId="30" fillId="27" borderId="18" applyNumberFormat="0" applyAlignment="0" applyProtection="0"/>
    <xf numFmtId="0" fontId="30" fillId="27" borderId="18" applyNumberFormat="0" applyAlignment="0" applyProtection="0"/>
    <xf numFmtId="0" fontId="30" fillId="27" borderId="18" applyNumberFormat="0" applyAlignment="0" applyProtection="0"/>
    <xf numFmtId="0" fontId="30" fillId="27" borderId="18" applyNumberFormat="0" applyAlignment="0" applyProtection="0"/>
    <xf numFmtId="0" fontId="30" fillId="27" borderId="18" applyNumberFormat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3" borderId="17" applyNumberFormat="0" applyAlignment="0" applyProtection="0"/>
    <xf numFmtId="0" fontId="78" fillId="13" borderId="17" applyNumberFormat="0" applyAlignment="0" applyProtection="0"/>
    <xf numFmtId="0" fontId="78" fillId="13" borderId="17" applyNumberFormat="0" applyAlignment="0" applyProtection="0"/>
    <xf numFmtId="0" fontId="78" fillId="13" borderId="17" applyNumberFormat="0" applyAlignment="0" applyProtection="0"/>
    <xf numFmtId="0" fontId="78" fillId="13" borderId="17" applyNumberFormat="0" applyAlignment="0" applyProtection="0"/>
    <xf numFmtId="0" fontId="32" fillId="28" borderId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79" fillId="0" borderId="22" applyNumberFormat="0" applyFill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18" fillId="30" borderId="23" applyNumberFormat="0" applyFont="0" applyAlignment="0" applyProtection="0"/>
    <xf numFmtId="0" fontId="18" fillId="30" borderId="23" applyNumberFormat="0" applyFont="0" applyAlignment="0" applyProtection="0"/>
    <xf numFmtId="0" fontId="18" fillId="30" borderId="23" applyNumberFormat="0" applyFont="0" applyAlignment="0" applyProtection="0"/>
    <xf numFmtId="0" fontId="18" fillId="30" borderId="23" applyNumberFormat="0" applyFont="0" applyAlignment="0" applyProtection="0"/>
    <xf numFmtId="0" fontId="18" fillId="30" borderId="23" applyNumberFormat="0" applyFont="0" applyAlignment="0" applyProtection="0"/>
    <xf numFmtId="0" fontId="81" fillId="26" borderId="24" applyNumberFormat="0" applyAlignment="0" applyProtection="0"/>
    <xf numFmtId="0" fontId="81" fillId="26" borderId="24" applyNumberFormat="0" applyAlignment="0" applyProtection="0"/>
    <xf numFmtId="0" fontId="81" fillId="26" borderId="24" applyNumberFormat="0" applyAlignment="0" applyProtection="0"/>
    <xf numFmtId="0" fontId="81" fillId="26" borderId="24" applyNumberFormat="0" applyAlignment="0" applyProtection="0"/>
    <xf numFmtId="0" fontId="81" fillId="26" borderId="24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2" fillId="0" borderId="0" applyNumberFormat="0" applyFont="0" applyFill="0" applyBorder="0" applyAlignment="0" applyProtection="0">
      <alignment horizontal="left"/>
    </xf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83" fillId="0" borderId="3">
      <alignment horizontal="center"/>
    </xf>
    <xf numFmtId="3" fontId="82" fillId="0" borderId="0" applyFont="0" applyFill="0" applyBorder="0" applyAlignment="0" applyProtection="0"/>
    <xf numFmtId="0" fontId="82" fillId="31" borderId="0" applyNumberFormat="0" applyFon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5" fillId="0" borderId="25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</cellStyleXfs>
  <cellXfs count="530">
    <xf numFmtId="0" fontId="0" fillId="0" borderId="0" xfId="0"/>
    <xf numFmtId="0" fontId="5" fillId="0" borderId="0" xfId="0" applyFont="1" applyFill="1" applyAlignment="1"/>
    <xf numFmtId="0" fontId="6" fillId="0" borderId="0" xfId="0" applyFont="1" applyAlignment="1">
      <alignment horizontal="center"/>
    </xf>
    <xf numFmtId="0" fontId="6" fillId="0" borderId="0" xfId="0" applyFont="1"/>
    <xf numFmtId="9" fontId="6" fillId="0" borderId="0" xfId="2" applyFont="1" applyAlignment="1">
      <alignment horizontal="center"/>
    </xf>
    <xf numFmtId="49" fontId="6" fillId="0" borderId="0" xfId="0" applyNumberFormat="1" applyFont="1"/>
    <xf numFmtId="0" fontId="6" fillId="0" borderId="0" xfId="0" applyFont="1" applyFill="1" applyAlignment="1">
      <alignment horizontal="center"/>
    </xf>
    <xf numFmtId="9" fontId="8" fillId="0" borderId="0" xfId="2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9" fillId="0" borderId="0" xfId="2" applyNumberFormat="1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49" fontId="8" fillId="0" borderId="0" xfId="0" applyNumberFormat="1" applyFont="1" applyFill="1" applyAlignment="1">
      <alignment horizontal="center"/>
    </xf>
    <xf numFmtId="9" fontId="9" fillId="0" borderId="0" xfId="2" applyFont="1" applyFill="1" applyAlignment="1">
      <alignment horizontal="center"/>
    </xf>
    <xf numFmtId="9" fontId="8" fillId="0" borderId="0" xfId="2" applyFont="1" applyFill="1" applyAlignment="1">
      <alignment horizontal="center"/>
    </xf>
    <xf numFmtId="49" fontId="6" fillId="0" borderId="0" xfId="2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9" fontId="10" fillId="0" borderId="0" xfId="2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0" fillId="0" borderId="0" xfId="0" applyBorder="1"/>
    <xf numFmtId="49" fontId="6" fillId="0" borderId="0" xfId="0" applyNumberFormat="1" applyFont="1" applyAlignment="1">
      <alignment horizontal="left" indent="2"/>
    </xf>
    <xf numFmtId="49" fontId="8" fillId="0" borderId="0" xfId="2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2" applyNumberFormat="1" applyFont="1" applyFill="1" applyAlignment="1">
      <alignment horizontal="center"/>
    </xf>
    <xf numFmtId="164" fontId="4" fillId="0" borderId="0" xfId="2" applyNumberFormat="1" applyFont="1" applyAlignment="1">
      <alignment horizontal="center"/>
    </xf>
    <xf numFmtId="2" fontId="6" fillId="0" borderId="0" xfId="1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0" fillId="0" borderId="1" xfId="0" applyBorder="1"/>
    <xf numFmtId="0" fontId="0" fillId="0" borderId="0" xfId="0" applyFill="1" applyAlignment="1">
      <alignment vertical="center"/>
    </xf>
    <xf numFmtId="1" fontId="6" fillId="0" borderId="0" xfId="1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Alignment="1"/>
    <xf numFmtId="49" fontId="0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quotePrefix="1" applyNumberFormat="1"/>
    <xf numFmtId="0" fontId="0" fillId="0" borderId="0" xfId="0" quotePrefix="1"/>
    <xf numFmtId="49" fontId="6" fillId="0" borderId="0" xfId="1" applyNumberFormat="1" applyFont="1" applyFill="1" applyBorder="1" applyAlignment="1">
      <alignment horizontal="center"/>
    </xf>
    <xf numFmtId="49" fontId="6" fillId="0" borderId="0" xfId="2" applyNumberFormat="1" applyFont="1" applyFill="1" applyBorder="1" applyAlignment="1">
      <alignment horizontal="center"/>
    </xf>
    <xf numFmtId="0" fontId="6" fillId="0" borderId="0" xfId="0" applyFont="1" applyBorder="1"/>
    <xf numFmtId="49" fontId="0" fillId="0" borderId="0" xfId="0" applyNumberForma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1" fontId="0" fillId="0" borderId="0" xfId="0" applyNumberFormat="1" applyAlignment="1">
      <alignment horizontal="center"/>
    </xf>
    <xf numFmtId="165" fontId="8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8" fillId="0" borderId="0" xfId="2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49" fontId="6" fillId="6" borderId="4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0" fontId="6" fillId="6" borderId="0" xfId="0" applyFont="1" applyFill="1" applyBorder="1" applyAlignment="1">
      <alignment horizontal="center" wrapText="1"/>
    </xf>
    <xf numFmtId="9" fontId="0" fillId="0" borderId="0" xfId="0" applyNumberFormat="1" applyFill="1" applyBorder="1" applyAlignment="1">
      <alignment horizontal="left"/>
    </xf>
    <xf numFmtId="0" fontId="35" fillId="0" borderId="0" xfId="0" applyFont="1" applyAlignment="1"/>
    <xf numFmtId="0" fontId="37" fillId="0" borderId="0" xfId="0" applyFont="1" applyBorder="1" applyAlignment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0" fontId="8" fillId="0" borderId="0" xfId="2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0" fontId="8" fillId="0" borderId="0" xfId="2" applyNumberFormat="1" applyFont="1" applyAlignment="1">
      <alignment horizontal="center"/>
    </xf>
    <xf numFmtId="49" fontId="8" fillId="0" borderId="0" xfId="0" quotePrefix="1" applyNumberFormat="1" applyFont="1" applyAlignment="1">
      <alignment horizontal="center"/>
    </xf>
    <xf numFmtId="49" fontId="8" fillId="0" borderId="0" xfId="0" quotePrefix="1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Font="1" applyBorder="1"/>
    <xf numFmtId="10" fontId="3" fillId="0" borderId="0" xfId="2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6" fillId="0" borderId="0" xfId="2" applyNumberFormat="1" applyFont="1" applyFill="1" applyAlignment="1">
      <alignment horizontal="center"/>
    </xf>
    <xf numFmtId="0" fontId="6" fillId="0" borderId="0" xfId="12" applyFont="1" applyFill="1" applyAlignment="1">
      <alignment horizontal="left"/>
    </xf>
    <xf numFmtId="0" fontId="4" fillId="0" borderId="0" xfId="0" applyFont="1" applyAlignment="1">
      <alignment horizontal="left"/>
    </xf>
    <xf numFmtId="10" fontId="4" fillId="0" borderId="0" xfId="2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0" xfId="0" applyFont="1" applyFill="1"/>
    <xf numFmtId="0" fontId="6" fillId="0" borderId="0" xfId="12" applyFont="1"/>
    <xf numFmtId="0" fontId="36" fillId="0" borderId="0" xfId="0" applyFont="1" applyAlignment="1"/>
    <xf numFmtId="0" fontId="6" fillId="0" borderId="0" xfId="12" applyFont="1" applyAlignment="1">
      <alignment horizontal="center"/>
    </xf>
    <xf numFmtId="0" fontId="6" fillId="0" borderId="0" xfId="12" applyFont="1" applyFill="1" applyAlignment="1">
      <alignment horizontal="center"/>
    </xf>
    <xf numFmtId="0" fontId="8" fillId="0" borderId="0" xfId="12" applyFont="1" applyAlignment="1">
      <alignment horizontal="center"/>
    </xf>
    <xf numFmtId="0" fontId="9" fillId="0" borderId="0" xfId="12" applyFont="1" applyAlignment="1">
      <alignment horizontal="center"/>
    </xf>
    <xf numFmtId="49" fontId="8" fillId="0" borderId="0" xfId="12" applyNumberFormat="1" applyFont="1" applyAlignment="1">
      <alignment horizontal="center"/>
    </xf>
    <xf numFmtId="49" fontId="8" fillId="0" borderId="0" xfId="12" applyNumberFormat="1" applyFont="1" applyAlignment="1">
      <alignment horizontal="left" indent="2"/>
    </xf>
    <xf numFmtId="49" fontId="8" fillId="0" borderId="0" xfId="12" applyNumberFormat="1" applyFont="1" applyFill="1" applyAlignment="1">
      <alignment horizontal="center"/>
    </xf>
    <xf numFmtId="43" fontId="8" fillId="0" borderId="0" xfId="3" applyFont="1" applyAlignment="1">
      <alignment horizontal="center"/>
    </xf>
    <xf numFmtId="10" fontId="8" fillId="0" borderId="0" xfId="55" applyNumberFormat="1" applyFont="1" applyAlignment="1">
      <alignment horizontal="center"/>
    </xf>
    <xf numFmtId="9" fontId="6" fillId="0" borderId="0" xfId="2" applyFont="1"/>
    <xf numFmtId="0" fontId="6" fillId="0" borderId="0" xfId="12" applyFont="1" applyAlignment="1">
      <alignment horizontal="left" indent="2"/>
    </xf>
    <xf numFmtId="168" fontId="6" fillId="0" borderId="0" xfId="7" applyNumberFormat="1" applyFont="1" applyFill="1" applyAlignment="1">
      <alignment horizontal="center"/>
    </xf>
    <xf numFmtId="43" fontId="6" fillId="0" borderId="0" xfId="3" applyFont="1" applyAlignment="1">
      <alignment horizontal="center"/>
    </xf>
    <xf numFmtId="10" fontId="6" fillId="0" borderId="0" xfId="55" applyNumberFormat="1" applyFont="1" applyAlignment="1">
      <alignment horizontal="center"/>
    </xf>
    <xf numFmtId="0" fontId="6" fillId="0" borderId="0" xfId="12" applyFont="1" applyAlignment="1">
      <alignment horizontal="left"/>
    </xf>
    <xf numFmtId="10" fontId="6" fillId="0" borderId="0" xfId="12" applyNumberFormat="1" applyFont="1" applyFill="1" applyAlignment="1">
      <alignment horizontal="center"/>
    </xf>
    <xf numFmtId="10" fontId="6" fillId="0" borderId="0" xfId="12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0" fontId="6" fillId="0" borderId="0" xfId="2" applyNumberFormat="1" applyFont="1" applyAlignment="1">
      <alignment horizontal="center"/>
    </xf>
    <xf numFmtId="10" fontId="6" fillId="0" borderId="0" xfId="2" applyNumberFormat="1" applyFont="1"/>
    <xf numFmtId="166" fontId="0" fillId="0" borderId="0" xfId="0" applyNumberFormat="1" applyAlignment="1">
      <alignment horizontal="center"/>
    </xf>
    <xf numFmtId="0" fontId="8" fillId="0" borderId="0" xfId="12" applyFont="1" applyAlignment="1">
      <alignment horizontal="left"/>
    </xf>
    <xf numFmtId="168" fontId="8" fillId="0" borderId="0" xfId="7" applyNumberFormat="1" applyFont="1" applyFill="1" applyAlignment="1">
      <alignment horizontal="center"/>
    </xf>
    <xf numFmtId="10" fontId="8" fillId="0" borderId="0" xfId="12" applyNumberFormat="1" applyFont="1" applyFill="1" applyAlignment="1">
      <alignment horizontal="center"/>
    </xf>
    <xf numFmtId="10" fontId="8" fillId="0" borderId="0" xfId="2" applyNumberFormat="1" applyFont="1" applyFill="1" applyAlignment="1">
      <alignment horizontal="center"/>
    </xf>
    <xf numFmtId="10" fontId="8" fillId="0" borderId="0" xfId="12" applyNumberFormat="1" applyFont="1" applyAlignment="1">
      <alignment horizontal="center"/>
    </xf>
    <xf numFmtId="0" fontId="8" fillId="0" borderId="0" xfId="12" applyFont="1"/>
    <xf numFmtId="168" fontId="8" fillId="0" borderId="0" xfId="79" applyNumberFormat="1" applyFont="1" applyAlignment="1">
      <alignment horizontal="center"/>
    </xf>
    <xf numFmtId="0" fontId="6" fillId="0" borderId="0" xfId="21" applyFont="1" applyFill="1" applyAlignment="1"/>
    <xf numFmtId="10" fontId="6" fillId="0" borderId="0" xfId="55" applyNumberFormat="1" applyFont="1" applyFill="1" applyAlignment="1">
      <alignment horizontal="center"/>
    </xf>
    <xf numFmtId="0" fontId="6" fillId="0" borderId="0" xfId="12" applyFont="1" applyFill="1"/>
    <xf numFmtId="0" fontId="0" fillId="0" borderId="0" xfId="0" applyAlignment="1">
      <alignment vertical="center"/>
    </xf>
    <xf numFmtId="0" fontId="8" fillId="0" borderId="0" xfId="21" applyFont="1" applyFill="1" applyAlignment="1"/>
    <xf numFmtId="10" fontId="8" fillId="0" borderId="0" xfId="55" applyNumberFormat="1" applyFont="1" applyFill="1" applyAlignment="1">
      <alignment horizontal="center"/>
    </xf>
    <xf numFmtId="168" fontId="8" fillId="0" borderId="0" xfId="55" applyNumberFormat="1" applyFont="1" applyFill="1" applyAlignment="1">
      <alignment horizontal="center"/>
    </xf>
    <xf numFmtId="168" fontId="6" fillId="0" borderId="0" xfId="12" applyNumberFormat="1" applyFont="1" applyFill="1" applyAlignment="1">
      <alignment horizontal="center"/>
    </xf>
    <xf numFmtId="168" fontId="6" fillId="0" borderId="0" xfId="3" applyNumberFormat="1" applyFont="1" applyAlignment="1">
      <alignment horizontal="center"/>
    </xf>
    <xf numFmtId="0" fontId="6" fillId="0" borderId="0" xfId="12" applyFont="1" applyAlignment="1">
      <alignment horizontal="left" indent="1"/>
    </xf>
    <xf numFmtId="2" fontId="8" fillId="0" borderId="0" xfId="12" applyNumberFormat="1" applyFont="1" applyBorder="1" applyAlignment="1">
      <alignment horizontal="center"/>
    </xf>
    <xf numFmtId="1" fontId="9" fillId="0" borderId="0" xfId="12" quotePrefix="1" applyNumberFormat="1" applyFont="1" applyAlignment="1">
      <alignment horizontal="center"/>
    </xf>
    <xf numFmtId="2" fontId="9" fillId="0" borderId="0" xfId="12" applyNumberFormat="1" applyFont="1" applyAlignment="1">
      <alignment horizontal="center"/>
    </xf>
    <xf numFmtId="2" fontId="9" fillId="0" borderId="0" xfId="12" applyNumberFormat="1" applyFont="1" applyBorder="1" applyAlignment="1">
      <alignment horizontal="center"/>
    </xf>
    <xf numFmtId="49" fontId="8" fillId="0" borderId="0" xfId="12" applyNumberFormat="1" applyFont="1" applyBorder="1" applyAlignment="1">
      <alignment horizontal="center"/>
    </xf>
    <xf numFmtId="2" fontId="6" fillId="0" borderId="0" xfId="12" applyNumberFormat="1" applyFont="1" applyAlignment="1">
      <alignment horizontal="center"/>
    </xf>
    <xf numFmtId="2" fontId="6" fillId="0" borderId="0" xfId="12" applyNumberFormat="1" applyFont="1" applyBorder="1" applyAlignment="1">
      <alignment horizontal="center"/>
    </xf>
    <xf numFmtId="10" fontId="6" fillId="0" borderId="0" xfId="55" applyNumberFormat="1" applyFont="1"/>
    <xf numFmtId="0" fontId="6" fillId="0" borderId="0" xfId="12" applyFont="1" applyFill="1" applyAlignment="1"/>
    <xf numFmtId="168" fontId="6" fillId="0" borderId="0" xfId="7" applyNumberFormat="1" applyFont="1" applyAlignment="1">
      <alignment horizontal="center"/>
    </xf>
    <xf numFmtId="168" fontId="6" fillId="0" borderId="0" xfId="7" applyNumberFormat="1" applyFont="1" applyBorder="1" applyAlignment="1">
      <alignment horizontal="center"/>
    </xf>
    <xf numFmtId="0" fontId="8" fillId="0" borderId="0" xfId="12" applyFont="1" applyFill="1" applyAlignment="1"/>
    <xf numFmtId="168" fontId="8" fillId="0" borderId="0" xfId="7" applyNumberFormat="1" applyFont="1" applyAlignment="1">
      <alignment horizontal="center"/>
    </xf>
    <xf numFmtId="168" fontId="8" fillId="0" borderId="0" xfId="7" applyNumberFormat="1" applyFont="1" applyBorder="1" applyAlignment="1">
      <alignment horizontal="center"/>
    </xf>
    <xf numFmtId="0" fontId="6" fillId="0" borderId="1" xfId="21" applyFont="1" applyFill="1" applyBorder="1" applyAlignment="1"/>
    <xf numFmtId="168" fontId="6" fillId="0" borderId="0" xfId="12" applyNumberFormat="1" applyFont="1" applyAlignment="1">
      <alignment horizontal="center"/>
    </xf>
    <xf numFmtId="168" fontId="6" fillId="0" borderId="0" xfId="12" applyNumberFormat="1" applyFont="1" applyBorder="1" applyAlignment="1">
      <alignment horizontal="center"/>
    </xf>
    <xf numFmtId="0" fontId="6" fillId="0" borderId="0" xfId="21" applyFont="1" applyFill="1" applyBorder="1" applyAlignment="1"/>
    <xf numFmtId="2" fontId="6" fillId="0" borderId="0" xfId="55" applyNumberFormat="1" applyFont="1" applyAlignment="1">
      <alignment horizontal="center"/>
    </xf>
    <xf numFmtId="0" fontId="6" fillId="0" borderId="0" xfId="12" applyFont="1" applyBorder="1"/>
    <xf numFmtId="0" fontId="4" fillId="0" borderId="0" xfId="12" applyFont="1" applyAlignment="1">
      <alignment horizontal="center"/>
    </xf>
    <xf numFmtId="49" fontId="8" fillId="0" borderId="0" xfId="13" applyNumberFormat="1" applyFont="1" applyFill="1" applyAlignment="1">
      <alignment horizontal="center"/>
    </xf>
    <xf numFmtId="49" fontId="9" fillId="0" borderId="0" xfId="55" applyNumberFormat="1" applyFont="1" applyAlignment="1">
      <alignment horizontal="center"/>
    </xf>
    <xf numFmtId="0" fontId="17" fillId="0" borderId="0" xfId="12" applyFont="1" applyAlignment="1">
      <alignment horizontal="center"/>
    </xf>
    <xf numFmtId="49" fontId="9" fillId="0" borderId="0" xfId="13" applyNumberFormat="1" applyFont="1" applyFill="1" applyAlignment="1">
      <alignment horizontal="center"/>
    </xf>
    <xf numFmtId="0" fontId="4" fillId="0" borderId="0" xfId="12" quotePrefix="1" applyFont="1" applyAlignment="1">
      <alignment horizontal="center"/>
    </xf>
    <xf numFmtId="0" fontId="4" fillId="0" borderId="0" xfId="12" quotePrefix="1" applyFont="1" applyFill="1" applyAlignment="1">
      <alignment horizontal="center"/>
    </xf>
    <xf numFmtId="2" fontId="6" fillId="0" borderId="0" xfId="1" applyNumberFormat="1" applyFont="1" applyAlignment="1">
      <alignment horizontal="center"/>
    </xf>
    <xf numFmtId="168" fontId="8" fillId="0" borderId="0" xfId="12" applyNumberFormat="1" applyFont="1" applyAlignment="1">
      <alignment horizontal="center"/>
    </xf>
    <xf numFmtId="2" fontId="8" fillId="0" borderId="0" xfId="1" applyNumberFormat="1" applyFont="1" applyAlignment="1">
      <alignment horizontal="center"/>
    </xf>
    <xf numFmtId="168" fontId="8" fillId="0" borderId="0" xfId="12" applyNumberFormat="1" applyFont="1" applyFill="1" applyAlignment="1">
      <alignment horizontal="center"/>
    </xf>
    <xf numFmtId="2" fontId="8" fillId="0" borderId="0" xfId="12" applyNumberFormat="1" applyFont="1" applyAlignment="1">
      <alignment horizontal="center"/>
    </xf>
    <xf numFmtId="10" fontId="6" fillId="0" borderId="0" xfId="12" applyNumberFormat="1" applyFont="1" applyFill="1"/>
    <xf numFmtId="0" fontId="6" fillId="0" borderId="1" xfId="12" applyFont="1" applyFill="1" applyBorder="1" applyAlignment="1">
      <alignment horizontal="left"/>
    </xf>
    <xf numFmtId="0" fontId="6" fillId="0" borderId="1" xfId="12" applyFont="1" applyFill="1" applyBorder="1"/>
    <xf numFmtId="0" fontId="43" fillId="0" borderId="0" xfId="0" applyFont="1"/>
    <xf numFmtId="0" fontId="45" fillId="0" borderId="0" xfId="12" applyFont="1" applyAlignment="1">
      <alignment horizontal="center"/>
    </xf>
    <xf numFmtId="0" fontId="45" fillId="0" borderId="0" xfId="12" applyFont="1" applyFill="1" applyAlignment="1">
      <alignment horizontal="center"/>
    </xf>
    <xf numFmtId="10" fontId="46" fillId="0" borderId="0" xfId="2" applyNumberFormat="1" applyFont="1" applyAlignment="1">
      <alignment horizontal="center"/>
    </xf>
    <xf numFmtId="0" fontId="8" fillId="0" borderId="0" xfId="12" applyFont="1" applyFill="1" applyAlignment="1">
      <alignment horizontal="center"/>
    </xf>
    <xf numFmtId="0" fontId="9" fillId="0" borderId="0" xfId="12" applyFont="1" applyAlignment="1">
      <alignment horizontal="center" vertical="center"/>
    </xf>
    <xf numFmtId="0" fontId="9" fillId="0" borderId="0" xfId="12" applyFont="1" applyFill="1" applyAlignment="1">
      <alignment horizontal="center" vertical="center"/>
    </xf>
    <xf numFmtId="0" fontId="8" fillId="0" borderId="5" xfId="12" applyFont="1" applyBorder="1" applyAlignment="1">
      <alignment horizontal="center"/>
    </xf>
    <xf numFmtId="0" fontId="8" fillId="0" borderId="6" xfId="12" applyFont="1" applyBorder="1" applyAlignment="1">
      <alignment horizontal="center"/>
    </xf>
    <xf numFmtId="0" fontId="8" fillId="0" borderId="7" xfId="12" applyFont="1" applyBorder="1" applyAlignment="1">
      <alignment horizontal="center"/>
    </xf>
    <xf numFmtId="49" fontId="6" fillId="0" borderId="0" xfId="12" applyNumberFormat="1" applyFont="1" applyAlignment="1">
      <alignment horizontal="left" indent="1"/>
    </xf>
    <xf numFmtId="43" fontId="8" fillId="0" borderId="0" xfId="3" quotePrefix="1" applyFont="1" applyAlignment="1">
      <alignment horizontal="center"/>
    </xf>
    <xf numFmtId="0" fontId="8" fillId="0" borderId="0" xfId="12" quotePrefix="1" applyFont="1" applyAlignment="1">
      <alignment horizontal="center"/>
    </xf>
    <xf numFmtId="4" fontId="6" fillId="0" borderId="0" xfId="12" applyNumberFormat="1" applyFont="1"/>
    <xf numFmtId="168" fontId="6" fillId="0" borderId="0" xfId="12" applyNumberFormat="1" applyFont="1"/>
    <xf numFmtId="0" fontId="16" fillId="0" borderId="0" xfId="12" applyFont="1" applyFill="1" applyAlignment="1">
      <alignment horizontal="left"/>
    </xf>
    <xf numFmtId="0" fontId="18" fillId="0" borderId="0" xfId="12"/>
    <xf numFmtId="0" fontId="18" fillId="0" borderId="0" xfId="12" applyAlignment="1">
      <alignment horizontal="center"/>
    </xf>
    <xf numFmtId="170" fontId="18" fillId="0" borderId="0" xfId="12" applyNumberFormat="1" applyAlignment="1">
      <alignment horizontal="center"/>
    </xf>
    <xf numFmtId="167" fontId="0" fillId="0" borderId="0" xfId="3" applyNumberFormat="1" applyFont="1" applyAlignment="1">
      <alignment horizontal="center"/>
    </xf>
    <xf numFmtId="167" fontId="18" fillId="0" borderId="0" xfId="12" applyNumberFormat="1"/>
    <xf numFmtId="167" fontId="18" fillId="0" borderId="0" xfId="12" applyNumberFormat="1" applyAlignment="1">
      <alignment horizontal="center"/>
    </xf>
    <xf numFmtId="170" fontId="6" fillId="0" borderId="0" xfId="12" applyNumberFormat="1" applyFont="1" applyAlignment="1">
      <alignment horizontal="center"/>
    </xf>
    <xf numFmtId="167" fontId="3" fillId="0" borderId="0" xfId="3" applyNumberFormat="1" applyFont="1" applyAlignment="1">
      <alignment horizontal="center"/>
    </xf>
    <xf numFmtId="167" fontId="6" fillId="0" borderId="0" xfId="12" applyNumberFormat="1" applyFont="1"/>
    <xf numFmtId="167" fontId="6" fillId="0" borderId="0" xfId="12" applyNumberFormat="1" applyFont="1" applyAlignment="1">
      <alignment horizontal="center"/>
    </xf>
    <xf numFmtId="167" fontId="8" fillId="0" borderId="0" xfId="3" applyNumberFormat="1" applyFont="1" applyAlignment="1">
      <alignment horizontal="center"/>
    </xf>
    <xf numFmtId="167" fontId="8" fillId="0" borderId="0" xfId="12" applyNumberFormat="1" applyFont="1"/>
    <xf numFmtId="167" fontId="8" fillId="0" borderId="0" xfId="12" applyNumberFormat="1" applyFont="1" applyAlignment="1">
      <alignment horizontal="center"/>
    </xf>
    <xf numFmtId="170" fontId="8" fillId="0" borderId="0" xfId="12" applyNumberFormat="1" applyFont="1" applyAlignment="1">
      <alignment horizontal="center"/>
    </xf>
    <xf numFmtId="167" fontId="8" fillId="0" borderId="0" xfId="57" applyNumberFormat="1" applyFont="1" applyAlignment="1">
      <alignment horizontal="center"/>
    </xf>
    <xf numFmtId="170" fontId="9" fillId="0" borderId="0" xfId="12" applyNumberFormat="1" applyFont="1" applyAlignment="1">
      <alignment horizontal="center"/>
    </xf>
    <xf numFmtId="167" fontId="9" fillId="0" borderId="0" xfId="3" applyNumberFormat="1" applyFont="1" applyAlignment="1">
      <alignment horizontal="center"/>
    </xf>
    <xf numFmtId="167" fontId="9" fillId="0" borderId="0" xfId="57" applyNumberFormat="1" applyFont="1" applyAlignment="1">
      <alignment horizontal="center"/>
    </xf>
    <xf numFmtId="167" fontId="9" fillId="0" borderId="0" xfId="12" applyNumberFormat="1" applyFont="1" applyAlignment="1">
      <alignment horizontal="center"/>
    </xf>
    <xf numFmtId="1" fontId="6" fillId="0" borderId="0" xfId="12" applyNumberFormat="1" applyFont="1" applyAlignment="1">
      <alignment horizontal="center"/>
    </xf>
    <xf numFmtId="2" fontId="6" fillId="0" borderId="0" xfId="3" applyNumberFormat="1" applyFont="1" applyAlignment="1">
      <alignment horizontal="center"/>
    </xf>
    <xf numFmtId="2" fontId="3" fillId="0" borderId="0" xfId="3" applyNumberFormat="1" applyFont="1" applyAlignment="1">
      <alignment horizontal="center"/>
    </xf>
    <xf numFmtId="167" fontId="3" fillId="0" borderId="0" xfId="3" applyNumberFormat="1" applyFont="1"/>
    <xf numFmtId="2" fontId="8" fillId="0" borderId="0" xfId="12" applyNumberFormat="1" applyFont="1" applyFill="1" applyAlignment="1">
      <alignment horizontal="center"/>
    </xf>
    <xf numFmtId="167" fontId="6" fillId="0" borderId="0" xfId="3" applyNumberFormat="1" applyFont="1" applyAlignment="1">
      <alignment horizontal="center"/>
    </xf>
    <xf numFmtId="167" fontId="0" fillId="0" borderId="0" xfId="3" applyNumberFormat="1" applyFont="1"/>
    <xf numFmtId="0" fontId="51" fillId="0" borderId="0" xfId="12" applyFont="1" applyAlignment="1"/>
    <xf numFmtId="10" fontId="0" fillId="0" borderId="0" xfId="55" applyNumberFormat="1" applyFont="1" applyAlignment="1">
      <alignment horizontal="center"/>
    </xf>
    <xf numFmtId="10" fontId="0" fillId="0" borderId="0" xfId="55" applyNumberFormat="1" applyFont="1"/>
    <xf numFmtId="0" fontId="44" fillId="0" borderId="0" xfId="12" applyFont="1" applyAlignment="1"/>
    <xf numFmtId="0" fontId="18" fillId="0" borderId="0" xfId="12" applyFill="1"/>
    <xf numFmtId="0" fontId="18" fillId="0" borderId="0" xfId="12" applyFill="1" applyAlignment="1">
      <alignment horizontal="center"/>
    </xf>
    <xf numFmtId="0" fontId="29" fillId="0" borderId="0" xfId="12" applyFont="1" applyFill="1" applyAlignment="1">
      <alignment horizontal="center"/>
    </xf>
    <xf numFmtId="0" fontId="29" fillId="0" borderId="0" xfId="12" applyFont="1" applyAlignment="1">
      <alignment horizontal="center"/>
    </xf>
    <xf numFmtId="170" fontId="29" fillId="0" borderId="0" xfId="12" applyNumberFormat="1" applyFont="1" applyAlignment="1">
      <alignment horizontal="center"/>
    </xf>
    <xf numFmtId="10" fontId="29" fillId="0" borderId="0" xfId="55" applyNumberFormat="1" applyFont="1" applyFill="1" applyAlignment="1">
      <alignment horizontal="center"/>
    </xf>
    <xf numFmtId="0" fontId="52" fillId="0" borderId="0" xfId="12" applyFont="1" applyAlignment="1">
      <alignment horizontal="center"/>
    </xf>
    <xf numFmtId="170" fontId="52" fillId="0" borderId="0" xfId="12" applyNumberFormat="1" applyFont="1" applyAlignment="1">
      <alignment horizontal="center"/>
    </xf>
    <xf numFmtId="10" fontId="52" fillId="0" borderId="0" xfId="55" applyNumberFormat="1" applyFont="1" applyFill="1" applyAlignment="1">
      <alignment horizontal="center"/>
    </xf>
    <xf numFmtId="0" fontId="52" fillId="0" borderId="0" xfId="12" applyFont="1" applyFill="1" applyAlignment="1">
      <alignment horizontal="center"/>
    </xf>
    <xf numFmtId="49" fontId="29" fillId="0" borderId="0" xfId="12" applyNumberFormat="1" applyFont="1" applyAlignment="1">
      <alignment horizontal="center"/>
    </xf>
    <xf numFmtId="49" fontId="29" fillId="0" borderId="0" xfId="12" applyNumberFormat="1" applyFont="1" applyFill="1" applyAlignment="1">
      <alignment horizontal="center"/>
    </xf>
    <xf numFmtId="10" fontId="0" fillId="0" borderId="0" xfId="55" applyNumberFormat="1" applyFont="1" applyFill="1"/>
    <xf numFmtId="10" fontId="18" fillId="0" borderId="0" xfId="55" applyNumberFormat="1" applyFont="1" applyFill="1" applyAlignment="1">
      <alignment horizontal="center"/>
    </xf>
    <xf numFmtId="10" fontId="18" fillId="0" borderId="0" xfId="55" applyNumberFormat="1" applyFont="1" applyFill="1" applyBorder="1" applyAlignment="1">
      <alignment horizontal="center" wrapText="1"/>
    </xf>
    <xf numFmtId="10" fontId="18" fillId="0" borderId="0" xfId="12" applyNumberFormat="1" applyFill="1" applyAlignment="1">
      <alignment horizontal="center"/>
    </xf>
    <xf numFmtId="10" fontId="18" fillId="6" borderId="0" xfId="55" applyNumberFormat="1" applyFont="1" applyFill="1" applyAlignment="1">
      <alignment horizontal="center"/>
    </xf>
    <xf numFmtId="10" fontId="18" fillId="0" borderId="0" xfId="12" applyNumberFormat="1"/>
    <xf numFmtId="10" fontId="18" fillId="0" borderId="0" xfId="55" applyNumberFormat="1" applyFont="1" applyAlignment="1">
      <alignment horizontal="center"/>
    </xf>
    <xf numFmtId="10" fontId="18" fillId="0" borderId="0" xfId="12" applyNumberFormat="1" applyAlignment="1">
      <alignment horizontal="center"/>
    </xf>
    <xf numFmtId="171" fontId="18" fillId="0" borderId="0" xfId="2" applyNumberFormat="1" applyFont="1"/>
    <xf numFmtId="0" fontId="18" fillId="0" borderId="0" xfId="12" quotePrefix="1" applyAlignment="1">
      <alignment horizontal="center"/>
    </xf>
    <xf numFmtId="49" fontId="18" fillId="0" borderId="0" xfId="12" applyNumberFormat="1" applyAlignment="1">
      <alignment horizontal="center"/>
    </xf>
    <xf numFmtId="10" fontId="18" fillId="0" borderId="0" xfId="12" applyNumberFormat="1" applyFont="1" applyAlignment="1">
      <alignment horizontal="center"/>
    </xf>
    <xf numFmtId="10" fontId="29" fillId="0" borderId="0" xfId="12" applyNumberFormat="1" applyFont="1" applyFill="1" applyAlignment="1">
      <alignment horizontal="center"/>
    </xf>
    <xf numFmtId="10" fontId="29" fillId="0" borderId="0" xfId="12" applyNumberFormat="1" applyFont="1" applyAlignment="1">
      <alignment horizontal="center"/>
    </xf>
    <xf numFmtId="0" fontId="18" fillId="0" borderId="1" xfId="12" applyBorder="1"/>
    <xf numFmtId="0" fontId="18" fillId="0" borderId="0" xfId="12" applyFont="1" applyBorder="1" applyAlignment="1">
      <alignment horizontal="left"/>
    </xf>
    <xf numFmtId="0" fontId="54" fillId="0" borderId="0" xfId="34" applyFont="1" applyAlignment="1">
      <alignment horizontal="left"/>
    </xf>
    <xf numFmtId="0" fontId="18" fillId="0" borderId="0" xfId="34" applyFont="1" applyFill="1" applyAlignment="1">
      <alignment horizontal="left"/>
    </xf>
    <xf numFmtId="0" fontId="18" fillId="0" borderId="0" xfId="12" applyFont="1"/>
    <xf numFmtId="0" fontId="54" fillId="0" borderId="0" xfId="12" applyFont="1" applyAlignment="1">
      <alignment horizontal="left"/>
    </xf>
    <xf numFmtId="43" fontId="0" fillId="0" borderId="0" xfId="3" applyFont="1"/>
    <xf numFmtId="0" fontId="18" fillId="0" borderId="0" xfId="12" applyFont="1" applyAlignment="1">
      <alignment horizontal="left"/>
    </xf>
    <xf numFmtId="10" fontId="0" fillId="0" borderId="0" xfId="55" applyNumberFormat="1" applyFont="1" applyFill="1" applyAlignment="1">
      <alignment horizontal="center"/>
    </xf>
    <xf numFmtId="170" fontId="18" fillId="0" borderId="0" xfId="12" applyNumberFormat="1" applyFill="1" applyAlignment="1">
      <alignment horizontal="center"/>
    </xf>
    <xf numFmtId="170" fontId="29" fillId="0" borderId="0" xfId="12" applyNumberFormat="1" applyFont="1" applyFill="1" applyAlignment="1">
      <alignment horizontal="center"/>
    </xf>
    <xf numFmtId="170" fontId="52" fillId="0" borderId="0" xfId="12" applyNumberFormat="1" applyFont="1" applyFill="1" applyAlignment="1">
      <alignment horizontal="center"/>
    </xf>
    <xf numFmtId="49" fontId="18" fillId="0" borderId="0" xfId="12" applyNumberFormat="1" applyFont="1" applyAlignment="1">
      <alignment horizontal="center"/>
    </xf>
    <xf numFmtId="0" fontId="18" fillId="0" borderId="0" xfId="12" applyBorder="1"/>
    <xf numFmtId="0" fontId="18" fillId="0" borderId="0" xfId="34" applyFont="1" applyAlignment="1">
      <alignment horizontal="left"/>
    </xf>
    <xf numFmtId="0" fontId="18" fillId="0" borderId="0" xfId="12" applyFont="1" applyAlignment="1">
      <alignment horizontal="center"/>
    </xf>
    <xf numFmtId="2" fontId="18" fillId="0" borderId="0" xfId="12" applyNumberFormat="1"/>
    <xf numFmtId="0" fontId="54" fillId="0" borderId="0" xfId="12" applyFont="1" applyAlignment="1">
      <alignment horizontal="center"/>
    </xf>
    <xf numFmtId="0" fontId="5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45" applyFont="1"/>
    <xf numFmtId="0" fontId="18" fillId="0" borderId="0" xfId="45" applyFont="1" applyAlignment="1">
      <alignment horizontal="center"/>
    </xf>
    <xf numFmtId="49" fontId="29" fillId="0" borderId="0" xfId="45" applyNumberFormat="1" applyFont="1" applyAlignment="1">
      <alignment horizontal="center"/>
    </xf>
    <xf numFmtId="49" fontId="29" fillId="0" borderId="0" xfId="45" applyNumberFormat="1" applyFont="1"/>
    <xf numFmtId="49" fontId="52" fillId="0" borderId="0" xfId="45" applyNumberFormat="1" applyFont="1" applyAlignment="1">
      <alignment horizontal="center"/>
    </xf>
    <xf numFmtId="49" fontId="29" fillId="0" borderId="0" xfId="45" applyNumberFormat="1" applyFont="1" applyAlignment="1">
      <alignment horizontal="center" wrapText="1"/>
    </xf>
    <xf numFmtId="0" fontId="52" fillId="0" borderId="0" xfId="45" applyFont="1" applyAlignment="1">
      <alignment horizontal="center"/>
    </xf>
    <xf numFmtId="0" fontId="29" fillId="0" borderId="0" xfId="45" applyFont="1" applyAlignment="1">
      <alignment horizontal="center" wrapText="1"/>
    </xf>
    <xf numFmtId="10" fontId="52" fillId="0" borderId="0" xfId="55" applyNumberFormat="1" applyFont="1" applyAlignment="1">
      <alignment horizontal="center"/>
    </xf>
    <xf numFmtId="49" fontId="52" fillId="0" borderId="0" xfId="45" applyNumberFormat="1" applyFont="1" applyAlignment="1">
      <alignment horizontal="center" wrapText="1"/>
    </xf>
    <xf numFmtId="49" fontId="52" fillId="0" borderId="0" xfId="45" applyNumberFormat="1" applyFont="1" applyAlignment="1">
      <alignment vertical="center"/>
    </xf>
    <xf numFmtId="49" fontId="29" fillId="0" borderId="0" xfId="45" quotePrefix="1" applyNumberFormat="1" applyFont="1" applyAlignment="1">
      <alignment horizontal="center"/>
    </xf>
    <xf numFmtId="10" fontId="18" fillId="0" borderId="0" xfId="45" applyNumberFormat="1" applyFont="1" applyAlignment="1">
      <alignment horizontal="center"/>
    </xf>
    <xf numFmtId="0" fontId="18" fillId="0" borderId="0" xfId="46" applyFont="1"/>
    <xf numFmtId="0" fontId="29" fillId="0" borderId="0" xfId="45" applyFont="1" applyAlignment="1">
      <alignment horizontal="center"/>
    </xf>
    <xf numFmtId="10" fontId="29" fillId="0" borderId="0" xfId="45" applyNumberFormat="1" applyFont="1" applyAlignment="1">
      <alignment horizontal="center"/>
    </xf>
    <xf numFmtId="0" fontId="18" fillId="0" borderId="0" xfId="45" applyFont="1" applyAlignment="1">
      <alignment horizontal="left"/>
    </xf>
    <xf numFmtId="0" fontId="54" fillId="0" borderId="0" xfId="45" applyFont="1" applyAlignment="1">
      <alignment horizontal="left"/>
    </xf>
    <xf numFmtId="170" fontId="6" fillId="0" borderId="0" xfId="12" applyNumberFormat="1" applyFont="1"/>
    <xf numFmtId="170" fontId="8" fillId="0" borderId="0" xfId="12" applyNumberFormat="1" applyFont="1" applyFill="1" applyAlignment="1">
      <alignment horizontal="center"/>
    </xf>
    <xf numFmtId="170" fontId="9" fillId="0" borderId="0" xfId="12" applyNumberFormat="1" applyFont="1" applyFill="1" applyAlignment="1">
      <alignment horizontal="center"/>
    </xf>
    <xf numFmtId="10" fontId="9" fillId="0" borderId="0" xfId="55" applyNumberFormat="1" applyFont="1" applyFill="1" applyAlignment="1">
      <alignment horizontal="center"/>
    </xf>
    <xf numFmtId="49" fontId="8" fillId="0" borderId="0" xfId="55" applyNumberFormat="1" applyFont="1" applyFill="1" applyAlignment="1">
      <alignment horizontal="center"/>
    </xf>
    <xf numFmtId="172" fontId="0" fillId="0" borderId="0" xfId="0" applyNumberFormat="1" applyAlignment="1">
      <alignment horizontal="center"/>
    </xf>
    <xf numFmtId="10" fontId="6" fillId="0" borderId="0" xfId="0" applyNumberFormat="1" applyFont="1" applyFill="1" applyAlignment="1">
      <alignment horizontal="center"/>
    </xf>
    <xf numFmtId="49" fontId="6" fillId="0" borderId="0" xfId="12" applyNumberFormat="1" applyFont="1"/>
    <xf numFmtId="172" fontId="6" fillId="0" borderId="0" xfId="12" applyNumberFormat="1" applyFont="1" applyAlignment="1">
      <alignment horizontal="center"/>
    </xf>
    <xf numFmtId="10" fontId="6" fillId="0" borderId="0" xfId="12" applyNumberFormat="1" applyFont="1"/>
    <xf numFmtId="170" fontId="8" fillId="0" borderId="0" xfId="12" applyNumberFormat="1" applyFont="1" applyAlignment="1">
      <alignment horizontal="left"/>
    </xf>
    <xf numFmtId="10" fontId="6" fillId="0" borderId="1" xfId="55" applyNumberFormat="1" applyFont="1" applyFill="1" applyBorder="1" applyAlignment="1">
      <alignment horizontal="center"/>
    </xf>
    <xf numFmtId="10" fontId="6" fillId="0" borderId="0" xfId="55" applyNumberFormat="1" applyFont="1" applyFill="1" applyBorder="1" applyAlignment="1">
      <alignment horizontal="center"/>
    </xf>
    <xf numFmtId="0" fontId="6" fillId="0" borderId="0" xfId="12" applyFont="1" applyFill="1" applyBorder="1" applyAlignment="1">
      <alignment horizontal="left"/>
    </xf>
    <xf numFmtId="0" fontId="16" fillId="0" borderId="0" xfId="12" applyFont="1"/>
    <xf numFmtId="0" fontId="5" fillId="0" borderId="0" xfId="12" applyFont="1" applyFill="1" applyAlignment="1"/>
    <xf numFmtId="0" fontId="57" fillId="0" borderId="0" xfId="12" applyFont="1" applyFill="1" applyAlignment="1"/>
    <xf numFmtId="0" fontId="6" fillId="0" borderId="0" xfId="12" applyFont="1" applyFill="1" applyBorder="1"/>
    <xf numFmtId="49" fontId="6" fillId="0" borderId="0" xfId="12" applyNumberFormat="1" applyFont="1" applyFill="1"/>
    <xf numFmtId="49" fontId="9" fillId="0" borderId="0" xfId="12" applyNumberFormat="1" applyFont="1" applyFill="1" applyAlignment="1">
      <alignment horizontal="center"/>
    </xf>
    <xf numFmtId="49" fontId="9" fillId="0" borderId="0" xfId="12" applyNumberFormat="1" applyFont="1" applyFill="1" applyBorder="1" applyAlignment="1">
      <alignment horizontal="center"/>
    </xf>
    <xf numFmtId="0" fontId="9" fillId="0" borderId="0" xfId="12" applyFont="1" applyFill="1" applyBorder="1" applyAlignment="1">
      <alignment horizontal="center"/>
    </xf>
    <xf numFmtId="0" fontId="6" fillId="0" borderId="0" xfId="12" applyFont="1" applyFill="1" applyAlignment="1">
      <alignment horizontal="left" indent="2"/>
    </xf>
    <xf numFmtId="0" fontId="8" fillId="0" borderId="0" xfId="12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34" applyNumberFormat="1" applyAlignment="1">
      <alignment horizontal="center"/>
    </xf>
    <xf numFmtId="2" fontId="6" fillId="0" borderId="0" xfId="12" applyNumberFormat="1" applyFont="1" applyFill="1" applyAlignment="1">
      <alignment horizontal="center"/>
    </xf>
    <xf numFmtId="2" fontId="6" fillId="0" borderId="0" xfId="12" applyNumberFormat="1" applyFont="1" applyFill="1" applyBorder="1" applyAlignment="1">
      <alignment horizontal="center"/>
    </xf>
    <xf numFmtId="0" fontId="8" fillId="0" borderId="0" xfId="12" applyFont="1" applyFill="1" applyAlignment="1">
      <alignment horizontal="left"/>
    </xf>
    <xf numFmtId="2" fontId="8" fillId="0" borderId="0" xfId="12" applyNumberFormat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1" xfId="12" applyFont="1" applyFill="1" applyBorder="1" applyAlignment="1">
      <alignment horizontal="center"/>
    </xf>
    <xf numFmtId="39" fontId="6" fillId="0" borderId="0" xfId="3" applyNumberFormat="1" applyFont="1" applyFill="1" applyAlignment="1">
      <alignment horizontal="center"/>
    </xf>
    <xf numFmtId="0" fontId="16" fillId="0" borderId="0" xfId="12" applyFont="1" applyFill="1"/>
    <xf numFmtId="0" fontId="15" fillId="0" borderId="0" xfId="0" applyFont="1" applyFill="1"/>
    <xf numFmtId="43" fontId="6" fillId="0" borderId="0" xfId="3" applyFont="1" applyAlignment="1">
      <alignment horizontal="left"/>
    </xf>
    <xf numFmtId="0" fontId="9" fillId="0" borderId="0" xfId="12" applyFont="1" applyAlignment="1">
      <alignment horizontal="left"/>
    </xf>
    <xf numFmtId="0" fontId="9" fillId="0" borderId="0" xfId="12" applyFont="1" applyFill="1" applyAlignment="1">
      <alignment horizontal="left"/>
    </xf>
    <xf numFmtId="43" fontId="6" fillId="0" borderId="0" xfId="3" applyFont="1" applyFill="1" applyAlignment="1">
      <alignment horizontal="left"/>
    </xf>
    <xf numFmtId="49" fontId="9" fillId="0" borderId="0" xfId="12" applyNumberFormat="1" applyFont="1" applyAlignment="1">
      <alignment horizontal="center"/>
    </xf>
    <xf numFmtId="0" fontId="6" fillId="0" borderId="0" xfId="12" applyFont="1" applyBorder="1" applyAlignment="1">
      <alignment horizontal="left"/>
    </xf>
    <xf numFmtId="0" fontId="9" fillId="0" borderId="0" xfId="12" applyFont="1" applyBorder="1" applyAlignment="1">
      <alignment horizontal="left"/>
    </xf>
    <xf numFmtId="0" fontId="9" fillId="0" borderId="0" xfId="12" applyFont="1" applyFill="1" applyAlignment="1">
      <alignment horizontal="center"/>
    </xf>
    <xf numFmtId="0" fontId="8" fillId="0" borderId="0" xfId="12" quotePrefix="1" applyFont="1" applyFill="1" applyBorder="1" applyAlignment="1">
      <alignment horizontal="center"/>
    </xf>
    <xf numFmtId="43" fontId="8" fillId="0" borderId="0" xfId="3" applyFont="1" applyFill="1" applyAlignment="1">
      <alignment horizontal="left"/>
    </xf>
    <xf numFmtId="10" fontId="6" fillId="0" borderId="0" xfId="55" applyNumberFormat="1" applyFont="1" applyAlignment="1">
      <alignment horizontal="left"/>
    </xf>
    <xf numFmtId="10" fontId="10" fillId="0" borderId="0" xfId="55" applyNumberFormat="1" applyFont="1" applyFill="1" applyAlignment="1">
      <alignment horizontal="center"/>
    </xf>
    <xf numFmtId="10" fontId="6" fillId="0" borderId="0" xfId="12" applyNumberFormat="1" applyFont="1" applyFill="1" applyAlignment="1">
      <alignment horizontal="left"/>
    </xf>
    <xf numFmtId="0" fontId="15" fillId="0" borderId="0" xfId="0" applyFont="1" applyFill="1" applyAlignment="1">
      <alignment vertical="center"/>
    </xf>
    <xf numFmtId="0" fontId="8" fillId="0" borderId="0" xfId="12" applyFont="1" applyFill="1" applyBorder="1" applyAlignment="1">
      <alignment horizontal="left"/>
    </xf>
    <xf numFmtId="43" fontId="6" fillId="0" borderId="0" xfId="12" applyNumberFormat="1" applyFont="1" applyAlignment="1">
      <alignment horizontal="left"/>
    </xf>
    <xf numFmtId="43" fontId="6" fillId="0" borderId="0" xfId="1" applyFont="1" applyAlignment="1">
      <alignment horizontal="left"/>
    </xf>
    <xf numFmtId="0" fontId="48" fillId="0" borderId="0" xfId="12" applyFont="1" applyFill="1" applyBorder="1" applyAlignment="1">
      <alignment horizontal="left"/>
    </xf>
    <xf numFmtId="0" fontId="20" fillId="0" borderId="0" xfId="47"/>
    <xf numFmtId="16" fontId="20" fillId="0" borderId="0" xfId="1" applyNumberFormat="1" applyFont="1"/>
    <xf numFmtId="10" fontId="20" fillId="0" borderId="0" xfId="2" applyNumberFormat="1" applyFont="1"/>
    <xf numFmtId="0" fontId="45" fillId="0" borderId="0" xfId="27" applyFont="1" applyAlignment="1">
      <alignment horizontal="center" wrapText="1"/>
    </xf>
    <xf numFmtId="44" fontId="45" fillId="0" borderId="0" xfId="79" applyFont="1" applyAlignment="1">
      <alignment horizontal="center" wrapText="1"/>
    </xf>
    <xf numFmtId="0" fontId="8" fillId="0" borderId="0" xfId="27" applyFont="1" applyAlignment="1">
      <alignment horizontal="center" wrapText="1"/>
    </xf>
    <xf numFmtId="44" fontId="9" fillId="0" borderId="0" xfId="79" applyFont="1" applyAlignment="1">
      <alignment horizontal="left" wrapText="1"/>
    </xf>
    <xf numFmtId="0" fontId="9" fillId="0" borderId="0" xfId="27" applyFont="1" applyAlignment="1">
      <alignment horizontal="left" wrapText="1"/>
    </xf>
    <xf numFmtId="0" fontId="3" fillId="0" borderId="0" xfId="27"/>
    <xf numFmtId="44" fontId="3" fillId="0" borderId="0" xfId="79"/>
    <xf numFmtId="0" fontId="8" fillId="6" borderId="0" xfId="27" applyFont="1" applyFill="1" applyAlignment="1"/>
    <xf numFmtId="44" fontId="8" fillId="6" borderId="0" xfId="79" applyFont="1" applyFill="1" applyAlignment="1"/>
    <xf numFmtId="49" fontId="8" fillId="6" borderId="0" xfId="27" applyNumberFormat="1" applyFont="1" applyFill="1" applyAlignment="1"/>
    <xf numFmtId="0" fontId="0" fillId="0" borderId="0" xfId="0" applyFont="1" applyAlignment="1">
      <alignment horizontal="right"/>
    </xf>
    <xf numFmtId="44" fontId="0" fillId="0" borderId="0" xfId="0" applyNumberFormat="1" applyFont="1" applyAlignment="1">
      <alignment horizontal="left"/>
    </xf>
    <xf numFmtId="0" fontId="8" fillId="0" borderId="0" xfId="27" applyFont="1" applyAlignment="1">
      <alignment horizontal="left"/>
    </xf>
    <xf numFmtId="44" fontId="8" fillId="0" borderId="0" xfId="79" applyFont="1" applyAlignment="1">
      <alignment horizontal="left"/>
    </xf>
    <xf numFmtId="44" fontId="8" fillId="0" borderId="0" xfId="8" applyFont="1" applyAlignment="1">
      <alignment horizontal="left"/>
    </xf>
    <xf numFmtId="43" fontId="8" fillId="0" borderId="0" xfId="1" applyFont="1" applyAlignment="1">
      <alignment horizontal="left"/>
    </xf>
    <xf numFmtId="14" fontId="0" fillId="0" borderId="0" xfId="0" applyNumberFormat="1"/>
    <xf numFmtId="44" fontId="6" fillId="0" borderId="0" xfId="8" applyFont="1" applyAlignment="1">
      <alignment horizontal="left"/>
    </xf>
    <xf numFmtId="0" fontId="3" fillId="0" borderId="0" xfId="27" applyFont="1" applyFill="1" applyAlignment="1">
      <alignment horizontal="left"/>
    </xf>
    <xf numFmtId="0" fontId="3" fillId="0" borderId="0" xfId="27" applyFont="1" applyAlignment="1">
      <alignment horizontal="left"/>
    </xf>
    <xf numFmtId="49" fontId="0" fillId="0" borderId="0" xfId="0" applyNumberFormat="1" applyAlignment="1">
      <alignment horizontal="center"/>
    </xf>
    <xf numFmtId="14" fontId="4" fillId="0" borderId="0" xfId="27" applyNumberFormat="1" applyFont="1"/>
    <xf numFmtId="44" fontId="20" fillId="0" borderId="0" xfId="79" applyFont="1"/>
    <xf numFmtId="43" fontId="3" fillId="0" borderId="0" xfId="1"/>
    <xf numFmtId="43" fontId="0" fillId="0" borderId="0" xfId="1" applyFont="1"/>
    <xf numFmtId="0" fontId="8" fillId="0" borderId="0" xfId="48" applyFont="1" applyAlignment="1">
      <alignment horizontal="left"/>
    </xf>
    <xf numFmtId="0" fontId="3" fillId="0" borderId="0" xfId="48"/>
    <xf numFmtId="0" fontId="3" fillId="0" borderId="0" xfId="48" applyFont="1" applyFill="1" applyAlignment="1">
      <alignment horizontal="left"/>
    </xf>
    <xf numFmtId="0" fontId="8" fillId="6" borderId="0" xfId="48" applyFont="1" applyFill="1" applyAlignment="1"/>
    <xf numFmtId="14" fontId="4" fillId="0" borderId="0" xfId="48" applyNumberFormat="1" applyFont="1"/>
    <xf numFmtId="9" fontId="0" fillId="0" borderId="0" xfId="2" applyFont="1"/>
    <xf numFmtId="1" fontId="0" fillId="0" borderId="0" xfId="0" applyNumberFormat="1"/>
    <xf numFmtId="0" fontId="37" fillId="0" borderId="0" xfId="0" applyFont="1" applyAlignment="1"/>
    <xf numFmtId="1" fontId="8" fillId="0" borderId="0" xfId="12" applyNumberFormat="1" applyFont="1" applyAlignment="1">
      <alignment horizontal="center"/>
    </xf>
    <xf numFmtId="0" fontId="9" fillId="0" borderId="0" xfId="12" applyFont="1"/>
    <xf numFmtId="49" fontId="8" fillId="0" borderId="0" xfId="12" applyNumberFormat="1" applyFont="1"/>
    <xf numFmtId="166" fontId="6" fillId="0" borderId="0" xfId="12" applyNumberFormat="1" applyFont="1" applyAlignment="1">
      <alignment horizontal="center"/>
    </xf>
    <xf numFmtId="166" fontId="8" fillId="0" borderId="0" xfId="12" applyNumberFormat="1" applyFont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10" fontId="4" fillId="0" borderId="0" xfId="2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73" fontId="6" fillId="0" borderId="0" xfId="21" applyNumberFormat="1" applyFont="1" applyProtection="1">
      <protection locked="0"/>
    </xf>
    <xf numFmtId="10" fontId="6" fillId="0" borderId="0" xfId="2" applyNumberFormat="1" applyFont="1" applyAlignment="1" applyProtection="1">
      <alignment horizontal="center"/>
      <protection locked="0"/>
    </xf>
    <xf numFmtId="10" fontId="0" fillId="0" borderId="0" xfId="2" applyNumberFormat="1" applyFont="1" applyFill="1" applyAlignment="1">
      <alignment horizontal="center"/>
    </xf>
    <xf numFmtId="2" fontId="0" fillId="0" borderId="0" xfId="0" applyNumberFormat="1" applyFont="1" applyFill="1" applyProtection="1">
      <protection locked="0"/>
    </xf>
    <xf numFmtId="0" fontId="0" fillId="0" borderId="0" xfId="0" quotePrefix="1" applyFill="1"/>
    <xf numFmtId="0" fontId="0" fillId="0" borderId="0" xfId="0" quotePrefix="1" applyFont="1" applyFill="1"/>
    <xf numFmtId="0" fontId="8" fillId="0" borderId="0" xfId="35" applyFont="1" applyAlignment="1" applyProtection="1">
      <alignment horizontal="left"/>
      <protection locked="0"/>
    </xf>
    <xf numFmtId="0" fontId="3" fillId="0" borderId="0" xfId="0" applyFont="1"/>
    <xf numFmtId="0" fontId="10" fillId="0" borderId="0" xfId="21" applyFont="1" applyAlignment="1" applyProtection="1">
      <alignment horizontal="center"/>
      <protection locked="0"/>
    </xf>
    <xf numFmtId="0" fontId="10" fillId="0" borderId="0" xfId="21" applyFont="1" applyProtection="1">
      <protection locked="0"/>
    </xf>
    <xf numFmtId="0" fontId="6" fillId="0" borderId="0" xfId="21" applyFont="1" applyProtection="1">
      <protection locked="0"/>
    </xf>
    <xf numFmtId="0" fontId="6" fillId="0" borderId="0" xfId="21" applyFont="1" applyAlignment="1" applyProtection="1">
      <alignment horizontal="left"/>
      <protection locked="0"/>
    </xf>
    <xf numFmtId="0" fontId="6" fillId="0" borderId="0" xfId="21" applyFont="1" applyAlignment="1" applyProtection="1">
      <alignment horizontal="center"/>
      <protection locked="0"/>
    </xf>
    <xf numFmtId="10" fontId="6" fillId="0" borderId="0" xfId="2" applyNumberFormat="1" applyFont="1" applyProtection="1">
      <protection locked="0"/>
    </xf>
    <xf numFmtId="173" fontId="59" fillId="0" borderId="0" xfId="21" applyNumberFormat="1" applyFont="1" applyProtection="1">
      <protection locked="0"/>
    </xf>
    <xf numFmtId="2" fontId="59" fillId="0" borderId="0" xfId="21" applyNumberFormat="1" applyFont="1" applyProtection="1">
      <protection locked="0"/>
    </xf>
    <xf numFmtId="173" fontId="59" fillId="0" borderId="0" xfId="40" applyNumberFormat="1" applyFont="1" applyProtection="1">
      <protection locked="0"/>
    </xf>
    <xf numFmtId="2" fontId="59" fillId="0" borderId="0" xfId="40" applyNumberFormat="1" applyFont="1" applyProtection="1">
      <protection locked="0"/>
    </xf>
    <xf numFmtId="10" fontId="6" fillId="6" borderId="0" xfId="2" applyNumberFormat="1" applyFont="1" applyFill="1" applyProtection="1">
      <protection locked="0"/>
    </xf>
    <xf numFmtId="0" fontId="6" fillId="0" borderId="0" xfId="21" quotePrefix="1" applyFont="1" applyAlignment="1" applyProtection="1">
      <alignment horizontal="center"/>
      <protection locked="0"/>
    </xf>
    <xf numFmtId="0" fontId="6" fillId="7" borderId="0" xfId="21" applyFont="1" applyFill="1" applyAlignment="1" applyProtection="1">
      <alignment horizontal="center"/>
      <protection locked="0"/>
    </xf>
    <xf numFmtId="10" fontId="6" fillId="7" borderId="0" xfId="2" applyNumberFormat="1" applyFont="1" applyFill="1" applyProtection="1">
      <protection locked="0"/>
    </xf>
    <xf numFmtId="2" fontId="59" fillId="0" borderId="0" xfId="21" applyNumberFormat="1" applyFont="1" applyFill="1" applyProtection="1">
      <protection locked="0"/>
    </xf>
    <xf numFmtId="0" fontId="8" fillId="0" borderId="0" xfId="43" applyFont="1" applyFill="1" applyBorder="1" applyAlignment="1">
      <alignment horizontal="left" vertical="top"/>
    </xf>
    <xf numFmtId="0" fontId="6" fillId="0" borderId="0" xfId="43" applyFont="1" applyFill="1" applyAlignment="1">
      <alignment horizontal="centerContinuous" vertical="top" wrapText="1"/>
    </xf>
    <xf numFmtId="0" fontId="6" fillId="0" borderId="1" xfId="43" applyFont="1" applyFill="1" applyBorder="1" applyAlignment="1">
      <alignment horizontal="centerContinuous" vertical="top" wrapText="1"/>
    </xf>
    <xf numFmtId="0" fontId="3" fillId="0" borderId="0" xfId="0" applyFont="1" applyBorder="1"/>
    <xf numFmtId="0" fontId="64" fillId="0" borderId="0" xfId="0" applyFont="1" applyAlignment="1">
      <alignment horizontal="center"/>
    </xf>
    <xf numFmtId="0" fontId="61" fillId="0" borderId="5" xfId="0" quotePrefix="1" applyFont="1" applyFill="1" applyBorder="1" applyAlignment="1">
      <alignment horizontal="center" vertical="center" wrapText="1"/>
    </xf>
    <xf numFmtId="0" fontId="61" fillId="0" borderId="14" xfId="0" quotePrefix="1" applyFont="1" applyFill="1" applyBorder="1" applyAlignment="1">
      <alignment horizontal="center" vertical="center" wrapText="1"/>
    </xf>
    <xf numFmtId="49" fontId="61" fillId="0" borderId="15" xfId="0" quotePrefix="1" applyNumberFormat="1" applyFont="1" applyFill="1" applyBorder="1" applyAlignment="1">
      <alignment horizontal="center" vertical="center" wrapText="1"/>
    </xf>
    <xf numFmtId="0" fontId="61" fillId="0" borderId="15" xfId="0" applyFont="1" applyFill="1" applyBorder="1" applyAlignment="1">
      <alignment horizontal="center" vertical="center" wrapText="1"/>
    </xf>
    <xf numFmtId="0" fontId="61" fillId="0" borderId="0" xfId="0" quotePrefix="1" applyFont="1" applyFill="1" applyAlignment="1">
      <alignment horizontal="left" wrapText="1"/>
    </xf>
    <xf numFmtId="0" fontId="61" fillId="0" borderId="9" xfId="0" applyFont="1" applyFill="1" applyBorder="1" applyAlignment="1">
      <alignment horizontal="right" wrapText="1"/>
    </xf>
    <xf numFmtId="4" fontId="61" fillId="0" borderId="9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10" fontId="3" fillId="0" borderId="0" xfId="2" applyNumberFormat="1" applyFont="1"/>
    <xf numFmtId="174" fontId="61" fillId="0" borderId="11" xfId="0" applyNumberFormat="1" applyFont="1" applyFill="1" applyBorder="1" applyAlignment="1">
      <alignment horizontal="right" wrapText="1"/>
    </xf>
    <xf numFmtId="0" fontId="61" fillId="0" borderId="11" xfId="0" applyFont="1" applyFill="1" applyBorder="1" applyAlignment="1">
      <alignment horizontal="right" wrapText="1"/>
    </xf>
    <xf numFmtId="4" fontId="61" fillId="0" borderId="11" xfId="0" applyNumberFormat="1" applyFont="1" applyFill="1" applyBorder="1" applyAlignment="1">
      <alignment horizontal="right" wrapText="1"/>
    </xf>
    <xf numFmtId="175" fontId="61" fillId="0" borderId="11" xfId="0" applyNumberFormat="1" applyFont="1" applyFill="1" applyBorder="1" applyAlignment="1">
      <alignment horizontal="right" wrapText="1"/>
    </xf>
    <xf numFmtId="49" fontId="63" fillId="0" borderId="11" xfId="0" applyNumberFormat="1" applyFont="1" applyFill="1" applyBorder="1" applyAlignment="1">
      <alignment horizontal="right" wrapText="1"/>
    </xf>
    <xf numFmtId="4" fontId="61" fillId="0" borderId="16" xfId="0" applyNumberFormat="1" applyFont="1" applyFill="1" applyBorder="1" applyAlignment="1">
      <alignment horizontal="right" wrapText="1"/>
    </xf>
    <xf numFmtId="2" fontId="61" fillId="0" borderId="0" xfId="0" applyNumberFormat="1" applyFont="1" applyFill="1" applyAlignment="1">
      <alignment horizontal="right"/>
    </xf>
    <xf numFmtId="2" fontId="61" fillId="0" borderId="0" xfId="0" applyNumberFormat="1" applyFont="1" applyFill="1" applyBorder="1" applyAlignment="1">
      <alignment horizontal="right" wrapText="1"/>
    </xf>
    <xf numFmtId="10" fontId="3" fillId="0" borderId="0" xfId="2" applyNumberFormat="1" applyFont="1" applyFill="1"/>
    <xf numFmtId="0" fontId="61" fillId="0" borderId="0" xfId="0" applyFont="1" applyFill="1" applyAlignment="1">
      <alignment horizontal="right"/>
    </xf>
    <xf numFmtId="10" fontId="3" fillId="6" borderId="0" xfId="2" applyNumberFormat="1" applyFont="1" applyFill="1"/>
    <xf numFmtId="4" fontId="61" fillId="0" borderId="0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0" fontId="3" fillId="7" borderId="0" xfId="2" applyNumberFormat="1" applyFont="1" applyFill="1"/>
    <xf numFmtId="176" fontId="61" fillId="0" borderId="11" xfId="0" applyNumberFormat="1" applyFont="1" applyFill="1" applyBorder="1" applyAlignment="1">
      <alignment horizontal="right" wrapText="1"/>
    </xf>
    <xf numFmtId="0" fontId="8" fillId="0" borderId="0" xfId="49" applyFont="1"/>
    <xf numFmtId="0" fontId="6" fillId="0" borderId="0" xfId="46" applyFont="1"/>
    <xf numFmtId="0" fontId="6" fillId="0" borderId="0" xfId="49" applyFont="1"/>
    <xf numFmtId="0" fontId="6" fillId="0" borderId="0" xfId="49" quotePrefix="1" applyFont="1"/>
    <xf numFmtId="0" fontId="9" fillId="0" borderId="0" xfId="46" applyFont="1" applyAlignment="1">
      <alignment horizontal="center"/>
    </xf>
    <xf numFmtId="0" fontId="59" fillId="0" borderId="0" xfId="46" applyFont="1"/>
    <xf numFmtId="0" fontId="10" fillId="0" borderId="0" xfId="46" applyFont="1" applyAlignment="1">
      <alignment horizontal="center"/>
    </xf>
    <xf numFmtId="0" fontId="34" fillId="0" borderId="0" xfId="46" applyFont="1"/>
    <xf numFmtId="0" fontId="8" fillId="0" borderId="0" xfId="46" applyFont="1"/>
    <xf numFmtId="10" fontId="59" fillId="0" borderId="0" xfId="56" applyNumberFormat="1" applyFont="1" applyAlignment="1">
      <alignment horizontal="center"/>
    </xf>
    <xf numFmtId="10" fontId="6" fillId="0" borderId="0" xfId="56" quotePrefix="1" applyNumberFormat="1" applyFont="1" applyAlignment="1">
      <alignment horizontal="center"/>
    </xf>
    <xf numFmtId="0" fontId="6" fillId="0" borderId="0" xfId="46" applyFont="1" applyAlignment="1">
      <alignment horizontal="left"/>
    </xf>
    <xf numFmtId="43" fontId="67" fillId="0" borderId="0" xfId="3" applyFont="1" applyAlignment="1">
      <alignment horizontal="center"/>
    </xf>
    <xf numFmtId="43" fontId="68" fillId="0" borderId="0" xfId="3" applyFont="1" applyAlignment="1">
      <alignment horizontal="center"/>
    </xf>
    <xf numFmtId="0" fontId="8" fillId="0" borderId="0" xfId="46" applyFont="1" applyAlignment="1">
      <alignment horizontal="left"/>
    </xf>
    <xf numFmtId="10" fontId="6" fillId="0" borderId="0" xfId="56" applyNumberFormat="1" applyFont="1" applyAlignment="1">
      <alignment horizontal="center"/>
    </xf>
    <xf numFmtId="0" fontId="0" fillId="0" borderId="0" xfId="0" applyFont="1"/>
    <xf numFmtId="0" fontId="0" fillId="0" borderId="0" xfId="0" quotePrefix="1" applyAlignment="1">
      <alignment horizontal="center"/>
    </xf>
    <xf numFmtId="10" fontId="6" fillId="7" borderId="0" xfId="56" applyNumberFormat="1" applyFont="1" applyFill="1" applyAlignment="1">
      <alignment horizontal="center"/>
    </xf>
    <xf numFmtId="0" fontId="4" fillId="0" borderId="0" xfId="0" quotePrefix="1" applyFont="1"/>
    <xf numFmtId="43" fontId="3" fillId="0" borderId="0" xfId="0" applyNumberFormat="1" applyFont="1"/>
    <xf numFmtId="43" fontId="34" fillId="0" borderId="0" xfId="3" applyFont="1" applyAlignment="1">
      <alignment horizontal="center"/>
    </xf>
    <xf numFmtId="0" fontId="8" fillId="0" borderId="0" xfId="32" applyFont="1" applyAlignment="1" applyProtection="1">
      <alignment horizontal="left"/>
      <protection locked="0"/>
    </xf>
    <xf numFmtId="0" fontId="8" fillId="0" borderId="0" xfId="33" applyFont="1" applyAlignment="1" applyProtection="1">
      <alignment horizontal="left"/>
      <protection locked="0"/>
    </xf>
    <xf numFmtId="173" fontId="6" fillId="0" borderId="0" xfId="22" applyNumberFormat="1" applyFont="1" applyProtection="1">
      <protection locked="0"/>
    </xf>
    <xf numFmtId="2" fontId="3" fillId="0" borderId="0" xfId="2" applyNumberFormat="1" applyFont="1"/>
    <xf numFmtId="2" fontId="3" fillId="0" borderId="0" xfId="0" applyNumberFormat="1" applyFont="1"/>
    <xf numFmtId="1" fontId="4" fillId="0" borderId="0" xfId="2" applyNumberFormat="1" applyFont="1" applyAlignment="1">
      <alignment horizontal="center"/>
    </xf>
    <xf numFmtId="173" fontId="6" fillId="0" borderId="0" xfId="20" applyNumberFormat="1" applyFont="1" applyProtection="1">
      <protection locked="0"/>
    </xf>
    <xf numFmtId="2" fontId="4" fillId="0" borderId="0" xfId="2" applyNumberFormat="1" applyFont="1" applyAlignment="1">
      <alignment horizontal="center"/>
    </xf>
    <xf numFmtId="173" fontId="0" fillId="0" borderId="0" xfId="0" applyNumberFormat="1" applyProtection="1">
      <protection locked="0"/>
    </xf>
    <xf numFmtId="173" fontId="0" fillId="7" borderId="0" xfId="0" applyNumberFormat="1" applyFill="1" applyProtection="1">
      <protection locked="0"/>
    </xf>
    <xf numFmtId="2" fontId="3" fillId="7" borderId="0" xfId="0" applyNumberFormat="1" applyFont="1" applyFill="1"/>
    <xf numFmtId="1" fontId="4" fillId="7" borderId="0" xfId="2" applyNumberFormat="1" applyFont="1" applyFill="1" applyAlignment="1">
      <alignment horizontal="center"/>
    </xf>
    <xf numFmtId="10" fontId="4" fillId="7" borderId="0" xfId="2" applyNumberFormat="1" applyFont="1" applyFill="1" applyAlignment="1">
      <alignment horizontal="center"/>
    </xf>
    <xf numFmtId="177" fontId="6" fillId="0" borderId="0" xfId="1" applyNumberFormat="1" applyFont="1" applyAlignment="1">
      <alignment horizontal="left"/>
    </xf>
    <xf numFmtId="0" fontId="2" fillId="0" borderId="0" xfId="0" applyFont="1" applyFill="1"/>
    <xf numFmtId="0" fontId="2" fillId="0" borderId="0" xfId="21" applyFont="1" applyFill="1" applyAlignment="1"/>
    <xf numFmtId="49" fontId="9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49" fontId="9" fillId="0" borderId="0" xfId="2" applyNumberFormat="1" applyFont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9" fontId="8" fillId="0" borderId="1" xfId="2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49" fontId="9" fillId="0" borderId="0" xfId="12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5" fillId="0" borderId="0" xfId="12" applyFont="1" applyFill="1" applyAlignment="1">
      <alignment horizontal="center"/>
    </xf>
    <xf numFmtId="0" fontId="7" fillId="0" borderId="0" xfId="12" applyFont="1" applyAlignment="1">
      <alignment horizontal="center"/>
    </xf>
    <xf numFmtId="2" fontId="8" fillId="0" borderId="1" xfId="12" applyNumberFormat="1" applyFont="1" applyBorder="1" applyAlignment="1">
      <alignment horizontal="center"/>
    </xf>
    <xf numFmtId="10" fontId="8" fillId="0" borderId="1" xfId="55" applyNumberFormat="1" applyFont="1" applyBorder="1" applyAlignment="1">
      <alignment horizontal="center"/>
    </xf>
    <xf numFmtId="0" fontId="4" fillId="0" borderId="1" xfId="12" quotePrefix="1" applyFont="1" applyBorder="1" applyAlignment="1">
      <alignment horizontal="center"/>
    </xf>
    <xf numFmtId="0" fontId="4" fillId="0" borderId="1" xfId="12" applyFont="1" applyBorder="1" applyAlignment="1">
      <alignment horizontal="center"/>
    </xf>
    <xf numFmtId="0" fontId="8" fillId="0" borderId="1" xfId="12" applyFont="1" applyBorder="1" applyAlignment="1">
      <alignment horizontal="center"/>
    </xf>
    <xf numFmtId="0" fontId="4" fillId="0" borderId="0" xfId="12" applyFont="1" applyAlignment="1">
      <alignment horizontal="center"/>
    </xf>
    <xf numFmtId="0" fontId="44" fillId="0" borderId="0" xfId="12" applyFont="1" applyAlignment="1">
      <alignment horizontal="center"/>
    </xf>
    <xf numFmtId="0" fontId="49" fillId="0" borderId="0" xfId="12" applyFont="1" applyFill="1" applyAlignment="1">
      <alignment horizontal="center"/>
    </xf>
    <xf numFmtId="0" fontId="50" fillId="0" borderId="0" xfId="12" applyFont="1" applyFill="1" applyAlignment="1">
      <alignment horizontal="center"/>
    </xf>
    <xf numFmtId="0" fontId="5" fillId="0" borderId="0" xfId="45" applyFont="1" applyAlignment="1">
      <alignment horizontal="center"/>
    </xf>
    <xf numFmtId="0" fontId="7" fillId="0" borderId="0" xfId="45" applyFont="1" applyAlignment="1">
      <alignment horizontal="center"/>
    </xf>
    <xf numFmtId="0" fontId="29" fillId="0" borderId="0" xfId="45" applyFont="1" applyAlignment="1">
      <alignment horizontal="center"/>
    </xf>
    <xf numFmtId="10" fontId="29" fillId="0" borderId="0" xfId="55" applyNumberFormat="1" applyFont="1" applyAlignment="1">
      <alignment horizontal="center"/>
    </xf>
    <xf numFmtId="0" fontId="51" fillId="0" borderId="0" xfId="12" applyFont="1" applyAlignment="1">
      <alignment horizontal="center"/>
    </xf>
    <xf numFmtId="0" fontId="56" fillId="0" borderId="0" xfId="12" applyFont="1" applyFill="1" applyAlignment="1">
      <alignment horizontal="center"/>
    </xf>
    <xf numFmtId="0" fontId="51" fillId="0" borderId="0" xfId="12" applyFont="1" applyFill="1" applyAlignment="1">
      <alignment horizontal="center"/>
    </xf>
    <xf numFmtId="0" fontId="58" fillId="0" borderId="0" xfId="27" applyFont="1" applyAlignment="1">
      <alignment horizontal="center"/>
    </xf>
    <xf numFmtId="0" fontId="7" fillId="0" borderId="0" xfId="27" applyFont="1" applyAlignment="1">
      <alignment horizontal="center" wrapText="1"/>
    </xf>
    <xf numFmtId="0" fontId="8" fillId="0" borderId="0" xfId="12" applyFont="1" applyAlignment="1">
      <alignment horizontal="center"/>
    </xf>
    <xf numFmtId="0" fontId="3" fillId="0" borderId="1" xfId="0" applyFont="1" applyBorder="1" applyAlignment="1">
      <alignment horizontal="center"/>
    </xf>
    <xf numFmtId="0" fontId="66" fillId="0" borderId="0" xfId="0" applyFont="1" applyBorder="1" applyAlignment="1">
      <alignment wrapText="1"/>
    </xf>
    <xf numFmtId="0" fontId="61" fillId="0" borderId="8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61" fillId="0" borderId="5" xfId="0" applyFont="1" applyFill="1" applyBorder="1" applyAlignment="1">
      <alignment horizontal="center" vertical="center" wrapText="1"/>
    </xf>
    <xf numFmtId="0" fontId="62" fillId="0" borderId="6" xfId="0" applyFont="1" applyFill="1" applyBorder="1" applyAlignment="1">
      <alignment horizontal="center" vertical="center" wrapText="1"/>
    </xf>
    <xf numFmtId="0" fontId="62" fillId="0" borderId="7" xfId="0" applyFont="1" applyFill="1" applyBorder="1" applyAlignment="1">
      <alignment horizontal="center" vertical="center" wrapText="1"/>
    </xf>
    <xf numFmtId="0" fontId="61" fillId="0" borderId="9" xfId="0" applyFont="1" applyFill="1" applyBorder="1" applyAlignment="1">
      <alignment horizontal="center" vertical="center" wrapText="1"/>
    </xf>
    <xf numFmtId="0" fontId="61" fillId="0" borderId="10" xfId="0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5" fillId="0" borderId="12" xfId="0" applyFont="1" applyFill="1" applyBorder="1" applyAlignment="1">
      <alignment horizontal="center" vertical="center" wrapText="1"/>
    </xf>
    <xf numFmtId="49" fontId="61" fillId="0" borderId="9" xfId="0" quotePrefix="1" applyNumberFormat="1" applyFont="1" applyFill="1" applyBorder="1" applyAlignment="1">
      <alignment horizontal="center" vertical="center" wrapText="1"/>
    </xf>
    <xf numFmtId="49" fontId="61" fillId="0" borderId="11" xfId="0" quotePrefix="1" applyNumberFormat="1" applyFont="1" applyFill="1" applyBorder="1" applyAlignment="1">
      <alignment horizontal="center" vertical="center" wrapText="1"/>
    </xf>
    <xf numFmtId="49" fontId="61" fillId="0" borderId="10" xfId="0" quotePrefix="1" applyNumberFormat="1" applyFont="1" applyFill="1" applyBorder="1" applyAlignment="1">
      <alignment horizontal="center" vertical="center" wrapText="1"/>
    </xf>
    <xf numFmtId="49" fontId="61" fillId="0" borderId="12" xfId="0" quotePrefix="1" applyNumberFormat="1" applyFont="1" applyFill="1" applyBorder="1" applyAlignment="1">
      <alignment horizontal="center" vertical="center" wrapText="1"/>
    </xf>
    <xf numFmtId="49" fontId="61" fillId="0" borderId="13" xfId="0" quotePrefix="1" applyNumberFormat="1" applyFont="1" applyFill="1" applyBorder="1" applyAlignment="1">
      <alignment horizontal="center" vertical="center" wrapText="1"/>
    </xf>
    <xf numFmtId="49" fontId="61" fillId="0" borderId="8" xfId="0" quotePrefix="1" applyNumberFormat="1" applyFont="1" applyFill="1" applyBorder="1" applyAlignment="1">
      <alignment horizontal="center" vertical="center" wrapText="1"/>
    </xf>
    <xf numFmtId="49" fontId="61" fillId="0" borderId="5" xfId="0" quotePrefix="1" applyNumberFormat="1" applyFont="1" applyFill="1" applyBorder="1" applyAlignment="1">
      <alignment horizontal="center" vertical="center" wrapText="1"/>
    </xf>
    <xf numFmtId="49" fontId="61" fillId="0" borderId="6" xfId="0" quotePrefix="1" applyNumberFormat="1" applyFont="1" applyFill="1" applyBorder="1" applyAlignment="1">
      <alignment horizontal="center" vertical="center" wrapText="1"/>
    </xf>
    <xf numFmtId="49" fontId="61" fillId="0" borderId="7" xfId="0" quotePrefix="1" applyNumberFormat="1" applyFont="1" applyFill="1" applyBorder="1" applyAlignment="1">
      <alignment horizontal="center" vertical="center" wrapText="1"/>
    </xf>
    <xf numFmtId="49" fontId="63" fillId="0" borderId="8" xfId="0" applyNumberFormat="1" applyFont="1" applyFill="1" applyBorder="1" applyAlignment="1">
      <alignment wrapText="1"/>
    </xf>
    <xf numFmtId="0" fontId="9" fillId="0" borderId="0" xfId="49" applyFont="1" applyAlignment="1">
      <alignment horizontal="center"/>
    </xf>
  </cellXfs>
  <cellStyles count="302">
    <cellStyle name="20% - Accent1 2" xfId="80"/>
    <cellStyle name="20% - Accent1 3" xfId="81"/>
    <cellStyle name="20% - Accent1 4" xfId="82"/>
    <cellStyle name="20% - Accent1 5" xfId="83"/>
    <cellStyle name="20% - Accent1 6" xfId="84"/>
    <cellStyle name="20% - Accent2 2" xfId="85"/>
    <cellStyle name="20% - Accent2 3" xfId="86"/>
    <cellStyle name="20% - Accent2 4" xfId="87"/>
    <cellStyle name="20% - Accent2 5" xfId="88"/>
    <cellStyle name="20% - Accent2 6" xfId="89"/>
    <cellStyle name="20% - Accent3 2" xfId="90"/>
    <cellStyle name="20% - Accent3 3" xfId="91"/>
    <cellStyle name="20% - Accent3 4" xfId="92"/>
    <cellStyle name="20% - Accent3 5" xfId="93"/>
    <cellStyle name="20% - Accent3 6" xfId="94"/>
    <cellStyle name="20% - Accent4 2" xfId="95"/>
    <cellStyle name="20% - Accent4 3" xfId="96"/>
    <cellStyle name="20% - Accent4 4" xfId="97"/>
    <cellStyle name="20% - Accent4 5" xfId="98"/>
    <cellStyle name="20% - Accent4 6" xfId="99"/>
    <cellStyle name="20% - Accent5 2" xfId="100"/>
    <cellStyle name="20% - Accent5 3" xfId="101"/>
    <cellStyle name="20% - Accent5 4" xfId="102"/>
    <cellStyle name="20% - Accent5 5" xfId="103"/>
    <cellStyle name="20% - Accent5 6" xfId="104"/>
    <cellStyle name="20% - Accent6 2" xfId="105"/>
    <cellStyle name="20% - Accent6 3" xfId="106"/>
    <cellStyle name="20% - Accent6 4" xfId="107"/>
    <cellStyle name="20% - Accent6 5" xfId="108"/>
    <cellStyle name="20% - Accent6 6" xfId="109"/>
    <cellStyle name="40% - Accent1 2" xfId="110"/>
    <cellStyle name="40% - Accent1 3" xfId="111"/>
    <cellStyle name="40% - Accent1 4" xfId="112"/>
    <cellStyle name="40% - Accent1 5" xfId="113"/>
    <cellStyle name="40% - Accent1 6" xfId="114"/>
    <cellStyle name="40% - Accent2 2" xfId="115"/>
    <cellStyle name="40% - Accent2 3" xfId="116"/>
    <cellStyle name="40% - Accent2 4" xfId="117"/>
    <cellStyle name="40% - Accent2 5" xfId="118"/>
    <cellStyle name="40% - Accent2 6" xfId="119"/>
    <cellStyle name="40% - Accent3 2" xfId="120"/>
    <cellStyle name="40% - Accent3 3" xfId="121"/>
    <cellStyle name="40% - Accent3 4" xfId="122"/>
    <cellStyle name="40% - Accent3 5" xfId="123"/>
    <cellStyle name="40% - Accent3 6" xfId="124"/>
    <cellStyle name="40% - Accent4 2" xfId="125"/>
    <cellStyle name="40% - Accent4 3" xfId="126"/>
    <cellStyle name="40% - Accent4 4" xfId="127"/>
    <cellStyle name="40% - Accent4 5" xfId="128"/>
    <cellStyle name="40% - Accent4 6" xfId="129"/>
    <cellStyle name="40% - Accent5 2" xfId="130"/>
    <cellStyle name="40% - Accent5 3" xfId="131"/>
    <cellStyle name="40% - Accent5 4" xfId="132"/>
    <cellStyle name="40% - Accent5 5" xfId="133"/>
    <cellStyle name="40% - Accent5 6" xfId="134"/>
    <cellStyle name="40% - Accent6 2" xfId="135"/>
    <cellStyle name="40% - Accent6 3" xfId="136"/>
    <cellStyle name="40% - Accent6 4" xfId="137"/>
    <cellStyle name="40% - Accent6 5" xfId="138"/>
    <cellStyle name="40% - Accent6 6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2 2" xfId="145"/>
    <cellStyle name="60% - Accent2 3" xfId="146"/>
    <cellStyle name="60% - Accent2 4" xfId="147"/>
    <cellStyle name="60% - Accent2 5" xfId="148"/>
    <cellStyle name="60% - Accent2 6" xfId="149"/>
    <cellStyle name="60% - Accent3 2" xfId="150"/>
    <cellStyle name="60% - Accent3 3" xfId="151"/>
    <cellStyle name="60% - Accent3 4" xfId="152"/>
    <cellStyle name="60% - Accent3 5" xfId="153"/>
    <cellStyle name="60% - Accent3 6" xfId="154"/>
    <cellStyle name="60% - Accent4 2" xfId="155"/>
    <cellStyle name="60% - Accent4 3" xfId="156"/>
    <cellStyle name="60% - Accent4 4" xfId="157"/>
    <cellStyle name="60% - Accent4 5" xfId="158"/>
    <cellStyle name="60% - Accent4 6" xfId="159"/>
    <cellStyle name="60% - Accent5 2" xfId="160"/>
    <cellStyle name="60% - Accent5 3" xfId="161"/>
    <cellStyle name="60% - Accent5 4" xfId="162"/>
    <cellStyle name="60% - Accent5 5" xfId="163"/>
    <cellStyle name="60% - Accent5 6" xfId="164"/>
    <cellStyle name="60% - Accent6 2" xfId="165"/>
    <cellStyle name="60% - Accent6 3" xfId="166"/>
    <cellStyle name="60% - Accent6 4" xfId="167"/>
    <cellStyle name="60% - Accent6 5" xfId="168"/>
    <cellStyle name="60% - Accent6 6" xfId="169"/>
    <cellStyle name="Accent1 2" xfId="170"/>
    <cellStyle name="Accent1 3" xfId="171"/>
    <cellStyle name="Accent1 4" xfId="172"/>
    <cellStyle name="Accent1 5" xfId="173"/>
    <cellStyle name="Accent1 6" xfId="174"/>
    <cellStyle name="Accent2 2" xfId="175"/>
    <cellStyle name="Accent2 3" xfId="176"/>
    <cellStyle name="Accent2 4" xfId="177"/>
    <cellStyle name="Accent2 5" xfId="178"/>
    <cellStyle name="Accent2 6" xfId="179"/>
    <cellStyle name="Accent3 2" xfId="180"/>
    <cellStyle name="Accent3 3" xfId="181"/>
    <cellStyle name="Accent3 4" xfId="182"/>
    <cellStyle name="Accent3 5" xfId="183"/>
    <cellStyle name="Accent3 6" xfId="184"/>
    <cellStyle name="Accent4 2" xfId="185"/>
    <cellStyle name="Accent4 3" xfId="186"/>
    <cellStyle name="Accent4 4" xfId="187"/>
    <cellStyle name="Accent4 5" xfId="188"/>
    <cellStyle name="Accent4 6" xfId="189"/>
    <cellStyle name="Accent5 2" xfId="190"/>
    <cellStyle name="Accent5 3" xfId="191"/>
    <cellStyle name="Accent5 4" xfId="192"/>
    <cellStyle name="Accent5 5" xfId="193"/>
    <cellStyle name="Accent5 6" xfId="194"/>
    <cellStyle name="Accent6 2" xfId="195"/>
    <cellStyle name="Accent6 3" xfId="196"/>
    <cellStyle name="Accent6 4" xfId="197"/>
    <cellStyle name="Accent6 5" xfId="198"/>
    <cellStyle name="Accent6 6" xfId="199"/>
    <cellStyle name="Bad 2" xfId="200"/>
    <cellStyle name="Bad 3" xfId="201"/>
    <cellStyle name="Bad 4" xfId="202"/>
    <cellStyle name="Bad 5" xfId="203"/>
    <cellStyle name="Bad 6" xfId="204"/>
    <cellStyle name="Calculation 2" xfId="205"/>
    <cellStyle name="Calculation 3" xfId="206"/>
    <cellStyle name="Calculation 4" xfId="207"/>
    <cellStyle name="Calculation 5" xfId="208"/>
    <cellStyle name="Calculation 6" xfId="209"/>
    <cellStyle name="Check Cell 2" xfId="210"/>
    <cellStyle name="Check Cell 3" xfId="211"/>
    <cellStyle name="Check Cell 4" xfId="212"/>
    <cellStyle name="Check Cell 5" xfId="213"/>
    <cellStyle name="Check Cell 6" xfId="214"/>
    <cellStyle name="Comma" xfId="1" builtinId="3"/>
    <cellStyle name="Comma 2" xfId="3"/>
    <cellStyle name="Comma 2 2" xfId="4"/>
    <cellStyle name="Comma 3" xfId="5"/>
    <cellStyle name="Comma 3 2" xfId="6"/>
    <cellStyle name="Currency" xfId="79" builtinId="4"/>
    <cellStyle name="Currency 10" xfId="215"/>
    <cellStyle name="Currency 11" xfId="216"/>
    <cellStyle name="Currency 2" xfId="7"/>
    <cellStyle name="Currency 2 2" xfId="8"/>
    <cellStyle name="Currency 3" xfId="9"/>
    <cellStyle name="Currency 4" xfId="217"/>
    <cellStyle name="Currency 5" xfId="218"/>
    <cellStyle name="Currency 6" xfId="219"/>
    <cellStyle name="Currency 7" xfId="220"/>
    <cellStyle name="Currency 8" xfId="221"/>
    <cellStyle name="Explanatory Text 2" xfId="222"/>
    <cellStyle name="Explanatory Text 3" xfId="223"/>
    <cellStyle name="Explanatory Text 4" xfId="224"/>
    <cellStyle name="Explanatory Text 5" xfId="225"/>
    <cellStyle name="Explanatory Text 6" xfId="226"/>
    <cellStyle name="Good 2" xfId="227"/>
    <cellStyle name="Good 3" xfId="228"/>
    <cellStyle name="Good 4" xfId="229"/>
    <cellStyle name="Good 5" xfId="230"/>
    <cellStyle name="Good 6" xfId="231"/>
    <cellStyle name="Heading 1 2" xfId="232"/>
    <cellStyle name="Heading 1 3" xfId="233"/>
    <cellStyle name="Heading 1 4" xfId="234"/>
    <cellStyle name="Heading 1 5" xfId="235"/>
    <cellStyle name="Heading 1 6" xfId="236"/>
    <cellStyle name="Heading 2 2" xfId="237"/>
    <cellStyle name="Heading 2 3" xfId="238"/>
    <cellStyle name="Heading 2 4" xfId="239"/>
    <cellStyle name="Heading 2 5" xfId="240"/>
    <cellStyle name="Heading 2 6" xfId="241"/>
    <cellStyle name="Heading 3 2" xfId="242"/>
    <cellStyle name="Heading 3 3" xfId="243"/>
    <cellStyle name="Heading 3 4" xfId="244"/>
    <cellStyle name="Heading 3 5" xfId="245"/>
    <cellStyle name="Heading 3 6" xfId="246"/>
    <cellStyle name="Heading 4 2" xfId="247"/>
    <cellStyle name="Heading 4 3" xfId="248"/>
    <cellStyle name="Heading 4 4" xfId="249"/>
    <cellStyle name="Heading 4 5" xfId="250"/>
    <cellStyle name="Heading 4 6" xfId="251"/>
    <cellStyle name="HeadlineStyle" xfId="10"/>
    <cellStyle name="HeadlineStyleJustified" xfId="11"/>
    <cellStyle name="Input 2" xfId="252"/>
    <cellStyle name="Input 3" xfId="253"/>
    <cellStyle name="Input 4" xfId="254"/>
    <cellStyle name="Input 5" xfId="255"/>
    <cellStyle name="Input 6" xfId="256"/>
    <cellStyle name="Lines" xfId="257"/>
    <cellStyle name="Linked Cell 2" xfId="258"/>
    <cellStyle name="Linked Cell 3" xfId="259"/>
    <cellStyle name="Linked Cell 4" xfId="260"/>
    <cellStyle name="Linked Cell 5" xfId="261"/>
    <cellStyle name="Linked Cell 6" xfId="262"/>
    <cellStyle name="Neutral 2" xfId="263"/>
    <cellStyle name="Neutral 3" xfId="264"/>
    <cellStyle name="Neutral 4" xfId="265"/>
    <cellStyle name="Neutral 5" xfId="266"/>
    <cellStyle name="Neutral 6" xfId="267"/>
    <cellStyle name="Normal" xfId="0" builtinId="0"/>
    <cellStyle name="Normal 10" xfId="12"/>
    <cellStyle name="Normal 11" xfId="13"/>
    <cellStyle name="Normal 12" xfId="14"/>
    <cellStyle name="Normal 12 2" xfId="15"/>
    <cellStyle name="Normal 13" xfId="16"/>
    <cellStyle name="Normal 13 2" xfId="17"/>
    <cellStyle name="Normal 14 2" xfId="18"/>
    <cellStyle name="Normal 14 2 2" xfId="19"/>
    <cellStyle name="Normal 15" xfId="20"/>
    <cellStyle name="Normal 2" xfId="21"/>
    <cellStyle name="Normal 2 10" xfId="22"/>
    <cellStyle name="Normal 2 11" xfId="23"/>
    <cellStyle name="Normal 2 12" xfId="24"/>
    <cellStyle name="Normal 2 13" xfId="25"/>
    <cellStyle name="Normal 2 2" xfId="26"/>
    <cellStyle name="Normal 2 3" xfId="27"/>
    <cellStyle name="Normal 2 4" xfId="28"/>
    <cellStyle name="Normal 2 5" xfId="29"/>
    <cellStyle name="Normal 2 6" xfId="30"/>
    <cellStyle name="Normal 2 7" xfId="31"/>
    <cellStyle name="Normal 2 8" xfId="32"/>
    <cellStyle name="Normal 2 9" xfId="33"/>
    <cellStyle name="Normal 3" xfId="34"/>
    <cellStyle name="Normal 3 2" xfId="35"/>
    <cellStyle name="Normal 3 2 10" xfId="36"/>
    <cellStyle name="Normal 3 2 2" xfId="37"/>
    <cellStyle name="Normal 4" xfId="38"/>
    <cellStyle name="Normal 4 2" xfId="39"/>
    <cellStyle name="Normal 4 3" xfId="40"/>
    <cellStyle name="Normal 5" xfId="41"/>
    <cellStyle name="Normal 5 2" xfId="42"/>
    <cellStyle name="Normal 6" xfId="43"/>
    <cellStyle name="Normal 6 2" xfId="44"/>
    <cellStyle name="Normal 7" xfId="45"/>
    <cellStyle name="Normal 7 2" xfId="46"/>
    <cellStyle name="Normal 8" xfId="47"/>
    <cellStyle name="Normal 8 2" xfId="48"/>
    <cellStyle name="Normal 8 3" xfId="49"/>
    <cellStyle name="Note 2" xfId="268"/>
    <cellStyle name="Note 3" xfId="269"/>
    <cellStyle name="Note 4" xfId="270"/>
    <cellStyle name="Note 5" xfId="271"/>
    <cellStyle name="Note 6" xfId="272"/>
    <cellStyle name="Output 2" xfId="273"/>
    <cellStyle name="Output 3" xfId="274"/>
    <cellStyle name="Output 4" xfId="275"/>
    <cellStyle name="Output 5" xfId="276"/>
    <cellStyle name="Output 6" xfId="277"/>
    <cellStyle name="Output Amounts" xfId="50"/>
    <cellStyle name="Output Column Headings" xfId="51"/>
    <cellStyle name="Output Line Items" xfId="52"/>
    <cellStyle name="Output Report Heading" xfId="53"/>
    <cellStyle name="Output Report Title" xfId="54"/>
    <cellStyle name="Percent" xfId="2" builtinId="5"/>
    <cellStyle name="Percent 2" xfId="55"/>
    <cellStyle name="Percent 2 2" xfId="56"/>
    <cellStyle name="Percent 3" xfId="57"/>
    <cellStyle name="Percent 3 2" xfId="58"/>
    <cellStyle name="Percent 4" xfId="59"/>
    <cellStyle name="Percent 4 2" xfId="60"/>
    <cellStyle name="Percent 5" xfId="278"/>
    <cellStyle name="Percent 6" xfId="279"/>
    <cellStyle name="Percent 7" xfId="280"/>
    <cellStyle name="Percent 8" xfId="61"/>
    <cellStyle name="PSChar" xfId="281"/>
    <cellStyle name="PSDate" xfId="282"/>
    <cellStyle name="PSDec" xfId="283"/>
    <cellStyle name="PSHeading" xfId="284"/>
    <cellStyle name="PSInt" xfId="285"/>
    <cellStyle name="PSSpacer" xfId="286"/>
    <cellStyle name="Style 21" xfId="62"/>
    <cellStyle name="Style 22" xfId="63"/>
    <cellStyle name="Style 23" xfId="64"/>
    <cellStyle name="Style 24" xfId="65"/>
    <cellStyle name="Style 25" xfId="66"/>
    <cellStyle name="Style 26" xfId="67"/>
    <cellStyle name="Style 27" xfId="68"/>
    <cellStyle name="Style 28" xfId="69"/>
    <cellStyle name="Style 29" xfId="70"/>
    <cellStyle name="Style 30" xfId="71"/>
    <cellStyle name="Style 31" xfId="72"/>
    <cellStyle name="Style 32" xfId="73"/>
    <cellStyle name="Style 33" xfId="74"/>
    <cellStyle name="Style 34" xfId="75"/>
    <cellStyle name="Style 35" xfId="76"/>
    <cellStyle name="Style 36" xfId="77"/>
    <cellStyle name="Style 39" xfId="78"/>
    <cellStyle name="Title 2" xfId="287"/>
    <cellStyle name="Title 3" xfId="288"/>
    <cellStyle name="Title 4" xfId="289"/>
    <cellStyle name="Title 5" xfId="290"/>
    <cellStyle name="Title 6" xfId="291"/>
    <cellStyle name="Total 2" xfId="292"/>
    <cellStyle name="Total 3" xfId="293"/>
    <cellStyle name="Total 4" xfId="294"/>
    <cellStyle name="Total 5" xfId="295"/>
    <cellStyle name="Total 6" xfId="296"/>
    <cellStyle name="Warning Text 2" xfId="297"/>
    <cellStyle name="Warning Text 3" xfId="298"/>
    <cellStyle name="Warning Text 4" xfId="299"/>
    <cellStyle name="Warning Text 5" xfId="300"/>
    <cellStyle name="Warning Text 6" xfId="301"/>
  </cellStyles>
  <dxfs count="3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9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5" Type="http://schemas.openxmlformats.org/officeDocument/2006/relationships/worksheet" Target="worksheets/sheet23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4.xml"/><Relationship Id="rId20" Type="http://schemas.openxmlformats.org/officeDocument/2006/relationships/worksheet" Target="worksheets/sheet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worksheet" Target="worksheets/sheet21.xml"/><Relationship Id="rId28" Type="http://schemas.openxmlformats.org/officeDocument/2006/relationships/externalLink" Target="externalLinks/externalLink3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20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Common Stock Market/Book Ratio</a:t>
            </a:r>
          </a:p>
        </c:rich>
      </c:tx>
    </c:title>
    <c:plotArea>
      <c:layout/>
      <c:lineChart>
        <c:grouping val="standard"/>
        <c:ser>
          <c:idx val="0"/>
          <c:order val="0"/>
          <c:cat>
            <c:numRef>
              <c:f>'MPG-13'!$B$11:$B$42</c:f>
              <c:numCache>
                <c:formatCode>General</c:formatCode>
                <c:ptCount val="3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</c:numCache>
            </c:numRef>
          </c:cat>
          <c:val>
            <c:numRef>
              <c:f>'MPG-13'!$E$11:$E$42</c:f>
              <c:numCache>
                <c:formatCode>0.00</c:formatCode>
                <c:ptCount val="32"/>
                <c:pt idx="0">
                  <c:v>0.64924838940586982</c:v>
                </c:pt>
                <c:pt idx="1">
                  <c:v>0.69832743254791851</c:v>
                </c:pt>
                <c:pt idx="2">
                  <c:v>0.84885828198622704</c:v>
                </c:pt>
                <c:pt idx="3">
                  <c:v>0.86887816646562122</c:v>
                </c:pt>
                <c:pt idx="4">
                  <c:v>0.94217207334273623</c:v>
                </c:pt>
                <c:pt idx="5">
                  <c:v>1.0822698268003645</c:v>
                </c:pt>
                <c:pt idx="6">
                  <c:v>1.2579966795794135</c:v>
                </c:pt>
                <c:pt idx="7">
                  <c:v>1.045716822015091</c:v>
                </c:pt>
                <c:pt idx="8">
                  <c:v>1.1465243071331213</c:v>
                </c:pt>
                <c:pt idx="9">
                  <c:v>1.3703165194049882</c:v>
                </c:pt>
                <c:pt idx="10">
                  <c:v>1.3945529899348725</c:v>
                </c:pt>
                <c:pt idx="11">
                  <c:v>1.581420885033491</c:v>
                </c:pt>
                <c:pt idx="12">
                  <c:v>1.5057643040136635</c:v>
                </c:pt>
                <c:pt idx="13">
                  <c:v>1.5873187621726896</c:v>
                </c:pt>
                <c:pt idx="14">
                  <c:v>1.2313432835820897</c:v>
                </c:pt>
                <c:pt idx="15">
                  <c:v>1.524917298047167</c:v>
                </c:pt>
                <c:pt idx="16">
                  <c:v>1.3788908040150056</c:v>
                </c:pt>
                <c:pt idx="17">
                  <c:v>1.5110615175625848</c:v>
                </c:pt>
                <c:pt idx="18">
                  <c:v>1.9741613288459452</c:v>
                </c:pt>
                <c:pt idx="19">
                  <c:v>1.0705653021442496</c:v>
                </c:pt>
                <c:pt idx="20">
                  <c:v>1.3647235576923076</c:v>
                </c:pt>
                <c:pt idx="21">
                  <c:v>1.73</c:v>
                </c:pt>
                <c:pt idx="22">
                  <c:v>1.27</c:v>
                </c:pt>
                <c:pt idx="23">
                  <c:v>1.58</c:v>
                </c:pt>
                <c:pt idx="24">
                  <c:v>1.68</c:v>
                </c:pt>
                <c:pt idx="25">
                  <c:v>1.74</c:v>
                </c:pt>
                <c:pt idx="26">
                  <c:v>1.93</c:v>
                </c:pt>
                <c:pt idx="27">
                  <c:v>1.6</c:v>
                </c:pt>
                <c:pt idx="28">
                  <c:v>1.18</c:v>
                </c:pt>
                <c:pt idx="29">
                  <c:v>1.36</c:v>
                </c:pt>
                <c:pt idx="30">
                  <c:v>1.427</c:v>
                </c:pt>
                <c:pt idx="31">
                  <c:v>1.502</c:v>
                </c:pt>
              </c:numCache>
            </c:numRef>
          </c:val>
        </c:ser>
        <c:marker val="1"/>
        <c:axId val="155530368"/>
        <c:axId val="155531904"/>
      </c:lineChart>
      <c:catAx>
        <c:axId val="1555303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531904"/>
        <c:crosses val="autoZero"/>
        <c:auto val="1"/>
        <c:lblAlgn val="ctr"/>
        <c:lblOffset val="100"/>
        <c:tickLblSkip val="1"/>
        <c:tickMarkSkip val="2"/>
      </c:catAx>
      <c:valAx>
        <c:axId val="155531904"/>
        <c:scaling>
          <c:orientation val="minMax"/>
        </c:scaling>
        <c:axPos val="l"/>
        <c:majorGridlines/>
        <c:numFmt formatCode="0.00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530368"/>
        <c:crossesAt val="1"/>
        <c:crossBetween val="between"/>
      </c:valAx>
    </c:plotArea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>
      <c:oddHeader>&amp;C&amp;"Arial,Bold"&amp;20
</c:oddHeader>
    </c:headerFooter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09570029231628E-2"/>
          <c:y val="0.19867549668874168"/>
          <c:w val="0.89598876299333308"/>
          <c:h val="0.57284768211922465"/>
        </c:manualLayout>
      </c:layout>
      <c:lineChart>
        <c:grouping val="standard"/>
        <c:ser>
          <c:idx val="0"/>
          <c:order val="0"/>
          <c:tx>
            <c:strRef>
              <c:f>'MPG-16'!$N$13</c:f>
              <c:strCache>
                <c:ptCount val="1"/>
                <c:pt idx="0">
                  <c:v>Utility A - T-Bond Spread</c:v>
                </c:pt>
              </c:strCache>
            </c:strRef>
          </c:tx>
          <c:spPr>
            <a:ln w="12700">
              <a:solidFill>
                <a:srgbClr val="3311FF"/>
              </a:solidFill>
              <a:prstDash val="solid"/>
            </a:ln>
          </c:spPr>
          <c:marker>
            <c:symbol val="plus"/>
            <c:size val="7"/>
            <c:spPr>
              <a:ln>
                <a:solidFill>
                  <a:srgbClr val="3311FF"/>
                </a:solidFill>
              </a:ln>
            </c:spPr>
          </c:marker>
          <c:cat>
            <c:numRef>
              <c:f>'MPG-16'!$B$13:$B$43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'MPG-16'!$F$13:$F$43</c:f>
              <c:numCache>
                <c:formatCode>0.00%</c:formatCode>
                <c:ptCount val="31"/>
                <c:pt idx="0">
                  <c:v>2.0699999999999996E-2</c:v>
                </c:pt>
                <c:pt idx="1">
                  <c:v>2.5000000000000022E-2</c:v>
                </c:pt>
                <c:pt idx="2">
                  <c:v>3.1E-2</c:v>
                </c:pt>
                <c:pt idx="3">
                  <c:v>2.4800000000000003E-2</c:v>
                </c:pt>
                <c:pt idx="4">
                  <c:v>1.6200000000000006E-2</c:v>
                </c:pt>
                <c:pt idx="5">
                  <c:v>1.6800000000000009E-2</c:v>
                </c:pt>
                <c:pt idx="6">
                  <c:v>1.7999999999999988E-2</c:v>
                </c:pt>
                <c:pt idx="7">
                  <c:v>1.5100000000000002E-2</c:v>
                </c:pt>
                <c:pt idx="8">
                  <c:v>1.529999999999998E-2</c:v>
                </c:pt>
                <c:pt idx="9">
                  <c:v>1.3200000000000003E-2</c:v>
                </c:pt>
                <c:pt idx="10">
                  <c:v>1.2499999999999997E-2</c:v>
                </c:pt>
                <c:pt idx="11">
                  <c:v>1.2200000000000003E-2</c:v>
                </c:pt>
                <c:pt idx="12">
                  <c:v>1.0200000000000001E-2</c:v>
                </c:pt>
                <c:pt idx="13">
                  <c:v>9.999999999999995E-3</c:v>
                </c:pt>
                <c:pt idx="14">
                  <c:v>9.3999999999999917E-3</c:v>
                </c:pt>
                <c:pt idx="15">
                  <c:v>1.0099999999999998E-2</c:v>
                </c:pt>
                <c:pt idx="16">
                  <c:v>1.0400000000000006E-2</c:v>
                </c:pt>
                <c:pt idx="17">
                  <c:v>9.8999999999999921E-3</c:v>
                </c:pt>
                <c:pt idx="18">
                  <c:v>1.4600000000000002E-2</c:v>
                </c:pt>
                <c:pt idx="19">
                  <c:v>1.7500000000000002E-2</c:v>
                </c:pt>
                <c:pt idx="20">
                  <c:v>2.3041666666666662E-2</c:v>
                </c:pt>
                <c:pt idx="21">
                  <c:v>2.2724999999999995E-2</c:v>
                </c:pt>
                <c:pt idx="22">
                  <c:v>1.9425000000000005E-2</c:v>
                </c:pt>
                <c:pt idx="23">
                  <c:v>1.6233333333333336E-2</c:v>
                </c:pt>
                <c:pt idx="24">
                  <c:v>1.1134166666666667E-2</c:v>
                </c:pt>
                <c:pt idx="25">
                  <c:v>1.0033333333333332E-2</c:v>
                </c:pt>
                <c:pt idx="26">
                  <c:v>1.158333333333332E-2</c:v>
                </c:pt>
                <c:pt idx="27">
                  <c:v>1.2333333333333335E-2</c:v>
                </c:pt>
                <c:pt idx="28">
                  <c:v>2.2483333333333327E-2</c:v>
                </c:pt>
                <c:pt idx="29">
                  <c:v>1.9567365027151194E-2</c:v>
                </c:pt>
                <c:pt idx="30">
                  <c:v>1.2104224224777617E-2</c:v>
                </c:pt>
              </c:numCache>
            </c:numRef>
          </c:val>
        </c:ser>
        <c:ser>
          <c:idx val="1"/>
          <c:order val="1"/>
          <c:tx>
            <c:strRef>
              <c:f>'MPG-16'!$N$14</c:f>
              <c:strCache>
                <c:ptCount val="1"/>
                <c:pt idx="0">
                  <c:v>Utility Baa - T-Bond Spread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numRef>
              <c:f>'MPG-16'!$B$13:$B$43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'MPG-16'!$G$13:$G$43</c:f>
              <c:numCache>
                <c:formatCode>0.00%</c:formatCode>
                <c:ptCount val="31"/>
                <c:pt idx="0">
                  <c:v>2.6800000000000018E-2</c:v>
                </c:pt>
                <c:pt idx="1">
                  <c:v>3.1500000000000028E-2</c:v>
                </c:pt>
                <c:pt idx="2">
                  <c:v>3.6900000000000016E-2</c:v>
                </c:pt>
                <c:pt idx="3">
                  <c:v>3.0199999999999991E-2</c:v>
                </c:pt>
                <c:pt idx="4">
                  <c:v>2.1200000000000011E-2</c:v>
                </c:pt>
                <c:pt idx="5">
                  <c:v>2.1699999999999997E-2</c:v>
                </c:pt>
                <c:pt idx="6">
                  <c:v>2.2199999999999998E-2</c:v>
                </c:pt>
                <c:pt idx="7">
                  <c:v>1.9400000000000001E-2</c:v>
                </c:pt>
                <c:pt idx="8">
                  <c:v>2.0399999999999988E-2</c:v>
                </c:pt>
                <c:pt idx="9">
                  <c:v>1.5200000000000005E-2</c:v>
                </c:pt>
                <c:pt idx="10">
                  <c:v>1.4499999999999999E-2</c:v>
                </c:pt>
                <c:pt idx="11">
                  <c:v>1.4100000000000001E-2</c:v>
                </c:pt>
                <c:pt idx="12">
                  <c:v>1.1899999999999994E-2</c:v>
                </c:pt>
                <c:pt idx="13">
                  <c:v>1.3200000000000003E-2</c:v>
                </c:pt>
                <c:pt idx="14">
                  <c:v>1.26E-2</c:v>
                </c:pt>
                <c:pt idx="15">
                  <c:v>1.4100000000000001E-2</c:v>
                </c:pt>
                <c:pt idx="16">
                  <c:v>1.4600000000000002E-2</c:v>
                </c:pt>
                <c:pt idx="17">
                  <c:v>1.3399999999999995E-2</c:v>
                </c:pt>
                <c:pt idx="18">
                  <c:v>1.6799999999999995E-2</c:v>
                </c:pt>
                <c:pt idx="19">
                  <c:v>2.0099999999999993E-2</c:v>
                </c:pt>
                <c:pt idx="20">
                  <c:v>2.4191666666666646E-2</c:v>
                </c:pt>
                <c:pt idx="21">
                  <c:v>2.5383333333333313E-2</c:v>
                </c:pt>
                <c:pt idx="22">
                  <c:v>2.5933333333333343E-2</c:v>
                </c:pt>
                <c:pt idx="23">
                  <c:v>1.8849999999999992E-2</c:v>
                </c:pt>
                <c:pt idx="24">
                  <c:v>1.3483333333333326E-2</c:v>
                </c:pt>
                <c:pt idx="25">
                  <c:v>1.2791666666666666E-2</c:v>
                </c:pt>
                <c:pt idx="26">
                  <c:v>1.4066666666666658E-2</c:v>
                </c:pt>
                <c:pt idx="27">
                  <c:v>1.490000000000001E-2</c:v>
                </c:pt>
                <c:pt idx="28">
                  <c:v>2.9658333333333328E-2</c:v>
                </c:pt>
                <c:pt idx="29">
                  <c:v>2.9751731672932324E-2</c:v>
                </c:pt>
                <c:pt idx="30">
                  <c:v>1.7089845999803427E-2</c:v>
                </c:pt>
              </c:numCache>
            </c:numRef>
          </c:val>
        </c:ser>
        <c:ser>
          <c:idx val="2"/>
          <c:order val="2"/>
          <c:tx>
            <c:strRef>
              <c:f>'MPG-16'!$N$15</c:f>
              <c:strCache>
                <c:ptCount val="1"/>
                <c:pt idx="0">
                  <c:v>Corporate Aaa - T-Bond Spread</c:v>
                </c:pt>
              </c:strCache>
            </c:strRef>
          </c:tx>
          <c:spPr>
            <a:ln w="127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</c:spPr>
          </c:marker>
          <c:cat>
            <c:numRef>
              <c:f>'MPG-16'!$B$13:$B$43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'MPG-16'!$J$13:$J$43</c:f>
              <c:numCache>
                <c:formatCode>0.00%</c:formatCode>
                <c:ptCount val="31"/>
                <c:pt idx="0">
                  <c:v>6.6999999999999976E-3</c:v>
                </c:pt>
                <c:pt idx="1">
                  <c:v>7.2000000000000119E-3</c:v>
                </c:pt>
                <c:pt idx="2">
                  <c:v>1.0300000000000004E-2</c:v>
                </c:pt>
                <c:pt idx="3">
                  <c:v>8.5999999999999965E-3</c:v>
                </c:pt>
                <c:pt idx="4">
                  <c:v>3.0000000000000165E-3</c:v>
                </c:pt>
                <c:pt idx="5">
                  <c:v>5.7999999999999996E-3</c:v>
                </c:pt>
                <c:pt idx="6">
                  <c:v>1.2399999999999994E-2</c:v>
                </c:pt>
                <c:pt idx="7">
                  <c:v>7.9000000000000042E-3</c:v>
                </c:pt>
                <c:pt idx="8">
                  <c:v>7.4999999999999928E-3</c:v>
                </c:pt>
                <c:pt idx="9">
                  <c:v>8.10000000000001E-3</c:v>
                </c:pt>
                <c:pt idx="10">
                  <c:v>7.1000000000000091E-3</c:v>
                </c:pt>
                <c:pt idx="11">
                  <c:v>6.3E-3</c:v>
                </c:pt>
                <c:pt idx="12">
                  <c:v>4.6999999999999958E-3</c:v>
                </c:pt>
                <c:pt idx="13">
                  <c:v>6.3E-3</c:v>
                </c:pt>
                <c:pt idx="14">
                  <c:v>5.9000000000000025E-3</c:v>
                </c:pt>
                <c:pt idx="15">
                  <c:v>7.0999999999999952E-3</c:v>
                </c:pt>
                <c:pt idx="16">
                  <c:v>6.6000000000000086E-3</c:v>
                </c:pt>
                <c:pt idx="17">
                  <c:v>6.4999999999999919E-3</c:v>
                </c:pt>
                <c:pt idx="18">
                  <c:v>9.4999999999999946E-3</c:v>
                </c:pt>
                <c:pt idx="19">
                  <c:v>1.1700000000000002E-2</c:v>
                </c:pt>
                <c:pt idx="20">
                  <c:v>1.6800000000000002E-2</c:v>
                </c:pt>
                <c:pt idx="21">
                  <c:v>1.5899999999999997E-2</c:v>
                </c:pt>
                <c:pt idx="22">
                  <c:v>1.0600000000000005E-2</c:v>
                </c:pt>
                <c:pt idx="23">
                  <c:v>7.1249999999999925E-3</c:v>
                </c:pt>
                <c:pt idx="24">
                  <c:v>5.8333333333333293E-3</c:v>
                </c:pt>
                <c:pt idx="25">
                  <c:v>5.9416666666666715E-3</c:v>
                </c:pt>
                <c:pt idx="26">
                  <c:v>6.7999999999999935E-3</c:v>
                </c:pt>
                <c:pt idx="27">
                  <c:v>7.1999999999999981E-3</c:v>
                </c:pt>
                <c:pt idx="28">
                  <c:v>1.3499999999999991E-2</c:v>
                </c:pt>
                <c:pt idx="29">
                  <c:v>1.2299999999999991E-2</c:v>
                </c:pt>
                <c:pt idx="30">
                  <c:v>6.9250000000000006E-3</c:v>
                </c:pt>
              </c:numCache>
            </c:numRef>
          </c:val>
        </c:ser>
        <c:ser>
          <c:idx val="3"/>
          <c:order val="3"/>
          <c:tx>
            <c:strRef>
              <c:f>'MPG-16'!$N$16</c:f>
              <c:strCache>
                <c:ptCount val="1"/>
                <c:pt idx="0">
                  <c:v>Corporate Baa - T-Bond Spread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</c:spPr>
          </c:marker>
          <c:cat>
            <c:numRef>
              <c:f>'MPG-16'!$B$13:$B$43</c:f>
              <c:numCache>
                <c:formatCode>General</c:formatCode>
                <c:ptCount val="3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</c:numCache>
            </c:numRef>
          </c:cat>
          <c:val>
            <c:numRef>
              <c:f>'MPG-16'!$K$13:$K$43</c:f>
              <c:numCache>
                <c:formatCode>0.00%</c:formatCode>
                <c:ptCount val="31"/>
                <c:pt idx="0">
                  <c:v>2.3999999999999994E-2</c:v>
                </c:pt>
                <c:pt idx="1">
                  <c:v>2.5900000000000006E-2</c:v>
                </c:pt>
                <c:pt idx="2">
                  <c:v>3.3500000000000002E-2</c:v>
                </c:pt>
                <c:pt idx="3">
                  <c:v>2.3700000000000013E-2</c:v>
                </c:pt>
                <c:pt idx="4">
                  <c:v>1.7799999999999996E-2</c:v>
                </c:pt>
                <c:pt idx="5">
                  <c:v>1.9300000000000012E-2</c:v>
                </c:pt>
                <c:pt idx="6">
                  <c:v>2.6099999999999998E-2</c:v>
                </c:pt>
                <c:pt idx="7">
                  <c:v>1.9900000000000001E-2</c:v>
                </c:pt>
                <c:pt idx="8">
                  <c:v>1.8699999999999994E-2</c:v>
                </c:pt>
                <c:pt idx="9">
                  <c:v>1.730000000000001E-2</c:v>
                </c:pt>
                <c:pt idx="10">
                  <c:v>1.7500000000000002E-2</c:v>
                </c:pt>
                <c:pt idx="11">
                  <c:v>1.6600000000000004E-2</c:v>
                </c:pt>
                <c:pt idx="12">
                  <c:v>1.3100000000000001E-2</c:v>
                </c:pt>
                <c:pt idx="13">
                  <c:v>1.3399999999999995E-2</c:v>
                </c:pt>
                <c:pt idx="14">
                  <c:v>1.2499999999999997E-2</c:v>
                </c:pt>
                <c:pt idx="15">
                  <c:v>1.319999999999999E-2</c:v>
                </c:pt>
                <c:pt idx="16">
                  <c:v>1.3400000000000009E-2</c:v>
                </c:pt>
                <c:pt idx="17">
                  <c:v>1.2499999999999997E-2</c:v>
                </c:pt>
                <c:pt idx="18">
                  <c:v>1.6399999999999998E-2</c:v>
                </c:pt>
                <c:pt idx="19">
                  <c:v>2.0000000000000004E-2</c:v>
                </c:pt>
                <c:pt idx="20">
                  <c:v>2.4199999999999992E-2</c:v>
                </c:pt>
                <c:pt idx="21">
                  <c:v>2.4599999999999997E-2</c:v>
                </c:pt>
                <c:pt idx="22">
                  <c:v>2.3700000000000006E-2</c:v>
                </c:pt>
                <c:pt idx="23">
                  <c:v>1.8124999999999988E-2</c:v>
                </c:pt>
                <c:pt idx="24">
                  <c:v>1.3433333333333332E-2</c:v>
                </c:pt>
                <c:pt idx="25">
                  <c:v>1.4141666666666663E-2</c:v>
                </c:pt>
                <c:pt idx="26">
                  <c:v>1.5700000000000006E-2</c:v>
                </c:pt>
                <c:pt idx="27">
                  <c:v>1.6400000000000012E-2</c:v>
                </c:pt>
                <c:pt idx="28">
                  <c:v>3.1699999999999992E-2</c:v>
                </c:pt>
                <c:pt idx="29">
                  <c:v>3.2199999999999993E-2</c:v>
                </c:pt>
                <c:pt idx="30">
                  <c:v>1.7875000000000009E-2</c:v>
                </c:pt>
              </c:numCache>
            </c:numRef>
          </c:val>
        </c:ser>
        <c:marker val="1"/>
        <c:axId val="158130560"/>
        <c:axId val="158132480"/>
      </c:lineChart>
      <c:catAx>
        <c:axId val="158130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32480"/>
        <c:crosses val="autoZero"/>
        <c:auto val="1"/>
        <c:lblAlgn val="ctr"/>
        <c:lblOffset val="100"/>
        <c:tickLblSkip val="2"/>
        <c:tickMarkSkip val="1"/>
      </c:catAx>
      <c:valAx>
        <c:axId val="15813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13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413081839346353"/>
          <c:y val="0.84202083288774165"/>
          <c:w val="0.71768257781336653"/>
          <c:h val="0.1305590693434450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5514702021122482E-2"/>
          <c:y val="0.19186237589866484"/>
          <c:w val="0.89966345515258062"/>
          <c:h val="0.61971983977210765"/>
        </c:manualLayout>
      </c:layout>
      <c:lineChart>
        <c:grouping val="standard"/>
        <c:ser>
          <c:idx val="1"/>
          <c:order val="0"/>
          <c:tx>
            <c:strRef>
              <c:f>'Workpaper 3'!$D$5</c:f>
              <c:strCache>
                <c:ptCount val="1"/>
                <c:pt idx="0">
                  <c:v>"Baa" Rated Utility Bond Yield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cat>
            <c:strRef>
              <c:f>'Workpaper 3'!$F$6:$F$73</c:f>
              <c:strCache>
                <c:ptCount val="68"/>
                <c:pt idx="0">
                  <c:v>Feb 06</c:v>
                </c:pt>
                <c:pt idx="1">
                  <c:v>Mar 06</c:v>
                </c:pt>
                <c:pt idx="2">
                  <c:v>Apr 06</c:v>
                </c:pt>
                <c:pt idx="3">
                  <c:v>May 06</c:v>
                </c:pt>
                <c:pt idx="4">
                  <c:v>Jun 06</c:v>
                </c:pt>
                <c:pt idx="5">
                  <c:v>Jul 06</c:v>
                </c:pt>
                <c:pt idx="6">
                  <c:v>Aug 06</c:v>
                </c:pt>
                <c:pt idx="7">
                  <c:v>Sep 06</c:v>
                </c:pt>
                <c:pt idx="8">
                  <c:v>Oct 06</c:v>
                </c:pt>
                <c:pt idx="9">
                  <c:v>Nov 06</c:v>
                </c:pt>
                <c:pt idx="10">
                  <c:v>Dec 06</c:v>
                </c:pt>
                <c:pt idx="11">
                  <c:v>Jan 07</c:v>
                </c:pt>
                <c:pt idx="12">
                  <c:v>Feb 07</c:v>
                </c:pt>
                <c:pt idx="13">
                  <c:v>Mar 07</c:v>
                </c:pt>
                <c:pt idx="14">
                  <c:v>Apr 07</c:v>
                </c:pt>
                <c:pt idx="15">
                  <c:v>May 07</c:v>
                </c:pt>
                <c:pt idx="16">
                  <c:v>Jun 07</c:v>
                </c:pt>
                <c:pt idx="17">
                  <c:v>Jul 07</c:v>
                </c:pt>
                <c:pt idx="18">
                  <c:v>Aug 07</c:v>
                </c:pt>
                <c:pt idx="19">
                  <c:v>Sep 07</c:v>
                </c:pt>
                <c:pt idx="20">
                  <c:v>Oct 07</c:v>
                </c:pt>
                <c:pt idx="21">
                  <c:v>Nov 07</c:v>
                </c:pt>
                <c:pt idx="22">
                  <c:v>Dec 07</c:v>
                </c:pt>
                <c:pt idx="23">
                  <c:v>Jan 08</c:v>
                </c:pt>
                <c:pt idx="24">
                  <c:v>Feb 08</c:v>
                </c:pt>
                <c:pt idx="25">
                  <c:v>Mar 08</c:v>
                </c:pt>
                <c:pt idx="26">
                  <c:v>Apr 08</c:v>
                </c:pt>
                <c:pt idx="27">
                  <c:v>May 08</c:v>
                </c:pt>
                <c:pt idx="28">
                  <c:v>Jun 08</c:v>
                </c:pt>
                <c:pt idx="29">
                  <c:v>Jul 08</c:v>
                </c:pt>
                <c:pt idx="30">
                  <c:v>Aug 08</c:v>
                </c:pt>
                <c:pt idx="31">
                  <c:v>Sep 08</c:v>
                </c:pt>
                <c:pt idx="32">
                  <c:v>Oct 08</c:v>
                </c:pt>
                <c:pt idx="33">
                  <c:v>Nov 08</c:v>
                </c:pt>
                <c:pt idx="34">
                  <c:v>Dec 08</c:v>
                </c:pt>
                <c:pt idx="35">
                  <c:v>Jan 09</c:v>
                </c:pt>
                <c:pt idx="36">
                  <c:v>Feb 09</c:v>
                </c:pt>
                <c:pt idx="37">
                  <c:v>Mar 09</c:v>
                </c:pt>
                <c:pt idx="38">
                  <c:v>Apr 09</c:v>
                </c:pt>
                <c:pt idx="39">
                  <c:v>May 09</c:v>
                </c:pt>
                <c:pt idx="40">
                  <c:v>Jun 09</c:v>
                </c:pt>
                <c:pt idx="41">
                  <c:v>Jul 09</c:v>
                </c:pt>
                <c:pt idx="42">
                  <c:v>Aug 09</c:v>
                </c:pt>
                <c:pt idx="43">
                  <c:v>Sep 09</c:v>
                </c:pt>
                <c:pt idx="44">
                  <c:v>Oct 09</c:v>
                </c:pt>
                <c:pt idx="45">
                  <c:v>Nov 09</c:v>
                </c:pt>
                <c:pt idx="46">
                  <c:v>Dec 09</c:v>
                </c:pt>
                <c:pt idx="47">
                  <c:v>Jan 10</c:v>
                </c:pt>
                <c:pt idx="48">
                  <c:v>Feb 10</c:v>
                </c:pt>
                <c:pt idx="49">
                  <c:v>Mar 10</c:v>
                </c:pt>
                <c:pt idx="50">
                  <c:v>Apr 10</c:v>
                </c:pt>
                <c:pt idx="51">
                  <c:v>May 10</c:v>
                </c:pt>
                <c:pt idx="52">
                  <c:v>Jun 10</c:v>
                </c:pt>
                <c:pt idx="53">
                  <c:v>Jul 10</c:v>
                </c:pt>
                <c:pt idx="54">
                  <c:v>Aug 10</c:v>
                </c:pt>
                <c:pt idx="55">
                  <c:v>Sep 10</c:v>
                </c:pt>
                <c:pt idx="56">
                  <c:v>Oct 10</c:v>
                </c:pt>
                <c:pt idx="57">
                  <c:v>Nov 10</c:v>
                </c:pt>
                <c:pt idx="58">
                  <c:v>Dec 10</c:v>
                </c:pt>
                <c:pt idx="59">
                  <c:v>Jan 11</c:v>
                </c:pt>
                <c:pt idx="60">
                  <c:v>Feb 11</c:v>
                </c:pt>
                <c:pt idx="61">
                  <c:v>Mar 11</c:v>
                </c:pt>
                <c:pt idx="62">
                  <c:v>Apr 11</c:v>
                </c:pt>
                <c:pt idx="63">
                  <c:v>May 11</c:v>
                </c:pt>
                <c:pt idx="64">
                  <c:v>Jun 11</c:v>
                </c:pt>
                <c:pt idx="65">
                  <c:v>Jul 11</c:v>
                </c:pt>
                <c:pt idx="66">
                  <c:v>Aug 11</c:v>
                </c:pt>
                <c:pt idx="67">
                  <c:v>Sep 11</c:v>
                </c:pt>
              </c:strCache>
            </c:strRef>
          </c:cat>
          <c:val>
            <c:numRef>
              <c:f>'Workpaper 3'!$D$6:$D$73</c:f>
              <c:numCache>
                <c:formatCode>0.00%</c:formatCode>
                <c:ptCount val="68"/>
                <c:pt idx="0">
                  <c:v>6.1100000000000002E-2</c:v>
                </c:pt>
                <c:pt idx="1">
                  <c:v>6.2600000000000003E-2</c:v>
                </c:pt>
                <c:pt idx="2">
                  <c:v>6.54E-2</c:v>
                </c:pt>
                <c:pt idx="3">
                  <c:v>6.59E-2</c:v>
                </c:pt>
                <c:pt idx="4">
                  <c:v>6.6100000000000006E-2</c:v>
                </c:pt>
                <c:pt idx="5">
                  <c:v>6.6100000000000006E-2</c:v>
                </c:pt>
                <c:pt idx="6">
                  <c:v>6.4299999999999996E-2</c:v>
                </c:pt>
                <c:pt idx="7">
                  <c:v>6.2600000000000003E-2</c:v>
                </c:pt>
                <c:pt idx="8">
                  <c:v>6.2400000000000004E-2</c:v>
                </c:pt>
                <c:pt idx="9">
                  <c:v>6.0400000000000002E-2</c:v>
                </c:pt>
                <c:pt idx="10">
                  <c:v>6.0499999999999998E-2</c:v>
                </c:pt>
                <c:pt idx="11">
                  <c:v>6.1600000000000002E-2</c:v>
                </c:pt>
                <c:pt idx="12">
                  <c:v>6.0999999999999999E-2</c:v>
                </c:pt>
                <c:pt idx="13">
                  <c:v>6.0999999999999999E-2</c:v>
                </c:pt>
                <c:pt idx="14">
                  <c:v>6.2400000000000004E-2</c:v>
                </c:pt>
                <c:pt idx="15">
                  <c:v>6.2300000000000001E-2</c:v>
                </c:pt>
                <c:pt idx="16">
                  <c:v>6.54E-2</c:v>
                </c:pt>
                <c:pt idx="17">
                  <c:v>6.4899999999999999E-2</c:v>
                </c:pt>
                <c:pt idx="18">
                  <c:v>6.5099999999999991E-2</c:v>
                </c:pt>
                <c:pt idx="19">
                  <c:v>6.4500000000000002E-2</c:v>
                </c:pt>
                <c:pt idx="20">
                  <c:v>6.3600000000000004E-2</c:v>
                </c:pt>
                <c:pt idx="21">
                  <c:v>6.2699999999999992E-2</c:v>
                </c:pt>
                <c:pt idx="22">
                  <c:v>6.5099999999999991E-2</c:v>
                </c:pt>
                <c:pt idx="23">
                  <c:v>6.3500000000000001E-2</c:v>
                </c:pt>
                <c:pt idx="24">
                  <c:v>6.6000000000000003E-2</c:v>
                </c:pt>
                <c:pt idx="25">
                  <c:v>6.6799999999999998E-2</c:v>
                </c:pt>
                <c:pt idx="26">
                  <c:v>6.8099999999999994E-2</c:v>
                </c:pt>
                <c:pt idx="27">
                  <c:v>6.7900000000000002E-2</c:v>
                </c:pt>
                <c:pt idx="28">
                  <c:v>6.93E-2</c:v>
                </c:pt>
                <c:pt idx="29">
                  <c:v>6.9699999999999998E-2</c:v>
                </c:pt>
                <c:pt idx="30">
                  <c:v>6.9800000000000001E-2</c:v>
                </c:pt>
                <c:pt idx="31">
                  <c:v>7.1500000000000008E-2</c:v>
                </c:pt>
                <c:pt idx="32">
                  <c:v>8.5800000000000001E-2</c:v>
                </c:pt>
                <c:pt idx="33">
                  <c:v>8.9800000000000005E-2</c:v>
                </c:pt>
                <c:pt idx="34">
                  <c:v>8.1300000000000011E-2</c:v>
                </c:pt>
                <c:pt idx="35">
                  <c:v>7.9000000000000001E-2</c:v>
                </c:pt>
                <c:pt idx="36">
                  <c:v>7.7399999999999997E-2</c:v>
                </c:pt>
                <c:pt idx="37">
                  <c:v>0.08</c:v>
                </c:pt>
                <c:pt idx="38">
                  <c:v>8.0299999999999996E-2</c:v>
                </c:pt>
                <c:pt idx="39">
                  <c:v>7.7600000000000002E-2</c:v>
                </c:pt>
                <c:pt idx="40">
                  <c:v>7.2999999999999995E-2</c:v>
                </c:pt>
                <c:pt idx="41">
                  <c:v>6.8699999999999997E-2</c:v>
                </c:pt>
                <c:pt idx="42">
                  <c:v>6.3600000000000004E-2</c:v>
                </c:pt>
                <c:pt idx="43">
                  <c:v>6.1185714285714302E-2</c:v>
                </c:pt>
                <c:pt idx="44">
                  <c:v>6.1340000000000006E-2</c:v>
                </c:pt>
                <c:pt idx="45">
                  <c:v>6.186875E-2</c:v>
                </c:pt>
                <c:pt idx="46">
                  <c:v>6.2626315789473697E-2</c:v>
                </c:pt>
                <c:pt idx="47">
                  <c:v>6.1557894736842096E-2</c:v>
                </c:pt>
                <c:pt idx="48">
                  <c:v>6.2463157894736901E-2</c:v>
                </c:pt>
                <c:pt idx="49">
                  <c:v>6.2204761904761895E-2</c:v>
                </c:pt>
                <c:pt idx="50">
                  <c:v>6.1880952380952384E-2</c:v>
                </c:pt>
                <c:pt idx="51">
                  <c:v>5.9663157894736842E-2</c:v>
                </c:pt>
                <c:pt idx="52">
                  <c:v>6.1799999999999994E-2</c:v>
                </c:pt>
                <c:pt idx="53">
                  <c:v>5.9800000000000006E-2</c:v>
                </c:pt>
                <c:pt idx="54">
                  <c:v>5.5500000000000001E-2</c:v>
                </c:pt>
                <c:pt idx="55">
                  <c:v>5.5319047619047615E-2</c:v>
                </c:pt>
                <c:pt idx="56">
                  <c:v>5.6064705882352947E-2</c:v>
                </c:pt>
                <c:pt idx="57">
                  <c:v>5.8489473684210536E-2</c:v>
                </c:pt>
                <c:pt idx="58">
                  <c:v>6.0434999999999996E-2</c:v>
                </c:pt>
                <c:pt idx="59">
                  <c:v>6.0584210526315789E-2</c:v>
                </c:pt>
                <c:pt idx="60">
                  <c:v>6.094999999999999E-2</c:v>
                </c:pt>
                <c:pt idx="61">
                  <c:v>5.9752380952380967E-2</c:v>
                </c:pt>
                <c:pt idx="62">
                  <c:v>5.9805555555555563E-2</c:v>
                </c:pt>
                <c:pt idx="63">
                  <c:v>5.737222222222222E-2</c:v>
                </c:pt>
                <c:pt idx="64">
                  <c:v>5.6455000000000012E-2</c:v>
                </c:pt>
                <c:pt idx="65">
                  <c:v>5.6944444444444436E-2</c:v>
                </c:pt>
                <c:pt idx="66">
                  <c:v>5.2239130434782607E-2</c:v>
                </c:pt>
                <c:pt idx="67">
                  <c:v>5.10764705882353E-2</c:v>
                </c:pt>
              </c:numCache>
            </c:numRef>
          </c:val>
        </c:ser>
        <c:ser>
          <c:idx val="0"/>
          <c:order val="1"/>
          <c:tx>
            <c:strRef>
              <c:f>'Workpaper 3'!$C$4</c:f>
              <c:strCache>
                <c:ptCount val="1"/>
                <c:pt idx="0">
                  <c:v>"A" Rated Utility Bond Yield</c:v>
                </c:pt>
              </c:strCache>
            </c:strRef>
          </c:tx>
          <c:spPr>
            <a:ln w="12700"/>
          </c:spPr>
          <c:marker>
            <c:symbol val="triangle"/>
            <c:size val="3"/>
            <c:spPr>
              <a:noFill/>
            </c:spPr>
          </c:marker>
          <c:cat>
            <c:strRef>
              <c:f>'Workpaper 3'!$F$6:$F$73</c:f>
              <c:strCache>
                <c:ptCount val="68"/>
                <c:pt idx="0">
                  <c:v>Feb 06</c:v>
                </c:pt>
                <c:pt idx="1">
                  <c:v>Mar 06</c:v>
                </c:pt>
                <c:pt idx="2">
                  <c:v>Apr 06</c:v>
                </c:pt>
                <c:pt idx="3">
                  <c:v>May 06</c:v>
                </c:pt>
                <c:pt idx="4">
                  <c:v>Jun 06</c:v>
                </c:pt>
                <c:pt idx="5">
                  <c:v>Jul 06</c:v>
                </c:pt>
                <c:pt idx="6">
                  <c:v>Aug 06</c:v>
                </c:pt>
                <c:pt idx="7">
                  <c:v>Sep 06</c:v>
                </c:pt>
                <c:pt idx="8">
                  <c:v>Oct 06</c:v>
                </c:pt>
                <c:pt idx="9">
                  <c:v>Nov 06</c:v>
                </c:pt>
                <c:pt idx="10">
                  <c:v>Dec 06</c:v>
                </c:pt>
                <c:pt idx="11">
                  <c:v>Jan 07</c:v>
                </c:pt>
                <c:pt idx="12">
                  <c:v>Feb 07</c:v>
                </c:pt>
                <c:pt idx="13">
                  <c:v>Mar 07</c:v>
                </c:pt>
                <c:pt idx="14">
                  <c:v>Apr 07</c:v>
                </c:pt>
                <c:pt idx="15">
                  <c:v>May 07</c:v>
                </c:pt>
                <c:pt idx="16">
                  <c:v>Jun 07</c:v>
                </c:pt>
                <c:pt idx="17">
                  <c:v>Jul 07</c:v>
                </c:pt>
                <c:pt idx="18">
                  <c:v>Aug 07</c:v>
                </c:pt>
                <c:pt idx="19">
                  <c:v>Sep 07</c:v>
                </c:pt>
                <c:pt idx="20">
                  <c:v>Oct 07</c:v>
                </c:pt>
                <c:pt idx="21">
                  <c:v>Nov 07</c:v>
                </c:pt>
                <c:pt idx="22">
                  <c:v>Dec 07</c:v>
                </c:pt>
                <c:pt idx="23">
                  <c:v>Jan 08</c:v>
                </c:pt>
                <c:pt idx="24">
                  <c:v>Feb 08</c:v>
                </c:pt>
                <c:pt idx="25">
                  <c:v>Mar 08</c:v>
                </c:pt>
                <c:pt idx="26">
                  <c:v>Apr 08</c:v>
                </c:pt>
                <c:pt idx="27">
                  <c:v>May 08</c:v>
                </c:pt>
                <c:pt idx="28">
                  <c:v>Jun 08</c:v>
                </c:pt>
                <c:pt idx="29">
                  <c:v>Jul 08</c:v>
                </c:pt>
                <c:pt idx="30">
                  <c:v>Aug 08</c:v>
                </c:pt>
                <c:pt idx="31">
                  <c:v>Sep 08</c:v>
                </c:pt>
                <c:pt idx="32">
                  <c:v>Oct 08</c:v>
                </c:pt>
                <c:pt idx="33">
                  <c:v>Nov 08</c:v>
                </c:pt>
                <c:pt idx="34">
                  <c:v>Dec 08</c:v>
                </c:pt>
                <c:pt idx="35">
                  <c:v>Jan 09</c:v>
                </c:pt>
                <c:pt idx="36">
                  <c:v>Feb 09</c:v>
                </c:pt>
                <c:pt idx="37">
                  <c:v>Mar 09</c:v>
                </c:pt>
                <c:pt idx="38">
                  <c:v>Apr 09</c:v>
                </c:pt>
                <c:pt idx="39">
                  <c:v>May 09</c:v>
                </c:pt>
                <c:pt idx="40">
                  <c:v>Jun 09</c:v>
                </c:pt>
                <c:pt idx="41">
                  <c:v>Jul 09</c:v>
                </c:pt>
                <c:pt idx="42">
                  <c:v>Aug 09</c:v>
                </c:pt>
                <c:pt idx="43">
                  <c:v>Sep 09</c:v>
                </c:pt>
                <c:pt idx="44">
                  <c:v>Oct 09</c:v>
                </c:pt>
                <c:pt idx="45">
                  <c:v>Nov 09</c:v>
                </c:pt>
                <c:pt idx="46">
                  <c:v>Dec 09</c:v>
                </c:pt>
                <c:pt idx="47">
                  <c:v>Jan 10</c:v>
                </c:pt>
                <c:pt idx="48">
                  <c:v>Feb 10</c:v>
                </c:pt>
                <c:pt idx="49">
                  <c:v>Mar 10</c:v>
                </c:pt>
                <c:pt idx="50">
                  <c:v>Apr 10</c:v>
                </c:pt>
                <c:pt idx="51">
                  <c:v>May 10</c:v>
                </c:pt>
                <c:pt idx="52">
                  <c:v>Jun 10</c:v>
                </c:pt>
                <c:pt idx="53">
                  <c:v>Jul 10</c:v>
                </c:pt>
                <c:pt idx="54">
                  <c:v>Aug 10</c:v>
                </c:pt>
                <c:pt idx="55">
                  <c:v>Sep 10</c:v>
                </c:pt>
                <c:pt idx="56">
                  <c:v>Oct 10</c:v>
                </c:pt>
                <c:pt idx="57">
                  <c:v>Nov 10</c:v>
                </c:pt>
                <c:pt idx="58">
                  <c:v>Dec 10</c:v>
                </c:pt>
                <c:pt idx="59">
                  <c:v>Jan 11</c:v>
                </c:pt>
                <c:pt idx="60">
                  <c:v>Feb 11</c:v>
                </c:pt>
                <c:pt idx="61">
                  <c:v>Mar 11</c:v>
                </c:pt>
                <c:pt idx="62">
                  <c:v>Apr 11</c:v>
                </c:pt>
                <c:pt idx="63">
                  <c:v>May 11</c:v>
                </c:pt>
                <c:pt idx="64">
                  <c:v>Jun 11</c:v>
                </c:pt>
                <c:pt idx="65">
                  <c:v>Jul 11</c:v>
                </c:pt>
                <c:pt idx="66">
                  <c:v>Aug 11</c:v>
                </c:pt>
                <c:pt idx="67">
                  <c:v>Sep 11</c:v>
                </c:pt>
              </c:strCache>
            </c:strRef>
          </c:cat>
          <c:val>
            <c:numRef>
              <c:f>'Workpaper 3'!$C$6:$C$73</c:f>
              <c:numCache>
                <c:formatCode>0.00%</c:formatCode>
                <c:ptCount val="68"/>
                <c:pt idx="0">
                  <c:v>5.8200000000000002E-2</c:v>
                </c:pt>
                <c:pt idx="1">
                  <c:v>5.9800000000000006E-2</c:v>
                </c:pt>
                <c:pt idx="2">
                  <c:v>6.2899999999999998E-2</c:v>
                </c:pt>
                <c:pt idx="3">
                  <c:v>6.4199999999999993E-2</c:v>
                </c:pt>
                <c:pt idx="4">
                  <c:v>6.4000000000000001E-2</c:v>
                </c:pt>
                <c:pt idx="5">
                  <c:v>6.3700000000000007E-2</c:v>
                </c:pt>
                <c:pt idx="6">
                  <c:v>6.2E-2</c:v>
                </c:pt>
                <c:pt idx="7">
                  <c:v>0.06</c:v>
                </c:pt>
                <c:pt idx="8">
                  <c:v>5.9800000000000006E-2</c:v>
                </c:pt>
                <c:pt idx="9">
                  <c:v>5.7999999999999996E-2</c:v>
                </c:pt>
                <c:pt idx="10">
                  <c:v>5.8099999999999999E-2</c:v>
                </c:pt>
                <c:pt idx="11">
                  <c:v>5.96E-2</c:v>
                </c:pt>
                <c:pt idx="12">
                  <c:v>5.9000000000000004E-2</c:v>
                </c:pt>
                <c:pt idx="13">
                  <c:v>5.8499999999999996E-2</c:v>
                </c:pt>
                <c:pt idx="14">
                  <c:v>5.9699999999999996E-2</c:v>
                </c:pt>
                <c:pt idx="15">
                  <c:v>5.9900000000000002E-2</c:v>
                </c:pt>
                <c:pt idx="16">
                  <c:v>6.3E-2</c:v>
                </c:pt>
                <c:pt idx="17">
                  <c:v>6.25E-2</c:v>
                </c:pt>
                <c:pt idx="18">
                  <c:v>6.2400000000000004E-2</c:v>
                </c:pt>
                <c:pt idx="19">
                  <c:v>6.1799999999999994E-2</c:v>
                </c:pt>
                <c:pt idx="20">
                  <c:v>6.1100000000000002E-2</c:v>
                </c:pt>
                <c:pt idx="21">
                  <c:v>5.9699999999999996E-2</c:v>
                </c:pt>
                <c:pt idx="22">
                  <c:v>6.1600000000000002E-2</c:v>
                </c:pt>
                <c:pt idx="23">
                  <c:v>6.0199999999999997E-2</c:v>
                </c:pt>
                <c:pt idx="24">
                  <c:v>6.2100000000000002E-2</c:v>
                </c:pt>
                <c:pt idx="25">
                  <c:v>6.2100000000000002E-2</c:v>
                </c:pt>
                <c:pt idx="26">
                  <c:v>6.2899999999999998E-2</c:v>
                </c:pt>
                <c:pt idx="27">
                  <c:v>6.2699999999999992E-2</c:v>
                </c:pt>
                <c:pt idx="28">
                  <c:v>6.3799999999999996E-2</c:v>
                </c:pt>
                <c:pt idx="29">
                  <c:v>6.4000000000000001E-2</c:v>
                </c:pt>
                <c:pt idx="30">
                  <c:v>6.3700000000000007E-2</c:v>
                </c:pt>
                <c:pt idx="31">
                  <c:v>6.4899999999999999E-2</c:v>
                </c:pt>
                <c:pt idx="32">
                  <c:v>7.5600000000000001E-2</c:v>
                </c:pt>
                <c:pt idx="33">
                  <c:v>7.5999999999999998E-2</c:v>
                </c:pt>
                <c:pt idx="34">
                  <c:v>6.54E-2</c:v>
                </c:pt>
                <c:pt idx="35">
                  <c:v>6.3899999999999998E-2</c:v>
                </c:pt>
                <c:pt idx="36">
                  <c:v>6.3E-2</c:v>
                </c:pt>
                <c:pt idx="37">
                  <c:v>6.4199999999999993E-2</c:v>
                </c:pt>
                <c:pt idx="38">
                  <c:v>6.480000000000001E-2</c:v>
                </c:pt>
                <c:pt idx="39">
                  <c:v>6.4899999999999999E-2</c:v>
                </c:pt>
                <c:pt idx="40">
                  <c:v>6.2E-2</c:v>
                </c:pt>
                <c:pt idx="41">
                  <c:v>5.9699999999999996E-2</c:v>
                </c:pt>
                <c:pt idx="42">
                  <c:v>5.7099999999999998E-2</c:v>
                </c:pt>
                <c:pt idx="43">
                  <c:v>5.5304761904761898E-2</c:v>
                </c:pt>
                <c:pt idx="44">
                  <c:v>5.5374999999999994E-2</c:v>
                </c:pt>
                <c:pt idx="45">
                  <c:v>5.6381249999999994E-2</c:v>
                </c:pt>
                <c:pt idx="46">
                  <c:v>5.7747368421052603E-2</c:v>
                </c:pt>
                <c:pt idx="47">
                  <c:v>5.7726315789473695E-2</c:v>
                </c:pt>
                <c:pt idx="48">
                  <c:v>5.8705263157894698E-2</c:v>
                </c:pt>
                <c:pt idx="49">
                  <c:v>5.8409523809523793E-2</c:v>
                </c:pt>
                <c:pt idx="50">
                  <c:v>5.8099999999999999E-2</c:v>
                </c:pt>
                <c:pt idx="51">
                  <c:v>5.5E-2</c:v>
                </c:pt>
                <c:pt idx="52">
                  <c:v>5.4600000000000003E-2</c:v>
                </c:pt>
                <c:pt idx="53">
                  <c:v>5.2600000000000001E-2</c:v>
                </c:pt>
                <c:pt idx="54">
                  <c:v>5.0070588235294117E-2</c:v>
                </c:pt>
                <c:pt idx="55">
                  <c:v>5.0095238095238089E-2</c:v>
                </c:pt>
                <c:pt idx="56">
                  <c:v>5.0888235294117651E-2</c:v>
                </c:pt>
                <c:pt idx="57">
                  <c:v>5.361052631578947E-2</c:v>
                </c:pt>
                <c:pt idx="58">
                  <c:v>5.5544999999999997E-2</c:v>
                </c:pt>
                <c:pt idx="59">
                  <c:v>5.5684210526315801E-2</c:v>
                </c:pt>
                <c:pt idx="60">
                  <c:v>5.670625E-2</c:v>
                </c:pt>
                <c:pt idx="61">
                  <c:v>5.56809523809524E-2</c:v>
                </c:pt>
                <c:pt idx="62">
                  <c:v>5.552222222222223E-2</c:v>
                </c:pt>
                <c:pt idx="63">
                  <c:v>5.3161111111111124E-2</c:v>
                </c:pt>
                <c:pt idx="64">
                  <c:v>5.2765000000000006E-2</c:v>
                </c:pt>
                <c:pt idx="65">
                  <c:v>5.2594444444444451E-2</c:v>
                </c:pt>
                <c:pt idx="66">
                  <c:v>4.6891304347826089E-2</c:v>
                </c:pt>
                <c:pt idx="67">
                  <c:v>4.4835294117647057E-2</c:v>
                </c:pt>
              </c:numCache>
            </c:numRef>
          </c:val>
        </c:ser>
        <c:ser>
          <c:idx val="2"/>
          <c:order val="2"/>
          <c:tx>
            <c:strRef>
              <c:f>'Workpaper 3'!$B$3</c:f>
              <c:strCache>
                <c:ptCount val="1"/>
                <c:pt idx="0">
                  <c:v>30-Year Treasury Bond</c:v>
                </c:pt>
              </c:strCache>
            </c:strRef>
          </c:tx>
          <c:spPr>
            <a:ln w="12700"/>
          </c:spPr>
          <c:cat>
            <c:strRef>
              <c:f>'Workpaper 3'!$F$6:$F$73</c:f>
              <c:strCache>
                <c:ptCount val="68"/>
                <c:pt idx="0">
                  <c:v>Feb 06</c:v>
                </c:pt>
                <c:pt idx="1">
                  <c:v>Mar 06</c:v>
                </c:pt>
                <c:pt idx="2">
                  <c:v>Apr 06</c:v>
                </c:pt>
                <c:pt idx="3">
                  <c:v>May 06</c:v>
                </c:pt>
                <c:pt idx="4">
                  <c:v>Jun 06</c:v>
                </c:pt>
                <c:pt idx="5">
                  <c:v>Jul 06</c:v>
                </c:pt>
                <c:pt idx="6">
                  <c:v>Aug 06</c:v>
                </c:pt>
                <c:pt idx="7">
                  <c:v>Sep 06</c:v>
                </c:pt>
                <c:pt idx="8">
                  <c:v>Oct 06</c:v>
                </c:pt>
                <c:pt idx="9">
                  <c:v>Nov 06</c:v>
                </c:pt>
                <c:pt idx="10">
                  <c:v>Dec 06</c:v>
                </c:pt>
                <c:pt idx="11">
                  <c:v>Jan 07</c:v>
                </c:pt>
                <c:pt idx="12">
                  <c:v>Feb 07</c:v>
                </c:pt>
                <c:pt idx="13">
                  <c:v>Mar 07</c:v>
                </c:pt>
                <c:pt idx="14">
                  <c:v>Apr 07</c:v>
                </c:pt>
                <c:pt idx="15">
                  <c:v>May 07</c:v>
                </c:pt>
                <c:pt idx="16">
                  <c:v>Jun 07</c:v>
                </c:pt>
                <c:pt idx="17">
                  <c:v>Jul 07</c:v>
                </c:pt>
                <c:pt idx="18">
                  <c:v>Aug 07</c:v>
                </c:pt>
                <c:pt idx="19">
                  <c:v>Sep 07</c:v>
                </c:pt>
                <c:pt idx="20">
                  <c:v>Oct 07</c:v>
                </c:pt>
                <c:pt idx="21">
                  <c:v>Nov 07</c:v>
                </c:pt>
                <c:pt idx="22">
                  <c:v>Dec 07</c:v>
                </c:pt>
                <c:pt idx="23">
                  <c:v>Jan 08</c:v>
                </c:pt>
                <c:pt idx="24">
                  <c:v>Feb 08</c:v>
                </c:pt>
                <c:pt idx="25">
                  <c:v>Mar 08</c:v>
                </c:pt>
                <c:pt idx="26">
                  <c:v>Apr 08</c:v>
                </c:pt>
                <c:pt idx="27">
                  <c:v>May 08</c:v>
                </c:pt>
                <c:pt idx="28">
                  <c:v>Jun 08</c:v>
                </c:pt>
                <c:pt idx="29">
                  <c:v>Jul 08</c:v>
                </c:pt>
                <c:pt idx="30">
                  <c:v>Aug 08</c:v>
                </c:pt>
                <c:pt idx="31">
                  <c:v>Sep 08</c:v>
                </c:pt>
                <c:pt idx="32">
                  <c:v>Oct 08</c:v>
                </c:pt>
                <c:pt idx="33">
                  <c:v>Nov 08</c:v>
                </c:pt>
                <c:pt idx="34">
                  <c:v>Dec 08</c:v>
                </c:pt>
                <c:pt idx="35">
                  <c:v>Jan 09</c:v>
                </c:pt>
                <c:pt idx="36">
                  <c:v>Feb 09</c:v>
                </c:pt>
                <c:pt idx="37">
                  <c:v>Mar 09</c:v>
                </c:pt>
                <c:pt idx="38">
                  <c:v>Apr 09</c:v>
                </c:pt>
                <c:pt idx="39">
                  <c:v>May 09</c:v>
                </c:pt>
                <c:pt idx="40">
                  <c:v>Jun 09</c:v>
                </c:pt>
                <c:pt idx="41">
                  <c:v>Jul 09</c:v>
                </c:pt>
                <c:pt idx="42">
                  <c:v>Aug 09</c:v>
                </c:pt>
                <c:pt idx="43">
                  <c:v>Sep 09</c:v>
                </c:pt>
                <c:pt idx="44">
                  <c:v>Oct 09</c:v>
                </c:pt>
                <c:pt idx="45">
                  <c:v>Nov 09</c:v>
                </c:pt>
                <c:pt idx="46">
                  <c:v>Dec 09</c:v>
                </c:pt>
                <c:pt idx="47">
                  <c:v>Jan 10</c:v>
                </c:pt>
                <c:pt idx="48">
                  <c:v>Feb 10</c:v>
                </c:pt>
                <c:pt idx="49">
                  <c:v>Mar 10</c:v>
                </c:pt>
                <c:pt idx="50">
                  <c:v>Apr 10</c:v>
                </c:pt>
                <c:pt idx="51">
                  <c:v>May 10</c:v>
                </c:pt>
                <c:pt idx="52">
                  <c:v>Jun 10</c:v>
                </c:pt>
                <c:pt idx="53">
                  <c:v>Jul 10</c:v>
                </c:pt>
                <c:pt idx="54">
                  <c:v>Aug 10</c:v>
                </c:pt>
                <c:pt idx="55">
                  <c:v>Sep 10</c:v>
                </c:pt>
                <c:pt idx="56">
                  <c:v>Oct 10</c:v>
                </c:pt>
                <c:pt idx="57">
                  <c:v>Nov 10</c:v>
                </c:pt>
                <c:pt idx="58">
                  <c:v>Dec 10</c:v>
                </c:pt>
                <c:pt idx="59">
                  <c:v>Jan 11</c:v>
                </c:pt>
                <c:pt idx="60">
                  <c:v>Feb 11</c:v>
                </c:pt>
                <c:pt idx="61">
                  <c:v>Mar 11</c:v>
                </c:pt>
                <c:pt idx="62">
                  <c:v>Apr 11</c:v>
                </c:pt>
                <c:pt idx="63">
                  <c:v>May 11</c:v>
                </c:pt>
                <c:pt idx="64">
                  <c:v>Jun 11</c:v>
                </c:pt>
                <c:pt idx="65">
                  <c:v>Jul 11</c:v>
                </c:pt>
                <c:pt idx="66">
                  <c:v>Aug 11</c:v>
                </c:pt>
                <c:pt idx="67">
                  <c:v>Sep 11</c:v>
                </c:pt>
              </c:strCache>
            </c:strRef>
          </c:cat>
          <c:val>
            <c:numRef>
              <c:f>'Workpaper 3'!$B$6:$B$73</c:f>
              <c:numCache>
                <c:formatCode>0.00%</c:formatCode>
                <c:ptCount val="68"/>
                <c:pt idx="0">
                  <c:v>4.5400000000000003E-2</c:v>
                </c:pt>
                <c:pt idx="1">
                  <c:v>4.7300000000000002E-2</c:v>
                </c:pt>
                <c:pt idx="2">
                  <c:v>5.0599999999999999E-2</c:v>
                </c:pt>
                <c:pt idx="3">
                  <c:v>5.2000000000000005E-2</c:v>
                </c:pt>
                <c:pt idx="4">
                  <c:v>5.1500000000000004E-2</c:v>
                </c:pt>
                <c:pt idx="5">
                  <c:v>5.1299999999999998E-2</c:v>
                </c:pt>
                <c:pt idx="6">
                  <c:v>0.05</c:v>
                </c:pt>
                <c:pt idx="7">
                  <c:v>4.8499999999999995E-2</c:v>
                </c:pt>
                <c:pt idx="8">
                  <c:v>4.8499999999999995E-2</c:v>
                </c:pt>
                <c:pt idx="9">
                  <c:v>4.6900000000000004E-2</c:v>
                </c:pt>
                <c:pt idx="10">
                  <c:v>4.6799999999999994E-2</c:v>
                </c:pt>
                <c:pt idx="11">
                  <c:v>4.8499999999999995E-2</c:v>
                </c:pt>
                <c:pt idx="12">
                  <c:v>4.82E-2</c:v>
                </c:pt>
                <c:pt idx="13">
                  <c:v>4.7199999999999999E-2</c:v>
                </c:pt>
                <c:pt idx="14">
                  <c:v>4.87E-2</c:v>
                </c:pt>
                <c:pt idx="15">
                  <c:v>4.9000000000000002E-2</c:v>
                </c:pt>
                <c:pt idx="16">
                  <c:v>5.2000000000000005E-2</c:v>
                </c:pt>
                <c:pt idx="17">
                  <c:v>5.1100000000000007E-2</c:v>
                </c:pt>
                <c:pt idx="18">
                  <c:v>4.9299999999999997E-2</c:v>
                </c:pt>
                <c:pt idx="19">
                  <c:v>4.7899999999999998E-2</c:v>
                </c:pt>
                <c:pt idx="20">
                  <c:v>4.7699999999999992E-2</c:v>
                </c:pt>
                <c:pt idx="21">
                  <c:v>4.5199999999999997E-2</c:v>
                </c:pt>
                <c:pt idx="22">
                  <c:v>4.53E-2</c:v>
                </c:pt>
                <c:pt idx="23">
                  <c:v>4.3299999999999998E-2</c:v>
                </c:pt>
                <c:pt idx="24">
                  <c:v>4.5199999999999997E-2</c:v>
                </c:pt>
                <c:pt idx="25">
                  <c:v>4.3899999999999995E-2</c:v>
                </c:pt>
                <c:pt idx="26">
                  <c:v>4.4400000000000002E-2</c:v>
                </c:pt>
                <c:pt idx="27">
                  <c:v>4.5999999999999999E-2</c:v>
                </c:pt>
                <c:pt idx="28">
                  <c:v>4.6900000000000004E-2</c:v>
                </c:pt>
                <c:pt idx="29">
                  <c:v>4.5700000000000005E-2</c:v>
                </c:pt>
                <c:pt idx="30">
                  <c:v>4.4999999999999998E-2</c:v>
                </c:pt>
                <c:pt idx="31">
                  <c:v>4.2699999999999995E-2</c:v>
                </c:pt>
                <c:pt idx="32">
                  <c:v>4.1700000000000001E-2</c:v>
                </c:pt>
                <c:pt idx="33">
                  <c:v>0.04</c:v>
                </c:pt>
                <c:pt idx="34">
                  <c:v>2.87E-2</c:v>
                </c:pt>
                <c:pt idx="35">
                  <c:v>3.1300000000000001E-2</c:v>
                </c:pt>
                <c:pt idx="36">
                  <c:v>3.5900000000000001E-2</c:v>
                </c:pt>
                <c:pt idx="37">
                  <c:v>3.6400000000000002E-2</c:v>
                </c:pt>
                <c:pt idx="38">
                  <c:v>3.7599999999999995E-2</c:v>
                </c:pt>
                <c:pt idx="39">
                  <c:v>4.2300000000000004E-2</c:v>
                </c:pt>
                <c:pt idx="40">
                  <c:v>4.5199999999999997E-2</c:v>
                </c:pt>
                <c:pt idx="41">
                  <c:v>4.41E-2</c:v>
                </c:pt>
                <c:pt idx="42">
                  <c:v>4.3700000000000003E-2</c:v>
                </c:pt>
                <c:pt idx="43">
                  <c:v>4.1900000000000007E-2</c:v>
                </c:pt>
                <c:pt idx="44">
                  <c:v>4.1900000000000007E-2</c:v>
                </c:pt>
                <c:pt idx="45">
                  <c:v>4.3099999999999999E-2</c:v>
                </c:pt>
                <c:pt idx="46">
                  <c:v>4.4900000000000002E-2</c:v>
                </c:pt>
                <c:pt idx="47">
                  <c:v>4.5999999999999999E-2</c:v>
                </c:pt>
                <c:pt idx="48">
                  <c:v>4.6199999999999998E-2</c:v>
                </c:pt>
                <c:pt idx="49">
                  <c:v>4.6399999999999997E-2</c:v>
                </c:pt>
                <c:pt idx="50">
                  <c:v>4.6900000000000004E-2</c:v>
                </c:pt>
                <c:pt idx="51">
                  <c:v>4.2900000000000001E-2</c:v>
                </c:pt>
                <c:pt idx="52">
                  <c:v>4.1299999999999996E-2</c:v>
                </c:pt>
                <c:pt idx="53">
                  <c:v>3.9900000000000005E-2</c:v>
                </c:pt>
                <c:pt idx="54">
                  <c:v>3.7999999999999999E-2</c:v>
                </c:pt>
                <c:pt idx="55">
                  <c:v>3.7699999999999997E-2</c:v>
                </c:pt>
                <c:pt idx="56">
                  <c:v>3.8699999999999998E-2</c:v>
                </c:pt>
                <c:pt idx="57">
                  <c:v>4.1900000000000007E-2</c:v>
                </c:pt>
                <c:pt idx="58">
                  <c:v>4.4199999999999996E-2</c:v>
                </c:pt>
                <c:pt idx="59">
                  <c:v>4.5199999999999997E-2</c:v>
                </c:pt>
                <c:pt idx="60">
                  <c:v>4.6500000000000007E-2</c:v>
                </c:pt>
                <c:pt idx="61">
                  <c:v>4.5100000000000001E-2</c:v>
                </c:pt>
                <c:pt idx="62">
                  <c:v>4.4999999999999998E-2</c:v>
                </c:pt>
                <c:pt idx="63">
                  <c:v>4.2900000000000001E-2</c:v>
                </c:pt>
                <c:pt idx="64">
                  <c:v>4.2300000000000004E-2</c:v>
                </c:pt>
                <c:pt idx="65">
                  <c:v>4.2699999999999995E-2</c:v>
                </c:pt>
                <c:pt idx="66">
                  <c:v>3.6499999999999998E-2</c:v>
                </c:pt>
                <c:pt idx="67">
                  <c:v>3.1800000000000002E-2</c:v>
                </c:pt>
              </c:numCache>
            </c:numRef>
          </c:val>
        </c:ser>
        <c:marker val="1"/>
        <c:axId val="154981888"/>
        <c:axId val="154983424"/>
      </c:lineChart>
      <c:catAx>
        <c:axId val="154981888"/>
        <c:scaling>
          <c:orientation val="minMax"/>
        </c:scaling>
        <c:axPos val="b"/>
        <c:numFmt formatCode="mm/dd/yy;@" sourceLinked="1"/>
        <c:tickLblPos val="nextTo"/>
        <c:txPr>
          <a:bodyPr rot="-2700000"/>
          <a:lstStyle/>
          <a:p>
            <a:pPr>
              <a:defRPr sz="800"/>
            </a:pPr>
            <a:endParaRPr lang="en-US"/>
          </a:p>
        </c:txPr>
        <c:crossAx val="154983424"/>
        <c:crosses val="autoZero"/>
        <c:auto val="1"/>
        <c:lblAlgn val="ctr"/>
        <c:lblOffset val="100"/>
      </c:catAx>
      <c:valAx>
        <c:axId val="154983424"/>
        <c:scaling>
          <c:orientation val="minMax"/>
          <c:min val="2.5000000000000012E-2"/>
        </c:scaling>
        <c:axPos val="l"/>
        <c:majorGridlines/>
        <c:numFmt formatCode="0.00%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4981888"/>
        <c:crosses val="autoZero"/>
        <c:crossBetween val="between"/>
        <c:majorUnit val="1.0000000000000005E-2"/>
      </c:valAx>
    </c:plotArea>
    <c:legend>
      <c:legendPos val="r"/>
      <c:legendEntry>
        <c:idx val="0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9.0888876138570773E-2"/>
          <c:y val="0.37128878624092437"/>
          <c:w val="0.38327513888437637"/>
          <c:h val="0.37236348589153034"/>
        </c:manualLayout>
      </c:layout>
      <c:overlay val="1"/>
    </c:legend>
    <c:plotVisOnly val="1"/>
  </c:chart>
  <c:spPr>
    <a:noFill/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'Workpaper 3'!$G$5</c:f>
              <c:strCache>
                <c:ptCount val="1"/>
                <c:pt idx="0">
                  <c:v>A Spread</c:v>
                </c:pt>
              </c:strCache>
            </c:strRef>
          </c:tx>
          <c:spPr>
            <a:ln w="19050"/>
          </c:spPr>
          <c:marker>
            <c:symbol val="diamond"/>
            <c:size val="8"/>
          </c:marker>
          <c:cat>
            <c:strRef>
              <c:f>'Workpaper 3'!$F$6:$F$73</c:f>
              <c:strCache>
                <c:ptCount val="68"/>
                <c:pt idx="0">
                  <c:v>Feb 06</c:v>
                </c:pt>
                <c:pt idx="1">
                  <c:v>Mar 06</c:v>
                </c:pt>
                <c:pt idx="2">
                  <c:v>Apr 06</c:v>
                </c:pt>
                <c:pt idx="3">
                  <c:v>May 06</c:v>
                </c:pt>
                <c:pt idx="4">
                  <c:v>Jun 06</c:v>
                </c:pt>
                <c:pt idx="5">
                  <c:v>Jul 06</c:v>
                </c:pt>
                <c:pt idx="6">
                  <c:v>Aug 06</c:v>
                </c:pt>
                <c:pt idx="7">
                  <c:v>Sep 06</c:v>
                </c:pt>
                <c:pt idx="8">
                  <c:v>Oct 06</c:v>
                </c:pt>
                <c:pt idx="9">
                  <c:v>Nov 06</c:v>
                </c:pt>
                <c:pt idx="10">
                  <c:v>Dec 06</c:v>
                </c:pt>
                <c:pt idx="11">
                  <c:v>Jan 07</c:v>
                </c:pt>
                <c:pt idx="12">
                  <c:v>Feb 07</c:v>
                </c:pt>
                <c:pt idx="13">
                  <c:v>Mar 07</c:v>
                </c:pt>
                <c:pt idx="14">
                  <c:v>Apr 07</c:v>
                </c:pt>
                <c:pt idx="15">
                  <c:v>May 07</c:v>
                </c:pt>
                <c:pt idx="16">
                  <c:v>Jun 07</c:v>
                </c:pt>
                <c:pt idx="17">
                  <c:v>Jul 07</c:v>
                </c:pt>
                <c:pt idx="18">
                  <c:v>Aug 07</c:v>
                </c:pt>
                <c:pt idx="19">
                  <c:v>Sep 07</c:v>
                </c:pt>
                <c:pt idx="20">
                  <c:v>Oct 07</c:v>
                </c:pt>
                <c:pt idx="21">
                  <c:v>Nov 07</c:v>
                </c:pt>
                <c:pt idx="22">
                  <c:v>Dec 07</c:v>
                </c:pt>
                <c:pt idx="23">
                  <c:v>Jan 08</c:v>
                </c:pt>
                <c:pt idx="24">
                  <c:v>Feb 08</c:v>
                </c:pt>
                <c:pt idx="25">
                  <c:v>Mar 08</c:v>
                </c:pt>
                <c:pt idx="26">
                  <c:v>Apr 08</c:v>
                </c:pt>
                <c:pt idx="27">
                  <c:v>May 08</c:v>
                </c:pt>
                <c:pt idx="28">
                  <c:v>Jun 08</c:v>
                </c:pt>
                <c:pt idx="29">
                  <c:v>Jul 08</c:v>
                </c:pt>
                <c:pt idx="30">
                  <c:v>Aug 08</c:v>
                </c:pt>
                <c:pt idx="31">
                  <c:v>Sep 08</c:v>
                </c:pt>
                <c:pt idx="32">
                  <c:v>Oct 08</c:v>
                </c:pt>
                <c:pt idx="33">
                  <c:v>Nov 08</c:v>
                </c:pt>
                <c:pt idx="34">
                  <c:v>Dec 08</c:v>
                </c:pt>
                <c:pt idx="35">
                  <c:v>Jan 09</c:v>
                </c:pt>
                <c:pt idx="36">
                  <c:v>Feb 09</c:v>
                </c:pt>
                <c:pt idx="37">
                  <c:v>Mar 09</c:v>
                </c:pt>
                <c:pt idx="38">
                  <c:v>Apr 09</c:v>
                </c:pt>
                <c:pt idx="39">
                  <c:v>May 09</c:v>
                </c:pt>
                <c:pt idx="40">
                  <c:v>Jun 09</c:v>
                </c:pt>
                <c:pt idx="41">
                  <c:v>Jul 09</c:v>
                </c:pt>
                <c:pt idx="42">
                  <c:v>Aug 09</c:v>
                </c:pt>
                <c:pt idx="43">
                  <c:v>Sep 09</c:v>
                </c:pt>
                <c:pt idx="44">
                  <c:v>Oct 09</c:v>
                </c:pt>
                <c:pt idx="45">
                  <c:v>Nov 09</c:v>
                </c:pt>
                <c:pt idx="46">
                  <c:v>Dec 09</c:v>
                </c:pt>
                <c:pt idx="47">
                  <c:v>Jan 10</c:v>
                </c:pt>
                <c:pt idx="48">
                  <c:v>Feb 10</c:v>
                </c:pt>
                <c:pt idx="49">
                  <c:v>Mar 10</c:v>
                </c:pt>
                <c:pt idx="50">
                  <c:v>Apr 10</c:v>
                </c:pt>
                <c:pt idx="51">
                  <c:v>May 10</c:v>
                </c:pt>
                <c:pt idx="52">
                  <c:v>Jun 10</c:v>
                </c:pt>
                <c:pt idx="53">
                  <c:v>Jul 10</c:v>
                </c:pt>
                <c:pt idx="54">
                  <c:v>Aug 10</c:v>
                </c:pt>
                <c:pt idx="55">
                  <c:v>Sep 10</c:v>
                </c:pt>
                <c:pt idx="56">
                  <c:v>Oct 10</c:v>
                </c:pt>
                <c:pt idx="57">
                  <c:v>Nov 10</c:v>
                </c:pt>
                <c:pt idx="58">
                  <c:v>Dec 10</c:v>
                </c:pt>
                <c:pt idx="59">
                  <c:v>Jan 11</c:v>
                </c:pt>
                <c:pt idx="60">
                  <c:v>Feb 11</c:v>
                </c:pt>
                <c:pt idx="61">
                  <c:v>Mar 11</c:v>
                </c:pt>
                <c:pt idx="62">
                  <c:v>Apr 11</c:v>
                </c:pt>
                <c:pt idx="63">
                  <c:v>May 11</c:v>
                </c:pt>
                <c:pt idx="64">
                  <c:v>Jun 11</c:v>
                </c:pt>
                <c:pt idx="65">
                  <c:v>Jul 11</c:v>
                </c:pt>
                <c:pt idx="66">
                  <c:v>Aug 11</c:v>
                </c:pt>
                <c:pt idx="67">
                  <c:v>Sep 11</c:v>
                </c:pt>
              </c:strCache>
            </c:strRef>
          </c:cat>
          <c:val>
            <c:numRef>
              <c:f>'Workpaper 3'!$G$6:$G$73</c:f>
              <c:numCache>
                <c:formatCode>0.00%</c:formatCode>
                <c:ptCount val="68"/>
                <c:pt idx="0">
                  <c:v>1.2799999999999999E-2</c:v>
                </c:pt>
                <c:pt idx="1">
                  <c:v>1.2500000000000004E-2</c:v>
                </c:pt>
                <c:pt idx="2">
                  <c:v>1.2299999999999998E-2</c:v>
                </c:pt>
                <c:pt idx="3">
                  <c:v>1.2199999999999989E-2</c:v>
                </c:pt>
                <c:pt idx="4">
                  <c:v>1.2499999999999997E-2</c:v>
                </c:pt>
                <c:pt idx="5">
                  <c:v>1.2400000000000008E-2</c:v>
                </c:pt>
                <c:pt idx="6">
                  <c:v>1.1999999999999997E-2</c:v>
                </c:pt>
                <c:pt idx="7">
                  <c:v>1.1500000000000003E-2</c:v>
                </c:pt>
                <c:pt idx="8">
                  <c:v>1.1300000000000011E-2</c:v>
                </c:pt>
                <c:pt idx="9">
                  <c:v>1.1099999999999992E-2</c:v>
                </c:pt>
                <c:pt idx="10">
                  <c:v>1.1300000000000004E-2</c:v>
                </c:pt>
                <c:pt idx="11">
                  <c:v>1.1100000000000006E-2</c:v>
                </c:pt>
                <c:pt idx="12">
                  <c:v>1.0800000000000004E-2</c:v>
                </c:pt>
                <c:pt idx="13">
                  <c:v>1.1299999999999998E-2</c:v>
                </c:pt>
                <c:pt idx="14">
                  <c:v>1.0999999999999996E-2</c:v>
                </c:pt>
                <c:pt idx="15">
                  <c:v>1.09E-2</c:v>
                </c:pt>
                <c:pt idx="16">
                  <c:v>1.0999999999999996E-2</c:v>
                </c:pt>
                <c:pt idx="17">
                  <c:v>1.1399999999999993E-2</c:v>
                </c:pt>
                <c:pt idx="18">
                  <c:v>1.3100000000000007E-2</c:v>
                </c:pt>
                <c:pt idx="19">
                  <c:v>1.3899999999999996E-2</c:v>
                </c:pt>
                <c:pt idx="20">
                  <c:v>1.3400000000000009E-2</c:v>
                </c:pt>
                <c:pt idx="21">
                  <c:v>1.4499999999999999E-2</c:v>
                </c:pt>
                <c:pt idx="22">
                  <c:v>1.6300000000000002E-2</c:v>
                </c:pt>
                <c:pt idx="23">
                  <c:v>1.6899999999999998E-2</c:v>
                </c:pt>
                <c:pt idx="24">
                  <c:v>1.6900000000000005E-2</c:v>
                </c:pt>
                <c:pt idx="25">
                  <c:v>1.8200000000000008E-2</c:v>
                </c:pt>
                <c:pt idx="26">
                  <c:v>1.8499999999999996E-2</c:v>
                </c:pt>
                <c:pt idx="27">
                  <c:v>1.6699999999999993E-2</c:v>
                </c:pt>
                <c:pt idx="28">
                  <c:v>1.6899999999999991E-2</c:v>
                </c:pt>
                <c:pt idx="29">
                  <c:v>1.8299999999999997E-2</c:v>
                </c:pt>
                <c:pt idx="30">
                  <c:v>1.8700000000000008E-2</c:v>
                </c:pt>
                <c:pt idx="31">
                  <c:v>2.2200000000000004E-2</c:v>
                </c:pt>
                <c:pt idx="32">
                  <c:v>3.39E-2</c:v>
                </c:pt>
                <c:pt idx="33">
                  <c:v>3.5999999999999997E-2</c:v>
                </c:pt>
                <c:pt idx="34">
                  <c:v>3.6699999999999997E-2</c:v>
                </c:pt>
                <c:pt idx="35">
                  <c:v>3.2599999999999997E-2</c:v>
                </c:pt>
                <c:pt idx="36">
                  <c:v>2.7099999999999999E-2</c:v>
                </c:pt>
                <c:pt idx="37">
                  <c:v>2.7799999999999991E-2</c:v>
                </c:pt>
                <c:pt idx="38">
                  <c:v>2.7200000000000016E-2</c:v>
                </c:pt>
                <c:pt idx="39">
                  <c:v>2.2599999999999995E-2</c:v>
                </c:pt>
                <c:pt idx="40">
                  <c:v>1.6800000000000002E-2</c:v>
                </c:pt>
                <c:pt idx="41">
                  <c:v>1.5599999999999996E-2</c:v>
                </c:pt>
                <c:pt idx="42">
                  <c:v>1.3399999999999995E-2</c:v>
                </c:pt>
                <c:pt idx="43">
                  <c:v>1.3404761904761892E-2</c:v>
                </c:pt>
                <c:pt idx="44">
                  <c:v>1.3474999999999987E-2</c:v>
                </c:pt>
                <c:pt idx="45">
                  <c:v>1.3281249999999994E-2</c:v>
                </c:pt>
                <c:pt idx="46">
                  <c:v>1.28473684210526E-2</c:v>
                </c:pt>
                <c:pt idx="47">
                  <c:v>1.1726315789473696E-2</c:v>
                </c:pt>
                <c:pt idx="48">
                  <c:v>1.25052631578947E-2</c:v>
                </c:pt>
                <c:pt idx="49">
                  <c:v>1.2009523809523796E-2</c:v>
                </c:pt>
                <c:pt idx="50">
                  <c:v>1.1199999999999995E-2</c:v>
                </c:pt>
                <c:pt idx="51">
                  <c:v>1.21E-2</c:v>
                </c:pt>
                <c:pt idx="52">
                  <c:v>1.3300000000000006E-2</c:v>
                </c:pt>
                <c:pt idx="53">
                  <c:v>1.2699999999999996E-2</c:v>
                </c:pt>
                <c:pt idx="54">
                  <c:v>1.2070588235294118E-2</c:v>
                </c:pt>
                <c:pt idx="55">
                  <c:v>1.2395238095238091E-2</c:v>
                </c:pt>
                <c:pt idx="56">
                  <c:v>1.2188235294117652E-2</c:v>
                </c:pt>
                <c:pt idx="57">
                  <c:v>1.1710526315789463E-2</c:v>
                </c:pt>
                <c:pt idx="58">
                  <c:v>1.1345000000000001E-2</c:v>
                </c:pt>
                <c:pt idx="59">
                  <c:v>1.0484210526315804E-2</c:v>
                </c:pt>
                <c:pt idx="60">
                  <c:v>1.0206249999999993E-2</c:v>
                </c:pt>
                <c:pt idx="61">
                  <c:v>1.0580952380952399E-2</c:v>
                </c:pt>
                <c:pt idx="62">
                  <c:v>1.0522222222222231E-2</c:v>
                </c:pt>
                <c:pt idx="63">
                  <c:v>1.0261111111111124E-2</c:v>
                </c:pt>
                <c:pt idx="64">
                  <c:v>1.0465000000000002E-2</c:v>
                </c:pt>
                <c:pt idx="65">
                  <c:v>9.8944444444444557E-3</c:v>
                </c:pt>
                <c:pt idx="66">
                  <c:v>1.0391304347826091E-2</c:v>
                </c:pt>
                <c:pt idx="67">
                  <c:v>1.3035294117647055E-2</c:v>
                </c:pt>
              </c:numCache>
            </c:numRef>
          </c:val>
        </c:ser>
        <c:ser>
          <c:idx val="1"/>
          <c:order val="1"/>
          <c:tx>
            <c:strRef>
              <c:f>'Workpaper 3'!$H$5</c:f>
              <c:strCache>
                <c:ptCount val="1"/>
                <c:pt idx="0">
                  <c:v>Baa Spread</c:v>
                </c:pt>
              </c:strCache>
            </c:strRef>
          </c:tx>
          <c:spPr>
            <a:ln w="19050"/>
          </c:spPr>
          <c:marker>
            <c:symbol val="square"/>
            <c:size val="4"/>
          </c:marker>
          <c:cat>
            <c:strRef>
              <c:f>'Workpaper 3'!$F$6:$F$73</c:f>
              <c:strCache>
                <c:ptCount val="68"/>
                <c:pt idx="0">
                  <c:v>Feb 06</c:v>
                </c:pt>
                <c:pt idx="1">
                  <c:v>Mar 06</c:v>
                </c:pt>
                <c:pt idx="2">
                  <c:v>Apr 06</c:v>
                </c:pt>
                <c:pt idx="3">
                  <c:v>May 06</c:v>
                </c:pt>
                <c:pt idx="4">
                  <c:v>Jun 06</c:v>
                </c:pt>
                <c:pt idx="5">
                  <c:v>Jul 06</c:v>
                </c:pt>
                <c:pt idx="6">
                  <c:v>Aug 06</c:v>
                </c:pt>
                <c:pt idx="7">
                  <c:v>Sep 06</c:v>
                </c:pt>
                <c:pt idx="8">
                  <c:v>Oct 06</c:v>
                </c:pt>
                <c:pt idx="9">
                  <c:v>Nov 06</c:v>
                </c:pt>
                <c:pt idx="10">
                  <c:v>Dec 06</c:v>
                </c:pt>
                <c:pt idx="11">
                  <c:v>Jan 07</c:v>
                </c:pt>
                <c:pt idx="12">
                  <c:v>Feb 07</c:v>
                </c:pt>
                <c:pt idx="13">
                  <c:v>Mar 07</c:v>
                </c:pt>
                <c:pt idx="14">
                  <c:v>Apr 07</c:v>
                </c:pt>
                <c:pt idx="15">
                  <c:v>May 07</c:v>
                </c:pt>
                <c:pt idx="16">
                  <c:v>Jun 07</c:v>
                </c:pt>
                <c:pt idx="17">
                  <c:v>Jul 07</c:v>
                </c:pt>
                <c:pt idx="18">
                  <c:v>Aug 07</c:v>
                </c:pt>
                <c:pt idx="19">
                  <c:v>Sep 07</c:v>
                </c:pt>
                <c:pt idx="20">
                  <c:v>Oct 07</c:v>
                </c:pt>
                <c:pt idx="21">
                  <c:v>Nov 07</c:v>
                </c:pt>
                <c:pt idx="22">
                  <c:v>Dec 07</c:v>
                </c:pt>
                <c:pt idx="23">
                  <c:v>Jan 08</c:v>
                </c:pt>
                <c:pt idx="24">
                  <c:v>Feb 08</c:v>
                </c:pt>
                <c:pt idx="25">
                  <c:v>Mar 08</c:v>
                </c:pt>
                <c:pt idx="26">
                  <c:v>Apr 08</c:v>
                </c:pt>
                <c:pt idx="27">
                  <c:v>May 08</c:v>
                </c:pt>
                <c:pt idx="28">
                  <c:v>Jun 08</c:v>
                </c:pt>
                <c:pt idx="29">
                  <c:v>Jul 08</c:v>
                </c:pt>
                <c:pt idx="30">
                  <c:v>Aug 08</c:v>
                </c:pt>
                <c:pt idx="31">
                  <c:v>Sep 08</c:v>
                </c:pt>
                <c:pt idx="32">
                  <c:v>Oct 08</c:v>
                </c:pt>
                <c:pt idx="33">
                  <c:v>Nov 08</c:v>
                </c:pt>
                <c:pt idx="34">
                  <c:v>Dec 08</c:v>
                </c:pt>
                <c:pt idx="35">
                  <c:v>Jan 09</c:v>
                </c:pt>
                <c:pt idx="36">
                  <c:v>Feb 09</c:v>
                </c:pt>
                <c:pt idx="37">
                  <c:v>Mar 09</c:v>
                </c:pt>
                <c:pt idx="38">
                  <c:v>Apr 09</c:v>
                </c:pt>
                <c:pt idx="39">
                  <c:v>May 09</c:v>
                </c:pt>
                <c:pt idx="40">
                  <c:v>Jun 09</c:v>
                </c:pt>
                <c:pt idx="41">
                  <c:v>Jul 09</c:v>
                </c:pt>
                <c:pt idx="42">
                  <c:v>Aug 09</c:v>
                </c:pt>
                <c:pt idx="43">
                  <c:v>Sep 09</c:v>
                </c:pt>
                <c:pt idx="44">
                  <c:v>Oct 09</c:v>
                </c:pt>
                <c:pt idx="45">
                  <c:v>Nov 09</c:v>
                </c:pt>
                <c:pt idx="46">
                  <c:v>Dec 09</c:v>
                </c:pt>
                <c:pt idx="47">
                  <c:v>Jan 10</c:v>
                </c:pt>
                <c:pt idx="48">
                  <c:v>Feb 10</c:v>
                </c:pt>
                <c:pt idx="49">
                  <c:v>Mar 10</c:v>
                </c:pt>
                <c:pt idx="50">
                  <c:v>Apr 10</c:v>
                </c:pt>
                <c:pt idx="51">
                  <c:v>May 10</c:v>
                </c:pt>
                <c:pt idx="52">
                  <c:v>Jun 10</c:v>
                </c:pt>
                <c:pt idx="53">
                  <c:v>Jul 10</c:v>
                </c:pt>
                <c:pt idx="54">
                  <c:v>Aug 10</c:v>
                </c:pt>
                <c:pt idx="55">
                  <c:v>Sep 10</c:v>
                </c:pt>
                <c:pt idx="56">
                  <c:v>Oct 10</c:v>
                </c:pt>
                <c:pt idx="57">
                  <c:v>Nov 10</c:v>
                </c:pt>
                <c:pt idx="58">
                  <c:v>Dec 10</c:v>
                </c:pt>
                <c:pt idx="59">
                  <c:v>Jan 11</c:v>
                </c:pt>
                <c:pt idx="60">
                  <c:v>Feb 11</c:v>
                </c:pt>
                <c:pt idx="61">
                  <c:v>Mar 11</c:v>
                </c:pt>
                <c:pt idx="62">
                  <c:v>Apr 11</c:v>
                </c:pt>
                <c:pt idx="63">
                  <c:v>May 11</c:v>
                </c:pt>
                <c:pt idx="64">
                  <c:v>Jun 11</c:v>
                </c:pt>
                <c:pt idx="65">
                  <c:v>Jul 11</c:v>
                </c:pt>
                <c:pt idx="66">
                  <c:v>Aug 11</c:v>
                </c:pt>
                <c:pt idx="67">
                  <c:v>Sep 11</c:v>
                </c:pt>
              </c:strCache>
            </c:strRef>
          </c:cat>
          <c:val>
            <c:numRef>
              <c:f>'Workpaper 3'!$H$6:$H$73</c:f>
              <c:numCache>
                <c:formatCode>0.00%</c:formatCode>
                <c:ptCount val="68"/>
                <c:pt idx="0">
                  <c:v>1.5699999999999999E-2</c:v>
                </c:pt>
                <c:pt idx="1">
                  <c:v>1.5300000000000001E-2</c:v>
                </c:pt>
                <c:pt idx="2">
                  <c:v>1.4800000000000001E-2</c:v>
                </c:pt>
                <c:pt idx="3">
                  <c:v>1.3899999999999996E-2</c:v>
                </c:pt>
                <c:pt idx="4">
                  <c:v>1.4600000000000002E-2</c:v>
                </c:pt>
                <c:pt idx="5">
                  <c:v>1.4800000000000008E-2</c:v>
                </c:pt>
                <c:pt idx="6">
                  <c:v>1.4299999999999993E-2</c:v>
                </c:pt>
                <c:pt idx="7">
                  <c:v>1.4100000000000008E-2</c:v>
                </c:pt>
                <c:pt idx="8">
                  <c:v>1.390000000000001E-2</c:v>
                </c:pt>
                <c:pt idx="9">
                  <c:v>1.3499999999999998E-2</c:v>
                </c:pt>
                <c:pt idx="10">
                  <c:v>1.3700000000000004E-2</c:v>
                </c:pt>
                <c:pt idx="11">
                  <c:v>1.3100000000000007E-2</c:v>
                </c:pt>
                <c:pt idx="12">
                  <c:v>1.2799999999999999E-2</c:v>
                </c:pt>
                <c:pt idx="13">
                  <c:v>1.38E-2</c:v>
                </c:pt>
                <c:pt idx="14">
                  <c:v>1.3700000000000004E-2</c:v>
                </c:pt>
                <c:pt idx="15">
                  <c:v>1.3299999999999999E-2</c:v>
                </c:pt>
                <c:pt idx="16">
                  <c:v>1.3399999999999995E-2</c:v>
                </c:pt>
                <c:pt idx="17">
                  <c:v>1.3799999999999993E-2</c:v>
                </c:pt>
                <c:pt idx="18">
                  <c:v>1.5799999999999995E-2</c:v>
                </c:pt>
                <c:pt idx="19">
                  <c:v>1.6600000000000004E-2</c:v>
                </c:pt>
                <c:pt idx="20">
                  <c:v>1.5900000000000011E-2</c:v>
                </c:pt>
                <c:pt idx="21">
                  <c:v>1.7499999999999995E-2</c:v>
                </c:pt>
                <c:pt idx="22">
                  <c:v>1.9799999999999991E-2</c:v>
                </c:pt>
                <c:pt idx="23">
                  <c:v>2.0200000000000003E-2</c:v>
                </c:pt>
                <c:pt idx="24">
                  <c:v>2.0800000000000006E-2</c:v>
                </c:pt>
                <c:pt idx="25">
                  <c:v>2.2900000000000004E-2</c:v>
                </c:pt>
                <c:pt idx="26">
                  <c:v>2.3699999999999992E-2</c:v>
                </c:pt>
                <c:pt idx="27">
                  <c:v>2.1900000000000003E-2</c:v>
                </c:pt>
                <c:pt idx="28">
                  <c:v>2.2399999999999996E-2</c:v>
                </c:pt>
                <c:pt idx="29">
                  <c:v>2.3999999999999994E-2</c:v>
                </c:pt>
                <c:pt idx="30">
                  <c:v>2.4800000000000003E-2</c:v>
                </c:pt>
                <c:pt idx="31">
                  <c:v>2.8800000000000013E-2</c:v>
                </c:pt>
                <c:pt idx="32">
                  <c:v>4.41E-2</c:v>
                </c:pt>
                <c:pt idx="33">
                  <c:v>4.9800000000000004E-2</c:v>
                </c:pt>
                <c:pt idx="34">
                  <c:v>5.2600000000000008E-2</c:v>
                </c:pt>
                <c:pt idx="35">
                  <c:v>4.7699999999999999E-2</c:v>
                </c:pt>
                <c:pt idx="36">
                  <c:v>4.1499999999999995E-2</c:v>
                </c:pt>
                <c:pt idx="37">
                  <c:v>4.36E-2</c:v>
                </c:pt>
                <c:pt idx="38">
                  <c:v>4.2700000000000002E-2</c:v>
                </c:pt>
                <c:pt idx="39">
                  <c:v>3.5299999999999998E-2</c:v>
                </c:pt>
                <c:pt idx="40">
                  <c:v>2.7799999999999998E-2</c:v>
                </c:pt>
                <c:pt idx="41">
                  <c:v>2.4599999999999997E-2</c:v>
                </c:pt>
                <c:pt idx="42">
                  <c:v>1.9900000000000001E-2</c:v>
                </c:pt>
                <c:pt idx="43">
                  <c:v>1.9285714285714295E-2</c:v>
                </c:pt>
                <c:pt idx="44">
                  <c:v>1.9439999999999999E-2</c:v>
                </c:pt>
                <c:pt idx="45">
                  <c:v>1.8768750000000001E-2</c:v>
                </c:pt>
                <c:pt idx="46">
                  <c:v>1.7726315789473694E-2</c:v>
                </c:pt>
                <c:pt idx="47">
                  <c:v>1.5557894736842097E-2</c:v>
                </c:pt>
                <c:pt idx="48">
                  <c:v>1.6263157894736903E-2</c:v>
                </c:pt>
                <c:pt idx="49">
                  <c:v>1.5804761904761898E-2</c:v>
                </c:pt>
                <c:pt idx="50">
                  <c:v>1.498095238095238E-2</c:v>
                </c:pt>
                <c:pt idx="51">
                  <c:v>1.6763157894736841E-2</c:v>
                </c:pt>
                <c:pt idx="52">
                  <c:v>2.0499999999999997E-2</c:v>
                </c:pt>
                <c:pt idx="53">
                  <c:v>1.9900000000000001E-2</c:v>
                </c:pt>
                <c:pt idx="54">
                  <c:v>1.7500000000000002E-2</c:v>
                </c:pt>
                <c:pt idx="55">
                  <c:v>1.7619047619047618E-2</c:v>
                </c:pt>
                <c:pt idx="56">
                  <c:v>1.7364705882352949E-2</c:v>
                </c:pt>
                <c:pt idx="57">
                  <c:v>1.6589473684210529E-2</c:v>
                </c:pt>
                <c:pt idx="58">
                  <c:v>1.6234999999999999E-2</c:v>
                </c:pt>
                <c:pt idx="59">
                  <c:v>1.5384210526315792E-2</c:v>
                </c:pt>
                <c:pt idx="60">
                  <c:v>1.4449999999999984E-2</c:v>
                </c:pt>
                <c:pt idx="61">
                  <c:v>1.4652380952380965E-2</c:v>
                </c:pt>
                <c:pt idx="62">
                  <c:v>1.4805555555555565E-2</c:v>
                </c:pt>
                <c:pt idx="63">
                  <c:v>1.447222222222222E-2</c:v>
                </c:pt>
                <c:pt idx="64">
                  <c:v>1.4155000000000008E-2</c:v>
                </c:pt>
                <c:pt idx="65">
                  <c:v>1.4244444444444442E-2</c:v>
                </c:pt>
                <c:pt idx="66">
                  <c:v>1.573913043478261E-2</c:v>
                </c:pt>
                <c:pt idx="67">
                  <c:v>1.9276470588235298E-2</c:v>
                </c:pt>
              </c:numCache>
            </c:numRef>
          </c:val>
        </c:ser>
        <c:marker val="1"/>
        <c:axId val="158299264"/>
        <c:axId val="158300800"/>
      </c:lineChart>
      <c:catAx>
        <c:axId val="158299264"/>
        <c:scaling>
          <c:orientation val="minMax"/>
        </c:scaling>
        <c:axPos val="b"/>
        <c:numFmt formatCode="mm/dd/yy;@" sourceLinked="1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158300800"/>
        <c:crosses val="autoZero"/>
        <c:auto val="1"/>
        <c:lblAlgn val="ctr"/>
        <c:lblOffset val="100"/>
      </c:catAx>
      <c:valAx>
        <c:axId val="158300800"/>
        <c:scaling>
          <c:orientation val="minMax"/>
        </c:scaling>
        <c:axPos val="l"/>
        <c:majorGridlines/>
        <c:numFmt formatCode="0.00%" sourceLinked="1"/>
        <c:tickLblPos val="nextTo"/>
        <c:crossAx val="158299264"/>
        <c:crosses val="autoZero"/>
        <c:crossBetween val="between"/>
      </c:valAx>
    </c:plotArea>
    <c:legend>
      <c:legendPos val="b"/>
    </c:legend>
    <c:plotVisOnly val="1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headerFooter>
    <oddHeader>&amp;C
&amp;"Arial,Bold"&amp;22Puget Sound Energy&amp;RExhibit No.___(MPG-17)
Page 2 of 3</oddHeader>
    <oddFooter>&amp;L__________
Sources:
Merchant Bond Record.
www.moodys.com, Bond Yields and Key Indicators.
St. Louis Federal Reserve: Economic Research, http://research.stlouisfed.org/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headerFooter>
    <oddHeader>&amp;C
&amp;"Arial,Bold"&amp;20Puget Sound Energy&amp;RExhibit No.___(MPG-17)
Page 3 of 3</oddHeader>
    <oddFooter>&amp;L__________
Sources:
Merchant Bond Record.
www.moodys.com, Bond Yields and Key Indicators.
St. Louis Federal Reserve: Economic Research, http://research.stlouisfed.org/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31749</xdr:colOff>
      <xdr:row>2</xdr:row>
      <xdr:rowOff>142875</xdr:rowOff>
    </xdr:from>
    <xdr:ext cx="8270875" cy="1122848"/>
    <xdr:sp macro="" textlink="">
      <xdr:nvSpPr>
        <xdr:cNvPr id="2" name="TextBox 1"/>
        <xdr:cNvSpPr txBox="1"/>
      </xdr:nvSpPr>
      <xdr:spPr>
        <a:xfrm>
          <a:off x="31749" y="704850"/>
          <a:ext cx="8270875" cy="112284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2400" b="0"/>
            <a:t>Electricity Sales Are Linked to U.S. Economic Growth</a:t>
          </a:r>
        </a:p>
      </xdr:txBody>
    </xdr:sp>
    <xdr:clientData/>
  </xdr:oneCellAnchor>
  <xdr:twoCellAnchor editAs="oneCell">
    <xdr:from>
      <xdr:col>0</xdr:col>
      <xdr:colOff>83344</xdr:colOff>
      <xdr:row>8</xdr:row>
      <xdr:rowOff>71437</xdr:rowOff>
    </xdr:from>
    <xdr:to>
      <xdr:col>11</xdr:col>
      <xdr:colOff>543719</xdr:colOff>
      <xdr:row>33</xdr:row>
      <xdr:rowOff>71437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344" y="1719262"/>
          <a:ext cx="8004175" cy="4524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142875</xdr:rowOff>
    </xdr:from>
    <xdr:to>
      <xdr:col>17</xdr:col>
      <xdr:colOff>228600</xdr:colOff>
      <xdr:row>33</xdr:row>
      <xdr:rowOff>9525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613220</xdr:colOff>
      <xdr:row>19</xdr:row>
      <xdr:rowOff>18709</xdr:rowOff>
    </xdr:from>
    <xdr:to>
      <xdr:col>17</xdr:col>
      <xdr:colOff>277246</xdr:colOff>
      <xdr:row>19</xdr:row>
      <xdr:rowOff>28222</xdr:rowOff>
    </xdr:to>
    <xdr:cxnSp macro="">
      <xdr:nvCxnSpPr>
        <xdr:cNvPr id="3" name="Straight Connector 2"/>
        <xdr:cNvCxnSpPr/>
      </xdr:nvCxnSpPr>
      <xdr:spPr bwMode="auto">
        <a:xfrm flipV="1">
          <a:off x="4928045" y="3666784"/>
          <a:ext cx="7893626" cy="9513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9</xdr:row>
      <xdr:rowOff>0</xdr:rowOff>
    </xdr:from>
    <xdr:to>
      <xdr:col>6</xdr:col>
      <xdr:colOff>714375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704975" y="1743075"/>
          <a:ext cx="24765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66675</xdr:colOff>
      <xdr:row>9</xdr:row>
      <xdr:rowOff>0</xdr:rowOff>
    </xdr:from>
    <xdr:to>
      <xdr:col>10</xdr:col>
      <xdr:colOff>723900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295775" y="1743075"/>
          <a:ext cx="24955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46</xdr:row>
      <xdr:rowOff>38099</xdr:rowOff>
    </xdr:from>
    <xdr:to>
      <xdr:col>11</xdr:col>
      <xdr:colOff>428625</xdr:colOff>
      <xdr:row>66</xdr:row>
      <xdr:rowOff>23812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2</xdr:col>
      <xdr:colOff>76200</xdr:colOff>
      <xdr:row>67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61950" y="11372850"/>
          <a:ext cx="8572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0.0007</cdr:x>
      <cdr:y>0.0165</cdr:y>
    </cdr:from>
    <cdr:to>
      <cdr:x>1</cdr:x>
      <cdr:y>0.22489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" y="54771"/>
          <a:ext cx="6805612" cy="691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75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325" b="1" i="0" strike="noStrike">
              <a:solidFill>
                <a:srgbClr val="000000"/>
              </a:solidFill>
              <a:latin typeface="Arial"/>
              <a:cs typeface="Arial"/>
            </a:rPr>
            <a:t> Yield Spreads</a:t>
          </a:r>
          <a:endParaRPr lang="en-US" sz="1475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Treasury Vs. Corporate   &amp;   Treasury Vs. Utility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9522" cy="629292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0.09184</cdr:y>
    </cdr:from>
    <cdr:to>
      <cdr:x>1</cdr:x>
      <cdr:y>0.18707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77921"/>
          <a:ext cx="8679522" cy="599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 i="0" baseline="0">
              <a:latin typeface="+mn-lt"/>
              <a:ea typeface="+mn-ea"/>
              <a:cs typeface="+mn-cs"/>
            </a:rPr>
            <a:t>Trends in Utility Bond Yields</a:t>
          </a:r>
          <a:endParaRPr lang="en-US" sz="1800" b="1"/>
        </a:p>
        <a:p xmlns:a="http://schemas.openxmlformats.org/drawingml/2006/main">
          <a:endParaRPr 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513708"/>
    <xdr:ext cx="8679522" cy="577921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0.15822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867952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0.02778</cdr:y>
    </cdr:from>
    <cdr:to>
      <cdr:x>1</cdr:x>
      <cdr:y>0.186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60534"/>
          <a:ext cx="8679522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latin typeface="+mn-lt"/>
              <a:ea typeface="+mn-ea"/>
              <a:cs typeface="+mn-cs"/>
            </a:rPr>
            <a:t>Spread</a:t>
          </a:r>
          <a:r>
            <a:rPr lang="en-US" sz="1800" b="1" baseline="0">
              <a:latin typeface="+mn-lt"/>
              <a:ea typeface="+mn-ea"/>
              <a:cs typeface="+mn-cs"/>
            </a:rPr>
            <a:t> Between "A" and "Baa" Rated Utility Bond Yield and 30-Year Treasury Bond Yield</a:t>
          </a:r>
          <a:endParaRPr lang="en-US" sz="1800"/>
        </a:p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PLDocs\JAL\8975\Database\13107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Documents%20and%20Settings\Mga\Local%20Settings\Temporary%20Internet%20Files\OLK1A\Selection_sk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Shares\PLDocs\JAL\8767\Exhibit\Selection%20-%20Wep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E5" t="str">
            <v>A1</v>
          </cell>
          <cell r="F5">
            <v>15</v>
          </cell>
        </row>
        <row r="6">
          <cell r="E6" t="str">
            <v>A2</v>
          </cell>
          <cell r="F6">
            <v>14</v>
          </cell>
        </row>
        <row r="7">
          <cell r="E7" t="str">
            <v>A3</v>
          </cell>
          <cell r="F7">
            <v>13</v>
          </cell>
        </row>
        <row r="8">
          <cell r="E8" t="str">
            <v>Aa1</v>
          </cell>
          <cell r="F8">
            <v>18</v>
          </cell>
        </row>
        <row r="9">
          <cell r="E9" t="str">
            <v>Aa2</v>
          </cell>
          <cell r="F9">
            <v>17</v>
          </cell>
        </row>
        <row r="10">
          <cell r="E10" t="str">
            <v>Aa3</v>
          </cell>
          <cell r="F10">
            <v>16</v>
          </cell>
        </row>
        <row r="11">
          <cell r="E11" t="str">
            <v>Aaa</v>
          </cell>
          <cell r="F11">
            <v>19</v>
          </cell>
        </row>
        <row r="12">
          <cell r="E12" t="str">
            <v>B1</v>
          </cell>
          <cell r="F12">
            <v>6</v>
          </cell>
        </row>
        <row r="13">
          <cell r="E13" t="str">
            <v>B2</v>
          </cell>
          <cell r="F13">
            <v>5</v>
          </cell>
        </row>
        <row r="14">
          <cell r="E14" t="str">
            <v>B3</v>
          </cell>
          <cell r="F14">
            <v>4</v>
          </cell>
        </row>
        <row r="15">
          <cell r="E15" t="str">
            <v>Ba1</v>
          </cell>
          <cell r="F15">
            <v>9</v>
          </cell>
        </row>
        <row r="16">
          <cell r="E16" t="str">
            <v>Ba2</v>
          </cell>
          <cell r="F16">
            <v>8</v>
          </cell>
        </row>
        <row r="17">
          <cell r="E17" t="str">
            <v>Ba3</v>
          </cell>
          <cell r="F17">
            <v>7</v>
          </cell>
        </row>
        <row r="18">
          <cell r="E18" t="str">
            <v>Baa1</v>
          </cell>
          <cell r="F18">
            <v>12</v>
          </cell>
        </row>
        <row r="19">
          <cell r="E19" t="str">
            <v>Baa2</v>
          </cell>
          <cell r="F19">
            <v>11</v>
          </cell>
        </row>
        <row r="20">
          <cell r="E20" t="str">
            <v>Baa3</v>
          </cell>
          <cell r="F20">
            <v>10</v>
          </cell>
        </row>
        <row r="21">
          <cell r="E21" t="str">
            <v>C</v>
          </cell>
          <cell r="F21">
            <v>1</v>
          </cell>
        </row>
        <row r="22">
          <cell r="E22" t="str">
            <v>Ca</v>
          </cell>
          <cell r="F22">
            <v>2</v>
          </cell>
        </row>
        <row r="23">
          <cell r="E23" t="str">
            <v>Caa</v>
          </cell>
          <cell r="F23">
            <v>3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lection-LDC"/>
      <sheetName val="___snlqueryparms"/>
      <sheetName val="Selection"/>
      <sheetName val="Credit Ratings-DO Not"/>
      <sheetName val="Regulation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A</v>
          </cell>
          <cell r="C5">
            <v>16</v>
          </cell>
        </row>
        <row r="6">
          <cell r="B6" t="str">
            <v>A-</v>
          </cell>
          <cell r="C6">
            <v>15</v>
          </cell>
        </row>
        <row r="7">
          <cell r="B7" t="str">
            <v>A+</v>
          </cell>
          <cell r="C7">
            <v>17</v>
          </cell>
        </row>
        <row r="8">
          <cell r="B8" t="str">
            <v>AA</v>
          </cell>
          <cell r="C8">
            <v>19</v>
          </cell>
        </row>
        <row r="9">
          <cell r="B9" t="str">
            <v>AA-</v>
          </cell>
          <cell r="C9">
            <v>18</v>
          </cell>
        </row>
        <row r="10">
          <cell r="B10" t="str">
            <v>AA+</v>
          </cell>
          <cell r="C10">
            <v>20</v>
          </cell>
        </row>
        <row r="11">
          <cell r="B11" t="str">
            <v>AAA</v>
          </cell>
          <cell r="C11">
            <v>21</v>
          </cell>
        </row>
        <row r="12">
          <cell r="B12" t="str">
            <v>B</v>
          </cell>
          <cell r="C12">
            <v>7</v>
          </cell>
        </row>
        <row r="13">
          <cell r="B13" t="str">
            <v>B-</v>
          </cell>
          <cell r="C13">
            <v>6</v>
          </cell>
        </row>
        <row r="14">
          <cell r="B14" t="str">
            <v>B+</v>
          </cell>
          <cell r="C14">
            <v>8</v>
          </cell>
        </row>
        <row r="15">
          <cell r="B15" t="str">
            <v>BB</v>
          </cell>
          <cell r="C15">
            <v>10</v>
          </cell>
        </row>
        <row r="16">
          <cell r="B16" t="str">
            <v>BB-</v>
          </cell>
          <cell r="C16">
            <v>9</v>
          </cell>
        </row>
        <row r="17">
          <cell r="B17" t="str">
            <v>BB+</v>
          </cell>
          <cell r="C17">
            <v>11</v>
          </cell>
        </row>
        <row r="18">
          <cell r="B18" t="str">
            <v>BBB</v>
          </cell>
          <cell r="C18">
            <v>13</v>
          </cell>
        </row>
        <row r="19">
          <cell r="B19" t="str">
            <v>BBB-</v>
          </cell>
          <cell r="C19">
            <v>12</v>
          </cell>
        </row>
        <row r="20">
          <cell r="B20" t="str">
            <v>BBB+</v>
          </cell>
          <cell r="C20">
            <v>14</v>
          </cell>
        </row>
        <row r="21">
          <cell r="B21" t="str">
            <v>C</v>
          </cell>
          <cell r="C21">
            <v>1</v>
          </cell>
        </row>
        <row r="22">
          <cell r="B22" t="str">
            <v>CC</v>
          </cell>
          <cell r="C22">
            <v>2</v>
          </cell>
        </row>
        <row r="23">
          <cell r="B23" t="str">
            <v>CCC</v>
          </cell>
          <cell r="C23">
            <v>4</v>
          </cell>
        </row>
        <row r="24">
          <cell r="B24" t="str">
            <v>CCC-</v>
          </cell>
          <cell r="C24">
            <v>3</v>
          </cell>
        </row>
        <row r="25">
          <cell r="B25" t="str">
            <v>CCC+</v>
          </cell>
          <cell r="C25">
            <v>5</v>
          </cell>
        </row>
        <row r="26">
          <cell r="B26" t="str">
            <v>NR</v>
          </cell>
          <cell r="C2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4"/>
  <sheetViews>
    <sheetView tabSelected="1" zoomScale="80" zoomScaleNormal="80" zoomScaleSheetLayoutView="80" zoomScalePageLayoutView="75" workbookViewId="0">
      <selection activeCell="A2" sqref="A2"/>
    </sheetView>
  </sheetViews>
  <sheetFormatPr defaultRowHeight="14.25"/>
  <cols>
    <col min="2" max="2" width="11.375" customWidth="1"/>
    <col min="3" max="3" width="17.875" customWidth="1"/>
    <col min="4" max="4" width="9.875" hidden="1" customWidth="1"/>
    <col min="5" max="6" width="13.125" customWidth="1"/>
    <col min="7" max="7" width="1.125" customWidth="1"/>
    <col min="8" max="9" width="12.75" customWidth="1"/>
    <col min="10" max="10" width="1.125" customWidth="1"/>
    <col min="11" max="11" width="16.125" customWidth="1"/>
    <col min="12" max="12" width="18" customWidth="1"/>
    <col min="13" max="13" width="9" customWidth="1"/>
  </cols>
  <sheetData>
    <row r="1" spans="1:19" ht="27.75">
      <c r="A1" s="473" t="s">
        <v>123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1"/>
    </row>
    <row r="2" spans="1:19">
      <c r="A2" s="2"/>
      <c r="B2" s="3"/>
      <c r="C2" s="3"/>
      <c r="D2" s="3"/>
      <c r="E2" s="4"/>
      <c r="F2" s="5"/>
      <c r="G2" s="5"/>
      <c r="H2" s="6"/>
      <c r="I2" s="4"/>
      <c r="J2" s="4"/>
      <c r="K2" s="4"/>
      <c r="L2" s="4"/>
    </row>
    <row r="3" spans="1:19">
      <c r="A3" s="2"/>
      <c r="B3" s="3"/>
      <c r="C3" s="3"/>
      <c r="D3" s="3"/>
      <c r="E3" s="4"/>
      <c r="F3" s="5"/>
      <c r="G3" s="5"/>
      <c r="H3" s="6"/>
      <c r="I3" s="4"/>
      <c r="J3" s="4"/>
      <c r="K3" s="4"/>
      <c r="L3" s="4"/>
    </row>
    <row r="4" spans="1:19" s="2" customFormat="1"/>
    <row r="5" spans="1:19" ht="20.25">
      <c r="A5" s="474" t="s">
        <v>0</v>
      </c>
      <c r="B5" s="474"/>
      <c r="C5" s="474"/>
      <c r="D5" s="474"/>
      <c r="E5" s="474"/>
      <c r="F5" s="474"/>
      <c r="G5" s="474"/>
      <c r="H5" s="474"/>
      <c r="I5" s="474"/>
      <c r="J5" s="474"/>
      <c r="K5" s="474"/>
      <c r="L5" s="4"/>
    </row>
    <row r="6" spans="1:19">
      <c r="A6" s="3"/>
      <c r="B6" s="3"/>
      <c r="C6" s="3"/>
      <c r="D6" s="3"/>
      <c r="E6" s="2"/>
      <c r="F6" s="2"/>
      <c r="G6" s="2"/>
      <c r="H6" s="2"/>
      <c r="I6" s="2"/>
      <c r="J6" s="2"/>
      <c r="K6" s="2"/>
      <c r="L6" s="2"/>
    </row>
    <row r="7" spans="1:19">
      <c r="A7" s="3"/>
      <c r="B7" s="3"/>
      <c r="C7" s="3"/>
      <c r="D7" s="3"/>
      <c r="E7" s="2"/>
      <c r="F7" s="2"/>
      <c r="G7" s="2"/>
      <c r="H7" s="2"/>
      <c r="I7" s="2"/>
      <c r="J7" s="2"/>
      <c r="K7" s="2"/>
      <c r="L7" s="2"/>
    </row>
    <row r="8" spans="1:19" ht="15">
      <c r="A8" s="2"/>
      <c r="B8" s="3"/>
      <c r="C8" s="3"/>
      <c r="D8" s="3"/>
      <c r="E8" s="7"/>
      <c r="F8" s="8"/>
      <c r="G8" s="8"/>
      <c r="H8" s="475"/>
      <c r="I8" s="475"/>
      <c r="J8" s="9"/>
      <c r="K8" s="9"/>
      <c r="L8" s="10"/>
    </row>
    <row r="9" spans="1:19" ht="17.25">
      <c r="A9" s="11"/>
      <c r="B9" s="12"/>
      <c r="C9" s="12"/>
      <c r="D9" s="12"/>
      <c r="E9" s="476" t="s">
        <v>118</v>
      </c>
      <c r="F9" s="476"/>
      <c r="G9" s="13"/>
      <c r="H9" s="477" t="s">
        <v>1</v>
      </c>
      <c r="I9" s="477"/>
      <c r="J9" s="14"/>
      <c r="K9" s="15" t="s">
        <v>2</v>
      </c>
      <c r="L9" s="16"/>
    </row>
    <row r="10" spans="1:19" ht="17.25">
      <c r="A10" s="17" t="s">
        <v>3</v>
      </c>
      <c r="B10" s="472" t="s">
        <v>4</v>
      </c>
      <c r="C10" s="472"/>
      <c r="D10" s="18" t="s">
        <v>5</v>
      </c>
      <c r="E10" s="19" t="s">
        <v>11</v>
      </c>
      <c r="F10" s="19" t="s">
        <v>12</v>
      </c>
      <c r="G10" s="19"/>
      <c r="H10" s="14" t="s">
        <v>119</v>
      </c>
      <c r="I10" s="14" t="s">
        <v>120</v>
      </c>
      <c r="J10" s="14"/>
      <c r="K10" s="14" t="s">
        <v>121</v>
      </c>
      <c r="L10" s="18"/>
      <c r="O10" s="20"/>
      <c r="S10" s="20"/>
    </row>
    <row r="11" spans="1:19" ht="15">
      <c r="A11" s="8"/>
      <c r="B11" s="21"/>
      <c r="C11" s="21"/>
      <c r="D11" s="8"/>
      <c r="E11" s="13" t="s">
        <v>6</v>
      </c>
      <c r="F11" s="13" t="s">
        <v>7</v>
      </c>
      <c r="G11" s="22"/>
      <c r="H11" s="22" t="s">
        <v>8</v>
      </c>
      <c r="I11" s="22" t="s">
        <v>9</v>
      </c>
      <c r="J11" s="22"/>
      <c r="K11" s="22" t="s">
        <v>10</v>
      </c>
      <c r="L11" s="16"/>
      <c r="O11" s="20"/>
      <c r="S11" s="20"/>
    </row>
    <row r="12" spans="1:19" ht="15">
      <c r="N12" s="23" t="s">
        <v>11</v>
      </c>
      <c r="O12" s="23" t="s">
        <v>12</v>
      </c>
      <c r="S12" s="20"/>
    </row>
    <row r="13" spans="1:19" ht="16.5" customHeight="1">
      <c r="A13" s="24">
        <f>IF(B13=0,"N/A",MAX(A9:A12)+1)</f>
        <v>1</v>
      </c>
      <c r="B13" s="25" t="s">
        <v>20</v>
      </c>
      <c r="D13" s="24" t="s">
        <v>109</v>
      </c>
      <c r="E13" s="26" t="s">
        <v>14</v>
      </c>
      <c r="F13" s="27" t="s">
        <v>21</v>
      </c>
      <c r="H13" s="28">
        <v>0.51300000000000001</v>
      </c>
      <c r="I13" s="29">
        <v>0.495</v>
      </c>
      <c r="K13" s="24" t="s">
        <v>13</v>
      </c>
      <c r="L13" s="25"/>
      <c r="M13" s="30"/>
      <c r="N13" s="30">
        <f>IF(E13=0,"N/A",VLOOKUP(E13,'Workpaper 8'!$B$5:$C$307,2,))</f>
        <v>14</v>
      </c>
      <c r="O13" s="30">
        <f>IF(F13=0,"N/A",VLOOKUP(F13,'Workpaper 8'!$E$6:$F$27,2,))</f>
        <v>12</v>
      </c>
      <c r="S13" s="20"/>
    </row>
    <row r="14" spans="1:19" ht="16.5" customHeight="1">
      <c r="A14" s="24">
        <f t="shared" ref="A14:A21" si="0">IF(B14=0,"N/A",MAX(A10:A13)+1)</f>
        <v>2</v>
      </c>
      <c r="B14" s="25" t="s">
        <v>101</v>
      </c>
      <c r="D14" s="24" t="s">
        <v>743</v>
      </c>
      <c r="E14" s="26" t="s">
        <v>67</v>
      </c>
      <c r="F14" s="27" t="s">
        <v>57</v>
      </c>
      <c r="H14" s="28">
        <v>0.28199999999999997</v>
      </c>
      <c r="I14" s="29">
        <v>0.29499999999999998</v>
      </c>
      <c r="K14" s="24" t="s">
        <v>745</v>
      </c>
      <c r="L14" s="25"/>
      <c r="M14" s="30"/>
      <c r="N14" s="30">
        <f>IF(E14=0,"N/A",VLOOKUP(E14,'Workpaper 8'!$B$5:$C$307,2,))</f>
        <v>12</v>
      </c>
      <c r="O14" s="30">
        <f>IF(F14=0,"N/A",VLOOKUP(F14,'Workpaper 8'!$E$6:$F$27,2,))</f>
        <v>9</v>
      </c>
      <c r="S14" s="20"/>
    </row>
    <row r="15" spans="1:19" ht="16.5" customHeight="1">
      <c r="A15" s="24">
        <f t="shared" si="0"/>
        <v>3</v>
      </c>
      <c r="B15" s="25" t="s">
        <v>102</v>
      </c>
      <c r="D15" s="24" t="s">
        <v>111</v>
      </c>
      <c r="E15" s="26" t="s">
        <v>70</v>
      </c>
      <c r="F15" s="27" t="s">
        <v>61</v>
      </c>
      <c r="H15" s="28">
        <v>0.41799999999999998</v>
      </c>
      <c r="I15" s="29">
        <v>0.49199999999999999</v>
      </c>
      <c r="K15" s="24" t="s">
        <v>13</v>
      </c>
      <c r="L15" s="25"/>
      <c r="M15" s="30"/>
      <c r="N15" s="30">
        <f>IF(E15=0,"N/A",VLOOKUP(E15,'Workpaper 8'!$B$5:$C$307,2,))</f>
        <v>13</v>
      </c>
      <c r="O15" s="30">
        <f>IF(F15=0,"N/A",VLOOKUP(F15,'Workpaper 8'!$E$6:$F$27,2,))</f>
        <v>10</v>
      </c>
      <c r="S15" s="20"/>
    </row>
    <row r="16" spans="1:19" ht="16.5" customHeight="1">
      <c r="A16" s="24">
        <f t="shared" si="0"/>
        <v>4</v>
      </c>
      <c r="B16" s="25" t="s">
        <v>103</v>
      </c>
      <c r="D16" s="24" t="s">
        <v>112</v>
      </c>
      <c r="E16" s="26" t="s">
        <v>63</v>
      </c>
      <c r="F16" s="27" t="s">
        <v>53</v>
      </c>
      <c r="H16" s="28">
        <v>0.38600000000000001</v>
      </c>
      <c r="I16" s="29">
        <v>0.22700000000000001</v>
      </c>
      <c r="K16" s="24" t="s">
        <v>13</v>
      </c>
      <c r="L16" s="25"/>
      <c r="M16" s="30"/>
      <c r="N16" s="30">
        <f>IF(E16=0,"N/A",VLOOKUP(E16,'Workpaper 8'!$B$5:$C$307,2,))</f>
        <v>11</v>
      </c>
      <c r="O16" s="30">
        <f>IF(F16=0,"N/A",VLOOKUP(F16,'Workpaper 8'!$E$6:$F$27,2,))</f>
        <v>8</v>
      </c>
      <c r="S16" s="20"/>
    </row>
    <row r="17" spans="1:19" ht="16.5" customHeight="1">
      <c r="A17" s="24">
        <f t="shared" si="0"/>
        <v>5</v>
      </c>
      <c r="B17" s="25" t="s">
        <v>104</v>
      </c>
      <c r="D17" s="24" t="s">
        <v>113</v>
      </c>
      <c r="E17" s="26" t="s">
        <v>14</v>
      </c>
      <c r="F17" s="27" t="s">
        <v>21</v>
      </c>
      <c r="H17" s="28">
        <v>0.44700000000000001</v>
      </c>
      <c r="I17" s="29">
        <v>0.49199999999999999</v>
      </c>
      <c r="K17" s="24" t="s">
        <v>746</v>
      </c>
      <c r="L17" s="25"/>
      <c r="M17" s="30"/>
      <c r="N17" s="30">
        <f>IF(E17=0,"N/A",VLOOKUP(E17,'Workpaper 8'!$B$5:$C$307,2,))</f>
        <v>14</v>
      </c>
      <c r="O17" s="30">
        <f>IF(F17=0,"N/A",VLOOKUP(F17,'Workpaper 8'!$E$6:$F$27,2,))</f>
        <v>12</v>
      </c>
      <c r="S17" s="20"/>
    </row>
    <row r="18" spans="1:19" ht="16.5" customHeight="1">
      <c r="A18" s="24">
        <f t="shared" si="0"/>
        <v>6</v>
      </c>
      <c r="B18" s="25" t="s">
        <v>105</v>
      </c>
      <c r="D18" s="24" t="s">
        <v>744</v>
      </c>
      <c r="E18" s="26" t="s">
        <v>70</v>
      </c>
      <c r="F18" s="27" t="s">
        <v>61</v>
      </c>
      <c r="H18" s="28">
        <v>0.48899999999999999</v>
      </c>
      <c r="I18" s="29">
        <v>0.54700000000000004</v>
      </c>
      <c r="K18" s="24" t="s">
        <v>13</v>
      </c>
      <c r="L18" s="25"/>
      <c r="M18" s="30"/>
      <c r="N18" s="30">
        <f>IF(E18=0,"N/A",VLOOKUP(E18,'Workpaper 8'!$B$5:$C$307,2,))</f>
        <v>13</v>
      </c>
      <c r="O18" s="30">
        <f>IF(F18=0,"N/A",VLOOKUP(F18,'Workpaper 8'!$E$6:$F$27,2,))</f>
        <v>10</v>
      </c>
      <c r="S18" s="20"/>
    </row>
    <row r="19" spans="1:19" ht="16.5" customHeight="1">
      <c r="A19" s="24">
        <f t="shared" si="0"/>
        <v>7</v>
      </c>
      <c r="B19" s="25" t="s">
        <v>106</v>
      </c>
      <c r="D19" s="24" t="s">
        <v>115</v>
      </c>
      <c r="E19" s="26" t="s">
        <v>14</v>
      </c>
      <c r="F19" s="27" t="s">
        <v>61</v>
      </c>
      <c r="H19" s="28">
        <v>0.41599999999999998</v>
      </c>
      <c r="I19" s="29">
        <v>0.40799999999999997</v>
      </c>
      <c r="K19" s="24" t="s">
        <v>13</v>
      </c>
      <c r="L19" s="25"/>
      <c r="M19" s="30"/>
      <c r="N19" s="30">
        <f>IF(E19=0,"N/A",VLOOKUP(E19,'Workpaper 8'!$B$5:$C$307,2,))</f>
        <v>14</v>
      </c>
      <c r="O19" s="30">
        <f>IF(F19=0,"N/A",VLOOKUP(F19,'Workpaper 8'!$E$6:$F$27,2,))</f>
        <v>10</v>
      </c>
      <c r="S19" s="20"/>
    </row>
    <row r="20" spans="1:19" ht="16.5" customHeight="1">
      <c r="A20" s="24">
        <f t="shared" si="0"/>
        <v>8</v>
      </c>
      <c r="B20" s="25" t="s">
        <v>107</v>
      </c>
      <c r="D20" s="24" t="s">
        <v>116</v>
      </c>
      <c r="E20" s="26" t="s">
        <v>70</v>
      </c>
      <c r="F20" s="27" t="s">
        <v>61</v>
      </c>
      <c r="H20" s="28">
        <v>0.42799999999999999</v>
      </c>
      <c r="I20" s="29">
        <v>0.46400000000000002</v>
      </c>
      <c r="K20" s="24" t="s">
        <v>13</v>
      </c>
      <c r="L20" s="25"/>
      <c r="M20" s="30"/>
      <c r="N20" s="30">
        <f>IF(E20=0,"N/A",VLOOKUP(E20,'Workpaper 8'!$B$5:$C$307,2,))</f>
        <v>13</v>
      </c>
      <c r="O20" s="30">
        <f>IF(F20=0,"N/A",VLOOKUP(F20,'Workpaper 8'!$E$6:$F$27,2,))</f>
        <v>10</v>
      </c>
      <c r="S20" s="20"/>
    </row>
    <row r="21" spans="1:19" ht="16.5" customHeight="1">
      <c r="A21" s="24">
        <f t="shared" si="0"/>
        <v>9</v>
      </c>
      <c r="B21" s="25" t="s">
        <v>108</v>
      </c>
      <c r="D21" s="24" t="s">
        <v>122</v>
      </c>
      <c r="E21" s="26" t="s">
        <v>15</v>
      </c>
      <c r="F21" s="27" t="s">
        <v>72</v>
      </c>
      <c r="H21" s="28">
        <v>0.44600000000000001</v>
      </c>
      <c r="I21" s="29">
        <v>0.49</v>
      </c>
      <c r="K21" s="24" t="s">
        <v>13</v>
      </c>
      <c r="L21" s="25"/>
      <c r="M21" s="30"/>
      <c r="N21" s="30">
        <f>IF(E21=0,"N/A",VLOOKUP(E21,'Workpaper 8'!$B$5:$C$307,2,))</f>
        <v>15</v>
      </c>
      <c r="O21" s="30">
        <f>IF(F21=0,"N/A",VLOOKUP(F21,'Workpaper 8'!$E$6:$F$27,2,))</f>
        <v>13</v>
      </c>
      <c r="S21" s="20"/>
    </row>
    <row r="22" spans="1:19" ht="16.5" customHeight="1">
      <c r="A22" s="24"/>
      <c r="B22" s="25"/>
      <c r="D22" s="24"/>
      <c r="E22" s="26"/>
      <c r="F22" s="27"/>
      <c r="G22" s="31"/>
      <c r="H22" s="28"/>
      <c r="I22" s="29"/>
      <c r="K22" s="32"/>
      <c r="L22" s="25"/>
      <c r="M22" s="30"/>
      <c r="N22" s="30"/>
      <c r="O22" s="30"/>
      <c r="Q22" s="31"/>
      <c r="S22" s="20"/>
    </row>
    <row r="23" spans="1:19" ht="16.5" customHeight="1">
      <c r="A23" s="24">
        <f>MAX(A13:A22)+1</f>
        <v>10</v>
      </c>
      <c r="B23" s="33" t="s">
        <v>16</v>
      </c>
      <c r="E23" s="34" t="str">
        <f>VLOOKUP(N23,'Workpaper 8'!$C$6:$D$27,2,)</f>
        <v>BBB</v>
      </c>
      <c r="F23" s="35" t="str">
        <f>VLOOKUP(O23,'Workpaper 8'!$F$6:$G$27,2,)</f>
        <v>Baa3</v>
      </c>
      <c r="G23" s="31"/>
      <c r="H23" s="36">
        <f>AVERAGE(H13:H22)</f>
        <v>0.42499999999999999</v>
      </c>
      <c r="I23" s="37">
        <f>AVERAGE(I13:I22)</f>
        <v>0.43444444444444447</v>
      </c>
      <c r="J23" s="33"/>
      <c r="K23" s="35" t="s">
        <v>13</v>
      </c>
      <c r="L23" s="25"/>
      <c r="M23" s="30"/>
      <c r="N23" s="38">
        <f>ROUND(AVERAGE(N13:N21),0)</f>
        <v>13</v>
      </c>
      <c r="O23" s="38">
        <f>ROUND(AVERAGE(O13:O21),0)</f>
        <v>10</v>
      </c>
      <c r="Q23" s="31"/>
      <c r="S23" s="20"/>
    </row>
    <row r="24" spans="1:19" ht="16.5" customHeight="1">
      <c r="A24" s="24"/>
      <c r="E24" s="24"/>
      <c r="F24" s="32"/>
      <c r="G24" s="31"/>
      <c r="H24" s="39"/>
      <c r="I24" s="29"/>
      <c r="K24" s="24"/>
      <c r="L24" s="24"/>
      <c r="M24" s="30"/>
      <c r="N24" s="30"/>
      <c r="O24" s="30"/>
      <c r="Q24" s="31"/>
      <c r="S24" s="20"/>
    </row>
    <row r="25" spans="1:19" ht="16.5" customHeight="1">
      <c r="A25" s="24">
        <f>A23+1</f>
        <v>11</v>
      </c>
      <c r="B25" s="67" t="str">
        <f>A1</f>
        <v>Puget Sound Energy</v>
      </c>
      <c r="C25" s="31"/>
      <c r="E25" s="32" t="s">
        <v>124</v>
      </c>
      <c r="F25" s="32" t="s">
        <v>125</v>
      </c>
      <c r="G25" s="31"/>
      <c r="H25" s="39"/>
      <c r="I25" s="29" t="s">
        <v>747</v>
      </c>
      <c r="K25" s="32" t="s">
        <v>13</v>
      </c>
      <c r="L25" s="24"/>
      <c r="M25" s="30"/>
      <c r="N25" s="30"/>
      <c r="O25" s="30"/>
      <c r="Q25" s="31"/>
      <c r="S25" s="20"/>
    </row>
    <row r="26" spans="1:19" ht="16.5" customHeight="1">
      <c r="A26" s="24"/>
      <c r="E26" s="31"/>
      <c r="F26" s="31"/>
      <c r="G26" s="31"/>
      <c r="H26" s="31"/>
      <c r="L26" s="24"/>
      <c r="M26" s="30"/>
      <c r="N26" s="30"/>
      <c r="O26" s="30"/>
      <c r="Q26" s="31"/>
      <c r="S26" s="20"/>
    </row>
    <row r="27" spans="1:19" ht="16.5" customHeight="1">
      <c r="A27" s="24"/>
      <c r="B27" s="40"/>
      <c r="C27" s="40"/>
      <c r="E27" s="31"/>
      <c r="F27" s="31"/>
      <c r="G27" s="31"/>
      <c r="H27" s="31"/>
      <c r="L27" s="25"/>
      <c r="M27" s="30"/>
      <c r="Q27" s="31"/>
      <c r="S27" s="20"/>
    </row>
    <row r="28" spans="1:19" ht="16.5" customHeight="1">
      <c r="A28" s="24"/>
      <c r="B28" s="20" t="s">
        <v>17</v>
      </c>
      <c r="L28" s="24"/>
      <c r="M28" s="30"/>
      <c r="N28" s="30"/>
      <c r="O28" s="30"/>
      <c r="Q28" s="31"/>
      <c r="S28" s="20"/>
    </row>
    <row r="29" spans="1:19" ht="16.5" customHeight="1">
      <c r="A29" s="24"/>
      <c r="B29" s="41" t="s">
        <v>117</v>
      </c>
      <c r="L29" s="24"/>
      <c r="M29" s="30"/>
      <c r="N29" s="30"/>
      <c r="O29" s="30"/>
      <c r="Q29" s="31"/>
      <c r="S29" s="20"/>
    </row>
    <row r="30" spans="1:19" s="31" customFormat="1" ht="16.5" customHeight="1">
      <c r="A30" s="32"/>
      <c r="B30" s="41" t="s">
        <v>739</v>
      </c>
      <c r="C30"/>
      <c r="L30" s="32"/>
      <c r="M30" s="42"/>
      <c r="N30" s="42"/>
      <c r="O30" s="42"/>
      <c r="S30" s="43"/>
    </row>
    <row r="31" spans="1:19" ht="16.5" customHeight="1">
      <c r="A31" s="24"/>
      <c r="B31" s="41" t="s">
        <v>161</v>
      </c>
      <c r="C31" s="31"/>
      <c r="L31" s="24"/>
      <c r="M31" s="30"/>
      <c r="N31" s="30"/>
      <c r="O31" s="30"/>
      <c r="Q31" s="31"/>
      <c r="S31" s="20"/>
    </row>
    <row r="32" spans="1:19" s="31" customFormat="1" ht="16.5" customHeight="1">
      <c r="A32" s="32"/>
      <c r="B32" s="41" t="s">
        <v>740</v>
      </c>
      <c r="L32" s="32"/>
      <c r="M32" s="42"/>
      <c r="N32" s="42"/>
      <c r="O32" s="42"/>
      <c r="S32" s="43"/>
    </row>
    <row r="33" spans="1:19" ht="16.5" customHeight="1">
      <c r="A33" s="24"/>
      <c r="B33" s="470" t="s">
        <v>748</v>
      </c>
      <c r="C33" s="31"/>
      <c r="L33" s="24"/>
      <c r="M33" s="30"/>
      <c r="Q33" s="31"/>
      <c r="S33" s="20"/>
    </row>
    <row r="34" spans="1:19" ht="16.5" customHeight="1">
      <c r="A34" s="24"/>
      <c r="B34" s="44" t="s">
        <v>18</v>
      </c>
      <c r="L34" s="32"/>
      <c r="M34" s="30"/>
      <c r="N34" s="30"/>
      <c r="O34" s="30"/>
      <c r="Q34" s="31"/>
      <c r="S34" s="20"/>
    </row>
    <row r="35" spans="1:19" ht="16.5" customHeight="1">
      <c r="A35" s="24"/>
      <c r="B35" s="44" t="s">
        <v>19</v>
      </c>
      <c r="C35" s="31"/>
      <c r="L35" s="25"/>
      <c r="M35" s="30"/>
      <c r="N35" s="30"/>
      <c r="O35" s="30"/>
      <c r="Q35" s="31"/>
      <c r="S35" s="20"/>
    </row>
    <row r="36" spans="1:19" ht="16.5" customHeight="1">
      <c r="A36" s="24"/>
      <c r="L36" s="24"/>
      <c r="M36" s="30"/>
      <c r="N36" s="30"/>
      <c r="O36" s="30"/>
      <c r="Q36" s="31"/>
      <c r="S36" s="20"/>
    </row>
    <row r="37" spans="1:19" ht="16.5" customHeight="1">
      <c r="A37" s="24"/>
      <c r="B37" s="25"/>
      <c r="C37" s="45"/>
      <c r="D37" s="24"/>
      <c r="L37" s="24"/>
      <c r="M37" s="30"/>
      <c r="N37" s="30"/>
      <c r="O37" s="30"/>
      <c r="Q37" s="31"/>
      <c r="S37" s="20"/>
    </row>
    <row r="38" spans="1:19" ht="16.5" customHeight="1">
      <c r="A38" s="24"/>
      <c r="B38" s="25"/>
      <c r="C38" s="45"/>
      <c r="D38" s="24"/>
      <c r="L38" s="24"/>
      <c r="M38" s="30"/>
      <c r="N38" s="30"/>
      <c r="O38" s="30"/>
      <c r="Q38" s="31"/>
      <c r="S38" s="20"/>
    </row>
    <row r="39" spans="1:19" ht="16.5" customHeight="1">
      <c r="A39" s="24"/>
      <c r="B39" s="46"/>
      <c r="C39" s="45"/>
      <c r="D39" s="32"/>
      <c r="L39" s="24"/>
      <c r="M39" s="30"/>
      <c r="N39" s="30"/>
      <c r="O39" s="30"/>
      <c r="Q39" s="31"/>
      <c r="S39" s="20"/>
    </row>
    <row r="40" spans="1:19" ht="16.5" customHeight="1">
      <c r="A40" s="24"/>
      <c r="D40" s="47"/>
      <c r="N40" s="30"/>
      <c r="O40" s="30"/>
      <c r="Q40" s="31"/>
      <c r="S40" s="20"/>
    </row>
    <row r="41" spans="1:19" ht="16.5" customHeight="1">
      <c r="A41" s="24"/>
      <c r="C41" s="48"/>
      <c r="D41" s="47"/>
      <c r="N41" s="30"/>
      <c r="O41" s="30"/>
      <c r="Q41" s="31"/>
      <c r="S41" s="20"/>
    </row>
    <row r="42" spans="1:19" ht="16.5" customHeight="1">
      <c r="A42" s="24"/>
      <c r="D42" s="47"/>
      <c r="N42" s="30"/>
      <c r="O42" s="30"/>
      <c r="Q42" s="31"/>
      <c r="S42" s="20"/>
    </row>
    <row r="43" spans="1:19" ht="16.5" customHeight="1">
      <c r="A43" s="24"/>
      <c r="D43" s="47"/>
      <c r="N43" s="30"/>
      <c r="O43" s="30"/>
      <c r="Q43" s="31"/>
      <c r="S43" s="20"/>
    </row>
    <row r="44" spans="1:19" ht="16.5" customHeight="1">
      <c r="A44" s="24"/>
      <c r="C44" s="48"/>
      <c r="D44" s="47"/>
      <c r="N44" s="30"/>
      <c r="O44" s="30"/>
      <c r="Q44" s="31"/>
      <c r="S44" s="20"/>
    </row>
    <row r="45" spans="1:19" ht="16.5" customHeight="1">
      <c r="A45" s="24"/>
      <c r="Q45" s="31"/>
      <c r="S45" s="20"/>
    </row>
    <row r="46" spans="1:19" ht="16.5" customHeight="1">
      <c r="A46" s="24"/>
      <c r="Q46" s="31"/>
      <c r="S46" s="20"/>
    </row>
    <row r="47" spans="1:19" ht="16.5" customHeight="1">
      <c r="L47" s="49"/>
      <c r="Q47" s="31"/>
      <c r="S47" s="20"/>
    </row>
    <row r="48" spans="1:19" ht="16.5" customHeight="1">
      <c r="Q48" s="31"/>
      <c r="S48" s="20"/>
    </row>
    <row r="49" spans="1:19" ht="16.5" customHeight="1">
      <c r="D49" s="47"/>
      <c r="E49" s="24"/>
      <c r="F49" s="24"/>
      <c r="H49" s="29"/>
      <c r="I49" s="29"/>
      <c r="L49" s="50"/>
      <c r="Q49" s="31"/>
      <c r="S49" s="20"/>
    </row>
    <row r="50" spans="1:19" ht="16.5" customHeight="1">
      <c r="D50" s="47"/>
      <c r="E50" s="24"/>
      <c r="F50" s="24"/>
      <c r="H50" s="29"/>
      <c r="I50" s="29"/>
      <c r="L50" s="50"/>
      <c r="Q50" s="31"/>
      <c r="S50" s="20"/>
    </row>
    <row r="51" spans="1:19" ht="16.5" customHeight="1">
      <c r="C51" s="48"/>
      <c r="D51" s="47"/>
      <c r="E51" s="32"/>
      <c r="F51" s="32"/>
      <c r="G51" s="31"/>
      <c r="H51" s="39"/>
      <c r="I51" s="39"/>
      <c r="L51" s="50"/>
      <c r="Q51" s="31"/>
      <c r="S51" s="20"/>
    </row>
    <row r="52" spans="1:19" ht="16.5" customHeight="1">
      <c r="A52" s="24"/>
      <c r="M52" s="30"/>
      <c r="N52" s="30"/>
      <c r="Q52" s="31"/>
      <c r="S52" s="20"/>
    </row>
    <row r="53" spans="1:19" ht="16.5" customHeight="1">
      <c r="A53" s="24"/>
      <c r="M53" s="30"/>
      <c r="N53" s="30"/>
      <c r="Q53" s="31"/>
      <c r="S53" s="20"/>
    </row>
    <row r="54" spans="1:19" ht="16.5" customHeight="1">
      <c r="Q54" s="31"/>
      <c r="S54" s="20"/>
    </row>
    <row r="55" spans="1:19" ht="16.5" customHeight="1">
      <c r="A55" s="24"/>
      <c r="M55" s="30"/>
      <c r="N55" s="30"/>
      <c r="O55" s="51"/>
      <c r="Q55" s="31"/>
      <c r="S55" s="20"/>
    </row>
    <row r="56" spans="1:19" ht="16.5" customHeight="1">
      <c r="A56" s="24"/>
      <c r="M56" s="30"/>
      <c r="N56" s="30"/>
      <c r="O56" s="51"/>
      <c r="Q56" s="31"/>
      <c r="S56" s="20"/>
    </row>
    <row r="57" spans="1:19" ht="16.5" customHeight="1">
      <c r="A57" s="24"/>
      <c r="M57" s="30"/>
      <c r="N57" s="30"/>
      <c r="O57" s="51"/>
      <c r="Q57" s="31"/>
      <c r="S57" s="20"/>
    </row>
    <row r="58" spans="1:19" ht="16.5" customHeight="1">
      <c r="A58" s="24"/>
      <c r="M58" s="30"/>
      <c r="N58" s="30"/>
      <c r="O58" s="51"/>
      <c r="S58" s="20"/>
    </row>
    <row r="59" spans="1:19" ht="16.5" customHeight="1">
      <c r="A59" s="24"/>
      <c r="L59" s="50"/>
      <c r="M59" s="30"/>
      <c r="N59" s="30"/>
      <c r="O59" s="51"/>
    </row>
    <row r="60" spans="1:19">
      <c r="A60" s="32"/>
      <c r="L60" s="50"/>
      <c r="M60" s="30"/>
      <c r="N60" s="30"/>
      <c r="O60" s="20"/>
      <c r="S60" s="20"/>
    </row>
    <row r="61" spans="1:19">
      <c r="A61" s="24"/>
      <c r="L61" s="50"/>
      <c r="M61" s="30"/>
      <c r="N61" s="30"/>
      <c r="O61" s="20"/>
      <c r="S61" s="20"/>
    </row>
    <row r="62" spans="1:19">
      <c r="C62" s="52"/>
      <c r="D62" s="52"/>
      <c r="E62" s="24"/>
      <c r="F62" s="24"/>
      <c r="H62" s="29"/>
      <c r="I62" s="29"/>
      <c r="P62" s="53"/>
      <c r="Q62" s="54"/>
      <c r="R62" s="55"/>
      <c r="S62" s="20"/>
    </row>
    <row r="63" spans="1:19">
      <c r="P63" s="53"/>
      <c r="Q63" s="54"/>
      <c r="R63" s="55"/>
      <c r="S63" s="20"/>
    </row>
    <row r="64" spans="1:19">
      <c r="P64" s="20"/>
      <c r="S64" s="20"/>
    </row>
    <row r="65" spans="1:19">
      <c r="P65" s="20"/>
      <c r="S65" s="20"/>
    </row>
    <row r="66" spans="1:19">
      <c r="P66" s="20"/>
      <c r="Q66" s="54"/>
      <c r="R66" s="56"/>
      <c r="S66" s="20"/>
    </row>
    <row r="67" spans="1:19">
      <c r="P67" s="20"/>
      <c r="Q67" s="54"/>
      <c r="R67" s="56"/>
      <c r="S67" s="20"/>
    </row>
    <row r="68" spans="1:19">
      <c r="P68" s="53"/>
      <c r="Q68" s="54"/>
      <c r="R68" s="56"/>
      <c r="S68" s="20"/>
    </row>
    <row r="69" spans="1:19">
      <c r="P69" s="20"/>
      <c r="Q69" s="20"/>
      <c r="R69" s="20"/>
      <c r="S69" s="20"/>
    </row>
    <row r="70" spans="1:19">
      <c r="P70" s="20"/>
      <c r="Q70" s="20"/>
      <c r="R70" s="20"/>
      <c r="S70" s="20"/>
    </row>
    <row r="71" spans="1:19">
      <c r="P71" s="20"/>
      <c r="Q71" s="20"/>
      <c r="R71" s="20"/>
      <c r="S71" s="20"/>
    </row>
    <row r="72" spans="1:19">
      <c r="A72" s="24"/>
      <c r="L72" s="50"/>
      <c r="M72" s="30"/>
      <c r="N72" s="30"/>
    </row>
    <row r="76" spans="1:19">
      <c r="E76" s="24"/>
      <c r="F76" s="24"/>
      <c r="L76" s="50"/>
      <c r="M76" s="57"/>
      <c r="N76" s="57"/>
    </row>
    <row r="77" spans="1:19" ht="15">
      <c r="A77" s="24"/>
      <c r="F77" s="58"/>
      <c r="G77" s="33"/>
      <c r="H77" s="59"/>
      <c r="I77" s="59"/>
      <c r="J77" s="33"/>
      <c r="K77" s="33"/>
      <c r="L77" s="60"/>
      <c r="M77" s="57"/>
      <c r="N77" s="57"/>
    </row>
    <row r="78" spans="1:19">
      <c r="F78" s="24"/>
      <c r="L78" s="50"/>
    </row>
    <row r="79" spans="1:19">
      <c r="A79" s="24"/>
      <c r="F79" s="24"/>
      <c r="I79" s="24"/>
      <c r="L79" s="50"/>
      <c r="M79" s="30"/>
      <c r="N79" s="30"/>
    </row>
    <row r="80" spans="1:19">
      <c r="A80" s="24"/>
      <c r="F80" s="24"/>
      <c r="I80" s="24"/>
      <c r="L80" s="50"/>
      <c r="M80" s="30"/>
      <c r="N80" s="30"/>
    </row>
    <row r="81" spans="6:12">
      <c r="F81" s="24"/>
      <c r="L81" s="50"/>
    </row>
    <row r="82" spans="6:12" ht="15">
      <c r="H82" s="34"/>
      <c r="I82" s="34"/>
      <c r="L82" s="50"/>
    </row>
    <row r="83" spans="6:12" ht="15">
      <c r="H83" s="61"/>
      <c r="I83" s="61"/>
    </row>
    <row r="84" spans="6:12" ht="15">
      <c r="H84" s="61"/>
      <c r="I84" s="61"/>
    </row>
  </sheetData>
  <mergeCells count="6">
    <mergeCell ref="B10:C10"/>
    <mergeCell ref="A1:K1"/>
    <mergeCell ref="A5:K5"/>
    <mergeCell ref="H8:I8"/>
    <mergeCell ref="E9:F9"/>
    <mergeCell ref="H9:I9"/>
  </mergeCells>
  <printOptions horizontalCentered="1"/>
  <pageMargins left="0.7" right="0.7" top="1" bottom="0.75" header="0.3" footer="0.51"/>
  <pageSetup scale="76" orientation="portrait" r:id="rId1"/>
  <headerFooter>
    <oddHeader>&amp;R&amp;12Exhibit No.___(MPG-5)
Page 1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R50"/>
  <sheetViews>
    <sheetView zoomScale="80" zoomScaleNormal="80" zoomScaleSheetLayoutView="80" zoomScalePageLayoutView="80" workbookViewId="0">
      <selection activeCell="A2" sqref="A2"/>
    </sheetView>
  </sheetViews>
  <sheetFormatPr defaultRowHeight="14.25"/>
  <cols>
    <col min="1" max="1" width="6.125" style="188" customWidth="1"/>
    <col min="2" max="3" width="8.625" style="188" customWidth="1"/>
    <col min="4" max="4" width="15" style="189" customWidth="1"/>
    <col min="5" max="5" width="15" style="188" customWidth="1"/>
    <col min="6" max="6" width="15" style="189" customWidth="1"/>
    <col min="7" max="7" width="6.125" style="188" customWidth="1"/>
    <col min="8" max="8" width="9.5" style="216" customWidth="1"/>
    <col min="9" max="9" width="2.5" style="188" customWidth="1"/>
    <col min="10" max="10" width="9.125" style="188" bestFit="1" customWidth="1"/>
    <col min="11" max="17" width="8.125" style="188" bestFit="1" customWidth="1"/>
    <col min="18" max="16384" width="9" style="188"/>
  </cols>
  <sheetData>
    <row r="1" spans="1:12" ht="27.75">
      <c r="A1" s="485" t="str">
        <f>'MPG-13'!A1:E1</f>
        <v>Puget Sound Energy</v>
      </c>
      <c r="B1" s="485"/>
      <c r="C1" s="485"/>
      <c r="D1" s="485"/>
      <c r="E1" s="485"/>
      <c r="F1" s="485"/>
      <c r="G1" s="485"/>
      <c r="H1" s="214"/>
      <c r="I1" s="214"/>
    </row>
    <row r="2" spans="1:12">
      <c r="A2" s="189"/>
      <c r="B2" s="189"/>
      <c r="C2" s="190"/>
      <c r="D2" s="215"/>
    </row>
    <row r="3" spans="1:12">
      <c r="A3" s="189"/>
      <c r="B3" s="189"/>
      <c r="C3" s="190"/>
      <c r="D3" s="215"/>
    </row>
    <row r="4" spans="1:12">
      <c r="A4" s="189"/>
      <c r="B4" s="189"/>
      <c r="C4" s="190"/>
      <c r="D4" s="215"/>
    </row>
    <row r="5" spans="1:12" ht="20.25">
      <c r="A5" s="486" t="s">
        <v>437</v>
      </c>
      <c r="B5" s="486"/>
      <c r="C5" s="486"/>
      <c r="D5" s="486"/>
      <c r="E5" s="486"/>
      <c r="F5" s="486"/>
      <c r="G5" s="486"/>
      <c r="H5" s="217"/>
      <c r="I5" s="217"/>
    </row>
    <row r="6" spans="1:12">
      <c r="A6" s="189"/>
      <c r="B6" s="189"/>
      <c r="C6" s="190"/>
      <c r="D6" s="215"/>
    </row>
    <row r="7" spans="1:12">
      <c r="A7" s="189"/>
      <c r="B7" s="189"/>
      <c r="C7" s="190"/>
      <c r="D7" s="215"/>
    </row>
    <row r="8" spans="1:12">
      <c r="A8" s="190"/>
      <c r="B8" s="190"/>
      <c r="C8" s="215"/>
      <c r="D8" s="218"/>
      <c r="E8" s="219"/>
      <c r="F8" s="218"/>
      <c r="G8" s="218"/>
    </row>
    <row r="9" spans="1:12">
      <c r="A9" s="189"/>
      <c r="B9" s="189"/>
      <c r="C9" s="190"/>
      <c r="D9" s="220" t="s">
        <v>438</v>
      </c>
      <c r="F9" s="220" t="s">
        <v>439</v>
      </c>
    </row>
    <row r="10" spans="1:12">
      <c r="A10" s="221"/>
      <c r="B10" s="221"/>
      <c r="C10" s="222"/>
      <c r="D10" s="223" t="s">
        <v>440</v>
      </c>
      <c r="E10" s="223" t="s">
        <v>441</v>
      </c>
      <c r="F10" s="220" t="s">
        <v>442</v>
      </c>
    </row>
    <row r="11" spans="1:12">
      <c r="B11" s="224" t="s">
        <v>3</v>
      </c>
      <c r="C11" s="225" t="s">
        <v>434</v>
      </c>
      <c r="D11" s="226" t="s">
        <v>443</v>
      </c>
      <c r="E11" s="226" t="s">
        <v>444</v>
      </c>
      <c r="F11" s="227" t="s">
        <v>445</v>
      </c>
    </row>
    <row r="12" spans="1:12">
      <c r="B12" s="228"/>
      <c r="C12" s="228"/>
      <c r="D12" s="229" t="s">
        <v>6</v>
      </c>
      <c r="E12" s="229" t="s">
        <v>7</v>
      </c>
      <c r="F12" s="229" t="s">
        <v>8</v>
      </c>
    </row>
    <row r="13" spans="1:12">
      <c r="B13" s="189"/>
      <c r="C13" s="189"/>
      <c r="E13" s="219"/>
      <c r="F13" s="219"/>
      <c r="H13" s="230"/>
    </row>
    <row r="14" spans="1:12" ht="15.75" customHeight="1">
      <c r="B14" s="219">
        <f>MAX(B10:B13)+1</f>
        <v>1</v>
      </c>
      <c r="C14" s="189">
        <v>1986</v>
      </c>
      <c r="D14" s="231">
        <v>0.13930000000000001</v>
      </c>
      <c r="E14" s="232">
        <f>'Workpaper 5'!B16</f>
        <v>7.7800000000000008E-2</v>
      </c>
      <c r="F14" s="233">
        <f t="shared" ref="F14:F35" si="0">D14-E14</f>
        <v>6.1499999999999999E-2</v>
      </c>
      <c r="H14" s="234">
        <f>VLOOKUP(J14,$K$14:$L$39,2,)</f>
        <v>3.8300000000000001E-2</v>
      </c>
      <c r="J14" s="188">
        <v>1</v>
      </c>
      <c r="K14" s="188">
        <f>RANK(F14,$F$14:$F$39,1)</f>
        <v>24</v>
      </c>
      <c r="L14" s="235">
        <f>F14</f>
        <v>6.1499999999999999E-2</v>
      </c>
    </row>
    <row r="15" spans="1:12" ht="15.75" customHeight="1">
      <c r="B15" s="219">
        <f t="shared" ref="B15:B41" si="1">MAX(B11:B14)+1</f>
        <v>2</v>
      </c>
      <c r="C15" s="189">
        <v>1987</v>
      </c>
      <c r="D15" s="231">
        <v>0.12989999999999999</v>
      </c>
      <c r="E15" s="232">
        <f>'Workpaper 5'!B17</f>
        <v>8.5900000000000004E-2</v>
      </c>
      <c r="F15" s="233">
        <f t="shared" si="0"/>
        <v>4.3999999999999984E-2</v>
      </c>
      <c r="H15" s="234">
        <f t="shared" ref="H15:H36" si="2">VLOOKUP(J15,$K$14:$L$39,2,)</f>
        <v>3.9699999999999999E-2</v>
      </c>
      <c r="J15" s="188">
        <v>2</v>
      </c>
      <c r="K15" s="188">
        <f t="shared" ref="K15:K39" si="3">RANK(F15,$F$14:$F$39,1)</f>
        <v>4</v>
      </c>
      <c r="L15" s="235">
        <f t="shared" ref="L15:L39" si="4">F15</f>
        <v>4.3999999999999984E-2</v>
      </c>
    </row>
    <row r="16" spans="1:12" ht="15.75" customHeight="1">
      <c r="B16" s="219">
        <f t="shared" si="1"/>
        <v>3</v>
      </c>
      <c r="C16" s="189">
        <v>1988</v>
      </c>
      <c r="D16" s="231">
        <v>0.12790000000000001</v>
      </c>
      <c r="E16" s="232">
        <f>'Workpaper 5'!B18</f>
        <v>8.9600000000000013E-2</v>
      </c>
      <c r="F16" s="233">
        <f t="shared" si="0"/>
        <v>3.8300000000000001E-2</v>
      </c>
      <c r="H16" s="234">
        <f t="shared" si="2"/>
        <v>4.0900000000000006E-2</v>
      </c>
      <c r="J16" s="188">
        <v>3</v>
      </c>
      <c r="K16" s="188">
        <f t="shared" si="3"/>
        <v>1</v>
      </c>
      <c r="L16" s="235">
        <f t="shared" si="4"/>
        <v>3.8300000000000001E-2</v>
      </c>
    </row>
    <row r="17" spans="2:15" ht="15.75" customHeight="1">
      <c r="B17" s="219">
        <f t="shared" si="1"/>
        <v>4</v>
      </c>
      <c r="C17" s="189">
        <v>1989</v>
      </c>
      <c r="D17" s="231">
        <v>0.12970000000000001</v>
      </c>
      <c r="E17" s="232">
        <f>'Workpaper 5'!B19</f>
        <v>8.4499999999999992E-2</v>
      </c>
      <c r="F17" s="233">
        <f t="shared" si="0"/>
        <v>4.5200000000000018E-2</v>
      </c>
      <c r="H17" s="231">
        <f>VLOOKUP(J17,$K$14:$L$39,2,)</f>
        <v>4.3999999999999984E-2</v>
      </c>
      <c r="J17" s="188">
        <v>4</v>
      </c>
      <c r="K17" s="188">
        <f t="shared" si="3"/>
        <v>7</v>
      </c>
      <c r="L17" s="235">
        <f t="shared" si="4"/>
        <v>4.5200000000000018E-2</v>
      </c>
    </row>
    <row r="18" spans="2:15" ht="15.75" customHeight="1">
      <c r="B18" s="219">
        <f t="shared" si="1"/>
        <v>5</v>
      </c>
      <c r="C18" s="189">
        <v>1990</v>
      </c>
      <c r="D18" s="231">
        <v>0.127</v>
      </c>
      <c r="E18" s="232">
        <f>'Workpaper 5'!B20</f>
        <v>8.6099999999999996E-2</v>
      </c>
      <c r="F18" s="233">
        <f t="shared" si="0"/>
        <v>4.0900000000000006E-2</v>
      </c>
      <c r="H18" s="231">
        <f t="shared" si="2"/>
        <v>4.41E-2</v>
      </c>
      <c r="J18" s="188">
        <v>5</v>
      </c>
      <c r="K18" s="188">
        <f t="shared" si="3"/>
        <v>3</v>
      </c>
      <c r="L18" s="235">
        <f t="shared" si="4"/>
        <v>4.0900000000000006E-2</v>
      </c>
    </row>
    <row r="19" spans="2:15" ht="15.75" customHeight="1">
      <c r="B19" s="219">
        <f t="shared" si="1"/>
        <v>6</v>
      </c>
      <c r="C19" s="189">
        <v>1991</v>
      </c>
      <c r="D19" s="231">
        <v>0.1255</v>
      </c>
      <c r="E19" s="232">
        <f>'Workpaper 5'!B21</f>
        <v>8.14E-2</v>
      </c>
      <c r="F19" s="233">
        <f t="shared" si="0"/>
        <v>4.41E-2</v>
      </c>
      <c r="H19" s="231">
        <f t="shared" si="2"/>
        <v>4.4199999999999989E-2</v>
      </c>
      <c r="J19" s="188">
        <v>6</v>
      </c>
      <c r="K19" s="188">
        <f t="shared" si="3"/>
        <v>5</v>
      </c>
      <c r="L19" s="235">
        <f t="shared" si="4"/>
        <v>4.41E-2</v>
      </c>
    </row>
    <row r="20" spans="2:15" ht="15.75" customHeight="1">
      <c r="B20" s="219">
        <f t="shared" si="1"/>
        <v>7</v>
      </c>
      <c r="C20" s="189">
        <v>1992</v>
      </c>
      <c r="D20" s="236">
        <v>0.12089999999999999</v>
      </c>
      <c r="E20" s="232">
        <f>'Workpaper 5'!B22</f>
        <v>7.6700000000000004E-2</v>
      </c>
      <c r="F20" s="237">
        <f t="shared" si="0"/>
        <v>4.4199999999999989E-2</v>
      </c>
      <c r="H20" s="231">
        <f t="shared" si="2"/>
        <v>4.5200000000000018E-2</v>
      </c>
      <c r="J20" s="188">
        <v>7</v>
      </c>
      <c r="K20" s="188">
        <f t="shared" si="3"/>
        <v>6</v>
      </c>
      <c r="L20" s="235">
        <f t="shared" si="4"/>
        <v>4.4199999999999989E-2</v>
      </c>
    </row>
    <row r="21" spans="2:15" ht="15.75" customHeight="1">
      <c r="B21" s="219">
        <f t="shared" si="1"/>
        <v>8</v>
      </c>
      <c r="C21" s="189">
        <v>1993</v>
      </c>
      <c r="D21" s="236">
        <v>0.11409999999999999</v>
      </c>
      <c r="E21" s="232">
        <f>'Workpaper 5'!B23</f>
        <v>6.59E-2</v>
      </c>
      <c r="F21" s="237">
        <f t="shared" si="0"/>
        <v>4.8199999999999993E-2</v>
      </c>
      <c r="H21" s="231">
        <f t="shared" si="2"/>
        <v>4.6700000000000005E-2</v>
      </c>
      <c r="J21" s="188">
        <v>8</v>
      </c>
      <c r="K21" s="188">
        <f t="shared" si="3"/>
        <v>11</v>
      </c>
      <c r="L21" s="235">
        <f t="shared" si="4"/>
        <v>4.8199999999999993E-2</v>
      </c>
    </row>
    <row r="22" spans="2:15" ht="15.75" customHeight="1">
      <c r="B22" s="219">
        <f t="shared" si="1"/>
        <v>9</v>
      </c>
      <c r="C22" s="189">
        <v>1994</v>
      </c>
      <c r="D22" s="236">
        <v>0.1134</v>
      </c>
      <c r="E22" s="232">
        <f>'Workpaper 5'!B24</f>
        <v>7.3700000000000002E-2</v>
      </c>
      <c r="F22" s="237">
        <f t="shared" si="0"/>
        <v>3.9699999999999999E-2</v>
      </c>
      <c r="H22" s="231">
        <f t="shared" si="2"/>
        <v>4.6800000000000008E-2</v>
      </c>
      <c r="J22" s="188">
        <v>9</v>
      </c>
      <c r="K22" s="188">
        <f t="shared" si="3"/>
        <v>2</v>
      </c>
      <c r="L22" s="235">
        <f t="shared" si="4"/>
        <v>3.9699999999999999E-2</v>
      </c>
    </row>
    <row r="23" spans="2:15" ht="15.75" customHeight="1">
      <c r="B23" s="219">
        <f t="shared" si="1"/>
        <v>10</v>
      </c>
      <c r="C23" s="189">
        <v>1995</v>
      </c>
      <c r="D23" s="236">
        <v>0.11550000000000001</v>
      </c>
      <c r="E23" s="232">
        <f>'Workpaper 5'!B25</f>
        <v>6.88E-2</v>
      </c>
      <c r="F23" s="237">
        <f t="shared" si="0"/>
        <v>4.6700000000000005E-2</v>
      </c>
      <c r="H23" s="231">
        <f t="shared" si="2"/>
        <v>4.7899999999999998E-2</v>
      </c>
      <c r="J23" s="188">
        <v>10</v>
      </c>
      <c r="K23" s="188">
        <f t="shared" si="3"/>
        <v>8</v>
      </c>
      <c r="L23" s="235">
        <f t="shared" si="4"/>
        <v>4.6700000000000005E-2</v>
      </c>
    </row>
    <row r="24" spans="2:15" ht="15.75" customHeight="1">
      <c r="B24" s="219">
        <f t="shared" si="1"/>
        <v>11</v>
      </c>
      <c r="C24" s="189">
        <v>1996</v>
      </c>
      <c r="D24" s="236">
        <v>0.1139</v>
      </c>
      <c r="E24" s="232">
        <f>'Workpaper 5'!B26</f>
        <v>6.7099999999999993E-2</v>
      </c>
      <c r="F24" s="237">
        <f t="shared" si="0"/>
        <v>4.6800000000000008E-2</v>
      </c>
      <c r="H24" s="231">
        <f t="shared" si="2"/>
        <v>4.8199999999999993E-2</v>
      </c>
      <c r="J24" s="188">
        <v>11</v>
      </c>
      <c r="K24" s="188">
        <f t="shared" si="3"/>
        <v>9</v>
      </c>
      <c r="L24" s="235">
        <f t="shared" si="4"/>
        <v>4.6800000000000008E-2</v>
      </c>
    </row>
    <row r="25" spans="2:15" ht="15.75" customHeight="1">
      <c r="B25" s="219">
        <f t="shared" si="1"/>
        <v>12</v>
      </c>
      <c r="C25" s="189">
        <v>1997</v>
      </c>
      <c r="D25" s="236">
        <v>0.114</v>
      </c>
      <c r="E25" s="232">
        <f>'Workpaper 5'!B27</f>
        <v>6.6100000000000006E-2</v>
      </c>
      <c r="F25" s="237">
        <f t="shared" si="0"/>
        <v>4.7899999999999998E-2</v>
      </c>
      <c r="H25" s="231">
        <f t="shared" si="2"/>
        <v>4.9000000000000002E-2</v>
      </c>
      <c r="J25" s="188">
        <v>12</v>
      </c>
      <c r="K25" s="188">
        <f t="shared" si="3"/>
        <v>10</v>
      </c>
      <c r="L25" s="235">
        <f t="shared" si="4"/>
        <v>4.7899999999999998E-2</v>
      </c>
    </row>
    <row r="26" spans="2:15" ht="15.75" customHeight="1">
      <c r="B26" s="219">
        <f t="shared" si="1"/>
        <v>13</v>
      </c>
      <c r="C26" s="189">
        <v>1998</v>
      </c>
      <c r="D26" s="236">
        <v>0.1166</v>
      </c>
      <c r="E26" s="232">
        <f>'Workpaper 5'!B28</f>
        <v>5.5800000000000002E-2</v>
      </c>
      <c r="F26" s="237">
        <f t="shared" si="0"/>
        <v>6.0799999999999993E-2</v>
      </c>
      <c r="H26" s="231">
        <f t="shared" si="2"/>
        <v>5.4499999999999993E-2</v>
      </c>
      <c r="J26" s="188">
        <v>13</v>
      </c>
      <c r="K26" s="188">
        <f t="shared" si="3"/>
        <v>22</v>
      </c>
      <c r="L26" s="235">
        <f t="shared" si="4"/>
        <v>6.0799999999999993E-2</v>
      </c>
    </row>
    <row r="27" spans="2:15" ht="15.75" customHeight="1">
      <c r="B27" s="219">
        <f t="shared" si="1"/>
        <v>14</v>
      </c>
      <c r="C27" s="189">
        <v>1999</v>
      </c>
      <c r="D27" s="236">
        <v>0.1077</v>
      </c>
      <c r="E27" s="232">
        <f>'Workpaper 5'!B29</f>
        <v>5.8700000000000002E-2</v>
      </c>
      <c r="F27" s="237">
        <f t="shared" si="0"/>
        <v>4.9000000000000002E-2</v>
      </c>
      <c r="H27" s="231">
        <f t="shared" si="2"/>
        <v>5.4899999999999997E-2</v>
      </c>
      <c r="J27" s="188">
        <v>14</v>
      </c>
      <c r="K27" s="188">
        <f t="shared" si="3"/>
        <v>12</v>
      </c>
      <c r="L27" s="235">
        <f t="shared" si="4"/>
        <v>4.9000000000000002E-2</v>
      </c>
    </row>
    <row r="28" spans="2:15" ht="15.75" customHeight="1">
      <c r="B28" s="219">
        <f t="shared" si="1"/>
        <v>15</v>
      </c>
      <c r="C28" s="189">
        <v>2000</v>
      </c>
      <c r="D28" s="236">
        <v>0.1143</v>
      </c>
      <c r="E28" s="232">
        <f>'Workpaper 5'!B30</f>
        <v>5.9400000000000001E-2</v>
      </c>
      <c r="F28" s="237">
        <f t="shared" si="0"/>
        <v>5.4899999999999997E-2</v>
      </c>
      <c r="H28" s="231">
        <f t="shared" si="2"/>
        <v>5.5199999999999999E-2</v>
      </c>
      <c r="J28" s="188">
        <v>15</v>
      </c>
      <c r="K28" s="188">
        <f t="shared" si="3"/>
        <v>14</v>
      </c>
      <c r="L28" s="235">
        <f t="shared" si="4"/>
        <v>5.4899999999999997E-2</v>
      </c>
    </row>
    <row r="29" spans="2:15" ht="15.75" customHeight="1">
      <c r="B29" s="219">
        <f t="shared" si="1"/>
        <v>16</v>
      </c>
      <c r="C29" s="189">
        <v>2001</v>
      </c>
      <c r="D29" s="236">
        <v>0.1109</v>
      </c>
      <c r="E29" s="232">
        <f>'Workpaper 5'!B31</f>
        <v>5.4900000000000004E-2</v>
      </c>
      <c r="F29" s="237">
        <f t="shared" si="0"/>
        <v>5.5999999999999994E-2</v>
      </c>
      <c r="H29" s="231">
        <f t="shared" si="2"/>
        <v>5.5999999999999994E-2</v>
      </c>
      <c r="J29" s="188">
        <v>16</v>
      </c>
      <c r="K29" s="188">
        <f t="shared" si="3"/>
        <v>16</v>
      </c>
      <c r="L29" s="235">
        <f t="shared" si="4"/>
        <v>5.5999999999999994E-2</v>
      </c>
      <c r="O29" s="231"/>
    </row>
    <row r="30" spans="2:15" ht="15.75" customHeight="1">
      <c r="B30" s="219">
        <f t="shared" si="1"/>
        <v>17</v>
      </c>
      <c r="C30" s="189">
        <v>2002</v>
      </c>
      <c r="D30" s="236">
        <v>0.1116</v>
      </c>
      <c r="E30" s="232">
        <f>'Workpaper 5'!B32</f>
        <v>5.4299999999999994E-2</v>
      </c>
      <c r="F30" s="237">
        <f t="shared" si="0"/>
        <v>5.7300000000000011E-2</v>
      </c>
      <c r="H30" s="231">
        <f t="shared" si="2"/>
        <v>5.7033333333333332E-2</v>
      </c>
      <c r="J30" s="188">
        <v>17</v>
      </c>
      <c r="K30" s="188">
        <f t="shared" si="3"/>
        <v>18</v>
      </c>
      <c r="L30" s="235">
        <f t="shared" si="4"/>
        <v>5.7300000000000011E-2</v>
      </c>
      <c r="O30" s="231"/>
    </row>
    <row r="31" spans="2:15" ht="15.75" customHeight="1">
      <c r="B31" s="219">
        <f t="shared" si="1"/>
        <v>18</v>
      </c>
      <c r="C31" s="189">
        <v>2003</v>
      </c>
      <c r="D31" s="236">
        <v>0.10970000000000001</v>
      </c>
      <c r="E31" s="232">
        <f>'Workpaper 5'!B33</f>
        <v>4.9575000000000008E-2</v>
      </c>
      <c r="F31" s="237">
        <f t="shared" si="0"/>
        <v>6.0124999999999998E-2</v>
      </c>
      <c r="H31" s="231">
        <f t="shared" si="2"/>
        <v>5.7300000000000011E-2</v>
      </c>
      <c r="J31" s="188">
        <v>18</v>
      </c>
      <c r="K31" s="188">
        <f t="shared" si="3"/>
        <v>21</v>
      </c>
      <c r="L31" s="235">
        <f t="shared" si="4"/>
        <v>6.0124999999999998E-2</v>
      </c>
      <c r="O31" s="231"/>
    </row>
    <row r="32" spans="2:15" ht="15.75" customHeight="1">
      <c r="B32" s="219">
        <f t="shared" si="1"/>
        <v>19</v>
      </c>
      <c r="C32" s="189">
        <v>2004</v>
      </c>
      <c r="D32" s="236">
        <v>0.1075</v>
      </c>
      <c r="E32" s="232">
        <f>'Workpaper 5'!B34</f>
        <v>5.0466666666666667E-2</v>
      </c>
      <c r="F32" s="237">
        <f t="shared" si="0"/>
        <v>5.7033333333333332E-2</v>
      </c>
      <c r="H32" s="231">
        <f t="shared" si="2"/>
        <v>5.8941666666666663E-2</v>
      </c>
      <c r="J32" s="188">
        <v>19</v>
      </c>
      <c r="K32" s="188">
        <f t="shared" si="3"/>
        <v>17</v>
      </c>
      <c r="L32" s="235">
        <f t="shared" si="4"/>
        <v>5.7033333333333332E-2</v>
      </c>
      <c r="O32" s="236"/>
    </row>
    <row r="33" spans="1:18" ht="15.75" customHeight="1">
      <c r="B33" s="219">
        <f t="shared" si="1"/>
        <v>20</v>
      </c>
      <c r="C33" s="189">
        <v>2005</v>
      </c>
      <c r="D33" s="231">
        <v>0.10539999999999999</v>
      </c>
      <c r="E33" s="232">
        <f>'Workpaper 5'!B35</f>
        <v>4.6458333333333331E-2</v>
      </c>
      <c r="F33" s="237">
        <f t="shared" si="0"/>
        <v>5.8941666666666663E-2</v>
      </c>
      <c r="H33" s="231">
        <f t="shared" si="2"/>
        <v>5.9800000000000006E-2</v>
      </c>
      <c r="J33" s="188">
        <v>20</v>
      </c>
      <c r="K33" s="188">
        <f t="shared" si="3"/>
        <v>19</v>
      </c>
      <c r="L33" s="235">
        <f t="shared" si="4"/>
        <v>5.8941666666666663E-2</v>
      </c>
      <c r="O33" s="235"/>
      <c r="R33" s="238"/>
    </row>
    <row r="34" spans="1:18" ht="15.75" customHeight="1">
      <c r="B34" s="219">
        <f t="shared" si="1"/>
        <v>21</v>
      </c>
      <c r="C34" s="189">
        <v>2006</v>
      </c>
      <c r="D34" s="231">
        <v>0.1036</v>
      </c>
      <c r="E34" s="232">
        <f>'Workpaper 5'!B36</f>
        <v>4.9100000000000005E-2</v>
      </c>
      <c r="F34" s="237">
        <f t="shared" si="0"/>
        <v>5.4499999999999993E-2</v>
      </c>
      <c r="H34" s="231">
        <f t="shared" si="2"/>
        <v>6.0124999999999998E-2</v>
      </c>
      <c r="J34" s="188">
        <v>21</v>
      </c>
      <c r="K34" s="188">
        <f t="shared" si="3"/>
        <v>13</v>
      </c>
      <c r="L34" s="235">
        <f t="shared" si="4"/>
        <v>5.4499999999999993E-2</v>
      </c>
    </row>
    <row r="35" spans="1:18" ht="15.75" customHeight="1">
      <c r="B35" s="219">
        <f t="shared" si="1"/>
        <v>22</v>
      </c>
      <c r="C35" s="189">
        <v>2007</v>
      </c>
      <c r="D35" s="231">
        <v>0.1036</v>
      </c>
      <c r="E35" s="232">
        <f>'Workpaper 5'!B37</f>
        <v>4.8399999999999999E-2</v>
      </c>
      <c r="F35" s="237">
        <f t="shared" si="0"/>
        <v>5.5199999999999999E-2</v>
      </c>
      <c r="H35" s="231">
        <f t="shared" si="2"/>
        <v>6.0799999999999993E-2</v>
      </c>
      <c r="J35" s="188">
        <v>22</v>
      </c>
      <c r="K35" s="188">
        <f t="shared" si="3"/>
        <v>15</v>
      </c>
      <c r="L35" s="235">
        <f t="shared" si="4"/>
        <v>5.5199999999999999E-2</v>
      </c>
    </row>
    <row r="36" spans="1:18" ht="15.75" customHeight="1">
      <c r="B36" s="219">
        <f t="shared" si="1"/>
        <v>23</v>
      </c>
      <c r="C36" s="189">
        <v>2008</v>
      </c>
      <c r="D36" s="236">
        <v>0.1046</v>
      </c>
      <c r="E36" s="232">
        <f>'Workpaper 5'!B38</f>
        <v>4.2800000000000005E-2</v>
      </c>
      <c r="F36" s="237">
        <f>D36-E36</f>
        <v>6.1799999999999994E-2</v>
      </c>
      <c r="H36" s="231">
        <f t="shared" si="2"/>
        <v>6.089166666666667E-2</v>
      </c>
      <c r="J36" s="188">
        <v>23</v>
      </c>
      <c r="K36" s="188">
        <f t="shared" si="3"/>
        <v>25</v>
      </c>
      <c r="L36" s="235">
        <f t="shared" si="4"/>
        <v>6.1799999999999994E-2</v>
      </c>
    </row>
    <row r="37" spans="1:18" ht="15.75" customHeight="1">
      <c r="B37" s="219">
        <f t="shared" si="1"/>
        <v>24</v>
      </c>
      <c r="C37" s="189">
        <v>2009</v>
      </c>
      <c r="D37" s="236">
        <v>0.1048</v>
      </c>
      <c r="E37" s="232">
        <f>'Workpaper 5'!B39</f>
        <v>4.0800000000000003E-2</v>
      </c>
      <c r="F37" s="237">
        <f>D37-E37</f>
        <v>6.4000000000000001E-2</v>
      </c>
      <c r="H37" s="234">
        <f>VLOOKUP(J37,$K$14:$L$39,2,)</f>
        <v>6.1499999999999999E-2</v>
      </c>
      <c r="J37" s="188">
        <v>24</v>
      </c>
      <c r="K37" s="188">
        <f t="shared" si="3"/>
        <v>26</v>
      </c>
      <c r="L37" s="235">
        <f t="shared" si="4"/>
        <v>6.4000000000000001E-2</v>
      </c>
    </row>
    <row r="38" spans="1:18" ht="15.75" customHeight="1">
      <c r="B38" s="219">
        <f t="shared" si="1"/>
        <v>25</v>
      </c>
      <c r="C38" s="239" t="s">
        <v>446</v>
      </c>
      <c r="D38" s="231">
        <v>0.10340000000000001</v>
      </c>
      <c r="E38" s="232">
        <f>'Workpaper 5'!B40</f>
        <v>4.2508333333333335E-2</v>
      </c>
      <c r="F38" s="237">
        <f>D38-E38</f>
        <v>6.089166666666667E-2</v>
      </c>
      <c r="H38" s="234">
        <f>VLOOKUP(J38,$K$14:$L$39,2,)</f>
        <v>6.1799999999999994E-2</v>
      </c>
      <c r="J38" s="188">
        <v>25</v>
      </c>
      <c r="K38" s="188">
        <f t="shared" si="3"/>
        <v>23</v>
      </c>
      <c r="L38" s="235">
        <f t="shared" si="4"/>
        <v>6.089166666666667E-2</v>
      </c>
    </row>
    <row r="39" spans="1:18" s="218" customFormat="1" ht="15.75" customHeight="1">
      <c r="B39" s="219">
        <f t="shared" si="1"/>
        <v>26</v>
      </c>
      <c r="C39" s="219" t="s">
        <v>447</v>
      </c>
      <c r="D39" s="231">
        <v>0.1018</v>
      </c>
      <c r="E39" s="232">
        <f>'Workpaper 5'!B41</f>
        <v>4.1999999999999996E-2</v>
      </c>
      <c r="F39" s="233">
        <f>D39-E39</f>
        <v>5.9800000000000006E-2</v>
      </c>
      <c r="H39" s="234">
        <f>VLOOKUP(J39,$K$14:$L$39,2,)</f>
        <v>6.4000000000000001E-2</v>
      </c>
      <c r="J39" s="188">
        <v>26</v>
      </c>
      <c r="K39" s="188">
        <f t="shared" si="3"/>
        <v>20</v>
      </c>
      <c r="L39" s="235">
        <f t="shared" si="4"/>
        <v>5.9800000000000006E-2</v>
      </c>
    </row>
    <row r="40" spans="1:18">
      <c r="B40" s="219"/>
      <c r="C40" s="240"/>
      <c r="D40" s="236"/>
      <c r="E40" s="241"/>
    </row>
    <row r="41" spans="1:18" s="218" customFormat="1">
      <c r="B41" s="219">
        <f t="shared" si="1"/>
        <v>27</v>
      </c>
      <c r="C41" s="220" t="s">
        <v>16</v>
      </c>
      <c r="D41" s="242">
        <f>AVERAGE(D14:D39)</f>
        <v>0.11448461538461539</v>
      </c>
      <c r="E41" s="242">
        <f>AVERAGE(E14:E39)</f>
        <v>6.2261858974358958E-2</v>
      </c>
      <c r="F41" s="242">
        <f>AVERAGE(F14:F39)</f>
        <v>5.2222756410256414E-2</v>
      </c>
      <c r="H41" s="230"/>
    </row>
    <row r="42" spans="1:18">
      <c r="A42" s="189"/>
      <c r="B42" s="189"/>
      <c r="C42" s="221"/>
      <c r="D42" s="243"/>
      <c r="E42" s="243"/>
      <c r="F42" s="243"/>
      <c r="G42" s="218"/>
    </row>
    <row r="43" spans="1:18">
      <c r="A43" s="189"/>
      <c r="B43" s="189"/>
      <c r="C43" s="221"/>
      <c r="D43" s="243"/>
      <c r="E43" s="243"/>
      <c r="F43" s="243"/>
      <c r="G43" s="218"/>
    </row>
    <row r="44" spans="1:18">
      <c r="B44" s="244"/>
    </row>
    <row r="45" spans="1:18">
      <c r="B45" s="245" t="s">
        <v>448</v>
      </c>
    </row>
    <row r="46" spans="1:18">
      <c r="B46" s="246" t="s">
        <v>449</v>
      </c>
    </row>
    <row r="47" spans="1:18">
      <c r="B47" s="247" t="s">
        <v>450</v>
      </c>
      <c r="E47" s="248"/>
    </row>
    <row r="48" spans="1:18">
      <c r="B48" s="249" t="s">
        <v>451</v>
      </c>
      <c r="E48" s="248"/>
      <c r="G48" s="250"/>
      <c r="H48" s="250"/>
    </row>
    <row r="49" spans="2:8">
      <c r="B49" s="251" t="s">
        <v>452</v>
      </c>
      <c r="G49" s="250"/>
      <c r="H49" s="250"/>
    </row>
    <row r="50" spans="2:8">
      <c r="B50" s="249" t="s">
        <v>453</v>
      </c>
    </row>
  </sheetData>
  <mergeCells count="2">
    <mergeCell ref="A1:G1"/>
    <mergeCell ref="A5:G5"/>
  </mergeCells>
  <printOptions horizontalCentered="1"/>
  <pageMargins left="0.75" right="0.75" top="1" bottom="1" header="0.5" footer="0.5"/>
  <pageSetup scale="87" orientation="portrait" r:id="rId1"/>
  <headerFooter alignWithMargins="0">
    <oddHeader>&amp;RExhibit No.___(MPG-14)
Page 1 of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56"/>
  <sheetViews>
    <sheetView zoomScale="80" zoomScaleNormal="80" zoomScaleSheetLayoutView="80" zoomScalePageLayoutView="80" workbookViewId="0">
      <selection activeCell="A2" sqref="A2"/>
    </sheetView>
  </sheetViews>
  <sheetFormatPr defaultRowHeight="12.75"/>
  <cols>
    <col min="1" max="1" width="6.25" style="189" customWidth="1"/>
    <col min="2" max="2" width="8.625" style="189" customWidth="1"/>
    <col min="3" max="3" width="8.625" style="188" customWidth="1"/>
    <col min="4" max="4" width="15" style="188" customWidth="1"/>
    <col min="5" max="5" width="15" style="189" customWidth="1"/>
    <col min="6" max="6" width="15" style="188" customWidth="1"/>
    <col min="7" max="7" width="6.25" style="188" customWidth="1"/>
    <col min="8" max="8" width="9" style="188"/>
    <col min="9" max="9" width="2.5" style="188" customWidth="1"/>
    <col min="10" max="10" width="8.125" style="188" bestFit="1" customWidth="1"/>
    <col min="11" max="11" width="8.875" style="188" bestFit="1" customWidth="1"/>
    <col min="12" max="16" width="8.125" style="188" bestFit="1" customWidth="1"/>
    <col min="17" max="16384" width="9" style="188"/>
  </cols>
  <sheetData>
    <row r="1" spans="1:12" ht="27.75">
      <c r="A1" s="485" t="str">
        <f>'MPG-14'!A1:G1</f>
        <v>Puget Sound Energy</v>
      </c>
      <c r="B1" s="485"/>
      <c r="C1" s="485"/>
      <c r="D1" s="485"/>
      <c r="E1" s="485"/>
      <c r="F1" s="485"/>
      <c r="G1" s="485"/>
      <c r="H1" s="214"/>
    </row>
    <row r="2" spans="1:12" ht="14.25">
      <c r="A2" s="190"/>
      <c r="B2" s="190"/>
      <c r="C2" s="215"/>
    </row>
    <row r="3" spans="1:12" ht="14.25">
      <c r="A3" s="190"/>
      <c r="B3" s="190"/>
      <c r="C3" s="215"/>
    </row>
    <row r="4" spans="1:12" ht="14.25">
      <c r="A4" s="190"/>
      <c r="B4" s="190"/>
      <c r="C4" s="215"/>
    </row>
    <row r="5" spans="1:12" ht="20.25">
      <c r="A5" s="486" t="s">
        <v>454</v>
      </c>
      <c r="B5" s="486"/>
      <c r="C5" s="486"/>
      <c r="D5" s="486"/>
      <c r="E5" s="486"/>
      <c r="F5" s="486"/>
      <c r="G5" s="486"/>
      <c r="H5" s="217"/>
    </row>
    <row r="6" spans="1:12" ht="14.25">
      <c r="A6" s="190"/>
      <c r="B6" s="190"/>
      <c r="C6" s="215"/>
    </row>
    <row r="7" spans="1:12" ht="14.25">
      <c r="A7" s="190"/>
      <c r="B7" s="190"/>
      <c r="C7" s="252"/>
      <c r="D7" s="218"/>
      <c r="E7" s="219"/>
    </row>
    <row r="8" spans="1:12" ht="14.25">
      <c r="A8" s="190"/>
      <c r="B8" s="190"/>
      <c r="C8" s="252"/>
      <c r="D8" s="218"/>
      <c r="E8" s="219"/>
    </row>
    <row r="9" spans="1:12">
      <c r="C9" s="253"/>
      <c r="D9" s="220" t="s">
        <v>438</v>
      </c>
      <c r="E9" s="223" t="s">
        <v>16</v>
      </c>
      <c r="F9" s="221" t="s">
        <v>439</v>
      </c>
    </row>
    <row r="10" spans="1:12">
      <c r="A10" s="221"/>
      <c r="B10" s="221"/>
      <c r="C10" s="254"/>
      <c r="D10" s="223" t="s">
        <v>440</v>
      </c>
      <c r="E10" s="223" t="s">
        <v>455</v>
      </c>
      <c r="F10" s="221" t="s">
        <v>442</v>
      </c>
    </row>
    <row r="11" spans="1:12" ht="14.25">
      <c r="B11" s="224" t="s">
        <v>3</v>
      </c>
      <c r="C11" s="255" t="s">
        <v>434</v>
      </c>
      <c r="D11" s="226" t="s">
        <v>443</v>
      </c>
      <c r="E11" s="226" t="s">
        <v>444</v>
      </c>
      <c r="F11" s="224" t="s">
        <v>445</v>
      </c>
    </row>
    <row r="12" spans="1:12" s="228" customFormat="1">
      <c r="C12" s="229"/>
      <c r="D12" s="229" t="s">
        <v>6</v>
      </c>
      <c r="E12" s="229" t="s">
        <v>7</v>
      </c>
      <c r="F12" s="228" t="s">
        <v>8</v>
      </c>
    </row>
    <row r="13" spans="1:12">
      <c r="C13" s="219"/>
      <c r="D13" s="218"/>
      <c r="F13" s="189"/>
    </row>
    <row r="14" spans="1:12" ht="15.75" customHeight="1">
      <c r="B14" s="189">
        <f>MAX(B10:B13)+1</f>
        <v>1</v>
      </c>
      <c r="C14" s="189">
        <v>1986</v>
      </c>
      <c r="D14" s="236">
        <f>'MPG-14'!D14</f>
        <v>0.13930000000000001</v>
      </c>
      <c r="E14" s="241">
        <f>'Workpaper 6'!B14</f>
        <v>9.5799999999999996E-2</v>
      </c>
      <c r="F14" s="237">
        <f t="shared" ref="F14:F35" si="0">D14-E14</f>
        <v>4.3500000000000011E-2</v>
      </c>
      <c r="H14" s="234">
        <f>VLOOKUP(J14,$K$14:$L$39,2,)</f>
        <v>2.300000000000002E-2</v>
      </c>
      <c r="J14" s="188">
        <v>1</v>
      </c>
      <c r="K14" s="188">
        <f>RANK(F14,$F$14:$F$39,1)</f>
        <v>19</v>
      </c>
      <c r="L14" s="235">
        <f>F14</f>
        <v>4.3500000000000011E-2</v>
      </c>
    </row>
    <row r="15" spans="1:12" ht="15.75" customHeight="1">
      <c r="B15" s="189">
        <f t="shared" ref="B15:B41" si="1">MAX(B11:B14)+1</f>
        <v>2</v>
      </c>
      <c r="C15" s="189">
        <v>1987</v>
      </c>
      <c r="D15" s="236">
        <f>'MPG-14'!D15</f>
        <v>0.12989999999999999</v>
      </c>
      <c r="E15" s="241">
        <f>'Workpaper 6'!B15</f>
        <v>0.10100000000000001</v>
      </c>
      <c r="F15" s="237">
        <f t="shared" si="0"/>
        <v>2.8899999999999981E-2</v>
      </c>
      <c r="H15" s="234">
        <f t="shared" ref="H15:H38" si="2">VLOOKUP(J15,$K$14:$L$39,2,)</f>
        <v>2.8400000000000009E-2</v>
      </c>
      <c r="J15" s="188">
        <v>2</v>
      </c>
      <c r="K15" s="188">
        <f t="shared" ref="K15:K39" si="3">RANK(F15,$F$14:$F$39,1)</f>
        <v>3</v>
      </c>
      <c r="L15" s="235">
        <f t="shared" ref="L15:L39" si="4">F15</f>
        <v>2.8899999999999981E-2</v>
      </c>
    </row>
    <row r="16" spans="1:12" ht="15.75" customHeight="1">
      <c r="B16" s="189">
        <f t="shared" si="1"/>
        <v>3</v>
      </c>
      <c r="C16" s="189">
        <v>1988</v>
      </c>
      <c r="D16" s="236">
        <f>'MPG-14'!D16</f>
        <v>0.12790000000000001</v>
      </c>
      <c r="E16" s="241">
        <f>'Workpaper 6'!B16</f>
        <v>0.10489999999999999</v>
      </c>
      <c r="F16" s="237">
        <f t="shared" si="0"/>
        <v>2.300000000000002E-2</v>
      </c>
      <c r="H16" s="234">
        <f t="shared" si="2"/>
        <v>2.8899999999999981E-2</v>
      </c>
      <c r="J16" s="188">
        <v>3</v>
      </c>
      <c r="K16" s="188">
        <f t="shared" si="3"/>
        <v>1</v>
      </c>
      <c r="L16" s="235">
        <f t="shared" si="4"/>
        <v>2.300000000000002E-2</v>
      </c>
    </row>
    <row r="17" spans="2:12" ht="15.75" customHeight="1">
      <c r="B17" s="189">
        <f t="shared" si="1"/>
        <v>4</v>
      </c>
      <c r="C17" s="189">
        <v>1989</v>
      </c>
      <c r="D17" s="236">
        <f>'MPG-14'!D17</f>
        <v>0.12970000000000001</v>
      </c>
      <c r="E17" s="241">
        <f>'Workpaper 6'!B17</f>
        <v>9.7699999999999995E-2</v>
      </c>
      <c r="F17" s="237">
        <f t="shared" si="0"/>
        <v>3.2000000000000015E-2</v>
      </c>
      <c r="H17" s="231">
        <f t="shared" si="2"/>
        <v>3.0300000000000007E-2</v>
      </c>
      <c r="J17" s="188">
        <v>4</v>
      </c>
      <c r="K17" s="188">
        <f t="shared" si="3"/>
        <v>8</v>
      </c>
      <c r="L17" s="235">
        <f t="shared" si="4"/>
        <v>3.2000000000000015E-2</v>
      </c>
    </row>
    <row r="18" spans="2:12" ht="15.75" customHeight="1">
      <c r="B18" s="189">
        <f t="shared" si="1"/>
        <v>5</v>
      </c>
      <c r="C18" s="189">
        <v>1990</v>
      </c>
      <c r="D18" s="236">
        <f>'MPG-14'!D18</f>
        <v>0.127</v>
      </c>
      <c r="E18" s="241">
        <f>'Workpaper 6'!B18</f>
        <v>9.8599999999999993E-2</v>
      </c>
      <c r="F18" s="237">
        <f t="shared" si="0"/>
        <v>2.8400000000000009E-2</v>
      </c>
      <c r="H18" s="231">
        <f t="shared" si="2"/>
        <v>3.15E-2</v>
      </c>
      <c r="J18" s="188">
        <v>5</v>
      </c>
      <c r="K18" s="188">
        <f t="shared" si="3"/>
        <v>2</v>
      </c>
      <c r="L18" s="235">
        <f t="shared" si="4"/>
        <v>2.8400000000000009E-2</v>
      </c>
    </row>
    <row r="19" spans="2:12" ht="15.75" customHeight="1">
      <c r="B19" s="189">
        <f t="shared" si="1"/>
        <v>6</v>
      </c>
      <c r="C19" s="189">
        <v>1991</v>
      </c>
      <c r="D19" s="236">
        <f>'MPG-14'!D19</f>
        <v>0.1255</v>
      </c>
      <c r="E19" s="241">
        <f>'Workpaper 6'!B19</f>
        <v>9.3600000000000003E-2</v>
      </c>
      <c r="F19" s="237">
        <f t="shared" si="0"/>
        <v>3.1899999999999998E-2</v>
      </c>
      <c r="H19" s="231">
        <f t="shared" si="2"/>
        <v>3.1858333333333336E-2</v>
      </c>
      <c r="J19" s="188">
        <v>6</v>
      </c>
      <c r="K19" s="188">
        <f t="shared" si="3"/>
        <v>7</v>
      </c>
      <c r="L19" s="235">
        <f t="shared" si="4"/>
        <v>3.1899999999999998E-2</v>
      </c>
    </row>
    <row r="20" spans="2:12" ht="15.75" customHeight="1">
      <c r="B20" s="189">
        <f t="shared" si="1"/>
        <v>7</v>
      </c>
      <c r="C20" s="189">
        <v>1992</v>
      </c>
      <c r="D20" s="236">
        <f>'MPG-14'!D20</f>
        <v>0.12089999999999999</v>
      </c>
      <c r="E20" s="241">
        <f>'Workpaper 6'!B20</f>
        <v>8.6900000000000005E-2</v>
      </c>
      <c r="F20" s="237">
        <f t="shared" si="0"/>
        <v>3.3999999999999989E-2</v>
      </c>
      <c r="H20" s="231">
        <f t="shared" si="2"/>
        <v>3.1899999999999998E-2</v>
      </c>
      <c r="J20" s="188">
        <v>7</v>
      </c>
      <c r="K20" s="188">
        <f t="shared" si="3"/>
        <v>10</v>
      </c>
      <c r="L20" s="235">
        <f t="shared" si="4"/>
        <v>3.3999999999999989E-2</v>
      </c>
    </row>
    <row r="21" spans="2:12" ht="15.75" customHeight="1">
      <c r="B21" s="189">
        <f t="shared" si="1"/>
        <v>8</v>
      </c>
      <c r="C21" s="189">
        <v>1993</v>
      </c>
      <c r="D21" s="236">
        <f>'MPG-14'!D21</f>
        <v>0.11409999999999999</v>
      </c>
      <c r="E21" s="241">
        <f>'Workpaper 6'!B21</f>
        <v>7.5899999999999995E-2</v>
      </c>
      <c r="F21" s="237">
        <f t="shared" si="0"/>
        <v>3.8199999999999998E-2</v>
      </c>
      <c r="H21" s="231">
        <f t="shared" si="2"/>
        <v>3.2000000000000015E-2</v>
      </c>
      <c r="J21" s="188">
        <v>8</v>
      </c>
      <c r="K21" s="188">
        <f t="shared" si="3"/>
        <v>15</v>
      </c>
      <c r="L21" s="235">
        <f t="shared" si="4"/>
        <v>3.8199999999999998E-2</v>
      </c>
    </row>
    <row r="22" spans="2:12" ht="15.75" customHeight="1">
      <c r="B22" s="189">
        <f t="shared" si="1"/>
        <v>9</v>
      </c>
      <c r="C22" s="189">
        <v>1994</v>
      </c>
      <c r="D22" s="236">
        <f>'MPG-14'!D22</f>
        <v>0.1134</v>
      </c>
      <c r="E22" s="241">
        <f>'Workpaper 6'!B22</f>
        <v>8.3099999999999993E-2</v>
      </c>
      <c r="F22" s="237">
        <f t="shared" si="0"/>
        <v>3.0300000000000007E-2</v>
      </c>
      <c r="H22" s="231">
        <f t="shared" si="2"/>
        <v>3.3274999999999999E-2</v>
      </c>
      <c r="J22" s="188">
        <v>9</v>
      </c>
      <c r="K22" s="188">
        <f t="shared" si="3"/>
        <v>4</v>
      </c>
      <c r="L22" s="235">
        <f t="shared" si="4"/>
        <v>3.0300000000000007E-2</v>
      </c>
    </row>
    <row r="23" spans="2:12" ht="15.75" customHeight="1">
      <c r="B23" s="189">
        <f t="shared" si="1"/>
        <v>10</v>
      </c>
      <c r="C23" s="189">
        <v>1995</v>
      </c>
      <c r="D23" s="236">
        <f>'MPG-14'!D23</f>
        <v>0.11550000000000001</v>
      </c>
      <c r="E23" s="241">
        <f>'Workpaper 6'!B23</f>
        <v>7.8899999999999998E-2</v>
      </c>
      <c r="F23" s="237">
        <f t="shared" si="0"/>
        <v>3.6600000000000008E-2</v>
      </c>
      <c r="H23" s="231">
        <f t="shared" si="2"/>
        <v>3.3999999999999989E-2</v>
      </c>
      <c r="J23" s="188">
        <v>10</v>
      </c>
      <c r="K23" s="188">
        <f t="shared" si="3"/>
        <v>12</v>
      </c>
      <c r="L23" s="235">
        <f t="shared" si="4"/>
        <v>3.6600000000000008E-2</v>
      </c>
    </row>
    <row r="24" spans="2:12" ht="15.75" customHeight="1">
      <c r="B24" s="189">
        <f t="shared" si="1"/>
        <v>11</v>
      </c>
      <c r="C24" s="189">
        <v>1996</v>
      </c>
      <c r="D24" s="236">
        <f>'MPG-14'!D24</f>
        <v>0.1139</v>
      </c>
      <c r="E24" s="241">
        <f>'Workpaper 6'!B24</f>
        <v>7.7499999999999999E-2</v>
      </c>
      <c r="F24" s="237">
        <f t="shared" si="0"/>
        <v>3.6400000000000002E-2</v>
      </c>
      <c r="H24" s="231">
        <f t="shared" si="2"/>
        <v>3.6400000000000002E-2</v>
      </c>
      <c r="J24" s="188">
        <v>11</v>
      </c>
      <c r="K24" s="188">
        <f t="shared" si="3"/>
        <v>11</v>
      </c>
      <c r="L24" s="235">
        <f t="shared" si="4"/>
        <v>3.6400000000000002E-2</v>
      </c>
    </row>
    <row r="25" spans="2:12" ht="15.75" customHeight="1">
      <c r="B25" s="189">
        <f t="shared" si="1"/>
        <v>12</v>
      </c>
      <c r="C25" s="189">
        <v>1997</v>
      </c>
      <c r="D25" s="236">
        <f>'MPG-14'!D25</f>
        <v>0.114</v>
      </c>
      <c r="E25" s="241">
        <f>'Workpaper 6'!B25</f>
        <v>7.5999999999999998E-2</v>
      </c>
      <c r="F25" s="237">
        <f t="shared" si="0"/>
        <v>3.8000000000000006E-2</v>
      </c>
      <c r="H25" s="231">
        <f t="shared" si="2"/>
        <v>3.6600000000000008E-2</v>
      </c>
      <c r="J25" s="188">
        <v>12</v>
      </c>
      <c r="K25" s="188">
        <f t="shared" si="3"/>
        <v>14</v>
      </c>
      <c r="L25" s="235">
        <f t="shared" si="4"/>
        <v>3.8000000000000006E-2</v>
      </c>
    </row>
    <row r="26" spans="2:12" ht="15.75" customHeight="1">
      <c r="B26" s="189">
        <f t="shared" si="1"/>
        <v>13</v>
      </c>
      <c r="C26" s="189">
        <v>1998</v>
      </c>
      <c r="D26" s="236">
        <f>'MPG-14'!D26</f>
        <v>0.1166</v>
      </c>
      <c r="E26" s="241">
        <f>'Workpaper 6'!B26</f>
        <v>7.0400000000000004E-2</v>
      </c>
      <c r="F26" s="237">
        <f t="shared" si="0"/>
        <v>4.6199999999999991E-2</v>
      </c>
      <c r="H26" s="231">
        <f t="shared" si="2"/>
        <v>3.7875000000000006E-2</v>
      </c>
      <c r="J26" s="188">
        <v>13</v>
      </c>
      <c r="K26" s="188">
        <f t="shared" si="3"/>
        <v>23</v>
      </c>
      <c r="L26" s="235">
        <f t="shared" si="4"/>
        <v>4.6199999999999991E-2</v>
      </c>
    </row>
    <row r="27" spans="2:12" ht="15.75" customHeight="1">
      <c r="B27" s="189">
        <f t="shared" si="1"/>
        <v>14</v>
      </c>
      <c r="C27" s="189">
        <v>1999</v>
      </c>
      <c r="D27" s="236">
        <f>'MPG-14'!D27</f>
        <v>0.1077</v>
      </c>
      <c r="E27" s="241">
        <f>'Workpaper 6'!B27</f>
        <v>7.6200000000000004E-2</v>
      </c>
      <c r="F27" s="237">
        <f t="shared" si="0"/>
        <v>3.15E-2</v>
      </c>
      <c r="H27" s="231">
        <f t="shared" si="2"/>
        <v>3.8000000000000006E-2</v>
      </c>
      <c r="J27" s="188">
        <v>14</v>
      </c>
      <c r="K27" s="188">
        <f t="shared" si="3"/>
        <v>5</v>
      </c>
      <c r="L27" s="235">
        <f t="shared" si="4"/>
        <v>3.15E-2</v>
      </c>
    </row>
    <row r="28" spans="2:12" ht="15.75" customHeight="1">
      <c r="B28" s="189">
        <f t="shared" si="1"/>
        <v>15</v>
      </c>
      <c r="C28" s="189">
        <v>2000</v>
      </c>
      <c r="D28" s="236">
        <f>'MPG-14'!D28</f>
        <v>0.1143</v>
      </c>
      <c r="E28" s="241">
        <f>'Workpaper 6'!B28</f>
        <v>8.2441666666666663E-2</v>
      </c>
      <c r="F28" s="237">
        <f t="shared" si="0"/>
        <v>3.1858333333333336E-2</v>
      </c>
      <c r="H28" s="231">
        <f t="shared" si="2"/>
        <v>3.8199999999999998E-2</v>
      </c>
      <c r="J28" s="188">
        <v>15</v>
      </c>
      <c r="K28" s="188">
        <f t="shared" si="3"/>
        <v>6</v>
      </c>
      <c r="L28" s="235">
        <f t="shared" si="4"/>
        <v>3.1858333333333336E-2</v>
      </c>
    </row>
    <row r="29" spans="2:12" ht="15.75" customHeight="1">
      <c r="B29" s="189">
        <f t="shared" si="1"/>
        <v>16</v>
      </c>
      <c r="C29" s="189">
        <v>2001</v>
      </c>
      <c r="D29" s="236">
        <f>'MPG-14'!D29</f>
        <v>0.1109</v>
      </c>
      <c r="E29" s="241">
        <f>'Workpaper 6'!B29</f>
        <v>7.7625E-2</v>
      </c>
      <c r="F29" s="237">
        <f t="shared" si="0"/>
        <v>3.3274999999999999E-2</v>
      </c>
      <c r="H29" s="231">
        <f t="shared" si="2"/>
        <v>3.9316666666666666E-2</v>
      </c>
      <c r="J29" s="188">
        <v>16</v>
      </c>
      <c r="K29" s="188">
        <f t="shared" si="3"/>
        <v>9</v>
      </c>
      <c r="L29" s="235">
        <f t="shared" si="4"/>
        <v>3.3274999999999999E-2</v>
      </c>
    </row>
    <row r="30" spans="2:12" ht="15.75" customHeight="1">
      <c r="B30" s="189">
        <f t="shared" si="1"/>
        <v>17</v>
      </c>
      <c r="C30" s="189">
        <v>2002</v>
      </c>
      <c r="D30" s="236">
        <f>'MPG-14'!D30</f>
        <v>0.1116</v>
      </c>
      <c r="E30" s="241">
        <f>'Workpaper 6'!B30</f>
        <v>7.3724999999999999E-2</v>
      </c>
      <c r="F30" s="237">
        <f t="shared" si="0"/>
        <v>3.7875000000000006E-2</v>
      </c>
      <c r="H30" s="231">
        <f t="shared" si="2"/>
        <v>4.2866666666666664E-2</v>
      </c>
      <c r="J30" s="188">
        <v>17</v>
      </c>
      <c r="K30" s="188">
        <f t="shared" si="3"/>
        <v>13</v>
      </c>
      <c r="L30" s="235">
        <f t="shared" si="4"/>
        <v>3.7875000000000006E-2</v>
      </c>
    </row>
    <row r="31" spans="2:12" ht="15.75" customHeight="1">
      <c r="B31" s="189">
        <f t="shared" si="1"/>
        <v>18</v>
      </c>
      <c r="C31" s="189">
        <v>2003</v>
      </c>
      <c r="D31" s="236">
        <f>'MPG-14'!D31</f>
        <v>0.10970000000000001</v>
      </c>
      <c r="E31" s="241">
        <f>'Workpaper 6'!B31</f>
        <v>6.5808333333333344E-2</v>
      </c>
      <c r="F31" s="237">
        <f t="shared" si="0"/>
        <v>4.3891666666666662E-2</v>
      </c>
      <c r="H31" s="231">
        <f t="shared" si="2"/>
        <v>4.2916666666666672E-2</v>
      </c>
      <c r="J31" s="188">
        <v>18</v>
      </c>
      <c r="K31" s="188">
        <f t="shared" si="3"/>
        <v>20</v>
      </c>
      <c r="L31" s="235">
        <f t="shared" si="4"/>
        <v>4.3891666666666662E-2</v>
      </c>
    </row>
    <row r="32" spans="2:12" ht="15.75" customHeight="1">
      <c r="B32" s="189">
        <f t="shared" si="1"/>
        <v>19</v>
      </c>
      <c r="C32" s="189">
        <v>2004</v>
      </c>
      <c r="D32" s="236">
        <f>'MPG-14'!D32</f>
        <v>0.1075</v>
      </c>
      <c r="E32" s="241">
        <f>'Workpaper 6'!B32</f>
        <v>6.1600833333333334E-2</v>
      </c>
      <c r="F32" s="237">
        <f t="shared" si="0"/>
        <v>4.5899166666666665E-2</v>
      </c>
      <c r="H32" s="231">
        <f t="shared" si="2"/>
        <v>4.3500000000000011E-2</v>
      </c>
      <c r="J32" s="188">
        <v>19</v>
      </c>
      <c r="K32" s="188">
        <f t="shared" si="3"/>
        <v>22</v>
      </c>
      <c r="L32" s="235">
        <f t="shared" si="4"/>
        <v>4.5899166666666665E-2</v>
      </c>
    </row>
    <row r="33" spans="1:12" ht="15.75" customHeight="1">
      <c r="B33" s="189">
        <f t="shared" si="1"/>
        <v>20</v>
      </c>
      <c r="C33" s="189">
        <v>2005</v>
      </c>
      <c r="D33" s="236">
        <f>'MPG-14'!D33</f>
        <v>0.10539999999999999</v>
      </c>
      <c r="E33" s="241">
        <f>'Workpaper 6'!B33</f>
        <v>5.6491666666666662E-2</v>
      </c>
      <c r="F33" s="237">
        <f t="shared" si="0"/>
        <v>4.8908333333333331E-2</v>
      </c>
      <c r="H33" s="231">
        <f t="shared" si="2"/>
        <v>4.3891666666666662E-2</v>
      </c>
      <c r="J33" s="188">
        <v>20</v>
      </c>
      <c r="K33" s="188">
        <f t="shared" si="3"/>
        <v>25</v>
      </c>
      <c r="L33" s="235">
        <f t="shared" si="4"/>
        <v>4.8908333333333331E-2</v>
      </c>
    </row>
    <row r="34" spans="1:12" ht="15.75" customHeight="1">
      <c r="B34" s="189">
        <f t="shared" si="1"/>
        <v>21</v>
      </c>
      <c r="C34" s="189">
        <v>2006</v>
      </c>
      <c r="D34" s="236">
        <f>'MPG-14'!D34</f>
        <v>0.1036</v>
      </c>
      <c r="E34" s="241">
        <f>'Workpaper 6'!B34</f>
        <v>6.0683333333333325E-2</v>
      </c>
      <c r="F34" s="237">
        <f t="shared" si="0"/>
        <v>4.2916666666666672E-2</v>
      </c>
      <c r="H34" s="231">
        <f t="shared" si="2"/>
        <v>4.4432634972848807E-2</v>
      </c>
      <c r="J34" s="188">
        <v>21</v>
      </c>
      <c r="K34" s="188">
        <f t="shared" si="3"/>
        <v>18</v>
      </c>
      <c r="L34" s="235">
        <f t="shared" si="4"/>
        <v>4.2916666666666672E-2</v>
      </c>
    </row>
    <row r="35" spans="1:12" ht="15.75" customHeight="1">
      <c r="B35" s="189">
        <f t="shared" si="1"/>
        <v>22</v>
      </c>
      <c r="C35" s="189">
        <v>2007</v>
      </c>
      <c r="D35" s="236">
        <f>'MPG-14'!D35</f>
        <v>0.1036</v>
      </c>
      <c r="E35" s="241">
        <f>'Workpaper 6'!B35</f>
        <v>6.0733333333333334E-2</v>
      </c>
      <c r="F35" s="237">
        <f t="shared" si="0"/>
        <v>4.2866666666666664E-2</v>
      </c>
      <c r="H35" s="231">
        <f t="shared" si="2"/>
        <v>4.5899166666666665E-2</v>
      </c>
      <c r="J35" s="188">
        <v>22</v>
      </c>
      <c r="K35" s="188">
        <f t="shared" si="3"/>
        <v>17</v>
      </c>
      <c r="L35" s="235">
        <f t="shared" si="4"/>
        <v>4.2866666666666664E-2</v>
      </c>
    </row>
    <row r="36" spans="1:12" ht="15.75" customHeight="1">
      <c r="B36" s="189">
        <f t="shared" si="1"/>
        <v>23</v>
      </c>
      <c r="C36" s="189">
        <v>2008</v>
      </c>
      <c r="D36" s="236">
        <f>'MPG-14'!D36</f>
        <v>0.1046</v>
      </c>
      <c r="E36" s="241">
        <f>'Workpaper 6'!B36</f>
        <v>6.5283333333333332E-2</v>
      </c>
      <c r="F36" s="237">
        <f>D36-E36</f>
        <v>3.9316666666666666E-2</v>
      </c>
      <c r="H36" s="231">
        <f t="shared" si="2"/>
        <v>4.6199999999999991E-2</v>
      </c>
      <c r="J36" s="188">
        <v>23</v>
      </c>
      <c r="K36" s="188">
        <f t="shared" si="3"/>
        <v>16</v>
      </c>
      <c r="L36" s="235">
        <f t="shared" si="4"/>
        <v>3.9316666666666666E-2</v>
      </c>
    </row>
    <row r="37" spans="1:12" ht="15.75" customHeight="1">
      <c r="B37" s="189">
        <f t="shared" si="1"/>
        <v>24</v>
      </c>
      <c r="C37" s="189">
        <v>2009</v>
      </c>
      <c r="D37" s="236">
        <f>'MPG-14'!D37</f>
        <v>0.1048</v>
      </c>
      <c r="E37" s="241">
        <f>'Workpaper 6'!B37</f>
        <v>6.0367365027151197E-2</v>
      </c>
      <c r="F37" s="237">
        <f>D37-E37</f>
        <v>4.4432634972848807E-2</v>
      </c>
      <c r="H37" s="234">
        <f>VLOOKUP(J37,$K$14:$L$39,2,)</f>
        <v>4.8787442441889053E-2</v>
      </c>
      <c r="J37" s="188">
        <v>24</v>
      </c>
      <c r="K37" s="188">
        <f t="shared" si="3"/>
        <v>21</v>
      </c>
      <c r="L37" s="235">
        <f t="shared" si="4"/>
        <v>4.4432634972848807E-2</v>
      </c>
    </row>
    <row r="38" spans="1:12" ht="15.75" customHeight="1">
      <c r="B38" s="189">
        <f t="shared" si="1"/>
        <v>25</v>
      </c>
      <c r="C38" s="239" t="s">
        <v>446</v>
      </c>
      <c r="D38" s="236">
        <f>'MPG-14'!D38</f>
        <v>0.10340000000000001</v>
      </c>
      <c r="E38" s="241">
        <f>'Workpaper 6'!B38</f>
        <v>5.4612557558110952E-2</v>
      </c>
      <c r="F38" s="237">
        <f>D38-E38</f>
        <v>4.8787442441889053E-2</v>
      </c>
      <c r="H38" s="234">
        <f t="shared" si="2"/>
        <v>4.8908333333333331E-2</v>
      </c>
      <c r="J38" s="188">
        <v>25</v>
      </c>
      <c r="K38" s="188">
        <f t="shared" si="3"/>
        <v>24</v>
      </c>
      <c r="L38" s="235">
        <f t="shared" si="4"/>
        <v>4.8787442441889053E-2</v>
      </c>
    </row>
    <row r="39" spans="1:12" s="218" customFormat="1" ht="15.75" customHeight="1">
      <c r="A39" s="219"/>
      <c r="B39" s="219">
        <f t="shared" si="1"/>
        <v>26</v>
      </c>
      <c r="C39" s="219" t="s">
        <v>447</v>
      </c>
      <c r="D39" s="231">
        <f>'MPG-14'!D39</f>
        <v>0.1018</v>
      </c>
      <c r="E39" s="241">
        <f>'Workpaper 6'!B39</f>
        <v>5.2648976572279904E-2</v>
      </c>
      <c r="F39" s="233">
        <f>D39-E39</f>
        <v>4.9151023427720097E-2</v>
      </c>
      <c r="H39" s="234">
        <f>VLOOKUP(J39,$K$14:$L$39,2,)</f>
        <v>4.9151023427720097E-2</v>
      </c>
      <c r="J39" s="188">
        <v>26</v>
      </c>
      <c r="K39" s="188">
        <f t="shared" si="3"/>
        <v>26</v>
      </c>
      <c r="L39" s="235">
        <f t="shared" si="4"/>
        <v>4.9151023427720097E-2</v>
      </c>
    </row>
    <row r="40" spans="1:12">
      <c r="C40" s="256"/>
      <c r="D40" s="236"/>
      <c r="E40" s="241"/>
      <c r="F40" s="189"/>
    </row>
    <row r="41" spans="1:12" s="218" customFormat="1">
      <c r="A41" s="219"/>
      <c r="B41" s="219">
        <f t="shared" si="1"/>
        <v>27</v>
      </c>
      <c r="C41" s="220" t="s">
        <v>16</v>
      </c>
      <c r="D41" s="242">
        <f>AVERAGE(D14:D39)</f>
        <v>0.11448461538461539</v>
      </c>
      <c r="E41" s="242">
        <f>AVERAGE(E14:E39)</f>
        <v>7.6481592275290083E-2</v>
      </c>
      <c r="F41" s="242">
        <f>AVERAGE(F14:F39)</f>
        <v>3.800302310932531E-2</v>
      </c>
    </row>
    <row r="42" spans="1:12">
      <c r="C42" s="221"/>
      <c r="D42" s="243"/>
      <c r="F42" s="243"/>
      <c r="G42" s="243"/>
    </row>
    <row r="43" spans="1:12">
      <c r="C43" s="221"/>
      <c r="D43" s="243"/>
      <c r="F43" s="243"/>
      <c r="G43" s="243"/>
    </row>
    <row r="44" spans="1:12">
      <c r="B44" s="244"/>
      <c r="C44" s="257"/>
    </row>
    <row r="45" spans="1:12">
      <c r="B45" s="245" t="s">
        <v>448</v>
      </c>
      <c r="C45" s="245"/>
    </row>
    <row r="46" spans="1:12" ht="14.25">
      <c r="B46" s="246" t="s">
        <v>449</v>
      </c>
      <c r="C46" s="246"/>
    </row>
    <row r="47" spans="1:12">
      <c r="B47" s="247" t="s">
        <v>450</v>
      </c>
      <c r="C47" s="258"/>
      <c r="D47" s="248"/>
      <c r="E47" s="259"/>
      <c r="F47" s="248"/>
    </row>
    <row r="48" spans="1:12" ht="14.25">
      <c r="B48" s="249" t="s">
        <v>456</v>
      </c>
      <c r="C48" s="251"/>
      <c r="D48" s="248"/>
      <c r="E48" s="259"/>
      <c r="F48" s="248"/>
    </row>
    <row r="49" spans="2:12">
      <c r="B49" s="251" t="s">
        <v>457</v>
      </c>
      <c r="C49" s="251"/>
      <c r="L49" s="260"/>
    </row>
    <row r="50" spans="2:12" ht="14.25">
      <c r="B50" s="251" t="s">
        <v>458</v>
      </c>
      <c r="C50" s="261"/>
    </row>
    <row r="51" spans="2:12" ht="14.25">
      <c r="B51" s="249" t="s">
        <v>459</v>
      </c>
    </row>
    <row r="54" spans="2:12" ht="14.25">
      <c r="C54" s="262"/>
    </row>
    <row r="55" spans="2:12">
      <c r="C55" s="263"/>
    </row>
    <row r="56" spans="2:12">
      <c r="C56" s="263"/>
    </row>
  </sheetData>
  <mergeCells count="2">
    <mergeCell ref="A1:G1"/>
    <mergeCell ref="A5:G5"/>
  </mergeCells>
  <printOptions horizontalCentered="1"/>
  <pageMargins left="0.75" right="0.75" top="1" bottom="1" header="0.5" footer="0.5"/>
  <pageSetup scale="87" orientation="portrait" r:id="rId1"/>
  <headerFooter alignWithMargins="0">
    <oddHeader>&amp;RExhibit No.___(MPG-15)
Page 1 of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3"/>
  <sheetViews>
    <sheetView zoomScale="80" zoomScaleNormal="80" zoomScaleSheetLayoutView="80" zoomScalePageLayoutView="80" workbookViewId="0">
      <selection activeCell="A2" sqref="A2"/>
    </sheetView>
  </sheetViews>
  <sheetFormatPr defaultRowHeight="12.75"/>
  <cols>
    <col min="1" max="1" width="4.625" style="265" bestFit="1" customWidth="1"/>
    <col min="2" max="2" width="10.375" style="265" customWidth="1"/>
    <col min="3" max="3" width="7" style="265" bestFit="1" customWidth="1"/>
    <col min="4" max="4" width="7.375" style="265" customWidth="1"/>
    <col min="5" max="5" width="7.875" style="265" bestFit="1" customWidth="1"/>
    <col min="6" max="6" width="8.25" style="265" bestFit="1" customWidth="1"/>
    <col min="7" max="7" width="10" style="265" customWidth="1"/>
    <col min="8" max="8" width="6.625" style="236" customWidth="1"/>
    <col min="9" max="9" width="7.25" style="236" bestFit="1" customWidth="1"/>
    <col min="10" max="10" width="10.25" style="236" bestFit="1" customWidth="1"/>
    <col min="11" max="11" width="10.25" style="265" bestFit="1" customWidth="1"/>
    <col min="12" max="12" width="10.125" style="264" customWidth="1"/>
    <col min="13" max="16384" width="9" style="264"/>
  </cols>
  <sheetData>
    <row r="1" spans="1:14" ht="27.75">
      <c r="A1" s="496" t="str">
        <f>'MPG-15'!A1:G1</f>
        <v>Puget Sound Energy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</row>
    <row r="3" spans="1:14">
      <c r="B3" s="265" t="s">
        <v>460</v>
      </c>
    </row>
    <row r="5" spans="1:14" ht="20.25">
      <c r="A5" s="497" t="s">
        <v>461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</row>
    <row r="9" spans="1:14" s="267" customFormat="1">
      <c r="A9" s="266"/>
      <c r="B9" s="266"/>
      <c r="C9" s="266"/>
      <c r="D9" s="498" t="s">
        <v>462</v>
      </c>
      <c r="E9" s="498"/>
      <c r="F9" s="498"/>
      <c r="G9" s="498"/>
      <c r="H9" s="499" t="s">
        <v>463</v>
      </c>
      <c r="I9" s="499"/>
      <c r="J9" s="499"/>
      <c r="K9" s="499"/>
      <c r="L9" s="266"/>
    </row>
    <row r="10" spans="1:14" s="274" customFormat="1" ht="31.5" customHeight="1">
      <c r="A10" s="268" t="s">
        <v>3</v>
      </c>
      <c r="B10" s="268" t="s">
        <v>434</v>
      </c>
      <c r="C10" s="269" t="s">
        <v>464</v>
      </c>
      <c r="D10" s="270" t="s">
        <v>465</v>
      </c>
      <c r="E10" s="270" t="s">
        <v>466</v>
      </c>
      <c r="F10" s="271" t="s">
        <v>467</v>
      </c>
      <c r="G10" s="271" t="s">
        <v>468</v>
      </c>
      <c r="H10" s="272" t="s">
        <v>469</v>
      </c>
      <c r="I10" s="272" t="s">
        <v>470</v>
      </c>
      <c r="J10" s="271" t="s">
        <v>471</v>
      </c>
      <c r="K10" s="271" t="s">
        <v>468</v>
      </c>
      <c r="L10" s="273" t="s">
        <v>472</v>
      </c>
    </row>
    <row r="11" spans="1:14" s="267" customFormat="1">
      <c r="A11" s="266"/>
      <c r="B11" s="266"/>
      <c r="C11" s="266" t="s">
        <v>6</v>
      </c>
      <c r="D11" s="266" t="s">
        <v>7</v>
      </c>
      <c r="E11" s="266" t="s">
        <v>8</v>
      </c>
      <c r="F11" s="266" t="s">
        <v>9</v>
      </c>
      <c r="G11" s="266" t="s">
        <v>10</v>
      </c>
      <c r="H11" s="266" t="s">
        <v>139</v>
      </c>
      <c r="I11" s="266" t="s">
        <v>140</v>
      </c>
      <c r="J11" s="266" t="s">
        <v>198</v>
      </c>
      <c r="K11" s="266" t="s">
        <v>199</v>
      </c>
      <c r="L11" s="275" t="s">
        <v>200</v>
      </c>
    </row>
    <row r="13" spans="1:14">
      <c r="A13" s="265">
        <v>1</v>
      </c>
      <c r="B13" s="265">
        <v>1980</v>
      </c>
      <c r="C13" s="276">
        <f>'Workpaper 5'!B10</f>
        <v>0.11269999999999999</v>
      </c>
      <c r="D13" s="236">
        <f>'Workpaper 6'!B8</f>
        <v>0.13339999999999999</v>
      </c>
      <c r="E13" s="236">
        <f>'Workpaper 6'!C8</f>
        <v>0.13950000000000001</v>
      </c>
      <c r="F13" s="276">
        <f>D13-C13</f>
        <v>2.0699999999999996E-2</v>
      </c>
      <c r="G13" s="276">
        <f>E13-C13</f>
        <v>2.6800000000000018E-2</v>
      </c>
      <c r="H13" s="236">
        <f>'Workpaper 5'!C10</f>
        <v>0.11939999999999999</v>
      </c>
      <c r="I13" s="236">
        <f>'Workpaper 5'!D10</f>
        <v>0.13669999999999999</v>
      </c>
      <c r="J13" s="236">
        <f>H13-C13</f>
        <v>6.6999999999999976E-3</v>
      </c>
      <c r="K13" s="276">
        <f>I13-C13</f>
        <v>2.3999999999999994E-2</v>
      </c>
      <c r="L13" s="276">
        <f>E13-I13</f>
        <v>2.8000000000000247E-3</v>
      </c>
      <c r="N13" s="277" t="s">
        <v>473</v>
      </c>
    </row>
    <row r="14" spans="1:14">
      <c r="A14" s="265">
        <v>2</v>
      </c>
      <c r="B14" s="265">
        <v>1981</v>
      </c>
      <c r="C14" s="276">
        <f>'Workpaper 5'!B11</f>
        <v>0.13449999999999998</v>
      </c>
      <c r="D14" s="236">
        <f>'Workpaper 6'!B9</f>
        <v>0.1595</v>
      </c>
      <c r="E14" s="236">
        <f>'Workpaper 6'!C9</f>
        <v>0.16600000000000001</v>
      </c>
      <c r="F14" s="276">
        <f t="shared" ref="F14:F43" si="0">D14-C14</f>
        <v>2.5000000000000022E-2</v>
      </c>
      <c r="G14" s="276">
        <f t="shared" ref="G14:G43" si="1">E14-C14</f>
        <v>3.1500000000000028E-2</v>
      </c>
      <c r="H14" s="236">
        <f>'Workpaper 5'!C11</f>
        <v>0.14169999999999999</v>
      </c>
      <c r="I14" s="236">
        <f>'Workpaper 5'!D11</f>
        <v>0.16039999999999999</v>
      </c>
      <c r="J14" s="236">
        <f t="shared" ref="J14:J43" si="2">H14-C14</f>
        <v>7.2000000000000119E-3</v>
      </c>
      <c r="K14" s="276">
        <f t="shared" ref="K14:K43" si="3">I14-C14</f>
        <v>2.5900000000000006E-2</v>
      </c>
      <c r="L14" s="276">
        <f t="shared" ref="L14:L43" si="4">E14-I14</f>
        <v>5.6000000000000216E-3</v>
      </c>
      <c r="N14" s="277" t="s">
        <v>474</v>
      </c>
    </row>
    <row r="15" spans="1:14">
      <c r="A15" s="265">
        <v>3</v>
      </c>
      <c r="B15" s="265">
        <v>1982</v>
      </c>
      <c r="C15" s="276">
        <f>'Workpaper 5'!B12</f>
        <v>0.12759999999999999</v>
      </c>
      <c r="D15" s="236">
        <f>'Workpaper 6'!B10</f>
        <v>0.15859999999999999</v>
      </c>
      <c r="E15" s="236">
        <f>'Workpaper 6'!C10</f>
        <v>0.16450000000000001</v>
      </c>
      <c r="F15" s="276">
        <f t="shared" si="0"/>
        <v>3.1E-2</v>
      </c>
      <c r="G15" s="276">
        <f t="shared" si="1"/>
        <v>3.6900000000000016E-2</v>
      </c>
      <c r="H15" s="236">
        <f>'Workpaper 5'!C12</f>
        <v>0.13789999999999999</v>
      </c>
      <c r="I15" s="236">
        <f>'Workpaper 5'!D12</f>
        <v>0.16109999999999999</v>
      </c>
      <c r="J15" s="236">
        <f t="shared" si="2"/>
        <v>1.0300000000000004E-2</v>
      </c>
      <c r="K15" s="276">
        <f t="shared" si="3"/>
        <v>3.3500000000000002E-2</v>
      </c>
      <c r="L15" s="276">
        <f t="shared" si="4"/>
        <v>3.4000000000000141E-3</v>
      </c>
      <c r="N15" s="277" t="s">
        <v>475</v>
      </c>
    </row>
    <row r="16" spans="1:14">
      <c r="A16" s="265">
        <v>4</v>
      </c>
      <c r="B16" s="265">
        <v>1983</v>
      </c>
      <c r="C16" s="276">
        <f>'Workpaper 5'!B13</f>
        <v>0.1118</v>
      </c>
      <c r="D16" s="236">
        <f>'Workpaper 6'!B11</f>
        <v>0.1366</v>
      </c>
      <c r="E16" s="236">
        <f>'Workpaper 6'!C11</f>
        <v>0.14199999999999999</v>
      </c>
      <c r="F16" s="276">
        <f t="shared" si="0"/>
        <v>2.4800000000000003E-2</v>
      </c>
      <c r="G16" s="276">
        <f t="shared" si="1"/>
        <v>3.0199999999999991E-2</v>
      </c>
      <c r="H16" s="236">
        <f>'Workpaper 5'!C13</f>
        <v>0.12039999999999999</v>
      </c>
      <c r="I16" s="236">
        <f>'Workpaper 5'!D13</f>
        <v>0.13550000000000001</v>
      </c>
      <c r="J16" s="236">
        <f t="shared" si="2"/>
        <v>8.5999999999999965E-3</v>
      </c>
      <c r="K16" s="276">
        <f t="shared" si="3"/>
        <v>2.3700000000000013E-2</v>
      </c>
      <c r="L16" s="276">
        <f t="shared" si="4"/>
        <v>6.499999999999978E-3</v>
      </c>
      <c r="N16" s="277" t="s">
        <v>476</v>
      </c>
    </row>
    <row r="17" spans="1:12">
      <c r="A17" s="265">
        <v>5</v>
      </c>
      <c r="B17" s="265">
        <v>1984</v>
      </c>
      <c r="C17" s="276">
        <f>'Workpaper 5'!B14</f>
        <v>0.1241</v>
      </c>
      <c r="D17" s="236">
        <f>'Workpaper 6'!B12</f>
        <v>0.14030000000000001</v>
      </c>
      <c r="E17" s="236">
        <f>'Workpaper 6'!C12</f>
        <v>0.14530000000000001</v>
      </c>
      <c r="F17" s="276">
        <f t="shared" si="0"/>
        <v>1.6200000000000006E-2</v>
      </c>
      <c r="G17" s="276">
        <f t="shared" si="1"/>
        <v>2.1200000000000011E-2</v>
      </c>
      <c r="H17" s="236">
        <f>'Workpaper 5'!C14</f>
        <v>0.12710000000000002</v>
      </c>
      <c r="I17" s="236">
        <f>'Workpaper 5'!D14</f>
        <v>0.1419</v>
      </c>
      <c r="J17" s="236">
        <f t="shared" si="2"/>
        <v>3.0000000000000165E-3</v>
      </c>
      <c r="K17" s="276">
        <f t="shared" si="3"/>
        <v>1.7799999999999996E-2</v>
      </c>
      <c r="L17" s="276">
        <f t="shared" si="4"/>
        <v>3.4000000000000141E-3</v>
      </c>
    </row>
    <row r="18" spans="1:12">
      <c r="A18" s="265">
        <v>6</v>
      </c>
      <c r="B18" s="265">
        <v>1985</v>
      </c>
      <c r="C18" s="276">
        <f>'Workpaper 5'!B15</f>
        <v>0.1079</v>
      </c>
      <c r="D18" s="236">
        <f>'Workpaper 6'!B13</f>
        <v>0.12470000000000001</v>
      </c>
      <c r="E18" s="236">
        <f>'Workpaper 6'!C13</f>
        <v>0.12959999999999999</v>
      </c>
      <c r="F18" s="276">
        <f t="shared" si="0"/>
        <v>1.6800000000000009E-2</v>
      </c>
      <c r="G18" s="276">
        <f t="shared" si="1"/>
        <v>2.1699999999999997E-2</v>
      </c>
      <c r="H18" s="236">
        <f>'Workpaper 5'!C15</f>
        <v>0.1137</v>
      </c>
      <c r="I18" s="236">
        <f>'Workpaper 5'!D15</f>
        <v>0.12720000000000001</v>
      </c>
      <c r="J18" s="236">
        <f t="shared" si="2"/>
        <v>5.7999999999999996E-3</v>
      </c>
      <c r="K18" s="276">
        <f t="shared" si="3"/>
        <v>1.9300000000000012E-2</v>
      </c>
      <c r="L18" s="276">
        <f t="shared" si="4"/>
        <v>2.3999999999999855E-3</v>
      </c>
    </row>
    <row r="19" spans="1:12">
      <c r="A19" s="265">
        <v>7</v>
      </c>
      <c r="B19" s="265">
        <v>1986</v>
      </c>
      <c r="C19" s="276">
        <f>'Workpaper 5'!B16</f>
        <v>7.7800000000000008E-2</v>
      </c>
      <c r="D19" s="236">
        <f>'Workpaper 6'!B14</f>
        <v>9.5799999999999996E-2</v>
      </c>
      <c r="E19" s="236">
        <f>'Workpaper 6'!C14</f>
        <v>0.1</v>
      </c>
      <c r="F19" s="276">
        <f t="shared" si="0"/>
        <v>1.7999999999999988E-2</v>
      </c>
      <c r="G19" s="276">
        <f t="shared" si="1"/>
        <v>2.2199999999999998E-2</v>
      </c>
      <c r="H19" s="236">
        <f>'Workpaper 5'!C16</f>
        <v>9.0200000000000002E-2</v>
      </c>
      <c r="I19" s="236">
        <f>'Workpaper 5'!D16</f>
        <v>0.10390000000000001</v>
      </c>
      <c r="J19" s="236">
        <f t="shared" si="2"/>
        <v>1.2399999999999994E-2</v>
      </c>
      <c r="K19" s="276">
        <f t="shared" si="3"/>
        <v>2.6099999999999998E-2</v>
      </c>
      <c r="L19" s="276">
        <f t="shared" si="4"/>
        <v>-3.9000000000000007E-3</v>
      </c>
    </row>
    <row r="20" spans="1:12">
      <c r="A20" s="265">
        <v>8</v>
      </c>
      <c r="B20" s="265">
        <v>1987</v>
      </c>
      <c r="C20" s="276">
        <f>'Workpaper 5'!B17</f>
        <v>8.5900000000000004E-2</v>
      </c>
      <c r="D20" s="236">
        <f>'Workpaper 6'!B15</f>
        <v>0.10100000000000001</v>
      </c>
      <c r="E20" s="236">
        <f>'Workpaper 6'!C15</f>
        <v>0.1053</v>
      </c>
      <c r="F20" s="276">
        <f t="shared" si="0"/>
        <v>1.5100000000000002E-2</v>
      </c>
      <c r="G20" s="276">
        <f t="shared" si="1"/>
        <v>1.9400000000000001E-2</v>
      </c>
      <c r="H20" s="236">
        <f>'Workpaper 5'!C17</f>
        <v>9.3800000000000008E-2</v>
      </c>
      <c r="I20" s="236">
        <f>'Workpaper 5'!D17</f>
        <v>0.10580000000000001</v>
      </c>
      <c r="J20" s="236">
        <f t="shared" si="2"/>
        <v>7.9000000000000042E-3</v>
      </c>
      <c r="K20" s="276">
        <f t="shared" si="3"/>
        <v>1.9900000000000001E-2</v>
      </c>
      <c r="L20" s="276">
        <f t="shared" si="4"/>
        <v>-5.0000000000000044E-4</v>
      </c>
    </row>
    <row r="21" spans="1:12">
      <c r="A21" s="265">
        <v>9</v>
      </c>
      <c r="B21" s="265">
        <v>1988</v>
      </c>
      <c r="C21" s="276">
        <f>'Workpaper 5'!B18</f>
        <v>8.9600000000000013E-2</v>
      </c>
      <c r="D21" s="236">
        <f>'Workpaper 6'!B16</f>
        <v>0.10489999999999999</v>
      </c>
      <c r="E21" s="236">
        <f>'Workpaper 6'!C16</f>
        <v>0.11</v>
      </c>
      <c r="F21" s="276">
        <f t="shared" si="0"/>
        <v>1.529999999999998E-2</v>
      </c>
      <c r="G21" s="276">
        <f t="shared" si="1"/>
        <v>2.0399999999999988E-2</v>
      </c>
      <c r="H21" s="236">
        <f>'Workpaper 5'!C18</f>
        <v>9.7100000000000006E-2</v>
      </c>
      <c r="I21" s="236">
        <f>'Workpaper 5'!D18</f>
        <v>0.10830000000000001</v>
      </c>
      <c r="J21" s="236">
        <f t="shared" si="2"/>
        <v>7.4999999999999928E-3</v>
      </c>
      <c r="K21" s="276">
        <f t="shared" si="3"/>
        <v>1.8699999999999994E-2</v>
      </c>
      <c r="L21" s="276">
        <f t="shared" si="4"/>
        <v>1.6999999999999932E-3</v>
      </c>
    </row>
    <row r="22" spans="1:12">
      <c r="A22" s="265">
        <v>10</v>
      </c>
      <c r="B22" s="265">
        <v>1989</v>
      </c>
      <c r="C22" s="276">
        <f>'Workpaper 5'!B19</f>
        <v>8.4499999999999992E-2</v>
      </c>
      <c r="D22" s="236">
        <f>'Workpaper 6'!B17</f>
        <v>9.7699999999999995E-2</v>
      </c>
      <c r="E22" s="236">
        <f>'Workpaper 6'!C17</f>
        <v>9.9699999999999997E-2</v>
      </c>
      <c r="F22" s="276">
        <f t="shared" si="0"/>
        <v>1.3200000000000003E-2</v>
      </c>
      <c r="G22" s="276">
        <f t="shared" si="1"/>
        <v>1.5200000000000005E-2</v>
      </c>
      <c r="H22" s="236">
        <f>'Workpaper 5'!C19</f>
        <v>9.2600000000000002E-2</v>
      </c>
      <c r="I22" s="236">
        <f>'Workpaper 5'!D19</f>
        <v>0.1018</v>
      </c>
      <c r="J22" s="236">
        <f t="shared" si="2"/>
        <v>8.10000000000001E-3</v>
      </c>
      <c r="K22" s="276">
        <f t="shared" si="3"/>
        <v>1.730000000000001E-2</v>
      </c>
      <c r="L22" s="276">
        <f t="shared" si="4"/>
        <v>-2.1000000000000046E-3</v>
      </c>
    </row>
    <row r="23" spans="1:12">
      <c r="A23" s="265">
        <v>11</v>
      </c>
      <c r="B23" s="265">
        <v>1990</v>
      </c>
      <c r="C23" s="276">
        <f>'Workpaper 5'!B20</f>
        <v>8.6099999999999996E-2</v>
      </c>
      <c r="D23" s="236">
        <f>'Workpaper 6'!B18</f>
        <v>9.8599999999999993E-2</v>
      </c>
      <c r="E23" s="236">
        <f>'Workpaper 6'!C18</f>
        <v>0.10059999999999999</v>
      </c>
      <c r="F23" s="276">
        <f t="shared" si="0"/>
        <v>1.2499999999999997E-2</v>
      </c>
      <c r="G23" s="276">
        <f t="shared" si="1"/>
        <v>1.4499999999999999E-2</v>
      </c>
      <c r="H23" s="236">
        <f>'Workpaper 5'!C20</f>
        <v>9.3200000000000005E-2</v>
      </c>
      <c r="I23" s="236">
        <f>'Workpaper 5'!D20</f>
        <v>0.1036</v>
      </c>
      <c r="J23" s="236">
        <f t="shared" si="2"/>
        <v>7.1000000000000091E-3</v>
      </c>
      <c r="K23" s="276">
        <f t="shared" si="3"/>
        <v>1.7500000000000002E-2</v>
      </c>
      <c r="L23" s="276">
        <f t="shared" si="4"/>
        <v>-3.0000000000000027E-3</v>
      </c>
    </row>
    <row r="24" spans="1:12">
      <c r="A24" s="265">
        <v>12</v>
      </c>
      <c r="B24" s="265">
        <v>1991</v>
      </c>
      <c r="C24" s="276">
        <f>'Workpaper 5'!B21</f>
        <v>8.14E-2</v>
      </c>
      <c r="D24" s="236">
        <f>'Workpaper 6'!B19</f>
        <v>9.3600000000000003E-2</v>
      </c>
      <c r="E24" s="236">
        <f>'Workpaper 6'!C19</f>
        <v>9.5500000000000002E-2</v>
      </c>
      <c r="F24" s="276">
        <f t="shared" si="0"/>
        <v>1.2200000000000003E-2</v>
      </c>
      <c r="G24" s="276">
        <f t="shared" si="1"/>
        <v>1.4100000000000001E-2</v>
      </c>
      <c r="H24" s="236">
        <f>'Workpaper 5'!C21</f>
        <v>8.77E-2</v>
      </c>
      <c r="I24" s="236">
        <f>'Workpaper 5'!D21</f>
        <v>9.8000000000000004E-2</v>
      </c>
      <c r="J24" s="236">
        <f t="shared" si="2"/>
        <v>6.3E-3</v>
      </c>
      <c r="K24" s="276">
        <f t="shared" si="3"/>
        <v>1.6600000000000004E-2</v>
      </c>
      <c r="L24" s="276">
        <f t="shared" si="4"/>
        <v>-2.5000000000000022E-3</v>
      </c>
    </row>
    <row r="25" spans="1:12">
      <c r="A25" s="265">
        <v>13</v>
      </c>
      <c r="B25" s="265">
        <v>1992</v>
      </c>
      <c r="C25" s="276">
        <f>'Workpaper 5'!B22</f>
        <v>7.6700000000000004E-2</v>
      </c>
      <c r="D25" s="236">
        <f>'Workpaper 6'!B20</f>
        <v>8.6900000000000005E-2</v>
      </c>
      <c r="E25" s="236">
        <f>'Workpaper 6'!C20</f>
        <v>8.8599999999999998E-2</v>
      </c>
      <c r="F25" s="276">
        <f t="shared" si="0"/>
        <v>1.0200000000000001E-2</v>
      </c>
      <c r="G25" s="276">
        <f t="shared" si="1"/>
        <v>1.1899999999999994E-2</v>
      </c>
      <c r="H25" s="236">
        <f>'Workpaper 5'!C22</f>
        <v>8.14E-2</v>
      </c>
      <c r="I25" s="236">
        <f>'Workpaper 5'!D22</f>
        <v>8.9800000000000005E-2</v>
      </c>
      <c r="J25" s="236">
        <f t="shared" si="2"/>
        <v>4.6999999999999958E-3</v>
      </c>
      <c r="K25" s="276">
        <f t="shared" si="3"/>
        <v>1.3100000000000001E-2</v>
      </c>
      <c r="L25" s="276">
        <f t="shared" si="4"/>
        <v>-1.2000000000000066E-3</v>
      </c>
    </row>
    <row r="26" spans="1:12">
      <c r="A26" s="265">
        <v>14</v>
      </c>
      <c r="B26" s="265">
        <v>1993</v>
      </c>
      <c r="C26" s="276">
        <f>'Workpaper 5'!B23</f>
        <v>6.59E-2</v>
      </c>
      <c r="D26" s="236">
        <f>'Workpaper 6'!B21</f>
        <v>7.5899999999999995E-2</v>
      </c>
      <c r="E26" s="236">
        <f>'Workpaper 6'!C21</f>
        <v>7.9100000000000004E-2</v>
      </c>
      <c r="F26" s="276">
        <f t="shared" si="0"/>
        <v>9.999999999999995E-3</v>
      </c>
      <c r="G26" s="276">
        <f t="shared" si="1"/>
        <v>1.3200000000000003E-2</v>
      </c>
      <c r="H26" s="236">
        <f>'Workpaper 5'!C23</f>
        <v>7.22E-2</v>
      </c>
      <c r="I26" s="236">
        <f>'Workpaper 5'!D23</f>
        <v>7.9299999999999995E-2</v>
      </c>
      <c r="J26" s="236">
        <f t="shared" si="2"/>
        <v>6.3E-3</v>
      </c>
      <c r="K26" s="276">
        <f t="shared" si="3"/>
        <v>1.3399999999999995E-2</v>
      </c>
      <c r="L26" s="276">
        <f t="shared" si="4"/>
        <v>-1.9999999999999185E-4</v>
      </c>
    </row>
    <row r="27" spans="1:12">
      <c r="A27" s="265">
        <v>15</v>
      </c>
      <c r="B27" s="265">
        <v>1994</v>
      </c>
      <c r="C27" s="276">
        <f>'Workpaper 5'!B24</f>
        <v>7.3700000000000002E-2</v>
      </c>
      <c r="D27" s="236">
        <f>'Workpaper 6'!B22</f>
        <v>8.3099999999999993E-2</v>
      </c>
      <c r="E27" s="236">
        <f>'Workpaper 6'!C22</f>
        <v>8.6300000000000002E-2</v>
      </c>
      <c r="F27" s="276">
        <f t="shared" si="0"/>
        <v>9.3999999999999917E-3</v>
      </c>
      <c r="G27" s="276">
        <f t="shared" si="1"/>
        <v>1.26E-2</v>
      </c>
      <c r="H27" s="236">
        <f>'Workpaper 5'!C24</f>
        <v>7.9600000000000004E-2</v>
      </c>
      <c r="I27" s="236">
        <f>'Workpaper 5'!D24</f>
        <v>8.6199999999999999E-2</v>
      </c>
      <c r="J27" s="236">
        <f t="shared" si="2"/>
        <v>5.9000000000000025E-3</v>
      </c>
      <c r="K27" s="276">
        <f t="shared" si="3"/>
        <v>1.2499999999999997E-2</v>
      </c>
      <c r="L27" s="276">
        <f t="shared" si="4"/>
        <v>1.0000000000000286E-4</v>
      </c>
    </row>
    <row r="28" spans="1:12">
      <c r="A28" s="265">
        <v>16</v>
      </c>
      <c r="B28" s="265">
        <v>1995</v>
      </c>
      <c r="C28" s="276">
        <f>'Workpaper 5'!B25</f>
        <v>6.88E-2</v>
      </c>
      <c r="D28" s="236">
        <f>'Workpaper 6'!B23</f>
        <v>7.8899999999999998E-2</v>
      </c>
      <c r="E28" s="236">
        <f>'Workpaper 6'!C23</f>
        <v>8.2900000000000001E-2</v>
      </c>
      <c r="F28" s="276">
        <f t="shared" si="0"/>
        <v>1.0099999999999998E-2</v>
      </c>
      <c r="G28" s="276">
        <f t="shared" si="1"/>
        <v>1.4100000000000001E-2</v>
      </c>
      <c r="H28" s="236">
        <f>'Workpaper 5'!C25</f>
        <v>7.5899999999999995E-2</v>
      </c>
      <c r="I28" s="236">
        <f>'Workpaper 5'!D25</f>
        <v>8.199999999999999E-2</v>
      </c>
      <c r="J28" s="236">
        <f t="shared" si="2"/>
        <v>7.0999999999999952E-3</v>
      </c>
      <c r="K28" s="276">
        <f t="shared" si="3"/>
        <v>1.319999999999999E-2</v>
      </c>
      <c r="L28" s="276">
        <f t="shared" si="4"/>
        <v>9.000000000000119E-4</v>
      </c>
    </row>
    <row r="29" spans="1:12">
      <c r="A29" s="265">
        <v>17</v>
      </c>
      <c r="B29" s="265">
        <v>1996</v>
      </c>
      <c r="C29" s="276">
        <f>'Workpaper 5'!B26</f>
        <v>6.7099999999999993E-2</v>
      </c>
      <c r="D29" s="236">
        <f>'Workpaper 6'!B24</f>
        <v>7.7499999999999999E-2</v>
      </c>
      <c r="E29" s="236">
        <f>'Workpaper 6'!C24</f>
        <v>8.1699999999999995E-2</v>
      </c>
      <c r="F29" s="276">
        <f t="shared" si="0"/>
        <v>1.0400000000000006E-2</v>
      </c>
      <c r="G29" s="276">
        <f t="shared" si="1"/>
        <v>1.4600000000000002E-2</v>
      </c>
      <c r="H29" s="236">
        <f>'Workpaper 5'!C26</f>
        <v>7.3700000000000002E-2</v>
      </c>
      <c r="I29" s="236">
        <f>'Workpaper 5'!D26</f>
        <v>8.0500000000000002E-2</v>
      </c>
      <c r="J29" s="236">
        <f t="shared" si="2"/>
        <v>6.6000000000000086E-3</v>
      </c>
      <c r="K29" s="276">
        <f t="shared" si="3"/>
        <v>1.3400000000000009E-2</v>
      </c>
      <c r="L29" s="276">
        <f t="shared" si="4"/>
        <v>1.1999999999999927E-3</v>
      </c>
    </row>
    <row r="30" spans="1:12">
      <c r="A30" s="265">
        <v>18</v>
      </c>
      <c r="B30" s="265">
        <v>1997</v>
      </c>
      <c r="C30" s="276">
        <f>'Workpaper 5'!B27</f>
        <v>6.6100000000000006E-2</v>
      </c>
      <c r="D30" s="236">
        <f>'Workpaper 6'!B25</f>
        <v>7.5999999999999998E-2</v>
      </c>
      <c r="E30" s="236">
        <f>'Workpaper 6'!C25</f>
        <v>7.9500000000000001E-2</v>
      </c>
      <c r="F30" s="276">
        <f t="shared" si="0"/>
        <v>9.8999999999999921E-3</v>
      </c>
      <c r="G30" s="276">
        <f t="shared" si="1"/>
        <v>1.3399999999999995E-2</v>
      </c>
      <c r="H30" s="236">
        <f>'Workpaper 5'!C27</f>
        <v>7.2599999999999998E-2</v>
      </c>
      <c r="I30" s="236">
        <f>'Workpaper 5'!D27</f>
        <v>7.8600000000000003E-2</v>
      </c>
      <c r="J30" s="236">
        <f t="shared" si="2"/>
        <v>6.4999999999999919E-3</v>
      </c>
      <c r="K30" s="276">
        <f t="shared" si="3"/>
        <v>1.2499999999999997E-2</v>
      </c>
      <c r="L30" s="276">
        <f t="shared" si="4"/>
        <v>8.9999999999999802E-4</v>
      </c>
    </row>
    <row r="31" spans="1:12">
      <c r="A31" s="265">
        <v>19</v>
      </c>
      <c r="B31" s="265">
        <v>1998</v>
      </c>
      <c r="C31" s="276">
        <f>'Workpaper 5'!B28</f>
        <v>5.5800000000000002E-2</v>
      </c>
      <c r="D31" s="236">
        <f>'Workpaper 6'!B26</f>
        <v>7.0400000000000004E-2</v>
      </c>
      <c r="E31" s="236">
        <f>'Workpaper 6'!C26</f>
        <v>7.2599999999999998E-2</v>
      </c>
      <c r="F31" s="276">
        <f t="shared" si="0"/>
        <v>1.4600000000000002E-2</v>
      </c>
      <c r="G31" s="276">
        <f t="shared" si="1"/>
        <v>1.6799999999999995E-2</v>
      </c>
      <c r="H31" s="236">
        <f>'Workpaper 5'!C28</f>
        <v>6.5299999999999997E-2</v>
      </c>
      <c r="I31" s="236">
        <f>'Workpaper 5'!D28</f>
        <v>7.22E-2</v>
      </c>
      <c r="J31" s="236">
        <f t="shared" si="2"/>
        <v>9.4999999999999946E-3</v>
      </c>
      <c r="K31" s="276">
        <f t="shared" si="3"/>
        <v>1.6399999999999998E-2</v>
      </c>
      <c r="L31" s="276">
        <f t="shared" si="4"/>
        <v>3.9999999999999758E-4</v>
      </c>
    </row>
    <row r="32" spans="1:12">
      <c r="A32" s="265">
        <v>20</v>
      </c>
      <c r="B32" s="265">
        <v>1999</v>
      </c>
      <c r="C32" s="276">
        <f>'Workpaper 5'!B29</f>
        <v>5.8700000000000002E-2</v>
      </c>
      <c r="D32" s="236">
        <f>'Workpaper 6'!B27</f>
        <v>7.6200000000000004E-2</v>
      </c>
      <c r="E32" s="236">
        <f>'Workpaper 6'!C27</f>
        <v>7.8799999999999995E-2</v>
      </c>
      <c r="F32" s="276">
        <f t="shared" si="0"/>
        <v>1.7500000000000002E-2</v>
      </c>
      <c r="G32" s="276">
        <f t="shared" si="1"/>
        <v>2.0099999999999993E-2</v>
      </c>
      <c r="H32" s="236">
        <f>'Workpaper 5'!C29</f>
        <v>7.0400000000000004E-2</v>
      </c>
      <c r="I32" s="236">
        <f>'Workpaper 5'!D29</f>
        <v>7.8700000000000006E-2</v>
      </c>
      <c r="J32" s="236">
        <f t="shared" si="2"/>
        <v>1.1700000000000002E-2</v>
      </c>
      <c r="K32" s="276">
        <f t="shared" si="3"/>
        <v>2.0000000000000004E-2</v>
      </c>
      <c r="L32" s="276">
        <f t="shared" si="4"/>
        <v>9.9999999999988987E-5</v>
      </c>
    </row>
    <row r="33" spans="1:12">
      <c r="A33" s="265">
        <v>21</v>
      </c>
      <c r="B33" s="265">
        <v>2000</v>
      </c>
      <c r="C33" s="276">
        <f>'Workpaper 5'!B30</f>
        <v>5.9400000000000001E-2</v>
      </c>
      <c r="D33" s="236">
        <f>'Workpaper 6'!B28</f>
        <v>8.2441666666666663E-2</v>
      </c>
      <c r="E33" s="236">
        <f>'Workpaper 6'!C28</f>
        <v>8.3591666666666647E-2</v>
      </c>
      <c r="F33" s="276">
        <f t="shared" si="0"/>
        <v>2.3041666666666662E-2</v>
      </c>
      <c r="G33" s="276">
        <f t="shared" si="1"/>
        <v>2.4191666666666646E-2</v>
      </c>
      <c r="H33" s="236">
        <f>'Workpaper 5'!C30</f>
        <v>7.6200000000000004E-2</v>
      </c>
      <c r="I33" s="236">
        <f>'Workpaper 5'!D30</f>
        <v>8.3599999999999994E-2</v>
      </c>
      <c r="J33" s="236">
        <f t="shared" si="2"/>
        <v>1.6800000000000002E-2</v>
      </c>
      <c r="K33" s="276">
        <f t="shared" si="3"/>
        <v>2.4199999999999992E-2</v>
      </c>
      <c r="L33" s="276">
        <f t="shared" si="4"/>
        <v>-8.3333333333462933E-6</v>
      </c>
    </row>
    <row r="34" spans="1:12">
      <c r="A34" s="265">
        <v>22</v>
      </c>
      <c r="B34" s="265">
        <v>2001</v>
      </c>
      <c r="C34" s="276">
        <f>'Workpaper 5'!B31</f>
        <v>5.4900000000000004E-2</v>
      </c>
      <c r="D34" s="236">
        <f>'Workpaper 6'!B29</f>
        <v>7.7625E-2</v>
      </c>
      <c r="E34" s="236">
        <f>'Workpaper 6'!C29</f>
        <v>8.0283333333333318E-2</v>
      </c>
      <c r="F34" s="276">
        <f t="shared" si="0"/>
        <v>2.2724999999999995E-2</v>
      </c>
      <c r="G34" s="276">
        <f t="shared" si="1"/>
        <v>2.5383333333333313E-2</v>
      </c>
      <c r="H34" s="236">
        <f>'Workpaper 5'!C31</f>
        <v>7.0800000000000002E-2</v>
      </c>
      <c r="I34" s="236">
        <f>'Workpaper 5'!D31</f>
        <v>7.9500000000000001E-2</v>
      </c>
      <c r="J34" s="236">
        <f t="shared" si="2"/>
        <v>1.5899999999999997E-2</v>
      </c>
      <c r="K34" s="276">
        <f t="shared" si="3"/>
        <v>2.4599999999999997E-2</v>
      </c>
      <c r="L34" s="276">
        <f t="shared" si="4"/>
        <v>7.8333333333331645E-4</v>
      </c>
    </row>
    <row r="35" spans="1:12">
      <c r="A35" s="265">
        <v>23</v>
      </c>
      <c r="B35" s="265">
        <v>2002</v>
      </c>
      <c r="C35" s="276">
        <f>'Workpaper 5'!B32</f>
        <v>5.4299999999999994E-2</v>
      </c>
      <c r="D35" s="236">
        <f>'Workpaper 6'!B30</f>
        <v>7.3724999999999999E-2</v>
      </c>
      <c r="E35" s="236">
        <f>'Workpaper 6'!C30</f>
        <v>8.0233333333333337E-2</v>
      </c>
      <c r="F35" s="276">
        <f t="shared" si="0"/>
        <v>1.9425000000000005E-2</v>
      </c>
      <c r="G35" s="276">
        <f t="shared" si="1"/>
        <v>2.5933333333333343E-2</v>
      </c>
      <c r="H35" s="236">
        <f>'Workpaper 5'!C32</f>
        <v>6.4899999999999999E-2</v>
      </c>
      <c r="I35" s="236">
        <f>'Workpaper 5'!D32</f>
        <v>7.8E-2</v>
      </c>
      <c r="J35" s="236">
        <f t="shared" si="2"/>
        <v>1.0600000000000005E-2</v>
      </c>
      <c r="K35" s="276">
        <f t="shared" si="3"/>
        <v>2.3700000000000006E-2</v>
      </c>
      <c r="L35" s="276">
        <f t="shared" si="4"/>
        <v>2.2333333333333372E-3</v>
      </c>
    </row>
    <row r="36" spans="1:12">
      <c r="A36" s="265">
        <v>24</v>
      </c>
      <c r="B36" s="265">
        <v>2003</v>
      </c>
      <c r="C36" s="276">
        <f>'Workpaper 5'!B33</f>
        <v>4.9575000000000008E-2</v>
      </c>
      <c r="D36" s="236">
        <f>'Workpaper 6'!B31</f>
        <v>6.5808333333333344E-2</v>
      </c>
      <c r="E36" s="236">
        <f>'Workpaper 6'!C31</f>
        <v>6.8425E-2</v>
      </c>
      <c r="F36" s="276">
        <f t="shared" si="0"/>
        <v>1.6233333333333336E-2</v>
      </c>
      <c r="G36" s="276">
        <f t="shared" si="1"/>
        <v>1.8849999999999992E-2</v>
      </c>
      <c r="H36" s="236">
        <f>'Workpaper 5'!C33</f>
        <v>5.67E-2</v>
      </c>
      <c r="I36" s="236">
        <f>'Workpaper 5'!D33</f>
        <v>6.7699999999999996E-2</v>
      </c>
      <c r="J36" s="236">
        <f t="shared" si="2"/>
        <v>7.1249999999999925E-3</v>
      </c>
      <c r="K36" s="276">
        <f t="shared" si="3"/>
        <v>1.8124999999999988E-2</v>
      </c>
      <c r="L36" s="276">
        <f t="shared" si="4"/>
        <v>7.2500000000000342E-4</v>
      </c>
    </row>
    <row r="37" spans="1:12">
      <c r="A37" s="265">
        <v>25</v>
      </c>
      <c r="B37" s="265">
        <v>2004</v>
      </c>
      <c r="C37" s="276">
        <f>'Workpaper 5'!B34</f>
        <v>5.0466666666666667E-2</v>
      </c>
      <c r="D37" s="236">
        <f>'Workpaper 6'!B32</f>
        <v>6.1600833333333334E-2</v>
      </c>
      <c r="E37" s="236">
        <f>'Workpaper 6'!C32</f>
        <v>6.3949999999999993E-2</v>
      </c>
      <c r="F37" s="276">
        <f t="shared" si="0"/>
        <v>1.1134166666666667E-2</v>
      </c>
      <c r="G37" s="276">
        <f t="shared" si="1"/>
        <v>1.3483333333333326E-2</v>
      </c>
      <c r="H37" s="236">
        <f>'Workpaper 5'!C34</f>
        <v>5.6299999999999996E-2</v>
      </c>
      <c r="I37" s="236">
        <f>'Workpaper 5'!D34</f>
        <v>6.3899999999999998E-2</v>
      </c>
      <c r="J37" s="236">
        <f t="shared" si="2"/>
        <v>5.8333333333333293E-3</v>
      </c>
      <c r="K37" s="276">
        <f t="shared" si="3"/>
        <v>1.3433333333333332E-2</v>
      </c>
      <c r="L37" s="276">
        <f t="shared" si="4"/>
        <v>4.9999999999994493E-5</v>
      </c>
    </row>
    <row r="38" spans="1:12">
      <c r="A38" s="265">
        <v>26</v>
      </c>
      <c r="B38" s="265">
        <v>2005</v>
      </c>
      <c r="C38" s="276">
        <f>'Workpaper 5'!B35</f>
        <v>4.6458333333333331E-2</v>
      </c>
      <c r="D38" s="236">
        <f>'Workpaper 6'!B33</f>
        <v>5.6491666666666662E-2</v>
      </c>
      <c r="E38" s="236">
        <f>'Workpaper 6'!C33</f>
        <v>5.9249999999999997E-2</v>
      </c>
      <c r="F38" s="276">
        <f t="shared" si="0"/>
        <v>1.0033333333333332E-2</v>
      </c>
      <c r="G38" s="276">
        <f t="shared" si="1"/>
        <v>1.2791666666666666E-2</v>
      </c>
      <c r="H38" s="236">
        <f>'Workpaper 5'!C35</f>
        <v>5.2400000000000002E-2</v>
      </c>
      <c r="I38" s="236">
        <f>'Workpaper 5'!D35</f>
        <v>6.0599999999999994E-2</v>
      </c>
      <c r="J38" s="236">
        <f t="shared" si="2"/>
        <v>5.9416666666666715E-3</v>
      </c>
      <c r="K38" s="276">
        <f t="shared" si="3"/>
        <v>1.4141666666666663E-2</v>
      </c>
      <c r="L38" s="276">
        <f t="shared" si="4"/>
        <v>-1.349999999999997E-3</v>
      </c>
    </row>
    <row r="39" spans="1:12">
      <c r="A39" s="265">
        <v>27</v>
      </c>
      <c r="B39" s="265">
        <v>2006</v>
      </c>
      <c r="C39" s="276">
        <f>'Workpaper 5'!B36</f>
        <v>4.9100000000000005E-2</v>
      </c>
      <c r="D39" s="236">
        <f>'Workpaper 6'!B34</f>
        <v>6.0683333333333325E-2</v>
      </c>
      <c r="E39" s="236">
        <f>'Workpaper 6'!C34</f>
        <v>6.3166666666666663E-2</v>
      </c>
      <c r="F39" s="276">
        <f t="shared" si="0"/>
        <v>1.158333333333332E-2</v>
      </c>
      <c r="G39" s="276">
        <f t="shared" si="1"/>
        <v>1.4066666666666658E-2</v>
      </c>
      <c r="H39" s="236">
        <f>'Workpaper 5'!C36</f>
        <v>5.5899999999999998E-2</v>
      </c>
      <c r="I39" s="236">
        <f>'Workpaper 5'!D36</f>
        <v>6.480000000000001E-2</v>
      </c>
      <c r="J39" s="236">
        <f t="shared" si="2"/>
        <v>6.7999999999999935E-3</v>
      </c>
      <c r="K39" s="276">
        <f t="shared" si="3"/>
        <v>1.5700000000000006E-2</v>
      </c>
      <c r="L39" s="276">
        <f t="shared" si="4"/>
        <v>-1.6333333333333477E-3</v>
      </c>
    </row>
    <row r="40" spans="1:12">
      <c r="A40" s="265">
        <v>28</v>
      </c>
      <c r="B40" s="265">
        <v>2007</v>
      </c>
      <c r="C40" s="276">
        <f>'Workpaper 5'!B37</f>
        <v>4.8399999999999999E-2</v>
      </c>
      <c r="D40" s="236">
        <f>'Workpaper 6'!B35</f>
        <v>6.0733333333333334E-2</v>
      </c>
      <c r="E40" s="236">
        <f>'Workpaper 6'!C35</f>
        <v>6.3300000000000009E-2</v>
      </c>
      <c r="F40" s="276">
        <f t="shared" si="0"/>
        <v>1.2333333333333335E-2</v>
      </c>
      <c r="G40" s="276">
        <f t="shared" si="1"/>
        <v>1.490000000000001E-2</v>
      </c>
      <c r="H40" s="236">
        <f>'Workpaper 5'!C37</f>
        <v>5.5599999999999997E-2</v>
      </c>
      <c r="I40" s="236">
        <f>'Workpaper 5'!D37</f>
        <v>6.480000000000001E-2</v>
      </c>
      <c r="J40" s="236">
        <f t="shared" si="2"/>
        <v>7.1999999999999981E-3</v>
      </c>
      <c r="K40" s="276">
        <f t="shared" si="3"/>
        <v>1.6400000000000012E-2</v>
      </c>
      <c r="L40" s="276">
        <f t="shared" si="4"/>
        <v>-1.5000000000000013E-3</v>
      </c>
    </row>
    <row r="41" spans="1:12">
      <c r="A41" s="265">
        <v>29</v>
      </c>
      <c r="B41" s="265">
        <v>2008</v>
      </c>
      <c r="C41" s="276">
        <f>'Workpaper 5'!B38</f>
        <v>4.2800000000000005E-2</v>
      </c>
      <c r="D41" s="236">
        <f>'Workpaper 6'!B36</f>
        <v>6.5283333333333332E-2</v>
      </c>
      <c r="E41" s="236">
        <f>'Workpaper 6'!C36</f>
        <v>7.2458333333333333E-2</v>
      </c>
      <c r="F41" s="276">
        <f t="shared" si="0"/>
        <v>2.2483333333333327E-2</v>
      </c>
      <c r="G41" s="276">
        <f t="shared" si="1"/>
        <v>2.9658333333333328E-2</v>
      </c>
      <c r="H41" s="236">
        <f>'Workpaper 5'!C38</f>
        <v>5.6299999999999996E-2</v>
      </c>
      <c r="I41" s="236">
        <f>'Workpaper 5'!D38</f>
        <v>7.4499999999999997E-2</v>
      </c>
      <c r="J41" s="236">
        <f t="shared" si="2"/>
        <v>1.3499999999999991E-2</v>
      </c>
      <c r="K41" s="276">
        <f t="shared" si="3"/>
        <v>3.1699999999999992E-2</v>
      </c>
      <c r="L41" s="276">
        <f t="shared" si="4"/>
        <v>-2.0416666666666639E-3</v>
      </c>
    </row>
    <row r="42" spans="1:12">
      <c r="A42" s="265">
        <v>30</v>
      </c>
      <c r="B42" s="265">
        <v>2009</v>
      </c>
      <c r="C42" s="276">
        <f>'Workpaper 5'!B39</f>
        <v>4.0800000000000003E-2</v>
      </c>
      <c r="D42" s="236">
        <f>'Workpaper 6'!B37</f>
        <v>6.0367365027151197E-2</v>
      </c>
      <c r="E42" s="236">
        <f>'Workpaper 6'!C37</f>
        <v>7.0551731672932327E-2</v>
      </c>
      <c r="F42" s="276">
        <f t="shared" si="0"/>
        <v>1.9567365027151194E-2</v>
      </c>
      <c r="G42" s="276">
        <f t="shared" si="1"/>
        <v>2.9751731672932324E-2</v>
      </c>
      <c r="H42" s="236">
        <f>'Workpaper 5'!C39</f>
        <v>5.3099999999999994E-2</v>
      </c>
      <c r="I42" s="236">
        <f>'Workpaper 5'!D39</f>
        <v>7.2999999999999995E-2</v>
      </c>
      <c r="J42" s="236">
        <f t="shared" si="2"/>
        <v>1.2299999999999991E-2</v>
      </c>
      <c r="K42" s="276">
        <f t="shared" si="3"/>
        <v>3.2199999999999993E-2</v>
      </c>
      <c r="L42" s="276">
        <f t="shared" si="4"/>
        <v>-2.4482683270676681E-3</v>
      </c>
    </row>
    <row r="43" spans="1:12">
      <c r="A43" s="265">
        <v>31</v>
      </c>
      <c r="B43" s="265">
        <v>2010</v>
      </c>
      <c r="C43" s="276">
        <f>'Workpaper 5'!B40</f>
        <v>4.2508333333333335E-2</v>
      </c>
      <c r="D43" s="236">
        <f>'Workpaper 6'!B38</f>
        <v>5.4612557558110952E-2</v>
      </c>
      <c r="E43" s="236">
        <f>'Workpaper 6'!C38</f>
        <v>5.9598179333136762E-2</v>
      </c>
      <c r="F43" s="276">
        <f t="shared" si="0"/>
        <v>1.2104224224777617E-2</v>
      </c>
      <c r="G43" s="276">
        <f t="shared" si="1"/>
        <v>1.7089845999803427E-2</v>
      </c>
      <c r="H43" s="236">
        <f>'Workpaper 5'!C40</f>
        <v>4.9433333333333336E-2</v>
      </c>
      <c r="I43" s="236">
        <f>'Workpaper 5'!D40</f>
        <v>6.0383333333333344E-2</v>
      </c>
      <c r="J43" s="236">
        <f t="shared" si="2"/>
        <v>6.9250000000000006E-3</v>
      </c>
      <c r="K43" s="276">
        <f t="shared" si="3"/>
        <v>1.7875000000000009E-2</v>
      </c>
      <c r="L43" s="276">
        <f t="shared" si="4"/>
        <v>-7.8515400019658205E-4</v>
      </c>
    </row>
    <row r="45" spans="1:12">
      <c r="A45" s="265">
        <v>32</v>
      </c>
      <c r="B45" s="278" t="s">
        <v>16</v>
      </c>
      <c r="C45" s="279">
        <f>AVERAGE(C13:C43)</f>
        <v>7.4045430107526886E-2</v>
      </c>
      <c r="D45" s="279">
        <f t="shared" ref="D45:L45" si="5">AVERAGE(D13:D43)</f>
        <v>8.9966852341460055E-2</v>
      </c>
      <c r="E45" s="279">
        <f t="shared" si="5"/>
        <v>9.3945427236754919E-2</v>
      </c>
      <c r="F45" s="279">
        <f>AVERAGE(F13:F43)</f>
        <v>1.5921422233933186E-2</v>
      </c>
      <c r="G45" s="279">
        <f t="shared" si="5"/>
        <v>1.9899997129228037E-2</v>
      </c>
      <c r="H45" s="279">
        <f t="shared" si="5"/>
        <v>8.2372043010752696E-2</v>
      </c>
      <c r="I45" s="279">
        <f t="shared" si="5"/>
        <v>9.3622043010752665E-2</v>
      </c>
      <c r="J45" s="279">
        <f t="shared" si="5"/>
        <v>8.3266129032258055E-3</v>
      </c>
      <c r="K45" s="279">
        <f t="shared" si="5"/>
        <v>1.9576612903225807E-2</v>
      </c>
      <c r="L45" s="279">
        <f t="shared" si="5"/>
        <v>3.2338422600222775E-4</v>
      </c>
    </row>
    <row r="68" spans="2:2">
      <c r="B68" s="280" t="s">
        <v>159</v>
      </c>
    </row>
    <row r="69" spans="2:2" ht="14.25">
      <c r="B69" s="281" t="s">
        <v>477</v>
      </c>
    </row>
    <row r="70" spans="2:2">
      <c r="B70" s="280" t="s">
        <v>478</v>
      </c>
    </row>
    <row r="71" spans="2:2" ht="14.25">
      <c r="B71" s="281" t="s">
        <v>479</v>
      </c>
    </row>
    <row r="72" spans="2:2" ht="14.25">
      <c r="B72" s="246"/>
    </row>
    <row r="73" spans="2:2">
      <c r="B73" s="251"/>
    </row>
  </sheetData>
  <mergeCells count="4">
    <mergeCell ref="A1:L1"/>
    <mergeCell ref="A5:L5"/>
    <mergeCell ref="D9:G9"/>
    <mergeCell ref="H9:K9"/>
  </mergeCells>
  <conditionalFormatting sqref="F13:F43">
    <cfRule type="expression" dxfId="2" priority="2">
      <formula>IF(F13&gt;J13,0,1)</formula>
    </cfRule>
  </conditionalFormatting>
  <conditionalFormatting sqref="J13:J43">
    <cfRule type="expression" dxfId="1" priority="1">
      <formula>IF(F13&gt;J13,0,1)</formula>
    </cfRule>
  </conditionalFormatting>
  <printOptions horizontalCentered="1"/>
  <pageMargins left="0.7" right="0.7" top="1" bottom="0.75" header="0.5" footer="0.51"/>
  <pageSetup scale="71" orientation="portrait" r:id="rId1"/>
  <headerFooter alignWithMargins="0">
    <oddHeader>&amp;RExhibit No.___(MPG-16)
Page 1 of 1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80" zoomScaleNormal="80" zoomScaleSheetLayoutView="80" zoomScalePageLayoutView="80" workbookViewId="0">
      <selection activeCell="A2" sqref="A2"/>
    </sheetView>
  </sheetViews>
  <sheetFormatPr defaultRowHeight="14.25"/>
  <cols>
    <col min="1" max="1" width="10.75" style="97" customWidth="1"/>
    <col min="2" max="2" width="15.875" style="97" customWidth="1"/>
    <col min="3" max="5" width="17.625" style="97" customWidth="1"/>
    <col min="6" max="16384" width="9" style="97"/>
  </cols>
  <sheetData>
    <row r="1" spans="1:5" ht="27" customHeight="1">
      <c r="A1" s="500" t="str">
        <f>'MPG-16'!$A$1:$L$1</f>
        <v>Puget Sound Energy</v>
      </c>
      <c r="B1" s="500"/>
      <c r="C1" s="500"/>
      <c r="D1" s="500"/>
      <c r="E1" s="500"/>
    </row>
    <row r="2" spans="1:5">
      <c r="A2" s="282"/>
      <c r="B2" s="112"/>
      <c r="C2" s="112"/>
    </row>
    <row r="3" spans="1:5">
      <c r="A3" s="282"/>
      <c r="B3" s="112"/>
      <c r="C3" s="112"/>
    </row>
    <row r="4" spans="1:5">
      <c r="A4" s="282"/>
      <c r="B4" s="112"/>
      <c r="C4" s="112"/>
    </row>
    <row r="5" spans="1:5" ht="20.25">
      <c r="A5" s="486" t="s">
        <v>480</v>
      </c>
      <c r="B5" s="486"/>
      <c r="C5" s="486"/>
      <c r="D5" s="486"/>
      <c r="E5" s="486"/>
    </row>
    <row r="6" spans="1:5">
      <c r="A6" s="282"/>
      <c r="B6" s="112"/>
      <c r="C6" s="112"/>
    </row>
    <row r="7" spans="1:5">
      <c r="A7" s="282"/>
      <c r="B7" s="112"/>
      <c r="C7" s="112"/>
    </row>
    <row r="8" spans="1:5">
      <c r="A8" s="282"/>
      <c r="B8" s="128"/>
      <c r="C8" s="128"/>
      <c r="D8" s="128"/>
      <c r="E8" s="128"/>
    </row>
    <row r="9" spans="1:5" ht="15">
      <c r="A9" s="101"/>
      <c r="B9" s="283"/>
      <c r="C9" s="283" t="s">
        <v>481</v>
      </c>
      <c r="D9" s="132" t="s">
        <v>455</v>
      </c>
      <c r="E9" s="132" t="s">
        <v>482</v>
      </c>
    </row>
    <row r="10" spans="1:5" ht="17.25">
      <c r="A10" s="102" t="s">
        <v>3</v>
      </c>
      <c r="B10" s="284" t="s">
        <v>483</v>
      </c>
      <c r="C10" s="285" t="s">
        <v>484</v>
      </c>
      <c r="D10" s="285" t="s">
        <v>485</v>
      </c>
      <c r="E10" s="285" t="s">
        <v>486</v>
      </c>
    </row>
    <row r="11" spans="1:5" ht="15">
      <c r="A11" s="102"/>
      <c r="B11" s="284"/>
      <c r="C11" s="286" t="s">
        <v>6</v>
      </c>
      <c r="D11" s="286" t="s">
        <v>7</v>
      </c>
      <c r="E11" s="286" t="s">
        <v>8</v>
      </c>
    </row>
    <row r="12" spans="1:5" ht="15">
      <c r="A12" s="102"/>
      <c r="B12" s="284"/>
      <c r="C12" s="284"/>
      <c r="D12" s="128"/>
      <c r="E12" s="128"/>
    </row>
    <row r="13" spans="1:5" s="289" customFormat="1" ht="15.75" customHeight="1">
      <c r="A13" s="99">
        <f>MAX(A9:A12)+1</f>
        <v>1</v>
      </c>
      <c r="B13" s="287">
        <v>40865</v>
      </c>
      <c r="C13" s="288">
        <v>3.04E-2</v>
      </c>
      <c r="D13" s="288">
        <v>4.2099999999999999E-2</v>
      </c>
      <c r="E13" s="288">
        <v>4.8800000000000003E-2</v>
      </c>
    </row>
    <row r="14" spans="1:5" ht="15.75" customHeight="1">
      <c r="A14" s="99">
        <f t="shared" ref="A14:A27" si="0">MAX(A10:A13)+1</f>
        <v>2</v>
      </c>
      <c r="B14" s="287">
        <v>40858</v>
      </c>
      <c r="C14" s="288">
        <v>3.0800000000000001E-2</v>
      </c>
      <c r="D14" s="288">
        <v>4.3200000000000002E-2</v>
      </c>
      <c r="E14" s="288">
        <v>4.9799999999999997E-2</v>
      </c>
    </row>
    <row r="15" spans="1:5" ht="15.75" customHeight="1">
      <c r="A15" s="99">
        <f t="shared" si="0"/>
        <v>3</v>
      </c>
      <c r="B15" s="287">
        <v>40851</v>
      </c>
      <c r="C15" s="288">
        <v>3.0699999999999998E-2</v>
      </c>
      <c r="D15" s="288">
        <v>4.2999999999999997E-2</v>
      </c>
      <c r="E15" s="288">
        <v>4.9700000000000001E-2</v>
      </c>
    </row>
    <row r="16" spans="1:5" ht="15.75" customHeight="1">
      <c r="A16" s="99">
        <f t="shared" si="0"/>
        <v>4</v>
      </c>
      <c r="B16" s="287">
        <v>40844</v>
      </c>
      <c r="C16" s="288">
        <v>3.2899999999999999E-2</v>
      </c>
      <c r="D16" s="288">
        <v>4.5699999999999998E-2</v>
      </c>
      <c r="E16" s="288">
        <v>5.2400000000000002E-2</v>
      </c>
    </row>
    <row r="17" spans="1:9" ht="15.75" customHeight="1">
      <c r="A17" s="99">
        <f t="shared" si="0"/>
        <v>5</v>
      </c>
      <c r="B17" s="287">
        <v>40837</v>
      </c>
      <c r="C17" s="288">
        <v>3.1800000000000002E-2</v>
      </c>
      <c r="D17" s="288">
        <v>4.6199999999999998E-2</v>
      </c>
      <c r="E17" s="288">
        <v>5.33E-2</v>
      </c>
    </row>
    <row r="18" spans="1:9" ht="15.75" customHeight="1">
      <c r="A18" s="99">
        <f t="shared" si="0"/>
        <v>6</v>
      </c>
      <c r="B18" s="287">
        <v>40830</v>
      </c>
      <c r="C18" s="288">
        <v>3.1699999999999999E-2</v>
      </c>
      <c r="D18" s="288">
        <v>4.6399999999999997E-2</v>
      </c>
      <c r="E18" s="288">
        <v>5.3999999999999999E-2</v>
      </c>
    </row>
    <row r="19" spans="1:9" ht="15.75" customHeight="1">
      <c r="A19" s="99">
        <f t="shared" si="0"/>
        <v>7</v>
      </c>
      <c r="B19" s="287">
        <v>40823</v>
      </c>
      <c r="C19" s="288">
        <v>2.8799999999999999E-2</v>
      </c>
      <c r="D19" s="288">
        <v>4.48E-2</v>
      </c>
      <c r="E19" s="288">
        <v>5.2299999999999999E-2</v>
      </c>
    </row>
    <row r="20" spans="1:9" ht="15.75" customHeight="1">
      <c r="A20" s="99">
        <f t="shared" si="0"/>
        <v>8</v>
      </c>
      <c r="B20" s="287">
        <v>40816</v>
      </c>
      <c r="C20" s="288">
        <v>3.0200000000000001E-2</v>
      </c>
      <c r="D20" s="288">
        <v>4.3799999999999999E-2</v>
      </c>
      <c r="E20" s="288">
        <v>5.0700000000000002E-2</v>
      </c>
    </row>
    <row r="21" spans="1:9" ht="15.75" customHeight="1">
      <c r="A21" s="99">
        <f t="shared" si="0"/>
        <v>9</v>
      </c>
      <c r="B21" s="287">
        <v>40809</v>
      </c>
      <c r="C21" s="288">
        <v>3.0200000000000001E-2</v>
      </c>
      <c r="D21" s="288">
        <v>4.3200000000000002E-2</v>
      </c>
      <c r="E21" s="288">
        <v>0.05</v>
      </c>
    </row>
    <row r="22" spans="1:9" ht="15.75" customHeight="1">
      <c r="A22" s="99">
        <f t="shared" si="0"/>
        <v>10</v>
      </c>
      <c r="B22" s="287">
        <v>40802</v>
      </c>
      <c r="C22" s="288">
        <v>3.32E-2</v>
      </c>
      <c r="D22" s="288">
        <v>4.5900000000000003E-2</v>
      </c>
      <c r="E22" s="288">
        <v>5.2299999999999999E-2</v>
      </c>
    </row>
    <row r="23" spans="1:9" ht="15.75" customHeight="1">
      <c r="A23" s="99">
        <f t="shared" si="0"/>
        <v>11</v>
      </c>
      <c r="B23" s="287">
        <v>40795</v>
      </c>
      <c r="C23" s="288">
        <v>3.3000000000000002E-2</v>
      </c>
      <c r="D23" s="288">
        <v>4.4600000000000001E-2</v>
      </c>
      <c r="E23" s="288">
        <v>5.04E-2</v>
      </c>
    </row>
    <row r="24" spans="1:9" ht="15.75" customHeight="1">
      <c r="A24" s="99">
        <f t="shared" si="0"/>
        <v>12</v>
      </c>
      <c r="B24" s="287">
        <v>40788</v>
      </c>
      <c r="C24" s="288">
        <v>3.5200000000000002E-2</v>
      </c>
      <c r="D24" s="288">
        <v>4.4699999999999997E-2</v>
      </c>
      <c r="E24" s="288">
        <v>5.04E-2</v>
      </c>
    </row>
    <row r="25" spans="1:9" ht="15.75" customHeight="1">
      <c r="A25" s="99">
        <f t="shared" si="0"/>
        <v>13</v>
      </c>
      <c r="B25" s="287">
        <v>40781</v>
      </c>
      <c r="C25" s="288">
        <v>3.5299999999999998E-2</v>
      </c>
      <c r="D25" s="288">
        <v>4.6699999999999998E-2</v>
      </c>
      <c r="E25" s="288">
        <v>5.2600000000000001E-2</v>
      </c>
    </row>
    <row r="26" spans="1:9" ht="15.75" customHeight="1">
      <c r="A26" s="99"/>
      <c r="B26" s="287"/>
      <c r="C26" s="290"/>
    </row>
    <row r="27" spans="1:9" ht="15.75" customHeight="1">
      <c r="A27" s="99">
        <f t="shared" si="0"/>
        <v>14</v>
      </c>
      <c r="B27" s="201" t="s">
        <v>16</v>
      </c>
      <c r="C27" s="107">
        <f>AVERAGE(C13:C25)</f>
        <v>3.1861538461538462E-2</v>
      </c>
      <c r="D27" s="107">
        <f>AVERAGE(D13:D25)</f>
        <v>4.463846153846153E-2</v>
      </c>
      <c r="E27" s="107">
        <f>AVERAGE(E13:E25)</f>
        <v>5.128461538461538E-2</v>
      </c>
      <c r="G27" s="291"/>
      <c r="H27" s="291"/>
      <c r="I27" s="291"/>
    </row>
    <row r="28" spans="1:9" ht="15.75" customHeight="1">
      <c r="A28" s="99">
        <f>MAX(A26:A27)+1</f>
        <v>15</v>
      </c>
      <c r="B28" s="201" t="s">
        <v>487</v>
      </c>
      <c r="C28" s="107"/>
      <c r="D28" s="107">
        <f>ROUND(D27,4)-ROUND(C27,4)</f>
        <v>1.2700000000000003E-2</v>
      </c>
      <c r="E28" s="107">
        <f>ROUND(E27,4)-ROUND(C27,4)</f>
        <v>1.9400000000000001E-2</v>
      </c>
      <c r="H28" s="107"/>
      <c r="I28" s="107"/>
    </row>
    <row r="29" spans="1:9" ht="15.75" customHeight="1">
      <c r="A29" s="99"/>
      <c r="B29" s="292"/>
      <c r="C29" s="107"/>
      <c r="D29" s="107"/>
      <c r="E29" s="107"/>
    </row>
    <row r="30" spans="1:9" ht="15.75" customHeight="1">
      <c r="A30" s="99"/>
      <c r="B30" s="201"/>
      <c r="C30" s="201"/>
      <c r="D30" s="107"/>
      <c r="E30" s="107"/>
    </row>
    <row r="31" spans="1:9" ht="15">
      <c r="A31" s="282"/>
      <c r="B31" s="293"/>
      <c r="C31" s="294"/>
      <c r="D31" s="107"/>
      <c r="E31" s="107"/>
    </row>
    <row r="32" spans="1:9">
      <c r="B32" s="295" t="s">
        <v>159</v>
      </c>
      <c r="C32" s="295"/>
    </row>
    <row r="33" spans="1:3" ht="16.5">
      <c r="B33" s="91" t="s">
        <v>488</v>
      </c>
      <c r="C33" s="91"/>
    </row>
    <row r="34" spans="1:3" ht="16.5">
      <c r="B34" s="91" t="s">
        <v>489</v>
      </c>
    </row>
    <row r="48" spans="1:3" ht="16.5">
      <c r="A48" s="296"/>
    </row>
  </sheetData>
  <mergeCells count="2">
    <mergeCell ref="A1:E1"/>
    <mergeCell ref="A5:E5"/>
  </mergeCells>
  <printOptions horizontalCentered="1"/>
  <pageMargins left="0.75" right="0.75" top="1" bottom="1" header="0.5" footer="0.5"/>
  <pageSetup orientation="portrait" r:id="rId1"/>
  <headerFooter alignWithMargins="0">
    <oddHeader>&amp;RExhibit No.___(MPG-17)
Page 1 of 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zoomScale="80" zoomScaleNormal="80" zoomScaleSheetLayoutView="80" zoomScalePageLayoutView="80" workbookViewId="0">
      <selection activeCell="A2" sqref="A2"/>
    </sheetView>
  </sheetViews>
  <sheetFormatPr defaultRowHeight="14.25"/>
  <cols>
    <col min="1" max="1" width="9.375" style="129" customWidth="1"/>
    <col min="2" max="2" width="9.375" style="100" customWidth="1"/>
    <col min="3" max="3" width="10.375" style="129" customWidth="1"/>
    <col min="4" max="4" width="20.125" style="129" customWidth="1"/>
    <col min="5" max="5" width="9" style="129"/>
    <col min="6" max="6" width="9.375" style="129" customWidth="1"/>
    <col min="7" max="9" width="9" style="129"/>
    <col min="10" max="10" width="8.5" style="129" customWidth="1"/>
    <col min="11" max="11" width="8.375" style="129" hidden="1" customWidth="1"/>
    <col min="12" max="16384" width="9" style="129"/>
  </cols>
  <sheetData>
    <row r="1" spans="1:12" ht="27.75">
      <c r="A1" s="501" t="str">
        <f>'MPG-12'!A1:M1</f>
        <v>Puget Sound Energy</v>
      </c>
      <c r="B1" s="501"/>
      <c r="C1" s="501"/>
      <c r="D1" s="501"/>
      <c r="E1" s="501"/>
      <c r="F1" s="501"/>
      <c r="G1" s="297"/>
      <c r="H1" s="297"/>
      <c r="I1" s="297"/>
      <c r="J1" s="297"/>
      <c r="K1" s="297"/>
    </row>
    <row r="2" spans="1:12">
      <c r="A2" s="99"/>
      <c r="B2" s="97"/>
      <c r="C2" s="97"/>
      <c r="D2" s="100"/>
      <c r="E2" s="100"/>
      <c r="F2" s="100"/>
    </row>
    <row r="3" spans="1:12">
      <c r="A3" s="99"/>
      <c r="B3" s="97"/>
      <c r="C3" s="97"/>
      <c r="D3" s="100"/>
      <c r="E3" s="100"/>
      <c r="F3" s="100"/>
    </row>
    <row r="4" spans="1:12">
      <c r="A4" s="99"/>
      <c r="B4" s="97"/>
      <c r="C4" s="97"/>
      <c r="D4" s="100"/>
      <c r="E4" s="100"/>
      <c r="F4" s="100"/>
    </row>
    <row r="5" spans="1:12" ht="20.25">
      <c r="A5" s="486" t="s">
        <v>490</v>
      </c>
      <c r="B5" s="486"/>
      <c r="C5" s="486"/>
      <c r="D5" s="486"/>
      <c r="E5" s="486"/>
      <c r="F5" s="486"/>
      <c r="G5" s="298"/>
      <c r="H5" s="298"/>
      <c r="I5" s="298"/>
      <c r="J5" s="298"/>
      <c r="K5" s="298"/>
    </row>
    <row r="7" spans="1:12">
      <c r="E7" s="299"/>
      <c r="F7" s="299"/>
      <c r="G7" s="299"/>
      <c r="H7" s="299"/>
      <c r="I7" s="299"/>
      <c r="J7" s="299"/>
      <c r="K7" s="299"/>
    </row>
    <row r="8" spans="1:12">
      <c r="E8" s="299"/>
      <c r="F8" s="299"/>
      <c r="G8" s="299"/>
      <c r="H8" s="299"/>
      <c r="I8" s="299"/>
      <c r="J8" s="299"/>
      <c r="K8" s="299"/>
    </row>
    <row r="9" spans="1:12" s="300" customFormat="1" ht="15">
      <c r="B9" s="301" t="s">
        <v>3</v>
      </c>
      <c r="C9" s="483" t="s">
        <v>4</v>
      </c>
      <c r="D9" s="483"/>
      <c r="E9" s="302" t="s">
        <v>491</v>
      </c>
      <c r="F9" s="302"/>
      <c r="G9" s="302"/>
      <c r="H9" s="302"/>
      <c r="I9" s="302"/>
      <c r="K9" s="303" t="s">
        <v>492</v>
      </c>
      <c r="L9" s="105"/>
    </row>
    <row r="10" spans="1:12" ht="15">
      <c r="C10" s="304"/>
      <c r="D10" s="304"/>
      <c r="E10" s="305"/>
      <c r="F10" s="305"/>
      <c r="G10" s="305"/>
      <c r="H10" s="305"/>
      <c r="I10" s="305"/>
      <c r="K10" s="305"/>
    </row>
    <row r="11" spans="1:12" ht="16.5" customHeight="1">
      <c r="B11" s="24">
        <f>IF(C11=0,"N/A",MAX(B8:B10)+1)</f>
        <v>1</v>
      </c>
      <c r="C11" s="91" t="str">
        <f>'MPG-5'!B13</f>
        <v>Alliant Energy</v>
      </c>
      <c r="D11" s="145"/>
      <c r="E11" s="306">
        <f>'Workpaper 2'!E13</f>
        <v>0.7</v>
      </c>
      <c r="F11" s="307"/>
      <c r="G11" s="307"/>
      <c r="H11" s="307"/>
      <c r="I11" s="307"/>
      <c r="K11" s="308">
        <f>AVERAGE(E11:I11)</f>
        <v>0.7</v>
      </c>
    </row>
    <row r="12" spans="1:12" ht="16.5" customHeight="1">
      <c r="B12" s="24">
        <f t="shared" ref="B12:B19" si="0">IF(C12=0,"N/A",MAX(B9:B11)+1)</f>
        <v>2</v>
      </c>
      <c r="C12" s="91" t="str">
        <f>'MPG-5'!B14</f>
        <v>CMS Energy</v>
      </c>
      <c r="D12" s="145"/>
      <c r="E12" s="306">
        <f>'Workpaper 2'!E14</f>
        <v>0.75</v>
      </c>
      <c r="F12" s="307"/>
      <c r="G12" s="307"/>
      <c r="H12" s="307"/>
      <c r="I12" s="307"/>
      <c r="K12" s="308">
        <f>AVERAGE(E12:I12)</f>
        <v>0.75</v>
      </c>
    </row>
    <row r="13" spans="1:12" ht="16.5" customHeight="1">
      <c r="B13" s="24">
        <f t="shared" si="0"/>
        <v>3</v>
      </c>
      <c r="C13" s="91" t="str">
        <f>'MPG-5'!B15</f>
        <v>Great Plains Energy</v>
      </c>
      <c r="D13" s="145"/>
      <c r="E13" s="306">
        <f>'Workpaper 2'!E15</f>
        <v>0.75</v>
      </c>
      <c r="F13" s="307"/>
      <c r="G13" s="307"/>
      <c r="H13" s="307"/>
      <c r="I13" s="307"/>
      <c r="K13" s="308"/>
    </row>
    <row r="14" spans="1:12" ht="16.5" customHeight="1">
      <c r="B14" s="24">
        <f t="shared" si="0"/>
        <v>4</v>
      </c>
      <c r="C14" s="91" t="str">
        <f>'MPG-5'!B16</f>
        <v>NV Energy</v>
      </c>
      <c r="D14" s="145"/>
      <c r="E14" s="306">
        <f>'Workpaper 2'!E16</f>
        <v>0.85</v>
      </c>
      <c r="F14" s="307"/>
      <c r="G14" s="307"/>
      <c r="H14" s="307"/>
      <c r="I14" s="307"/>
      <c r="K14" s="308"/>
    </row>
    <row r="15" spans="1:12" ht="16.5" customHeight="1">
      <c r="B15" s="24">
        <f t="shared" si="0"/>
        <v>5</v>
      </c>
      <c r="C15" s="91" t="str">
        <f>'MPG-5'!B17</f>
        <v>OGE Energy</v>
      </c>
      <c r="D15" s="145"/>
      <c r="E15" s="306">
        <f>'Workpaper 2'!E17</f>
        <v>0.75</v>
      </c>
      <c r="F15" s="307"/>
      <c r="G15" s="307"/>
      <c r="H15" s="307"/>
      <c r="I15" s="307"/>
      <c r="K15" s="308"/>
    </row>
    <row r="16" spans="1:12" ht="16.5" customHeight="1">
      <c r="B16" s="24">
        <f t="shared" si="0"/>
        <v>6</v>
      </c>
      <c r="C16" s="91" t="str">
        <f>'MPG-5'!B18</f>
        <v>Pinnacle West Capital</v>
      </c>
      <c r="D16" s="145"/>
      <c r="E16" s="306">
        <f>'Workpaper 2'!E18</f>
        <v>0.7</v>
      </c>
      <c r="F16" s="307"/>
      <c r="G16" s="307"/>
      <c r="H16" s="307"/>
      <c r="I16" s="307"/>
      <c r="K16" s="308"/>
    </row>
    <row r="17" spans="2:13" ht="16.5" customHeight="1">
      <c r="B17" s="24">
        <f t="shared" si="0"/>
        <v>7</v>
      </c>
      <c r="C17" s="91" t="str">
        <f>'MPG-5'!B19</f>
        <v>TECO Energy</v>
      </c>
      <c r="D17" s="145"/>
      <c r="E17" s="306">
        <f>'Workpaper 2'!E19</f>
        <v>0.85</v>
      </c>
      <c r="F17" s="307"/>
      <c r="G17" s="307"/>
      <c r="H17" s="307"/>
      <c r="I17" s="307"/>
      <c r="K17" s="308"/>
    </row>
    <row r="18" spans="2:13" ht="16.5" customHeight="1">
      <c r="B18" s="24">
        <f t="shared" si="0"/>
        <v>8</v>
      </c>
      <c r="C18" s="91" t="str">
        <f>'MPG-5'!B20</f>
        <v>Westar Energy</v>
      </c>
      <c r="D18" s="145"/>
      <c r="E18" s="306">
        <f>'Workpaper 2'!E20</f>
        <v>0.75</v>
      </c>
      <c r="F18" s="307"/>
      <c r="G18" s="307"/>
      <c r="H18" s="307"/>
      <c r="I18" s="307"/>
      <c r="K18" s="308"/>
    </row>
    <row r="19" spans="2:13" ht="16.5" customHeight="1">
      <c r="B19" s="24">
        <f t="shared" si="0"/>
        <v>9</v>
      </c>
      <c r="C19" s="91" t="str">
        <f>'MPG-5'!B21</f>
        <v>Wisconsin Energy</v>
      </c>
      <c r="D19" s="145"/>
      <c r="E19" s="306">
        <f>'Workpaper 2'!E21</f>
        <v>0.65</v>
      </c>
      <c r="F19" s="307"/>
      <c r="G19" s="307"/>
      <c r="H19" s="307"/>
      <c r="I19" s="307"/>
      <c r="K19" s="308"/>
    </row>
    <row r="20" spans="2:13" ht="15.75" customHeight="1">
      <c r="C20" s="91"/>
      <c r="D20" s="145"/>
      <c r="E20" s="306"/>
      <c r="F20" s="309"/>
      <c r="G20" s="308"/>
      <c r="H20" s="308"/>
      <c r="I20" s="308"/>
      <c r="J20" s="308"/>
      <c r="K20" s="308"/>
    </row>
    <row r="21" spans="2:13" ht="15.75" customHeight="1">
      <c r="B21" s="100">
        <f>MAX(B11:B20)+1</f>
        <v>10</v>
      </c>
      <c r="C21" s="310" t="s">
        <v>16</v>
      </c>
      <c r="D21" s="127"/>
      <c r="E21" s="211">
        <f>AVERAGE(E11:E19)</f>
        <v>0.75</v>
      </c>
      <c r="F21" s="311"/>
      <c r="G21" s="312"/>
      <c r="H21" s="308"/>
      <c r="I21" s="308"/>
      <c r="J21" s="308"/>
      <c r="K21" s="308"/>
    </row>
    <row r="22" spans="2:13" ht="15.75" customHeight="1">
      <c r="C22" s="310"/>
      <c r="D22" s="127"/>
      <c r="E22" s="211"/>
      <c r="F22" s="311"/>
      <c r="G22" s="308"/>
      <c r="H22" s="308"/>
      <c r="I22" s="308"/>
      <c r="J22" s="308"/>
      <c r="K22" s="308"/>
    </row>
    <row r="23" spans="2:13" ht="15.75" customHeight="1">
      <c r="C23" s="100"/>
      <c r="D23" s="127"/>
      <c r="E23" s="308"/>
      <c r="F23" s="309"/>
      <c r="G23" s="308"/>
      <c r="H23" s="308"/>
      <c r="I23" s="308"/>
      <c r="J23" s="308"/>
      <c r="K23" s="308"/>
    </row>
    <row r="24" spans="2:13" ht="15.75" customHeight="1">
      <c r="B24" s="313"/>
      <c r="D24" s="127"/>
      <c r="E24" s="308"/>
      <c r="F24" s="308"/>
      <c r="G24" s="308"/>
      <c r="H24" s="308"/>
      <c r="I24" s="308"/>
      <c r="J24" s="314"/>
      <c r="K24" s="308" t="e">
        <f>AVERAGE(E24:J24)</f>
        <v>#DIV/0!</v>
      </c>
    </row>
    <row r="25" spans="2:13" ht="16.5">
      <c r="B25" s="295" t="s">
        <v>167</v>
      </c>
      <c r="D25" s="295"/>
      <c r="E25" s="315"/>
      <c r="J25"/>
    </row>
    <row r="26" spans="2:13">
      <c r="B26" s="316" t="s">
        <v>493</v>
      </c>
      <c r="D26" s="91"/>
      <c r="F26" s="100"/>
      <c r="G26" s="100"/>
      <c r="H26" s="100"/>
      <c r="I26" s="100"/>
      <c r="J26" s="100"/>
      <c r="K26" s="100"/>
      <c r="L26" s="128"/>
      <c r="M26" s="100"/>
    </row>
    <row r="27" spans="2:13">
      <c r="B27" s="31" t="s">
        <v>494</v>
      </c>
      <c r="C27" s="91"/>
      <c r="D27" s="91"/>
      <c r="E27" s="91"/>
    </row>
    <row r="28" spans="2:13">
      <c r="B28" s="91"/>
    </row>
  </sheetData>
  <mergeCells count="3">
    <mergeCell ref="A1:F1"/>
    <mergeCell ref="A5:F5"/>
    <mergeCell ref="C9:D9"/>
  </mergeCells>
  <conditionalFormatting sqref="D11:D20">
    <cfRule type="expression" dxfId="0" priority="1" stopIfTrue="1">
      <formula>AND(H11&gt;11, H11&lt;18,I11&gt;9,I11&lt;16,N11&gt;3, N11&lt;7,K11&gt;#REF!,K11&lt;59.9,L11&gt;#REF!,L11&lt;59.9,W11=0)</formula>
    </cfRule>
  </conditionalFormatting>
  <printOptions horizontalCentered="1"/>
  <pageMargins left="0.7" right="0.7" top="1" bottom="0.75" header="0.3" footer="0.51"/>
  <pageSetup orientation="portrait" r:id="rId1"/>
  <headerFooter>
    <oddHeader>&amp;RExhibit No.___(MPG-18)
Page 1 of 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T41"/>
  <sheetViews>
    <sheetView zoomScale="80" zoomScaleNormal="80" zoomScaleSheetLayoutView="80" zoomScalePageLayoutView="80" workbookViewId="0">
      <selection activeCell="A2" sqref="A2"/>
    </sheetView>
  </sheetViews>
  <sheetFormatPr defaultRowHeight="14.25"/>
  <cols>
    <col min="1" max="2" width="8.375" style="113" customWidth="1"/>
    <col min="3" max="3" width="10.25" style="113" customWidth="1"/>
    <col min="4" max="4" width="13.625" style="113" customWidth="1"/>
    <col min="5" max="5" width="1.75" style="113" customWidth="1"/>
    <col min="6" max="6" width="26.375" style="113" customWidth="1"/>
    <col min="7" max="7" width="2.5" style="327" customWidth="1"/>
    <col min="8" max="8" width="8.625" style="327" customWidth="1"/>
    <col min="9" max="13" width="9" style="113"/>
    <col min="14" max="14" width="13.125" style="113" bestFit="1" customWidth="1"/>
    <col min="15" max="16384" width="9" style="113"/>
  </cols>
  <sheetData>
    <row r="1" spans="1:20" ht="26.25">
      <c r="A1" s="502" t="str">
        <f>'MPG-18'!A1:F1</f>
        <v>Puget Sound Energy</v>
      </c>
      <c r="B1" s="502"/>
      <c r="C1" s="502"/>
      <c r="D1" s="502"/>
      <c r="E1" s="502"/>
      <c r="F1" s="502"/>
      <c r="G1" s="502"/>
      <c r="H1" s="502"/>
    </row>
    <row r="2" spans="1:20">
      <c r="A2" s="99"/>
      <c r="B2" s="99"/>
      <c r="C2" s="97"/>
      <c r="D2" s="100"/>
      <c r="E2" s="100"/>
      <c r="F2" s="100"/>
      <c r="G2" s="99"/>
      <c r="H2" s="99"/>
    </row>
    <row r="3" spans="1:20">
      <c r="A3" s="99"/>
      <c r="B3" s="99"/>
      <c r="C3" s="97"/>
      <c r="D3" s="100"/>
      <c r="E3" s="100"/>
      <c r="F3" s="100"/>
      <c r="G3" s="99"/>
      <c r="H3" s="99"/>
    </row>
    <row r="4" spans="1:20">
      <c r="A4" s="99"/>
      <c r="B4" s="99"/>
      <c r="C4" s="97"/>
      <c r="D4" s="100"/>
      <c r="E4" s="100"/>
      <c r="F4" s="100"/>
      <c r="G4" s="99"/>
      <c r="H4" s="99"/>
    </row>
    <row r="5" spans="1:20" ht="18">
      <c r="A5" s="493" t="s">
        <v>495</v>
      </c>
      <c r="B5" s="493"/>
      <c r="C5" s="493"/>
      <c r="D5" s="493"/>
      <c r="E5" s="493"/>
      <c r="F5" s="493"/>
      <c r="G5" s="493"/>
      <c r="H5" s="493"/>
    </row>
    <row r="6" spans="1:20" ht="12.75" customHeight="1">
      <c r="A6" s="318"/>
      <c r="B6" s="318"/>
      <c r="C6" s="318"/>
      <c r="D6" s="319"/>
      <c r="E6" s="319"/>
      <c r="F6" s="319"/>
      <c r="G6" s="319"/>
      <c r="H6" s="319"/>
    </row>
    <row r="7" spans="1:20" ht="12.75" customHeight="1">
      <c r="A7" s="318"/>
      <c r="B7" s="318"/>
      <c r="C7" s="318"/>
      <c r="D7" s="319"/>
      <c r="E7" s="319"/>
      <c r="F7" s="319"/>
      <c r="G7" s="319"/>
      <c r="H7" s="319"/>
    </row>
    <row r="8" spans="1:20" ht="15">
      <c r="D8" s="91"/>
      <c r="E8" s="91"/>
      <c r="F8" s="305"/>
      <c r="G8" s="320"/>
      <c r="H8" s="320"/>
    </row>
    <row r="9" spans="1:20" ht="15">
      <c r="D9" s="91"/>
      <c r="E9" s="91"/>
      <c r="F9" s="305" t="s">
        <v>496</v>
      </c>
      <c r="G9" s="305"/>
      <c r="H9" s="305"/>
      <c r="M9" s="91"/>
    </row>
    <row r="10" spans="1:20" ht="15">
      <c r="B10" s="102" t="s">
        <v>3</v>
      </c>
      <c r="C10" s="483" t="s">
        <v>497</v>
      </c>
      <c r="D10" s="483"/>
      <c r="E10" s="321"/>
      <c r="F10" s="303" t="s">
        <v>445</v>
      </c>
      <c r="G10" s="303"/>
      <c r="H10" s="303"/>
      <c r="I10" s="322"/>
      <c r="J10" s="323" t="s">
        <v>498</v>
      </c>
      <c r="K10" s="323"/>
      <c r="L10" s="318"/>
      <c r="M10" s="324">
        <v>2011</v>
      </c>
    </row>
    <row r="11" spans="1:20" ht="15">
      <c r="B11" s="102"/>
      <c r="C11" s="318"/>
      <c r="D11" s="321"/>
      <c r="E11" s="321"/>
      <c r="F11" s="325"/>
      <c r="G11" s="326"/>
      <c r="H11" s="326"/>
      <c r="I11" s="322"/>
      <c r="J11" s="322"/>
      <c r="K11" s="322"/>
      <c r="M11" s="295"/>
    </row>
    <row r="12" spans="1:20" ht="15">
      <c r="B12" s="99"/>
      <c r="D12" s="310"/>
      <c r="E12" s="310"/>
      <c r="F12" s="128"/>
      <c r="G12" s="320"/>
      <c r="H12" s="320"/>
      <c r="I12" s="322"/>
      <c r="J12" s="322" t="s">
        <v>499</v>
      </c>
      <c r="K12" s="322"/>
      <c r="M12" s="128">
        <v>8.6999999999999994E-2</v>
      </c>
      <c r="N12" s="113" t="s">
        <v>500</v>
      </c>
      <c r="Q12" s="128"/>
      <c r="R12" s="128"/>
      <c r="S12" s="128"/>
      <c r="T12" s="128"/>
    </row>
    <row r="13" spans="1:20" ht="18.75" customHeight="1">
      <c r="B13" s="99">
        <v>1</v>
      </c>
      <c r="C13" s="113" t="s">
        <v>501</v>
      </c>
      <c r="F13" s="128">
        <v>3.7999999999999999E-2</v>
      </c>
      <c r="G13" s="320"/>
      <c r="H13" s="320"/>
      <c r="I13" s="128"/>
      <c r="J13" s="322" t="s">
        <v>502</v>
      </c>
      <c r="K13" s="322"/>
      <c r="M13" s="328">
        <v>2.3E-2</v>
      </c>
      <c r="N13" s="113" t="s">
        <v>742</v>
      </c>
      <c r="Q13" s="128"/>
      <c r="R13" s="128"/>
      <c r="S13" s="128"/>
      <c r="T13" s="128"/>
    </row>
    <row r="14" spans="1:20" s="91" customFormat="1" ht="18.75" customHeight="1">
      <c r="B14" s="100">
        <v>2</v>
      </c>
      <c r="C14" s="91" t="s">
        <v>503</v>
      </c>
      <c r="F14" s="128">
        <v>6.7000000000000004E-2</v>
      </c>
      <c r="G14" s="320"/>
      <c r="H14" s="320"/>
      <c r="I14" s="128"/>
      <c r="J14" s="91" t="s">
        <v>504</v>
      </c>
      <c r="M14" s="128">
        <f>((1+M12)*(1+M13)-1)</f>
        <v>0.1120009999999998</v>
      </c>
      <c r="Q14" s="314"/>
      <c r="R14" s="314"/>
      <c r="S14" s="314"/>
      <c r="T14" s="314"/>
    </row>
    <row r="15" spans="1:20" s="91" customFormat="1" ht="18.75" customHeight="1">
      <c r="B15" s="100">
        <v>3</v>
      </c>
      <c r="C15" s="91" t="s">
        <v>505</v>
      </c>
      <c r="F15" s="314">
        <f>ROUND('MPG-18'!E21,2)</f>
        <v>0.75</v>
      </c>
      <c r="G15" s="320"/>
      <c r="H15" s="320"/>
      <c r="I15" s="314"/>
      <c r="J15" s="91" t="s">
        <v>506</v>
      </c>
      <c r="M15" s="328">
        <f>F13</f>
        <v>3.7999999999999999E-2</v>
      </c>
      <c r="N15" s="113" t="s">
        <v>742</v>
      </c>
      <c r="Q15" s="128"/>
      <c r="R15" s="128"/>
      <c r="S15" s="128"/>
      <c r="T15" s="128"/>
    </row>
    <row r="16" spans="1:20" s="91" customFormat="1" ht="18.75" customHeight="1">
      <c r="B16" s="100">
        <v>4</v>
      </c>
      <c r="C16" s="91" t="s">
        <v>507</v>
      </c>
      <c r="F16" s="128">
        <f>F13+F14*F15</f>
        <v>8.8249999999999995E-2</v>
      </c>
      <c r="G16" s="128"/>
      <c r="H16" s="128"/>
      <c r="I16" s="128"/>
      <c r="J16" s="91" t="s">
        <v>508</v>
      </c>
      <c r="M16" s="128">
        <f>+M14-M15</f>
        <v>7.4000999999999789E-2</v>
      </c>
    </row>
    <row r="17" spans="1:14" s="91" customFormat="1" ht="15">
      <c r="A17" s="100"/>
      <c r="B17" s="100"/>
      <c r="D17" s="310"/>
      <c r="E17" s="310"/>
      <c r="F17" s="132"/>
      <c r="G17" s="320"/>
      <c r="H17" s="320"/>
      <c r="I17" s="295"/>
    </row>
    <row r="18" spans="1:14" s="91" customFormat="1" ht="15">
      <c r="A18" s="100"/>
      <c r="B18" s="100"/>
      <c r="F18" s="132"/>
      <c r="G18" s="320"/>
      <c r="H18" s="320"/>
      <c r="I18" s="295"/>
      <c r="J18" s="91" t="s">
        <v>509</v>
      </c>
    </row>
    <row r="19" spans="1:14" s="91" customFormat="1" ht="15">
      <c r="A19" s="324"/>
      <c r="B19" s="324"/>
      <c r="C19" s="170"/>
      <c r="D19" s="301"/>
      <c r="E19" s="301"/>
      <c r="F19" s="303"/>
      <c r="G19" s="320"/>
      <c r="H19" s="320"/>
      <c r="I19" s="295"/>
      <c r="J19" s="91" t="s">
        <v>510</v>
      </c>
      <c r="M19" s="128">
        <v>6.7199999999999996E-2</v>
      </c>
      <c r="N19" s="91" t="s">
        <v>511</v>
      </c>
    </row>
    <row r="20" spans="1:14" s="91" customFormat="1" ht="15">
      <c r="A20" s="100"/>
      <c r="B20" s="100"/>
      <c r="C20" s="295" t="s">
        <v>159</v>
      </c>
      <c r="F20" s="303"/>
      <c r="G20" s="320"/>
      <c r="H20" s="320"/>
      <c r="I20" s="295"/>
      <c r="J20" s="91" t="s">
        <v>512</v>
      </c>
      <c r="M20" s="128">
        <v>6.5199999999999994E-2</v>
      </c>
      <c r="N20" s="91" t="s">
        <v>513</v>
      </c>
    </row>
    <row r="21" spans="1:14" s="91" customFormat="1" ht="16.5" customHeight="1">
      <c r="A21" s="100"/>
      <c r="B21" s="100"/>
      <c r="C21" s="187" t="s">
        <v>741</v>
      </c>
      <c r="F21" s="128"/>
      <c r="G21" s="320"/>
      <c r="H21" s="320"/>
      <c r="I21" s="295"/>
      <c r="J21" s="91" t="s">
        <v>514</v>
      </c>
      <c r="M21" s="128">
        <v>5.9900000000000002E-2</v>
      </c>
      <c r="N21" s="91" t="s">
        <v>513</v>
      </c>
    </row>
    <row r="22" spans="1:14" s="91" customFormat="1" ht="16.5" customHeight="1">
      <c r="A22" s="100"/>
      <c r="B22" s="100"/>
      <c r="C22" s="187" t="s">
        <v>515</v>
      </c>
      <c r="F22" s="128"/>
      <c r="G22" s="320"/>
      <c r="H22" s="320"/>
      <c r="I22" s="295"/>
      <c r="J22" s="295"/>
      <c r="K22" s="295"/>
      <c r="L22" s="295"/>
    </row>
    <row r="23" spans="1:14" s="91" customFormat="1" ht="16.5" customHeight="1">
      <c r="A23" s="100"/>
      <c r="B23" s="100"/>
      <c r="C23" s="91" t="s">
        <v>516</v>
      </c>
      <c r="F23" s="128"/>
      <c r="G23" s="320"/>
      <c r="H23" s="320"/>
      <c r="I23" s="295"/>
      <c r="J23" s="295"/>
      <c r="K23" s="295"/>
      <c r="L23" s="295"/>
      <c r="M23" s="329"/>
    </row>
    <row r="24" spans="1:14" s="310" customFormat="1" ht="16.5" customHeight="1">
      <c r="C24" s="330" t="s">
        <v>517</v>
      </c>
      <c r="G24" s="326"/>
      <c r="H24" s="326"/>
      <c r="I24" s="331"/>
      <c r="J24" s="331"/>
      <c r="K24" s="331"/>
      <c r="L24" s="331"/>
      <c r="M24" s="122"/>
    </row>
    <row r="25" spans="1:14" s="91" customFormat="1" ht="16.5" customHeight="1">
      <c r="C25" s="31" t="s">
        <v>518</v>
      </c>
      <c r="G25" s="320"/>
      <c r="H25" s="320"/>
      <c r="I25" s="295"/>
      <c r="J25" s="295"/>
      <c r="K25" s="295"/>
      <c r="L25" s="295"/>
      <c r="M25" s="122"/>
    </row>
    <row r="26" spans="1:14" ht="15">
      <c r="C26" s="100"/>
      <c r="I26" s="322"/>
      <c r="M26" s="122"/>
    </row>
    <row r="27" spans="1:14">
      <c r="E27" s="332"/>
      <c r="I27" s="322"/>
    </row>
    <row r="28" spans="1:14">
      <c r="D28" s="333"/>
      <c r="I28" s="322"/>
    </row>
    <row r="29" spans="1:14">
      <c r="D29" s="333"/>
      <c r="F29" s="327"/>
      <c r="I29" s="322"/>
    </row>
    <row r="30" spans="1:14">
      <c r="D30" s="333"/>
      <c r="E30" s="327"/>
      <c r="F30" s="327"/>
      <c r="I30" s="469"/>
    </row>
    <row r="31" spans="1:14">
      <c r="D31" s="333"/>
      <c r="E31" s="327"/>
      <c r="F31" s="327"/>
    </row>
    <row r="32" spans="1:14">
      <c r="D32" s="333"/>
      <c r="G32" s="317"/>
      <c r="H32" s="317"/>
    </row>
    <row r="33" spans="3:13">
      <c r="D33" s="333"/>
    </row>
    <row r="37" spans="3:13">
      <c r="C37" s="154"/>
    </row>
    <row r="38" spans="3:13">
      <c r="C38" s="295"/>
      <c r="M38" s="128"/>
    </row>
    <row r="39" spans="3:13">
      <c r="C39" s="334"/>
      <c r="M39" s="128"/>
    </row>
    <row r="40" spans="3:13">
      <c r="C40" s="295"/>
      <c r="M40" s="128"/>
    </row>
    <row r="41" spans="3:13">
      <c r="C41" s="299"/>
    </row>
  </sheetData>
  <mergeCells count="3">
    <mergeCell ref="C10:D10"/>
    <mergeCell ref="A1:H1"/>
    <mergeCell ref="A5:H5"/>
  </mergeCells>
  <printOptions horizontalCentered="1"/>
  <pageMargins left="0.75" right="0.75" top="1" bottom="1" header="0.5" footer="0.5"/>
  <pageSetup scale="96" orientation="portrait" r:id="rId1"/>
  <headerFooter alignWithMargins="0">
    <oddHeader>&amp;RExhibit No.___(MPG-19)
Page 1 of 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V225"/>
  <sheetViews>
    <sheetView view="pageBreakPreview" zoomScale="60" zoomScaleNormal="75" workbookViewId="0">
      <selection activeCell="A2" sqref="A2"/>
    </sheetView>
  </sheetViews>
  <sheetFormatPr defaultRowHeight="12.75"/>
  <cols>
    <col min="1" max="1" width="11" style="335" customWidth="1"/>
    <col min="2" max="4" width="9.125" style="360" bestFit="1" customWidth="1"/>
    <col min="5" max="5" width="10.5" style="335" bestFit="1" customWidth="1"/>
    <col min="6" max="6" width="1.875" style="335" customWidth="1"/>
    <col min="7" max="7" width="10.875" style="335" customWidth="1"/>
    <col min="8" max="10" width="9.125" style="360" bestFit="1" customWidth="1"/>
    <col min="11" max="11" width="10.5" style="335" bestFit="1" customWidth="1"/>
    <col min="12" max="12" width="1.875" style="335" customWidth="1"/>
    <col min="13" max="13" width="10.375" style="335" customWidth="1"/>
    <col min="14" max="16" width="9.125" style="360" bestFit="1" customWidth="1"/>
    <col min="17" max="17" width="10.5" style="335" bestFit="1" customWidth="1"/>
    <col min="18" max="18" width="9" style="335"/>
    <col min="19" max="19" width="9.125" style="335" bestFit="1" customWidth="1"/>
    <col min="20" max="20" width="21.125" style="335" bestFit="1" customWidth="1"/>
    <col min="21" max="16384" width="9" style="335"/>
  </cols>
  <sheetData>
    <row r="1" spans="1:22" ht="26.25">
      <c r="A1" s="503" t="s">
        <v>519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</row>
    <row r="3" spans="1:22" ht="20.25">
      <c r="A3" s="504" t="s">
        <v>520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T3" s="336"/>
      <c r="V3" s="337"/>
    </row>
    <row r="4" spans="1:22" ht="15.75">
      <c r="A4" s="338"/>
      <c r="B4" s="339"/>
      <c r="C4" s="339"/>
      <c r="D4" s="339"/>
      <c r="E4" s="338"/>
      <c r="F4" s="338"/>
      <c r="G4" s="338"/>
      <c r="H4" s="339"/>
      <c r="I4" s="339"/>
      <c r="J4" s="339"/>
      <c r="K4" s="338"/>
      <c r="L4" s="338"/>
      <c r="M4" s="338"/>
      <c r="N4" s="339"/>
      <c r="O4" s="339"/>
      <c r="P4" s="339"/>
      <c r="Q4" s="338"/>
    </row>
    <row r="5" spans="1:22" ht="15">
      <c r="A5" s="340">
        <v>1</v>
      </c>
      <c r="B5" s="341"/>
      <c r="C5" s="341"/>
      <c r="D5" s="341"/>
      <c r="E5" s="342"/>
      <c r="F5" s="342"/>
      <c r="G5" s="340">
        <f>A5+1</f>
        <v>2</v>
      </c>
      <c r="H5" s="341"/>
      <c r="I5" s="341"/>
      <c r="J5" s="341"/>
      <c r="K5" s="342"/>
      <c r="L5" s="343"/>
      <c r="M5" s="340">
        <f>G5+1</f>
        <v>3</v>
      </c>
      <c r="N5" s="344"/>
      <c r="O5" s="344"/>
      <c r="P5" s="344"/>
      <c r="Q5" s="343"/>
    </row>
    <row r="6" spans="1:22" ht="15">
      <c r="A6" s="345" t="str">
        <f>VLOOKUP(A5,$R$6:$T$65,2,)</f>
        <v>LNT</v>
      </c>
      <c r="B6" s="345" t="str">
        <f>VLOOKUP(A5,$R$6:$T$56,3,)</f>
        <v>Alliant Energy</v>
      </c>
      <c r="C6" s="346"/>
      <c r="D6" s="346"/>
      <c r="E6" s="347"/>
      <c r="F6" s="343"/>
      <c r="G6" s="345" t="str">
        <f>VLOOKUP(G5,$R$6:$T$65,2,)</f>
        <v>CSM</v>
      </c>
      <c r="H6" s="345" t="str">
        <f>VLOOKUP(G5,$R$6:$T$56,3,)</f>
        <v>CMS Energy</v>
      </c>
      <c r="I6" s="346"/>
      <c r="J6" s="346"/>
      <c r="K6" s="347"/>
      <c r="L6" s="343"/>
      <c r="M6" s="345" t="str">
        <f>VLOOKUP(M5,$R$6:$T$65,2,)</f>
        <v>GXP</v>
      </c>
      <c r="N6" s="345" t="str">
        <f>VLOOKUP(M5,$R$6:$T$56,3,)</f>
        <v>Great Plains Energy</v>
      </c>
      <c r="O6" s="346"/>
      <c r="P6" s="346"/>
      <c r="Q6" s="347"/>
      <c r="R6" s="348">
        <v>1</v>
      </c>
      <c r="S6" s="24" t="s">
        <v>109</v>
      </c>
      <c r="T6" s="25" t="s">
        <v>20</v>
      </c>
      <c r="U6" s="349">
        <f>E21</f>
        <v>39.900734615384621</v>
      </c>
    </row>
    <row r="7" spans="1:22" ht="15">
      <c r="A7" s="350" t="s">
        <v>483</v>
      </c>
      <c r="B7" s="351" t="s">
        <v>521</v>
      </c>
      <c r="C7" s="351" t="s">
        <v>522</v>
      </c>
      <c r="D7" s="351" t="s">
        <v>523</v>
      </c>
      <c r="E7" s="352" t="s">
        <v>524</v>
      </c>
      <c r="F7" s="350"/>
      <c r="G7" s="350" t="s">
        <v>483</v>
      </c>
      <c r="H7" s="353" t="s">
        <v>521</v>
      </c>
      <c r="I7" s="353" t="s">
        <v>522</v>
      </c>
      <c r="J7" s="353" t="s">
        <v>523</v>
      </c>
      <c r="K7" s="352" t="s">
        <v>524</v>
      </c>
      <c r="L7" s="343"/>
      <c r="M7" s="350" t="s">
        <v>483</v>
      </c>
      <c r="N7" s="351" t="s">
        <v>521</v>
      </c>
      <c r="O7" s="351" t="s">
        <v>522</v>
      </c>
      <c r="P7" s="351" t="s">
        <v>523</v>
      </c>
      <c r="Q7" s="352" t="s">
        <v>524</v>
      </c>
      <c r="R7" s="348">
        <v>2</v>
      </c>
      <c r="S7" s="24" t="s">
        <v>110</v>
      </c>
      <c r="T7" s="25" t="s">
        <v>101</v>
      </c>
      <c r="U7" s="349">
        <f>K21</f>
        <v>20.037692307692307</v>
      </c>
    </row>
    <row r="8" spans="1:22" ht="14.25">
      <c r="A8" s="354">
        <v>40865</v>
      </c>
      <c r="B8">
        <v>42.06</v>
      </c>
      <c r="C8">
        <v>42.44</v>
      </c>
      <c r="D8">
        <v>41.42</v>
      </c>
      <c r="E8" s="355">
        <f>AVERAGE(C8:D8)</f>
        <v>41.93</v>
      </c>
      <c r="F8" s="343"/>
      <c r="G8" s="354">
        <v>40865</v>
      </c>
      <c r="H8">
        <v>21.11</v>
      </c>
      <c r="I8">
        <v>21.16</v>
      </c>
      <c r="J8">
        <v>20.27</v>
      </c>
      <c r="K8" s="355">
        <f>AVERAGE(I8:J8)</f>
        <v>20.715</v>
      </c>
      <c r="L8" s="343"/>
      <c r="M8" s="354">
        <v>40865</v>
      </c>
      <c r="N8">
        <v>21.31</v>
      </c>
      <c r="O8">
        <v>21.37</v>
      </c>
      <c r="P8">
        <v>20.61</v>
      </c>
      <c r="Q8" s="355">
        <f>AVERAGE(O8:P8)</f>
        <v>20.990000000000002</v>
      </c>
      <c r="R8" s="348">
        <v>3</v>
      </c>
      <c r="S8" s="24" t="s">
        <v>111</v>
      </c>
      <c r="T8" s="25" t="s">
        <v>102</v>
      </c>
      <c r="U8" s="349">
        <f>Q21</f>
        <v>19.869423076923077</v>
      </c>
    </row>
    <row r="9" spans="1:22" ht="14.25">
      <c r="A9" s="354">
        <v>40858</v>
      </c>
      <c r="B9">
        <v>40.99</v>
      </c>
      <c r="C9">
        <v>42.4</v>
      </c>
      <c r="D9">
        <v>40.51</v>
      </c>
      <c r="E9" s="355">
        <f t="shared" ref="E9:E20" si="0">AVERAGE(C9:D9)</f>
        <v>41.454999999999998</v>
      </c>
      <c r="F9" s="343"/>
      <c r="G9" s="354">
        <v>40858</v>
      </c>
      <c r="H9">
        <v>20.51</v>
      </c>
      <c r="I9">
        <v>21.21</v>
      </c>
      <c r="J9">
        <v>20.399999999999999</v>
      </c>
      <c r="K9" s="355">
        <f t="shared" ref="K9:K20" si="1">AVERAGE(I9:J9)</f>
        <v>20.805</v>
      </c>
      <c r="L9" s="343"/>
      <c r="M9" s="354">
        <v>40858</v>
      </c>
      <c r="N9">
        <v>21.04</v>
      </c>
      <c r="O9">
        <v>21.625</v>
      </c>
      <c r="P9">
        <v>20.9</v>
      </c>
      <c r="Q9" s="355">
        <f t="shared" ref="Q9:Q20" si="2">AVERAGE(O9:P9)</f>
        <v>21.262499999999999</v>
      </c>
      <c r="R9" s="348">
        <v>4</v>
      </c>
      <c r="S9" s="24" t="s">
        <v>112</v>
      </c>
      <c r="T9" s="25" t="s">
        <v>103</v>
      </c>
      <c r="U9" s="349">
        <f>E38</f>
        <v>14.939230769230768</v>
      </c>
    </row>
    <row r="10" spans="1:22" ht="14.25">
      <c r="A10" s="354">
        <v>40851</v>
      </c>
      <c r="B10">
        <v>40.69</v>
      </c>
      <c r="C10">
        <v>41.46</v>
      </c>
      <c r="D10">
        <v>39.4</v>
      </c>
      <c r="E10" s="355">
        <f t="shared" si="0"/>
        <v>40.43</v>
      </c>
      <c r="F10" s="343"/>
      <c r="G10" s="354">
        <v>40851</v>
      </c>
      <c r="H10">
        <v>20.91</v>
      </c>
      <c r="I10">
        <v>21.05</v>
      </c>
      <c r="J10">
        <v>20.12</v>
      </c>
      <c r="K10" s="355">
        <f t="shared" si="1"/>
        <v>20.585000000000001</v>
      </c>
      <c r="L10" s="343"/>
      <c r="M10" s="354">
        <v>40851</v>
      </c>
      <c r="N10">
        <v>20.48</v>
      </c>
      <c r="O10">
        <v>21.26</v>
      </c>
      <c r="P10">
        <v>20.04</v>
      </c>
      <c r="Q10" s="355">
        <f t="shared" si="2"/>
        <v>20.65</v>
      </c>
      <c r="R10" s="348">
        <v>5</v>
      </c>
      <c r="S10" s="24" t="s">
        <v>113</v>
      </c>
      <c r="T10" s="25" t="s">
        <v>104</v>
      </c>
      <c r="U10" s="349">
        <f>K38</f>
        <v>49.50615384615385</v>
      </c>
    </row>
    <row r="11" spans="1:22" ht="14.25">
      <c r="A11" s="354">
        <v>40844</v>
      </c>
      <c r="B11">
        <v>41.39</v>
      </c>
      <c r="C11">
        <v>41.9</v>
      </c>
      <c r="D11">
        <v>40.380000000000003</v>
      </c>
      <c r="E11" s="355">
        <f t="shared" si="0"/>
        <v>41.14</v>
      </c>
      <c r="F11" s="343"/>
      <c r="G11" s="354">
        <v>40844</v>
      </c>
      <c r="H11">
        <v>21.06</v>
      </c>
      <c r="I11">
        <v>21.58</v>
      </c>
      <c r="J11">
        <v>20.7</v>
      </c>
      <c r="K11" s="355">
        <f t="shared" si="1"/>
        <v>21.14</v>
      </c>
      <c r="L11" s="343"/>
      <c r="M11" s="354">
        <v>40844</v>
      </c>
      <c r="N11">
        <v>20.76</v>
      </c>
      <c r="O11">
        <v>21.33</v>
      </c>
      <c r="P11">
        <v>20.45</v>
      </c>
      <c r="Q11" s="355">
        <f t="shared" si="2"/>
        <v>20.89</v>
      </c>
      <c r="R11" s="348">
        <v>6</v>
      </c>
      <c r="S11" s="24" t="s">
        <v>114</v>
      </c>
      <c r="T11" s="25" t="s">
        <v>105</v>
      </c>
      <c r="U11" s="349">
        <f>Q38</f>
        <v>44.177692307692304</v>
      </c>
    </row>
    <row r="12" spans="1:22" ht="14.25">
      <c r="A12" s="354">
        <v>40837</v>
      </c>
      <c r="B12">
        <v>40.340000000000003</v>
      </c>
      <c r="C12">
        <v>41.47</v>
      </c>
      <c r="D12">
        <v>39.909999999999997</v>
      </c>
      <c r="E12" s="355">
        <f t="shared" si="0"/>
        <v>40.69</v>
      </c>
      <c r="F12" s="343"/>
      <c r="G12" s="354">
        <v>40837</v>
      </c>
      <c r="H12">
        <v>20.45</v>
      </c>
      <c r="I12">
        <v>21.03</v>
      </c>
      <c r="J12">
        <v>20.18</v>
      </c>
      <c r="K12" s="355">
        <f t="shared" si="1"/>
        <v>20.605</v>
      </c>
      <c r="L12" s="343"/>
      <c r="M12" s="354">
        <v>40837</v>
      </c>
      <c r="N12">
        <v>20.21</v>
      </c>
      <c r="O12">
        <v>20.78</v>
      </c>
      <c r="P12">
        <v>19.989999999999998</v>
      </c>
      <c r="Q12" s="355">
        <f t="shared" si="2"/>
        <v>20.384999999999998</v>
      </c>
      <c r="R12" s="348">
        <v>7</v>
      </c>
      <c r="S12" s="24" t="s">
        <v>115</v>
      </c>
      <c r="T12" s="25" t="s">
        <v>106</v>
      </c>
      <c r="U12" s="349">
        <f>E55</f>
        <v>17.881169230769231</v>
      </c>
    </row>
    <row r="13" spans="1:22" ht="14.25">
      <c r="A13" s="354">
        <v>40830</v>
      </c>
      <c r="B13">
        <v>39.44</v>
      </c>
      <c r="C13">
        <v>40.590000000000003</v>
      </c>
      <c r="D13">
        <v>38.94</v>
      </c>
      <c r="E13" s="355">
        <f t="shared" si="0"/>
        <v>39.765000000000001</v>
      </c>
      <c r="F13" s="356"/>
      <c r="G13" s="354">
        <v>40830</v>
      </c>
      <c r="H13">
        <v>20.04</v>
      </c>
      <c r="I13">
        <v>20.54</v>
      </c>
      <c r="J13">
        <v>19.87</v>
      </c>
      <c r="K13" s="355">
        <f t="shared" si="1"/>
        <v>20.204999999999998</v>
      </c>
      <c r="L13" s="343"/>
      <c r="M13" s="354">
        <v>40830</v>
      </c>
      <c r="N13">
        <v>19.75</v>
      </c>
      <c r="O13">
        <v>20.36</v>
      </c>
      <c r="P13">
        <v>19.66</v>
      </c>
      <c r="Q13" s="355">
        <f t="shared" si="2"/>
        <v>20.009999999999998</v>
      </c>
      <c r="R13" s="348">
        <v>8</v>
      </c>
      <c r="S13" s="24" t="s">
        <v>116</v>
      </c>
      <c r="T13" s="25" t="s">
        <v>107</v>
      </c>
      <c r="U13" s="349">
        <f>K55</f>
        <v>26.453188461538463</v>
      </c>
    </row>
    <row r="14" spans="1:22" ht="14.25">
      <c r="A14" s="354">
        <v>40823</v>
      </c>
      <c r="B14">
        <v>38.700000000000003</v>
      </c>
      <c r="C14">
        <v>39.36</v>
      </c>
      <c r="D14">
        <v>36.82</v>
      </c>
      <c r="E14" s="355">
        <f t="shared" si="0"/>
        <v>38.090000000000003</v>
      </c>
      <c r="F14" s="356"/>
      <c r="G14" s="354">
        <v>40823</v>
      </c>
      <c r="H14">
        <v>19.739999999999998</v>
      </c>
      <c r="I14">
        <v>19.989999999999998</v>
      </c>
      <c r="J14">
        <v>18.62</v>
      </c>
      <c r="K14" s="355">
        <f t="shared" si="1"/>
        <v>19.305</v>
      </c>
      <c r="L14" s="343"/>
      <c r="M14" s="354">
        <v>40823</v>
      </c>
      <c r="N14">
        <v>19.28</v>
      </c>
      <c r="O14">
        <v>19.72</v>
      </c>
      <c r="P14">
        <v>18.23</v>
      </c>
      <c r="Q14" s="355">
        <f t="shared" si="2"/>
        <v>18.975000000000001</v>
      </c>
      <c r="R14" s="348">
        <v>9</v>
      </c>
      <c r="S14" s="24" t="s">
        <v>122</v>
      </c>
      <c r="T14" s="25" t="s">
        <v>108</v>
      </c>
      <c r="U14" s="349">
        <f>Q55</f>
        <v>31.687330769230769</v>
      </c>
    </row>
    <row r="15" spans="1:22" ht="14.25">
      <c r="A15" s="354">
        <v>40816</v>
      </c>
      <c r="B15">
        <v>38.840000000000003</v>
      </c>
      <c r="C15">
        <v>39.569099999999999</v>
      </c>
      <c r="D15">
        <v>38.15</v>
      </c>
      <c r="E15" s="355">
        <f t="shared" si="0"/>
        <v>38.859549999999999</v>
      </c>
      <c r="F15" s="356"/>
      <c r="G15" s="354">
        <v>40816</v>
      </c>
      <c r="H15">
        <v>19.809999999999999</v>
      </c>
      <c r="I15">
        <v>20.18</v>
      </c>
      <c r="J15">
        <v>19.48</v>
      </c>
      <c r="K15" s="355">
        <f t="shared" si="1"/>
        <v>19.829999999999998</v>
      </c>
      <c r="L15" s="343"/>
      <c r="M15" s="354">
        <v>40816</v>
      </c>
      <c r="N15">
        <v>20</v>
      </c>
      <c r="O15">
        <v>20.78</v>
      </c>
      <c r="P15">
        <v>19.29</v>
      </c>
      <c r="Q15" s="355">
        <f t="shared" si="2"/>
        <v>20.035</v>
      </c>
      <c r="R15" s="348"/>
      <c r="S15" s="358"/>
      <c r="T15" s="25"/>
      <c r="U15" s="349"/>
    </row>
    <row r="16" spans="1:22" ht="14.25">
      <c r="A16" s="354">
        <v>40809</v>
      </c>
      <c r="B16">
        <v>39.47</v>
      </c>
      <c r="C16">
        <v>40.82</v>
      </c>
      <c r="D16">
        <v>37.9</v>
      </c>
      <c r="E16" s="355">
        <f t="shared" si="0"/>
        <v>39.36</v>
      </c>
      <c r="F16" s="356"/>
      <c r="G16" s="354">
        <v>40809</v>
      </c>
      <c r="H16">
        <v>20</v>
      </c>
      <c r="I16">
        <v>20.83</v>
      </c>
      <c r="J16">
        <v>19.29</v>
      </c>
      <c r="K16" s="355">
        <f t="shared" si="1"/>
        <v>20.059999999999999</v>
      </c>
      <c r="L16" s="343"/>
      <c r="M16" s="354">
        <v>40809</v>
      </c>
      <c r="N16">
        <v>19.440000000000001</v>
      </c>
      <c r="O16">
        <v>20.170000000000002</v>
      </c>
      <c r="P16">
        <v>18.61</v>
      </c>
      <c r="Q16" s="355">
        <f t="shared" si="2"/>
        <v>19.39</v>
      </c>
      <c r="R16" s="348"/>
      <c r="S16" s="358"/>
      <c r="T16" s="25"/>
      <c r="U16" s="349"/>
    </row>
    <row r="17" spans="1:21" ht="14.25">
      <c r="A17" s="354">
        <v>40802</v>
      </c>
      <c r="B17">
        <v>37.950000000000003</v>
      </c>
      <c r="C17">
        <v>40.24</v>
      </c>
      <c r="D17">
        <v>37.94</v>
      </c>
      <c r="E17" s="355">
        <f t="shared" si="0"/>
        <v>39.090000000000003</v>
      </c>
      <c r="F17" s="356"/>
      <c r="G17" s="354">
        <v>40802</v>
      </c>
      <c r="H17">
        <v>18.68</v>
      </c>
      <c r="I17">
        <v>20.43</v>
      </c>
      <c r="J17">
        <v>18.64</v>
      </c>
      <c r="K17" s="355">
        <f t="shared" si="1"/>
        <v>19.535</v>
      </c>
      <c r="L17" s="343"/>
      <c r="M17" s="354">
        <v>40802</v>
      </c>
      <c r="N17">
        <v>18.510000000000002</v>
      </c>
      <c r="O17">
        <v>19.84</v>
      </c>
      <c r="P17">
        <v>18.510000000000002</v>
      </c>
      <c r="Q17" s="355">
        <f t="shared" si="2"/>
        <v>19.175000000000001</v>
      </c>
      <c r="R17" s="348"/>
      <c r="S17" s="358"/>
      <c r="T17" s="25"/>
      <c r="U17" s="349"/>
    </row>
    <row r="18" spans="1:21" ht="14.25">
      <c r="A18" s="354">
        <v>40795</v>
      </c>
      <c r="B18">
        <v>38.24</v>
      </c>
      <c r="C18">
        <v>40.049999999999997</v>
      </c>
      <c r="D18">
        <v>38.090000000000003</v>
      </c>
      <c r="E18" s="355">
        <f t="shared" si="0"/>
        <v>39.07</v>
      </c>
      <c r="F18" s="356"/>
      <c r="G18" s="354">
        <v>40795</v>
      </c>
      <c r="H18">
        <v>18.86</v>
      </c>
      <c r="I18">
        <v>19.57</v>
      </c>
      <c r="J18">
        <v>18.75</v>
      </c>
      <c r="K18" s="355">
        <f t="shared" si="1"/>
        <v>19.16</v>
      </c>
      <c r="L18" s="343"/>
      <c r="M18" s="354">
        <v>40795</v>
      </c>
      <c r="N18">
        <v>18.399999999999999</v>
      </c>
      <c r="O18">
        <v>19.239999999999998</v>
      </c>
      <c r="P18">
        <v>18.38</v>
      </c>
      <c r="Q18" s="355">
        <f t="shared" si="2"/>
        <v>18.809999999999999</v>
      </c>
      <c r="R18" s="348"/>
      <c r="S18" s="358"/>
      <c r="T18" s="25"/>
      <c r="U18" s="349"/>
    </row>
    <row r="19" spans="1:21" ht="14.25">
      <c r="A19" s="354">
        <v>40788</v>
      </c>
      <c r="B19">
        <v>39.950000000000003</v>
      </c>
      <c r="C19">
        <v>40.78</v>
      </c>
      <c r="D19">
        <v>39.270000000000003</v>
      </c>
      <c r="E19" s="355">
        <f t="shared" si="0"/>
        <v>40.025000000000006</v>
      </c>
      <c r="F19" s="356"/>
      <c r="G19" s="354">
        <v>40788</v>
      </c>
      <c r="H19">
        <v>19.45</v>
      </c>
      <c r="I19">
        <v>19.78</v>
      </c>
      <c r="J19">
        <v>19.16</v>
      </c>
      <c r="K19" s="355">
        <f t="shared" si="1"/>
        <v>19.47</v>
      </c>
      <c r="L19" s="343"/>
      <c r="M19" s="354">
        <v>40788</v>
      </c>
      <c r="N19">
        <v>18.8</v>
      </c>
      <c r="O19">
        <v>19.73</v>
      </c>
      <c r="P19">
        <v>18.760000000000002</v>
      </c>
      <c r="Q19" s="355">
        <f t="shared" si="2"/>
        <v>19.245000000000001</v>
      </c>
      <c r="R19" s="348"/>
      <c r="S19" s="358"/>
      <c r="T19" s="25"/>
      <c r="U19" s="349"/>
    </row>
    <row r="20" spans="1:21" ht="14.25">
      <c r="A20" s="354">
        <v>40781</v>
      </c>
      <c r="B20">
        <v>38.590000000000003</v>
      </c>
      <c r="C20">
        <v>40.24</v>
      </c>
      <c r="D20">
        <v>37.369999999999997</v>
      </c>
      <c r="E20" s="355">
        <f t="shared" si="0"/>
        <v>38.805</v>
      </c>
      <c r="F20" s="357"/>
      <c r="G20" s="354">
        <v>40781</v>
      </c>
      <c r="H20">
        <v>19.170000000000002</v>
      </c>
      <c r="I20">
        <v>19.600000000000001</v>
      </c>
      <c r="J20">
        <v>18.55</v>
      </c>
      <c r="K20" s="355">
        <f t="shared" si="1"/>
        <v>19.075000000000003</v>
      </c>
      <c r="L20" s="357"/>
      <c r="M20" s="354">
        <v>40781</v>
      </c>
      <c r="N20">
        <v>18.53</v>
      </c>
      <c r="O20">
        <v>19.010000000000002</v>
      </c>
      <c r="P20">
        <v>17.96</v>
      </c>
      <c r="Q20" s="355">
        <f t="shared" si="2"/>
        <v>18.484999999999999</v>
      </c>
      <c r="R20" s="348"/>
      <c r="S20" s="358"/>
      <c r="T20" s="25"/>
      <c r="U20" s="349"/>
    </row>
    <row r="21" spans="1:21" ht="15">
      <c r="A21" s="359" t="s">
        <v>525</v>
      </c>
      <c r="B21" s="344"/>
      <c r="C21" s="344"/>
      <c r="D21" s="344"/>
      <c r="E21" s="352">
        <f>AVERAGE(E8:E20)</f>
        <v>39.900734615384621</v>
      </c>
      <c r="F21" s="356"/>
      <c r="G21" s="359" t="s">
        <v>525</v>
      </c>
      <c r="K21" s="352">
        <f>AVERAGE(K8:K20)</f>
        <v>20.037692307692307</v>
      </c>
      <c r="L21" s="343"/>
      <c r="M21" s="359" t="s">
        <v>525</v>
      </c>
      <c r="Q21" s="352">
        <f>AVERAGE(Q8:Q20)</f>
        <v>19.869423076923077</v>
      </c>
      <c r="R21" s="348"/>
      <c r="S21" s="358"/>
      <c r="T21" s="25"/>
      <c r="U21" s="349"/>
    </row>
    <row r="22" spans="1:21" ht="15">
      <c r="A22" s="340">
        <f>M5+1</f>
        <v>4</v>
      </c>
      <c r="B22" s="344"/>
      <c r="C22" s="344"/>
      <c r="D22" s="344"/>
      <c r="E22" s="355"/>
      <c r="F22" s="356"/>
      <c r="G22" s="340">
        <f>A22+1</f>
        <v>5</v>
      </c>
      <c r="H22" s="341"/>
      <c r="I22" s="341"/>
      <c r="J22" s="341"/>
      <c r="K22" s="342"/>
      <c r="L22" s="343"/>
      <c r="M22" s="340">
        <f>G22+1</f>
        <v>6</v>
      </c>
      <c r="N22" s="344"/>
      <c r="O22" s="344"/>
      <c r="P22" s="344"/>
      <c r="Q22" s="355"/>
      <c r="R22" s="348"/>
      <c r="S22" s="358"/>
      <c r="T22" s="25"/>
      <c r="U22" s="349"/>
    </row>
    <row r="23" spans="1:21" ht="15">
      <c r="A23" s="345" t="str">
        <f>VLOOKUP(A22,$R$6:$T$65,2,)</f>
        <v>NVE</v>
      </c>
      <c r="B23" s="345" t="str">
        <f>VLOOKUP(A22,$R$6:$T$56,3,)</f>
        <v>NV Energy</v>
      </c>
      <c r="C23" s="346"/>
      <c r="D23" s="346"/>
      <c r="E23" s="347"/>
      <c r="F23" s="343"/>
      <c r="G23" s="345" t="str">
        <f>VLOOKUP(G22,$R$6:$T$65,2,)</f>
        <v>OGE</v>
      </c>
      <c r="H23" s="345" t="str">
        <f>VLOOKUP(G22,$R$6:$T$56,3,)</f>
        <v>OGE Energy</v>
      </c>
      <c r="I23" s="346"/>
      <c r="J23" s="346"/>
      <c r="K23" s="347"/>
      <c r="L23" s="343"/>
      <c r="M23" s="345" t="str">
        <f>VLOOKUP(M22,$R$6:$T$65,2,)</f>
        <v>PWN</v>
      </c>
      <c r="N23" s="345" t="str">
        <f>VLOOKUP(M22,$R$6:$T$56,3,)</f>
        <v>Pinnacle West Capital</v>
      </c>
      <c r="O23" s="346"/>
      <c r="P23" s="346"/>
      <c r="Q23" s="345"/>
      <c r="R23" s="348"/>
      <c r="S23" s="358"/>
      <c r="T23" s="25"/>
      <c r="U23" s="349"/>
    </row>
    <row r="24" spans="1:21" ht="15">
      <c r="A24" s="350" t="s">
        <v>483</v>
      </c>
      <c r="B24" s="351" t="s">
        <v>521</v>
      </c>
      <c r="C24" s="351" t="s">
        <v>522</v>
      </c>
      <c r="D24" s="351" t="s">
        <v>523</v>
      </c>
      <c r="E24" s="352" t="s">
        <v>524</v>
      </c>
      <c r="F24" s="350"/>
      <c r="G24" s="350" t="s">
        <v>483</v>
      </c>
      <c r="H24" s="351" t="s">
        <v>521</v>
      </c>
      <c r="I24" s="351" t="s">
        <v>522</v>
      </c>
      <c r="J24" s="351" t="s">
        <v>523</v>
      </c>
      <c r="K24" s="352" t="s">
        <v>524</v>
      </c>
      <c r="L24" s="343"/>
      <c r="M24" s="350" t="s">
        <v>483</v>
      </c>
      <c r="N24" s="351" t="s">
        <v>521</v>
      </c>
      <c r="O24" s="351" t="s">
        <v>522</v>
      </c>
      <c r="P24" s="351" t="s">
        <v>523</v>
      </c>
      <c r="Q24" s="352" t="s">
        <v>524</v>
      </c>
      <c r="R24" s="348"/>
      <c r="S24" s="358"/>
      <c r="T24" s="25"/>
      <c r="U24" s="349"/>
    </row>
    <row r="25" spans="1:21" ht="14.25">
      <c r="A25" s="354">
        <v>40865</v>
      </c>
      <c r="B25">
        <v>15.7</v>
      </c>
      <c r="C25">
        <v>15.72</v>
      </c>
      <c r="D25">
        <v>14.81</v>
      </c>
      <c r="E25" s="355">
        <f>AVERAGE(C25:D25)</f>
        <v>15.265000000000001</v>
      </c>
      <c r="F25" s="343"/>
      <c r="G25" s="354">
        <v>40865</v>
      </c>
      <c r="H25">
        <v>52.32</v>
      </c>
      <c r="I25">
        <v>52.51</v>
      </c>
      <c r="J25">
        <v>50.65</v>
      </c>
      <c r="K25" s="355">
        <f>AVERAGE(I25:J25)</f>
        <v>51.58</v>
      </c>
      <c r="L25" s="343"/>
      <c r="M25" s="354">
        <v>40865</v>
      </c>
      <c r="N25">
        <v>46.66</v>
      </c>
      <c r="O25">
        <v>46.76</v>
      </c>
      <c r="P25">
        <v>45.53</v>
      </c>
      <c r="Q25" s="355">
        <f>AVERAGE(O25:P25)</f>
        <v>46.144999999999996</v>
      </c>
      <c r="R25" s="348"/>
      <c r="S25" s="358"/>
      <c r="T25" s="25"/>
      <c r="U25" s="349"/>
    </row>
    <row r="26" spans="1:21" ht="14.25">
      <c r="A26" s="354">
        <v>40858</v>
      </c>
      <c r="B26">
        <v>15.82</v>
      </c>
      <c r="C26">
        <v>16.11</v>
      </c>
      <c r="D26">
        <v>15.35</v>
      </c>
      <c r="E26" s="355">
        <f t="shared" ref="E26:E37" si="3">AVERAGE(C26:D26)</f>
        <v>15.73</v>
      </c>
      <c r="F26" s="343"/>
      <c r="G26" s="354">
        <v>40858</v>
      </c>
      <c r="H26">
        <v>52.6</v>
      </c>
      <c r="I26">
        <v>53.05</v>
      </c>
      <c r="J26">
        <v>50.97</v>
      </c>
      <c r="K26" s="355">
        <f t="shared" ref="K26:K37" si="4">AVERAGE(I26:J26)</f>
        <v>52.01</v>
      </c>
      <c r="L26" s="343"/>
      <c r="M26" s="354">
        <v>40858</v>
      </c>
      <c r="N26">
        <v>46.16</v>
      </c>
      <c r="O26">
        <v>46.92</v>
      </c>
      <c r="P26">
        <v>45.45</v>
      </c>
      <c r="Q26" s="355">
        <f t="shared" ref="Q26:Q37" si="5">AVERAGE(O26:P26)</f>
        <v>46.185000000000002</v>
      </c>
      <c r="R26" s="348"/>
      <c r="S26" s="358"/>
      <c r="T26" s="25"/>
      <c r="U26" s="349"/>
    </row>
    <row r="27" spans="1:21" ht="14.25">
      <c r="A27" s="354">
        <v>40851</v>
      </c>
      <c r="B27">
        <v>16.07</v>
      </c>
      <c r="C27">
        <v>16.23</v>
      </c>
      <c r="D27">
        <v>15.42</v>
      </c>
      <c r="E27" s="355">
        <f t="shared" si="3"/>
        <v>15.824999999999999</v>
      </c>
      <c r="F27" s="343"/>
      <c r="G27" s="354">
        <v>40851</v>
      </c>
      <c r="H27">
        <v>51.89</v>
      </c>
      <c r="I27">
        <v>52.83</v>
      </c>
      <c r="J27">
        <v>49.68</v>
      </c>
      <c r="K27" s="355">
        <f t="shared" si="4"/>
        <v>51.254999999999995</v>
      </c>
      <c r="L27" s="343"/>
      <c r="M27" s="354">
        <v>40851</v>
      </c>
      <c r="N27">
        <v>46.12</v>
      </c>
      <c r="O27">
        <v>46.74</v>
      </c>
      <c r="P27">
        <v>43.97</v>
      </c>
      <c r="Q27" s="355">
        <f t="shared" si="5"/>
        <v>45.355000000000004</v>
      </c>
      <c r="R27" s="348"/>
      <c r="S27" s="358"/>
      <c r="T27" s="25"/>
      <c r="U27" s="349"/>
    </row>
    <row r="28" spans="1:21" ht="14.25">
      <c r="A28" s="354">
        <v>40844</v>
      </c>
      <c r="B28">
        <v>15.69</v>
      </c>
      <c r="C28">
        <v>16.25</v>
      </c>
      <c r="D28">
        <v>15.38</v>
      </c>
      <c r="E28" s="355">
        <f t="shared" si="3"/>
        <v>15.815000000000001</v>
      </c>
      <c r="F28" s="343"/>
      <c r="G28" s="354">
        <v>40844</v>
      </c>
      <c r="H28">
        <v>52.13</v>
      </c>
      <c r="I28">
        <v>53.62</v>
      </c>
      <c r="J28">
        <v>51.18</v>
      </c>
      <c r="K28" s="355">
        <f t="shared" si="4"/>
        <v>52.4</v>
      </c>
      <c r="L28" s="343"/>
      <c r="M28" s="354">
        <v>40844</v>
      </c>
      <c r="N28">
        <v>46.11</v>
      </c>
      <c r="O28">
        <v>47.36</v>
      </c>
      <c r="P28">
        <v>45.38</v>
      </c>
      <c r="Q28" s="355">
        <f t="shared" si="5"/>
        <v>46.370000000000005</v>
      </c>
      <c r="R28" s="348"/>
      <c r="S28" s="358"/>
      <c r="T28" s="25"/>
      <c r="U28" s="349"/>
    </row>
    <row r="29" spans="1:21" ht="14.25">
      <c r="A29" s="354">
        <v>40837</v>
      </c>
      <c r="B29">
        <v>15.5</v>
      </c>
      <c r="C29">
        <v>15.8</v>
      </c>
      <c r="D29">
        <v>15.18</v>
      </c>
      <c r="E29" s="355">
        <f t="shared" si="3"/>
        <v>15.49</v>
      </c>
      <c r="F29" s="343"/>
      <c r="G29" s="354">
        <v>40837</v>
      </c>
      <c r="H29">
        <v>49.62</v>
      </c>
      <c r="I29">
        <v>52.22</v>
      </c>
      <c r="J29">
        <v>49.53</v>
      </c>
      <c r="K29" s="355">
        <f t="shared" si="4"/>
        <v>50.875</v>
      </c>
      <c r="L29" s="343"/>
      <c r="M29" s="354">
        <v>40837</v>
      </c>
      <c r="N29">
        <v>44.53</v>
      </c>
      <c r="O29">
        <v>46.45</v>
      </c>
      <c r="P29">
        <v>44.12</v>
      </c>
      <c r="Q29" s="355">
        <f t="shared" si="5"/>
        <v>45.284999999999997</v>
      </c>
      <c r="R29" s="348"/>
      <c r="S29" s="358"/>
      <c r="T29" s="25"/>
      <c r="U29" s="349"/>
    </row>
    <row r="30" spans="1:21" ht="14.25">
      <c r="A30" s="354">
        <v>40830</v>
      </c>
      <c r="B30">
        <v>15.02</v>
      </c>
      <c r="C30">
        <v>15.57</v>
      </c>
      <c r="D30">
        <v>14.99</v>
      </c>
      <c r="E30" s="355">
        <f t="shared" si="3"/>
        <v>15.280000000000001</v>
      </c>
      <c r="F30" s="356"/>
      <c r="G30" s="354">
        <v>40830</v>
      </c>
      <c r="H30">
        <v>48.9</v>
      </c>
      <c r="I30">
        <v>49.99</v>
      </c>
      <c r="J30">
        <v>47.91</v>
      </c>
      <c r="K30" s="355">
        <f t="shared" si="4"/>
        <v>48.95</v>
      </c>
      <c r="L30" s="343"/>
      <c r="M30" s="354">
        <v>40830</v>
      </c>
      <c r="N30">
        <v>43.66</v>
      </c>
      <c r="O30">
        <v>44.81</v>
      </c>
      <c r="P30">
        <v>43.53</v>
      </c>
      <c r="Q30" s="355">
        <f t="shared" si="5"/>
        <v>44.17</v>
      </c>
      <c r="R30" s="348"/>
      <c r="S30" s="358"/>
      <c r="T30" s="25"/>
      <c r="U30" s="349"/>
    </row>
    <row r="31" spans="1:21" ht="14.25">
      <c r="A31" s="354">
        <v>40823</v>
      </c>
      <c r="B31">
        <v>14.63</v>
      </c>
      <c r="C31">
        <v>14.96</v>
      </c>
      <c r="D31">
        <v>13.65</v>
      </c>
      <c r="E31" s="355">
        <f t="shared" si="3"/>
        <v>14.305</v>
      </c>
      <c r="F31" s="356"/>
      <c r="G31" s="354">
        <v>40823</v>
      </c>
      <c r="H31">
        <v>47.65</v>
      </c>
      <c r="I31">
        <v>49.14</v>
      </c>
      <c r="J31">
        <v>45.7</v>
      </c>
      <c r="K31" s="355">
        <f t="shared" si="4"/>
        <v>47.42</v>
      </c>
      <c r="L31" s="343"/>
      <c r="M31" s="354">
        <v>40823</v>
      </c>
      <c r="N31">
        <v>42.9</v>
      </c>
      <c r="O31">
        <v>43.68</v>
      </c>
      <c r="P31">
        <v>40.869999999999997</v>
      </c>
      <c r="Q31" s="355">
        <f t="shared" si="5"/>
        <v>42.274999999999999</v>
      </c>
      <c r="R31" s="348"/>
      <c r="S31" s="358"/>
      <c r="T31" s="25"/>
      <c r="U31" s="349"/>
    </row>
    <row r="32" spans="1:21" ht="14.25">
      <c r="A32" s="354">
        <v>40816</v>
      </c>
      <c r="B32">
        <v>14.42</v>
      </c>
      <c r="C32">
        <v>15</v>
      </c>
      <c r="D32">
        <v>14.15</v>
      </c>
      <c r="E32" s="355">
        <f t="shared" si="3"/>
        <v>14.574999999999999</v>
      </c>
      <c r="F32" s="356"/>
      <c r="G32" s="354">
        <v>40816</v>
      </c>
      <c r="H32">
        <v>47.42</v>
      </c>
      <c r="I32">
        <v>48.48</v>
      </c>
      <c r="J32">
        <v>46.34</v>
      </c>
      <c r="K32" s="355">
        <f t="shared" si="4"/>
        <v>47.41</v>
      </c>
      <c r="L32" s="343"/>
      <c r="M32" s="354">
        <v>40816</v>
      </c>
      <c r="N32">
        <v>43.49</v>
      </c>
      <c r="O32">
        <v>44</v>
      </c>
      <c r="P32">
        <v>42.44</v>
      </c>
      <c r="Q32" s="355">
        <f t="shared" si="5"/>
        <v>43.22</v>
      </c>
      <c r="R32" s="348"/>
      <c r="S32" s="358"/>
      <c r="T32" s="25"/>
      <c r="U32" s="349"/>
    </row>
    <row r="33" spans="1:21" ht="14.25">
      <c r="A33" s="354">
        <v>40809</v>
      </c>
      <c r="B33">
        <v>14.55</v>
      </c>
      <c r="C33">
        <v>15.05</v>
      </c>
      <c r="D33">
        <v>13.63</v>
      </c>
      <c r="E33" s="355">
        <f t="shared" si="3"/>
        <v>14.34</v>
      </c>
      <c r="F33" s="356"/>
      <c r="G33" s="354">
        <v>40809</v>
      </c>
      <c r="H33">
        <v>48.49</v>
      </c>
      <c r="I33">
        <v>50.44</v>
      </c>
      <c r="J33">
        <v>45.8</v>
      </c>
      <c r="K33" s="355">
        <f t="shared" si="4"/>
        <v>48.12</v>
      </c>
      <c r="L33" s="343"/>
      <c r="M33" s="354">
        <v>40809</v>
      </c>
      <c r="N33">
        <v>43.58</v>
      </c>
      <c r="O33">
        <v>45.08</v>
      </c>
      <c r="P33">
        <v>42.19</v>
      </c>
      <c r="Q33" s="355">
        <f t="shared" si="5"/>
        <v>43.634999999999998</v>
      </c>
      <c r="R33" s="348"/>
      <c r="S33" s="358"/>
      <c r="T33" s="25"/>
      <c r="U33" s="349"/>
    </row>
    <row r="34" spans="1:21" ht="14.25">
      <c r="A34" s="354">
        <v>40802</v>
      </c>
      <c r="B34">
        <v>13.86</v>
      </c>
      <c r="C34">
        <v>14.96</v>
      </c>
      <c r="D34">
        <v>13.82</v>
      </c>
      <c r="E34" s="355">
        <f t="shared" si="3"/>
        <v>14.39</v>
      </c>
      <c r="F34" s="356"/>
      <c r="G34" s="354">
        <v>40802</v>
      </c>
      <c r="H34">
        <v>47.16</v>
      </c>
      <c r="I34">
        <v>50.01</v>
      </c>
      <c r="J34">
        <v>47.06</v>
      </c>
      <c r="K34" s="355">
        <f t="shared" si="4"/>
        <v>48.534999999999997</v>
      </c>
      <c r="L34" s="343"/>
      <c r="M34" s="354">
        <v>40802</v>
      </c>
      <c r="N34">
        <v>41.43</v>
      </c>
      <c r="O34">
        <v>44.31</v>
      </c>
      <c r="P34">
        <v>41.43</v>
      </c>
      <c r="Q34" s="355">
        <f t="shared" si="5"/>
        <v>42.870000000000005</v>
      </c>
      <c r="R34" s="348"/>
      <c r="S34" s="358"/>
      <c r="T34" s="25"/>
      <c r="U34" s="349"/>
    </row>
    <row r="35" spans="1:21" ht="14.25">
      <c r="A35" s="354">
        <v>40795</v>
      </c>
      <c r="B35">
        <v>13.95</v>
      </c>
      <c r="C35">
        <v>14.41</v>
      </c>
      <c r="D35">
        <v>13.86</v>
      </c>
      <c r="E35" s="355">
        <f t="shared" si="3"/>
        <v>14.135</v>
      </c>
      <c r="F35" s="356"/>
      <c r="G35" s="354">
        <v>40795</v>
      </c>
      <c r="H35">
        <v>47.05</v>
      </c>
      <c r="I35">
        <v>49.71</v>
      </c>
      <c r="J35">
        <v>46.66</v>
      </c>
      <c r="K35" s="355">
        <f t="shared" si="4"/>
        <v>48.185000000000002</v>
      </c>
      <c r="L35" s="343"/>
      <c r="M35" s="354">
        <v>40795</v>
      </c>
      <c r="N35">
        <v>42.2</v>
      </c>
      <c r="O35">
        <v>43.68</v>
      </c>
      <c r="P35">
        <v>41.64</v>
      </c>
      <c r="Q35" s="355">
        <f t="shared" si="5"/>
        <v>42.66</v>
      </c>
      <c r="R35" s="348"/>
      <c r="S35" s="358"/>
      <c r="T35" s="25"/>
      <c r="U35" s="349"/>
    </row>
    <row r="36" spans="1:21" ht="14.25">
      <c r="A36" s="354">
        <v>40788</v>
      </c>
      <c r="B36">
        <v>14.67</v>
      </c>
      <c r="C36">
        <v>15.14</v>
      </c>
      <c r="D36">
        <v>14.28</v>
      </c>
      <c r="E36" s="355">
        <f t="shared" si="3"/>
        <v>14.71</v>
      </c>
      <c r="F36" s="356"/>
      <c r="G36" s="354">
        <v>40788</v>
      </c>
      <c r="H36">
        <v>49.68</v>
      </c>
      <c r="I36">
        <v>50.65</v>
      </c>
      <c r="J36">
        <v>48.29</v>
      </c>
      <c r="K36" s="355">
        <f t="shared" si="4"/>
        <v>49.47</v>
      </c>
      <c r="L36" s="343"/>
      <c r="M36" s="354">
        <v>40788</v>
      </c>
      <c r="N36">
        <v>43.47</v>
      </c>
      <c r="O36">
        <v>44.49</v>
      </c>
      <c r="P36">
        <v>43.05</v>
      </c>
      <c r="Q36" s="355">
        <f t="shared" si="5"/>
        <v>43.769999999999996</v>
      </c>
      <c r="R36" s="348"/>
      <c r="S36" s="24"/>
      <c r="T36" s="25"/>
      <c r="U36" s="349"/>
    </row>
    <row r="37" spans="1:21" ht="14.25">
      <c r="A37" s="354">
        <v>40781</v>
      </c>
      <c r="B37">
        <v>14.7</v>
      </c>
      <c r="C37">
        <v>14.7</v>
      </c>
      <c r="D37">
        <v>14</v>
      </c>
      <c r="E37" s="355">
        <f t="shared" si="3"/>
        <v>14.35</v>
      </c>
      <c r="F37" s="343"/>
      <c r="G37" s="354">
        <v>40781</v>
      </c>
      <c r="H37">
        <v>46.68</v>
      </c>
      <c r="I37">
        <v>49.4</v>
      </c>
      <c r="J37">
        <v>45.34</v>
      </c>
      <c r="K37" s="355">
        <f t="shared" si="4"/>
        <v>47.370000000000005</v>
      </c>
      <c r="L37" s="357"/>
      <c r="M37" s="354">
        <v>40781</v>
      </c>
      <c r="N37">
        <v>42.34</v>
      </c>
      <c r="O37">
        <v>43.55</v>
      </c>
      <c r="P37">
        <v>41.19</v>
      </c>
      <c r="Q37" s="355">
        <f t="shared" si="5"/>
        <v>42.37</v>
      </c>
      <c r="R37" s="348"/>
      <c r="S37" s="24"/>
      <c r="T37" s="25"/>
      <c r="U37" s="349"/>
    </row>
    <row r="38" spans="1:21" ht="15">
      <c r="A38" s="359" t="s">
        <v>525</v>
      </c>
      <c r="B38" s="344"/>
      <c r="C38" s="344"/>
      <c r="D38" s="344"/>
      <c r="E38" s="352">
        <f>AVERAGE(E25:E37)</f>
        <v>14.939230769230768</v>
      </c>
      <c r="F38" s="356"/>
      <c r="G38" s="359" t="s">
        <v>525</v>
      </c>
      <c r="K38" s="352">
        <f>AVERAGE(K25:K37)</f>
        <v>49.50615384615385</v>
      </c>
      <c r="L38" s="343"/>
      <c r="M38" s="359" t="s">
        <v>525</v>
      </c>
      <c r="N38" s="344"/>
      <c r="O38" s="344"/>
      <c r="P38" s="344"/>
      <c r="Q38" s="352">
        <f>AVERAGE(Q25:Q37)</f>
        <v>44.177692307692304</v>
      </c>
      <c r="R38" s="348"/>
      <c r="S38" s="24"/>
      <c r="T38" s="25"/>
      <c r="U38" s="349"/>
    </row>
    <row r="39" spans="1:21" ht="15">
      <c r="A39" s="340">
        <f>M22+1</f>
        <v>7</v>
      </c>
      <c r="B39" s="344"/>
      <c r="C39" s="344"/>
      <c r="D39" s="344"/>
      <c r="E39" s="355"/>
      <c r="F39" s="356"/>
      <c r="G39" s="340">
        <f>A39+1</f>
        <v>8</v>
      </c>
      <c r="H39" s="341"/>
      <c r="I39" s="341"/>
      <c r="J39" s="341"/>
      <c r="K39" s="342"/>
      <c r="L39" s="343"/>
      <c r="M39" s="340">
        <f>G39+1</f>
        <v>9</v>
      </c>
      <c r="N39" s="344"/>
      <c r="O39" s="344"/>
      <c r="P39" s="344"/>
      <c r="Q39" s="355"/>
      <c r="R39" s="348"/>
      <c r="S39" s="24"/>
      <c r="T39" s="25"/>
      <c r="U39" s="349"/>
    </row>
    <row r="40" spans="1:21" ht="15">
      <c r="A40" s="345" t="str">
        <f>VLOOKUP(A39,$R$6:$T$65,2,)</f>
        <v>TE</v>
      </c>
      <c r="B40" s="345" t="str">
        <f>VLOOKUP(A39,$R$6:$T$56,3,)</f>
        <v>TECO Energy</v>
      </c>
      <c r="C40" s="346"/>
      <c r="D40" s="346"/>
      <c r="E40" s="347"/>
      <c r="F40" s="343"/>
      <c r="G40" s="345" t="str">
        <f>VLOOKUP(G39,$R$6:$T$65,2,)</f>
        <v>WR</v>
      </c>
      <c r="H40" s="345" t="str">
        <f>VLOOKUP(G39,$R$6:$T$56,3,)</f>
        <v>Westar Energy</v>
      </c>
      <c r="I40" s="346"/>
      <c r="J40" s="346"/>
      <c r="K40" s="347"/>
      <c r="L40" s="343"/>
      <c r="M40" s="345" t="str">
        <f>VLOOKUP(M39,$R$6:$T$65,2,)</f>
        <v>WEC</v>
      </c>
      <c r="N40" s="345" t="str">
        <f>VLOOKUP(M39,$R$6:$T$56,3,)</f>
        <v>Wisconsin Energy</v>
      </c>
      <c r="O40" s="346"/>
      <c r="P40" s="346"/>
      <c r="Q40" s="345"/>
      <c r="R40" s="348"/>
      <c r="S40" s="24"/>
      <c r="T40" s="25"/>
      <c r="U40" s="349"/>
    </row>
    <row r="41" spans="1:21" ht="15">
      <c r="A41" s="350" t="s">
        <v>483</v>
      </c>
      <c r="B41" s="351" t="s">
        <v>521</v>
      </c>
      <c r="C41" s="351" t="s">
        <v>522</v>
      </c>
      <c r="D41" s="351" t="s">
        <v>523</v>
      </c>
      <c r="E41" s="352" t="s">
        <v>524</v>
      </c>
      <c r="F41" s="350"/>
      <c r="G41" s="350" t="s">
        <v>483</v>
      </c>
      <c r="H41" s="351" t="s">
        <v>521</v>
      </c>
      <c r="I41" s="351" t="s">
        <v>522</v>
      </c>
      <c r="J41" s="351" t="s">
        <v>523</v>
      </c>
      <c r="K41" s="352" t="s">
        <v>524</v>
      </c>
      <c r="L41" s="343"/>
      <c r="M41" s="350" t="s">
        <v>483</v>
      </c>
      <c r="N41" s="351" t="s">
        <v>521</v>
      </c>
      <c r="O41" s="351" t="s">
        <v>522</v>
      </c>
      <c r="P41" s="351" t="s">
        <v>523</v>
      </c>
      <c r="Q41" s="352" t="s">
        <v>524</v>
      </c>
      <c r="R41" s="348"/>
      <c r="S41" s="24"/>
      <c r="T41" s="25"/>
      <c r="U41" s="349"/>
    </row>
    <row r="42" spans="1:21" ht="14.25">
      <c r="A42" s="354">
        <v>40865</v>
      </c>
      <c r="B42">
        <v>18.68</v>
      </c>
      <c r="C42">
        <v>18.785</v>
      </c>
      <c r="D42">
        <v>17.950399999999998</v>
      </c>
      <c r="E42" s="355">
        <f>AVERAGE(C42:D42)</f>
        <v>18.367699999999999</v>
      </c>
      <c r="F42" s="343"/>
      <c r="G42" s="354">
        <v>40865</v>
      </c>
      <c r="H42">
        <v>27.52</v>
      </c>
      <c r="I42">
        <v>27.52</v>
      </c>
      <c r="J42">
        <v>26.65</v>
      </c>
      <c r="K42" s="355">
        <f>AVERAGE(I42:J42)</f>
        <v>27.085000000000001</v>
      </c>
      <c r="L42" s="343"/>
      <c r="M42" s="354">
        <v>40865</v>
      </c>
      <c r="N42">
        <v>32.97</v>
      </c>
      <c r="O42">
        <v>33.229999999999997</v>
      </c>
      <c r="P42">
        <v>32.060499999999998</v>
      </c>
      <c r="Q42" s="355">
        <f>AVERAGE(O42:P42)</f>
        <v>32.645249999999997</v>
      </c>
      <c r="R42" s="348"/>
      <c r="S42" s="24"/>
      <c r="T42" s="25"/>
      <c r="U42" s="349"/>
    </row>
    <row r="43" spans="1:21" ht="14.25">
      <c r="A43" s="354">
        <v>40858</v>
      </c>
      <c r="B43">
        <v>19.02</v>
      </c>
      <c r="C43">
        <v>19.22</v>
      </c>
      <c r="D43">
        <v>18.3</v>
      </c>
      <c r="E43" s="355">
        <f t="shared" ref="E43:E54" si="6">AVERAGE(C43:D43)</f>
        <v>18.759999999999998</v>
      </c>
      <c r="F43" s="343"/>
      <c r="G43" s="354">
        <v>40858</v>
      </c>
      <c r="H43">
        <v>27.35</v>
      </c>
      <c r="I43">
        <v>27.56</v>
      </c>
      <c r="J43">
        <v>26.81</v>
      </c>
      <c r="K43" s="355">
        <f t="shared" ref="K43:K54" si="7">AVERAGE(I43:J43)</f>
        <v>27.184999999999999</v>
      </c>
      <c r="L43" s="343"/>
      <c r="M43" s="354">
        <v>40858</v>
      </c>
      <c r="N43">
        <v>32.76</v>
      </c>
      <c r="O43">
        <v>33.200000000000003</v>
      </c>
      <c r="P43">
        <v>32.030099999999997</v>
      </c>
      <c r="Q43" s="355">
        <f t="shared" ref="Q43:Q54" si="8">AVERAGE(O43:P43)</f>
        <v>32.615049999999997</v>
      </c>
      <c r="R43" s="348"/>
      <c r="S43" s="24"/>
      <c r="T43" s="25"/>
      <c r="U43" s="349"/>
    </row>
    <row r="44" spans="1:21" ht="14.25">
      <c r="A44" s="354">
        <v>40851</v>
      </c>
      <c r="B44">
        <v>18.57</v>
      </c>
      <c r="C44">
        <v>19.100000000000001</v>
      </c>
      <c r="D44">
        <v>18.05</v>
      </c>
      <c r="E44" s="355">
        <f t="shared" si="6"/>
        <v>18.575000000000003</v>
      </c>
      <c r="F44" s="343"/>
      <c r="G44" s="354">
        <v>40851</v>
      </c>
      <c r="H44">
        <v>27.22</v>
      </c>
      <c r="I44">
        <v>27.837900000000001</v>
      </c>
      <c r="J44">
        <v>26.54</v>
      </c>
      <c r="K44" s="355">
        <f t="shared" si="7"/>
        <v>27.188949999999998</v>
      </c>
      <c r="L44" s="343"/>
      <c r="M44" s="354">
        <v>40851</v>
      </c>
      <c r="N44">
        <v>32.630000000000003</v>
      </c>
      <c r="O44">
        <v>32.83</v>
      </c>
      <c r="P44">
        <v>31.45</v>
      </c>
      <c r="Q44" s="355">
        <f t="shared" si="8"/>
        <v>32.14</v>
      </c>
      <c r="R44" s="348"/>
      <c r="S44" s="24"/>
      <c r="T44" s="25"/>
      <c r="U44" s="349"/>
    </row>
    <row r="45" spans="1:21" ht="14.25">
      <c r="A45" s="354">
        <v>40844</v>
      </c>
      <c r="B45">
        <v>18.04</v>
      </c>
      <c r="C45">
        <v>18.97</v>
      </c>
      <c r="D45">
        <v>17.86</v>
      </c>
      <c r="E45" s="355">
        <f t="shared" si="6"/>
        <v>18.414999999999999</v>
      </c>
      <c r="F45" s="343"/>
      <c r="G45" s="354">
        <v>40844</v>
      </c>
      <c r="H45">
        <v>27.66</v>
      </c>
      <c r="I45">
        <v>27.73</v>
      </c>
      <c r="J45">
        <v>27.01</v>
      </c>
      <c r="K45" s="355">
        <f t="shared" si="7"/>
        <v>27.37</v>
      </c>
      <c r="L45" s="343"/>
      <c r="M45" s="354">
        <v>40844</v>
      </c>
      <c r="N45">
        <v>32.89</v>
      </c>
      <c r="O45">
        <v>33.630000000000003</v>
      </c>
      <c r="P45">
        <v>32.380000000000003</v>
      </c>
      <c r="Q45" s="355">
        <f t="shared" si="8"/>
        <v>33.005000000000003</v>
      </c>
      <c r="R45" s="348"/>
      <c r="S45" s="24"/>
      <c r="T45" s="25"/>
      <c r="U45" s="349"/>
    </row>
    <row r="46" spans="1:21" ht="14.25">
      <c r="A46" s="354">
        <v>40837</v>
      </c>
      <c r="B46">
        <v>17.72</v>
      </c>
      <c r="C46">
        <v>18.07</v>
      </c>
      <c r="D46">
        <v>17.420000000000002</v>
      </c>
      <c r="E46" s="355">
        <f t="shared" si="6"/>
        <v>17.745000000000001</v>
      </c>
      <c r="F46" s="343"/>
      <c r="G46" s="354">
        <v>40837</v>
      </c>
      <c r="H46">
        <v>26.75</v>
      </c>
      <c r="I46">
        <v>27.64</v>
      </c>
      <c r="J46">
        <v>26.53</v>
      </c>
      <c r="K46" s="355">
        <f t="shared" si="7"/>
        <v>27.085000000000001</v>
      </c>
      <c r="L46" s="343"/>
      <c r="M46" s="354">
        <v>40837</v>
      </c>
      <c r="N46">
        <v>31.84</v>
      </c>
      <c r="O46">
        <v>32.92</v>
      </c>
      <c r="P46">
        <v>31.41</v>
      </c>
      <c r="Q46" s="355">
        <f t="shared" si="8"/>
        <v>32.164999999999999</v>
      </c>
      <c r="R46" s="348"/>
      <c r="S46" s="24"/>
      <c r="T46" s="25"/>
      <c r="U46" s="349"/>
    </row>
    <row r="47" spans="1:21" ht="14.25">
      <c r="A47" s="354">
        <v>40830</v>
      </c>
      <c r="B47">
        <v>17.36</v>
      </c>
      <c r="C47">
        <v>17.88</v>
      </c>
      <c r="D47">
        <v>17.260000000000002</v>
      </c>
      <c r="E47" s="355">
        <f t="shared" si="6"/>
        <v>17.57</v>
      </c>
      <c r="F47" s="356"/>
      <c r="G47" s="354">
        <v>40830</v>
      </c>
      <c r="H47">
        <v>26.73</v>
      </c>
      <c r="I47">
        <v>26.98</v>
      </c>
      <c r="J47">
        <v>26.32</v>
      </c>
      <c r="K47" s="355">
        <f t="shared" si="7"/>
        <v>26.65</v>
      </c>
      <c r="L47" s="343"/>
      <c r="M47" s="354">
        <v>40830</v>
      </c>
      <c r="N47">
        <v>31.84</v>
      </c>
      <c r="O47">
        <v>32.01</v>
      </c>
      <c r="P47">
        <v>31.18</v>
      </c>
      <c r="Q47" s="355">
        <f t="shared" si="8"/>
        <v>31.594999999999999</v>
      </c>
      <c r="R47" s="348"/>
      <c r="S47" s="24"/>
      <c r="T47" s="25"/>
      <c r="U47" s="349"/>
    </row>
    <row r="48" spans="1:21" ht="14.25">
      <c r="A48" s="354">
        <v>40823</v>
      </c>
      <c r="B48">
        <v>17.09</v>
      </c>
      <c r="C48">
        <v>17.395</v>
      </c>
      <c r="D48">
        <v>16.149999999999999</v>
      </c>
      <c r="E48" s="355">
        <f t="shared" si="6"/>
        <v>16.772500000000001</v>
      </c>
      <c r="F48" s="356"/>
      <c r="G48" s="354">
        <v>40823</v>
      </c>
      <c r="H48">
        <v>26.4</v>
      </c>
      <c r="I48">
        <v>26.68</v>
      </c>
      <c r="J48">
        <v>25.02</v>
      </c>
      <c r="K48" s="355">
        <f t="shared" si="7"/>
        <v>25.85</v>
      </c>
      <c r="L48" s="343"/>
      <c r="M48" s="354">
        <v>40823</v>
      </c>
      <c r="N48">
        <v>31.31</v>
      </c>
      <c r="O48">
        <v>31.83</v>
      </c>
      <c r="P48">
        <v>29.82</v>
      </c>
      <c r="Q48" s="355">
        <f t="shared" si="8"/>
        <v>30.824999999999999</v>
      </c>
      <c r="R48" s="348"/>
      <c r="S48" s="24"/>
      <c r="T48" s="25"/>
      <c r="U48" s="349"/>
    </row>
    <row r="49" spans="1:21" ht="14.25">
      <c r="A49" s="354">
        <v>40816</v>
      </c>
      <c r="B49">
        <v>17.23</v>
      </c>
      <c r="C49">
        <v>17.75</v>
      </c>
      <c r="D49">
        <v>16.95</v>
      </c>
      <c r="E49" s="355">
        <f t="shared" si="6"/>
        <v>17.350000000000001</v>
      </c>
      <c r="F49" s="356"/>
      <c r="G49" s="354">
        <v>40816</v>
      </c>
      <c r="H49">
        <v>26.6</v>
      </c>
      <c r="I49">
        <v>27</v>
      </c>
      <c r="J49">
        <v>26.24</v>
      </c>
      <c r="K49" s="355">
        <f t="shared" si="7"/>
        <v>26.619999999999997</v>
      </c>
      <c r="L49" s="343"/>
      <c r="M49" s="354">
        <v>40816</v>
      </c>
      <c r="N49">
        <v>31.45</v>
      </c>
      <c r="O49">
        <v>31.76</v>
      </c>
      <c r="P49">
        <v>30.9</v>
      </c>
      <c r="Q49" s="355">
        <f t="shared" si="8"/>
        <v>31.33</v>
      </c>
      <c r="R49" s="348"/>
      <c r="S49" s="24"/>
      <c r="T49" s="25"/>
      <c r="U49" s="349"/>
    </row>
    <row r="50" spans="1:21" ht="14.25">
      <c r="A50" s="354">
        <v>40809</v>
      </c>
      <c r="B50">
        <v>18.21</v>
      </c>
      <c r="C50">
        <v>18.600000000000001</v>
      </c>
      <c r="D50">
        <v>16.75</v>
      </c>
      <c r="E50" s="355">
        <f t="shared" si="6"/>
        <v>17.675000000000001</v>
      </c>
      <c r="F50" s="356"/>
      <c r="G50" s="354">
        <v>40809</v>
      </c>
      <c r="H50">
        <v>26.18</v>
      </c>
      <c r="I50">
        <v>26.98</v>
      </c>
      <c r="J50">
        <v>25.61</v>
      </c>
      <c r="K50" s="355">
        <f t="shared" si="7"/>
        <v>26.295000000000002</v>
      </c>
      <c r="L50" s="343"/>
      <c r="M50" s="354">
        <v>40809</v>
      </c>
      <c r="N50">
        <v>31.25</v>
      </c>
      <c r="O50">
        <v>32.49</v>
      </c>
      <c r="P50">
        <v>30.39</v>
      </c>
      <c r="Q50" s="355">
        <f t="shared" si="8"/>
        <v>31.44</v>
      </c>
      <c r="R50" s="348"/>
      <c r="S50" s="24"/>
      <c r="T50" s="25"/>
      <c r="U50" s="349"/>
    </row>
    <row r="51" spans="1:21" ht="14.25">
      <c r="A51" s="354">
        <v>40802</v>
      </c>
      <c r="B51">
        <v>17.37</v>
      </c>
      <c r="C51">
        <v>18.649999999999999</v>
      </c>
      <c r="D51">
        <v>17.34</v>
      </c>
      <c r="E51" s="355">
        <f t="shared" si="6"/>
        <v>17.994999999999997</v>
      </c>
      <c r="F51" s="356"/>
      <c r="G51" s="354">
        <v>40802</v>
      </c>
      <c r="H51">
        <v>24.75</v>
      </c>
      <c r="I51">
        <v>26.47</v>
      </c>
      <c r="J51">
        <v>24.75</v>
      </c>
      <c r="K51" s="355">
        <f t="shared" si="7"/>
        <v>25.61</v>
      </c>
      <c r="L51" s="343"/>
      <c r="M51" s="354">
        <v>40802</v>
      </c>
      <c r="N51">
        <v>30.12</v>
      </c>
      <c r="O51">
        <v>32</v>
      </c>
      <c r="P51">
        <v>30.09</v>
      </c>
      <c r="Q51" s="355">
        <f t="shared" si="8"/>
        <v>31.045000000000002</v>
      </c>
      <c r="R51" s="348"/>
      <c r="S51" s="24"/>
      <c r="T51" s="25"/>
      <c r="U51" s="349"/>
    </row>
    <row r="52" spans="1:21" ht="14.25">
      <c r="A52" s="354">
        <v>40795</v>
      </c>
      <c r="B52">
        <v>17.34</v>
      </c>
      <c r="C52">
        <v>18.100000000000001</v>
      </c>
      <c r="D52">
        <v>17.22</v>
      </c>
      <c r="E52" s="355">
        <f t="shared" si="6"/>
        <v>17.66</v>
      </c>
      <c r="F52" s="356"/>
      <c r="G52" s="354">
        <v>40795</v>
      </c>
      <c r="H52">
        <v>25.44</v>
      </c>
      <c r="I52">
        <v>25.75</v>
      </c>
      <c r="J52">
        <v>24.805</v>
      </c>
      <c r="K52" s="355">
        <f t="shared" si="7"/>
        <v>25.2775</v>
      </c>
      <c r="L52" s="343"/>
      <c r="M52" s="354">
        <v>40795</v>
      </c>
      <c r="N52">
        <v>30.37</v>
      </c>
      <c r="O52">
        <v>31.65</v>
      </c>
      <c r="P52">
        <v>30.11</v>
      </c>
      <c r="Q52" s="355">
        <f t="shared" si="8"/>
        <v>30.88</v>
      </c>
      <c r="R52" s="348"/>
      <c r="S52" s="24"/>
      <c r="T52" s="25"/>
      <c r="U52" s="349"/>
    </row>
    <row r="53" spans="1:21" ht="14.25">
      <c r="A53" s="354">
        <v>40788</v>
      </c>
      <c r="B53">
        <v>17.97</v>
      </c>
      <c r="C53">
        <v>18.41</v>
      </c>
      <c r="D53">
        <v>17.670000000000002</v>
      </c>
      <c r="E53" s="355">
        <f t="shared" si="6"/>
        <v>18.04</v>
      </c>
      <c r="F53" s="356"/>
      <c r="G53" s="354">
        <v>40788</v>
      </c>
      <c r="H53">
        <v>25.85</v>
      </c>
      <c r="I53">
        <v>26.76</v>
      </c>
      <c r="J53">
        <v>25.81</v>
      </c>
      <c r="K53" s="355">
        <f t="shared" si="7"/>
        <v>26.285</v>
      </c>
      <c r="L53" s="343"/>
      <c r="M53" s="354">
        <v>40788</v>
      </c>
      <c r="N53">
        <v>31.31</v>
      </c>
      <c r="O53">
        <v>31.78</v>
      </c>
      <c r="P53">
        <v>30.96</v>
      </c>
      <c r="Q53" s="355">
        <f t="shared" si="8"/>
        <v>31.37</v>
      </c>
      <c r="R53" s="348"/>
      <c r="S53" s="24"/>
      <c r="T53" s="25"/>
      <c r="U53" s="349"/>
    </row>
    <row r="54" spans="1:21" ht="14.25">
      <c r="A54" s="354">
        <v>40781</v>
      </c>
      <c r="B54">
        <v>17.45</v>
      </c>
      <c r="C54">
        <v>18.059999999999999</v>
      </c>
      <c r="D54">
        <v>17</v>
      </c>
      <c r="E54" s="355">
        <f t="shared" si="6"/>
        <v>17.53</v>
      </c>
      <c r="F54" s="343"/>
      <c r="G54" s="354">
        <v>40781</v>
      </c>
      <c r="H54">
        <v>25.32</v>
      </c>
      <c r="I54">
        <v>26.12</v>
      </c>
      <c r="J54">
        <v>24.66</v>
      </c>
      <c r="K54" s="355">
        <f t="shared" si="7"/>
        <v>25.39</v>
      </c>
      <c r="L54" s="357"/>
      <c r="M54" s="354">
        <v>40781</v>
      </c>
      <c r="N54">
        <v>30.6</v>
      </c>
      <c r="O54">
        <v>31.75</v>
      </c>
      <c r="P54">
        <v>30.01</v>
      </c>
      <c r="Q54" s="355">
        <f t="shared" si="8"/>
        <v>30.880000000000003</v>
      </c>
      <c r="R54" s="348"/>
      <c r="S54" s="24"/>
      <c r="T54" s="25"/>
      <c r="U54" s="349"/>
    </row>
    <row r="55" spans="1:21" ht="15">
      <c r="A55" s="359" t="s">
        <v>525</v>
      </c>
      <c r="B55" s="344"/>
      <c r="C55" s="344"/>
      <c r="D55" s="344"/>
      <c r="E55" s="352">
        <f>AVERAGE(E42:E54)</f>
        <v>17.881169230769231</v>
      </c>
      <c r="F55" s="356"/>
      <c r="G55" s="359" t="s">
        <v>525</v>
      </c>
      <c r="H55" s="344"/>
      <c r="I55" s="344"/>
      <c r="J55" s="344"/>
      <c r="K55" s="352">
        <f>AVERAGE(K42:K54)</f>
        <v>26.453188461538463</v>
      </c>
      <c r="L55" s="343"/>
      <c r="M55" s="359" t="s">
        <v>525</v>
      </c>
      <c r="N55" s="361"/>
      <c r="O55" s="361"/>
      <c r="P55" s="361"/>
      <c r="Q55" s="352">
        <f>AVERAGE(Q42:Q54)</f>
        <v>31.687330769230769</v>
      </c>
      <c r="R55" s="348"/>
      <c r="S55" s="24"/>
      <c r="T55" s="25"/>
      <c r="U55" s="349"/>
    </row>
    <row r="56" spans="1:21" ht="15">
      <c r="A56" s="340"/>
      <c r="B56" s="344"/>
      <c r="C56" s="344"/>
      <c r="D56" s="344"/>
      <c r="E56" s="355"/>
      <c r="F56" s="356"/>
      <c r="G56" s="340"/>
      <c r="H56" s="341"/>
      <c r="I56" s="341"/>
      <c r="J56" s="341"/>
      <c r="K56" s="342"/>
      <c r="L56" s="343"/>
      <c r="M56" s="340"/>
      <c r="N56" s="344"/>
      <c r="O56" s="344"/>
      <c r="P56" s="344"/>
      <c r="Q56" s="355"/>
      <c r="R56" s="348"/>
      <c r="S56" s="24"/>
      <c r="T56" s="25"/>
      <c r="U56" s="349"/>
    </row>
    <row r="57" spans="1:21" ht="15">
      <c r="A57" s="345"/>
      <c r="B57" s="345"/>
      <c r="C57" s="346"/>
      <c r="D57" s="346"/>
      <c r="E57" s="347"/>
      <c r="F57" s="343"/>
      <c r="G57" s="345"/>
      <c r="H57" s="345"/>
      <c r="I57" s="346"/>
      <c r="J57" s="346"/>
      <c r="K57" s="347"/>
      <c r="L57" s="343"/>
      <c r="M57" s="345"/>
      <c r="N57" s="345"/>
      <c r="O57" s="346"/>
      <c r="P57" s="346"/>
      <c r="Q57" s="345"/>
      <c r="R57" s="348"/>
      <c r="S57" s="24"/>
      <c r="T57" s="25"/>
      <c r="U57" s="349"/>
    </row>
    <row r="58" spans="1:21" ht="15">
      <c r="A58" s="350"/>
      <c r="B58" s="351"/>
      <c r="C58" s="351"/>
      <c r="D58" s="351"/>
      <c r="E58" s="352"/>
      <c r="F58" s="350"/>
      <c r="G58" s="350"/>
      <c r="H58" s="351"/>
      <c r="I58" s="351"/>
      <c r="J58" s="351"/>
      <c r="K58" s="352"/>
      <c r="L58" s="343"/>
      <c r="M58" s="350"/>
      <c r="N58" s="351"/>
      <c r="O58" s="351"/>
      <c r="P58" s="351"/>
      <c r="Q58" s="352"/>
      <c r="R58" s="348"/>
      <c r="S58" s="24"/>
      <c r="T58" s="25"/>
      <c r="U58" s="349"/>
    </row>
    <row r="59" spans="1:21" ht="14.25">
      <c r="A59" s="354"/>
      <c r="B59" s="362"/>
      <c r="C59" s="362"/>
      <c r="D59" s="362"/>
      <c r="E59" s="355"/>
      <c r="F59" s="343"/>
      <c r="G59" s="354"/>
      <c r="H59" s="362"/>
      <c r="I59" s="362"/>
      <c r="J59" s="362"/>
      <c r="K59" s="355"/>
      <c r="L59" s="343"/>
      <c r="M59" s="354"/>
      <c r="N59" s="362"/>
      <c r="O59" s="362"/>
      <c r="P59" s="362"/>
      <c r="Q59" s="355"/>
      <c r="R59" s="348"/>
      <c r="S59" s="24"/>
      <c r="T59" s="25"/>
      <c r="U59" s="349"/>
    </row>
    <row r="60" spans="1:21" ht="14.25">
      <c r="A60" s="354"/>
      <c r="B60" s="362"/>
      <c r="C60" s="362"/>
      <c r="D60" s="362"/>
      <c r="E60" s="355"/>
      <c r="F60" s="343"/>
      <c r="G60" s="354"/>
      <c r="H60" s="362"/>
      <c r="I60" s="362"/>
      <c r="J60" s="362"/>
      <c r="K60" s="355"/>
      <c r="L60" s="343"/>
      <c r="M60" s="354"/>
      <c r="N60" s="362"/>
      <c r="O60" s="362"/>
      <c r="P60" s="362"/>
      <c r="Q60" s="355"/>
      <c r="R60" s="348"/>
      <c r="S60" s="24"/>
      <c r="T60" s="25"/>
      <c r="U60" s="349"/>
    </row>
    <row r="61" spans="1:21" ht="14.25">
      <c r="A61" s="354"/>
      <c r="B61" s="362"/>
      <c r="C61" s="362"/>
      <c r="D61" s="362"/>
      <c r="E61" s="355"/>
      <c r="F61" s="343"/>
      <c r="G61" s="354"/>
      <c r="H61" s="362"/>
      <c r="I61" s="362"/>
      <c r="J61" s="362"/>
      <c r="K61" s="355"/>
      <c r="L61" s="343"/>
      <c r="M61" s="354"/>
      <c r="N61" s="362"/>
      <c r="O61" s="362"/>
      <c r="P61" s="362"/>
      <c r="Q61" s="355"/>
      <c r="R61" s="348"/>
      <c r="S61" s="24"/>
      <c r="T61" s="25"/>
      <c r="U61" s="349"/>
    </row>
    <row r="62" spans="1:21" ht="14.25">
      <c r="A62" s="354"/>
      <c r="B62" s="362"/>
      <c r="C62" s="362"/>
      <c r="D62" s="362"/>
      <c r="E62" s="355"/>
      <c r="F62" s="343"/>
      <c r="G62" s="354"/>
      <c r="H62" s="362"/>
      <c r="I62" s="362"/>
      <c r="J62" s="362"/>
      <c r="K62" s="355"/>
      <c r="L62" s="343"/>
      <c r="M62" s="354"/>
      <c r="N62" s="362"/>
      <c r="O62" s="362"/>
      <c r="P62" s="362"/>
      <c r="Q62" s="355"/>
      <c r="R62" s="348"/>
      <c r="S62" s="24"/>
      <c r="T62" s="25"/>
      <c r="U62" s="349"/>
    </row>
    <row r="63" spans="1:21" ht="14.25">
      <c r="A63" s="354"/>
      <c r="B63" s="362"/>
      <c r="C63" s="362"/>
      <c r="D63" s="362"/>
      <c r="E63" s="355"/>
      <c r="F63" s="343"/>
      <c r="G63" s="354"/>
      <c r="H63" s="362"/>
      <c r="I63" s="362"/>
      <c r="J63" s="362"/>
      <c r="K63" s="355"/>
      <c r="L63" s="343"/>
      <c r="M63" s="354"/>
      <c r="N63" s="362"/>
      <c r="O63" s="362"/>
      <c r="P63" s="362"/>
      <c r="Q63" s="355"/>
      <c r="R63" s="348"/>
      <c r="S63" s="24"/>
      <c r="T63" s="25"/>
      <c r="U63" s="349"/>
    </row>
    <row r="64" spans="1:21" ht="14.25">
      <c r="A64" s="354"/>
      <c r="B64" s="362"/>
      <c r="C64" s="362"/>
      <c r="D64" s="362"/>
      <c r="E64" s="355"/>
      <c r="F64" s="356"/>
      <c r="G64" s="354"/>
      <c r="H64" s="362"/>
      <c r="I64" s="362"/>
      <c r="J64" s="362"/>
      <c r="K64" s="355"/>
      <c r="L64" s="343"/>
      <c r="M64" s="354"/>
      <c r="N64" s="362"/>
      <c r="O64" s="362"/>
      <c r="P64" s="362"/>
      <c r="Q64" s="355"/>
      <c r="R64" s="348"/>
      <c r="S64" s="24"/>
      <c r="T64" s="25"/>
      <c r="U64" s="349"/>
    </row>
    <row r="65" spans="1:21" ht="14.25">
      <c r="A65" s="354"/>
      <c r="B65" s="362"/>
      <c r="C65" s="362"/>
      <c r="D65" s="362"/>
      <c r="E65" s="355"/>
      <c r="F65" s="356"/>
      <c r="G65" s="354"/>
      <c r="H65" s="362"/>
      <c r="I65" s="362"/>
      <c r="J65" s="362"/>
      <c r="K65" s="355"/>
      <c r="L65" s="343"/>
      <c r="M65" s="354"/>
      <c r="N65" s="362"/>
      <c r="O65" s="362"/>
      <c r="P65" s="362"/>
      <c r="Q65" s="355"/>
      <c r="R65" s="348"/>
      <c r="S65" s="24"/>
      <c r="T65" s="25"/>
      <c r="U65" s="349"/>
    </row>
    <row r="66" spans="1:21" ht="14.25">
      <c r="A66" s="354"/>
      <c r="B66" s="362"/>
      <c r="C66" s="362"/>
      <c r="D66" s="362"/>
      <c r="E66" s="355"/>
      <c r="F66" s="356"/>
      <c r="G66" s="354"/>
      <c r="H66" s="362"/>
      <c r="I66" s="362"/>
      <c r="J66" s="362"/>
      <c r="K66" s="355"/>
      <c r="L66" s="343"/>
      <c r="M66" s="354"/>
      <c r="N66" s="362"/>
      <c r="O66" s="362"/>
      <c r="P66" s="362"/>
      <c r="Q66" s="355"/>
      <c r="S66" s="25"/>
      <c r="T66" s="25"/>
      <c r="U66" s="349"/>
    </row>
    <row r="67" spans="1:21" ht="14.25">
      <c r="A67" s="354"/>
      <c r="B67" s="362"/>
      <c r="C67" s="362"/>
      <c r="D67" s="362"/>
      <c r="E67" s="355"/>
      <c r="F67" s="356"/>
      <c r="G67" s="354"/>
      <c r="H67" s="362"/>
      <c r="I67" s="362"/>
      <c r="J67" s="362"/>
      <c r="K67" s="355"/>
      <c r="L67" s="343"/>
      <c r="M67" s="354"/>
      <c r="N67" s="362"/>
      <c r="O67" s="362"/>
      <c r="P67" s="362"/>
      <c r="Q67" s="355"/>
    </row>
    <row r="68" spans="1:21" ht="14.25">
      <c r="A68" s="354"/>
      <c r="B68" s="362"/>
      <c r="C68" s="362"/>
      <c r="D68" s="362"/>
      <c r="E68" s="355"/>
      <c r="F68" s="356"/>
      <c r="G68" s="354"/>
      <c r="H68" s="362"/>
      <c r="I68" s="362"/>
      <c r="J68" s="362"/>
      <c r="K68" s="355"/>
      <c r="L68" s="343"/>
      <c r="M68" s="354"/>
      <c r="N68" s="362"/>
      <c r="O68" s="362"/>
      <c r="P68" s="362"/>
      <c r="Q68" s="355"/>
    </row>
    <row r="69" spans="1:21" ht="14.25">
      <c r="A69" s="354"/>
      <c r="B69" s="362"/>
      <c r="C69" s="362"/>
      <c r="D69" s="362"/>
      <c r="E69" s="355"/>
      <c r="F69" s="356"/>
      <c r="G69" s="354"/>
      <c r="H69" s="362"/>
      <c r="I69" s="362"/>
      <c r="J69" s="362"/>
      <c r="K69" s="355"/>
      <c r="L69" s="343"/>
      <c r="M69" s="354"/>
      <c r="N69" s="362"/>
      <c r="O69" s="362"/>
      <c r="P69" s="362"/>
      <c r="Q69" s="355"/>
    </row>
    <row r="70" spans="1:21" ht="14.25">
      <c r="A70" s="354"/>
      <c r="B70" s="362"/>
      <c r="C70" s="362"/>
      <c r="D70" s="362"/>
      <c r="E70" s="355"/>
      <c r="F70" s="356"/>
      <c r="G70" s="354"/>
      <c r="H70" s="362"/>
      <c r="I70" s="362"/>
      <c r="J70" s="362"/>
      <c r="K70" s="355"/>
      <c r="L70" s="343"/>
      <c r="M70" s="354"/>
      <c r="N70" s="362"/>
      <c r="O70" s="362"/>
      <c r="P70" s="362"/>
      <c r="Q70" s="355"/>
    </row>
    <row r="71" spans="1:21" ht="14.25">
      <c r="A71" s="354"/>
      <c r="B71" s="362"/>
      <c r="C71" s="362"/>
      <c r="D71" s="362"/>
      <c r="E71" s="355"/>
      <c r="F71" s="343"/>
      <c r="G71" s="354"/>
      <c r="H71" s="362"/>
      <c r="I71" s="362"/>
      <c r="J71" s="362"/>
      <c r="K71" s="355"/>
      <c r="L71" s="357"/>
      <c r="M71" s="354"/>
      <c r="N71" s="362"/>
      <c r="O71" s="362"/>
      <c r="P71" s="362"/>
      <c r="Q71" s="355"/>
    </row>
    <row r="72" spans="1:21" ht="15">
      <c r="A72" s="359"/>
      <c r="B72" s="344"/>
      <c r="C72" s="344"/>
      <c r="D72" s="344"/>
      <c r="E72" s="352"/>
      <c r="F72" s="356"/>
      <c r="G72" s="359"/>
      <c r="H72" s="344"/>
      <c r="I72" s="344"/>
      <c r="J72" s="344"/>
      <c r="K72" s="352"/>
      <c r="L72" s="343"/>
      <c r="M72" s="359"/>
      <c r="N72" s="344"/>
      <c r="O72" s="344"/>
      <c r="P72" s="344"/>
      <c r="Q72" s="352"/>
    </row>
    <row r="73" spans="1:21" ht="15">
      <c r="A73" s="340"/>
      <c r="B73" s="344"/>
      <c r="C73" s="344"/>
      <c r="D73" s="344"/>
      <c r="E73" s="355"/>
      <c r="F73" s="356"/>
      <c r="G73" s="340"/>
      <c r="H73" s="341"/>
      <c r="I73" s="341"/>
      <c r="J73" s="341"/>
      <c r="K73" s="342"/>
      <c r="L73" s="343"/>
      <c r="M73" s="340"/>
      <c r="N73" s="344"/>
      <c r="O73" s="344"/>
      <c r="P73" s="344"/>
      <c r="Q73" s="355"/>
    </row>
    <row r="74" spans="1:21" ht="15">
      <c r="A74" s="345"/>
      <c r="B74" s="345"/>
      <c r="C74" s="346"/>
      <c r="D74" s="346"/>
      <c r="E74" s="347"/>
      <c r="F74" s="343"/>
      <c r="G74" s="345"/>
      <c r="H74" s="345"/>
      <c r="I74" s="346"/>
      <c r="J74" s="346"/>
      <c r="K74" s="347"/>
      <c r="L74" s="343"/>
      <c r="M74" s="345"/>
      <c r="N74" s="345"/>
      <c r="O74" s="346"/>
      <c r="P74" s="346"/>
      <c r="Q74" s="345"/>
    </row>
    <row r="75" spans="1:21" ht="15">
      <c r="A75" s="350"/>
      <c r="B75" s="351"/>
      <c r="C75" s="351"/>
      <c r="D75" s="351"/>
      <c r="E75" s="352"/>
      <c r="F75" s="350"/>
      <c r="G75" s="350"/>
      <c r="H75" s="351"/>
      <c r="I75" s="351"/>
      <c r="J75" s="351"/>
      <c r="K75" s="352"/>
      <c r="L75" s="343"/>
      <c r="M75" s="350"/>
      <c r="N75" s="351"/>
      <c r="O75" s="351"/>
      <c r="P75" s="351"/>
      <c r="Q75" s="352"/>
    </row>
    <row r="76" spans="1:21" ht="14.25">
      <c r="A76" s="354"/>
      <c r="B76" s="362"/>
      <c r="C76" s="362"/>
      <c r="D76" s="362"/>
      <c r="E76" s="355"/>
      <c r="F76" s="343"/>
      <c r="G76" s="354"/>
      <c r="H76" s="362"/>
      <c r="I76" s="362"/>
      <c r="J76" s="362"/>
      <c r="K76" s="355"/>
      <c r="L76" s="343"/>
      <c r="M76" s="354"/>
      <c r="N76" s="362"/>
      <c r="O76" s="362"/>
      <c r="P76" s="362"/>
      <c r="Q76" s="355"/>
    </row>
    <row r="77" spans="1:21" ht="14.25">
      <c r="A77" s="354"/>
      <c r="B77" s="362"/>
      <c r="C77" s="362"/>
      <c r="D77" s="362"/>
      <c r="E77" s="355"/>
      <c r="F77" s="343"/>
      <c r="G77" s="354"/>
      <c r="H77" s="362"/>
      <c r="I77" s="362"/>
      <c r="J77" s="362"/>
      <c r="K77" s="355"/>
      <c r="L77" s="343"/>
      <c r="M77" s="354"/>
      <c r="N77" s="362"/>
      <c r="O77" s="362"/>
      <c r="P77" s="362"/>
      <c r="Q77" s="355"/>
    </row>
    <row r="78" spans="1:21" ht="14.25">
      <c r="A78" s="354"/>
      <c r="B78" s="362"/>
      <c r="C78" s="362"/>
      <c r="D78" s="362"/>
      <c r="E78" s="355"/>
      <c r="F78" s="343"/>
      <c r="G78" s="354"/>
      <c r="H78" s="362"/>
      <c r="I78" s="362"/>
      <c r="J78" s="362"/>
      <c r="K78" s="355"/>
      <c r="L78" s="343"/>
      <c r="M78" s="354"/>
      <c r="N78" s="362"/>
      <c r="O78" s="362"/>
      <c r="P78" s="362"/>
      <c r="Q78" s="355"/>
    </row>
    <row r="79" spans="1:21" ht="14.25">
      <c r="A79" s="354"/>
      <c r="B79" s="362"/>
      <c r="C79" s="362"/>
      <c r="D79" s="362"/>
      <c r="E79" s="355"/>
      <c r="F79" s="343"/>
      <c r="G79" s="354"/>
      <c r="H79" s="362"/>
      <c r="I79" s="362"/>
      <c r="J79" s="362"/>
      <c r="K79" s="355"/>
      <c r="L79" s="343"/>
      <c r="M79" s="354"/>
      <c r="N79" s="362"/>
      <c r="O79" s="362"/>
      <c r="P79" s="362"/>
      <c r="Q79" s="355"/>
    </row>
    <row r="80" spans="1:21" ht="14.25">
      <c r="A80" s="354"/>
      <c r="B80" s="362"/>
      <c r="C80" s="362"/>
      <c r="D80" s="362"/>
      <c r="E80" s="355"/>
      <c r="F80" s="343"/>
      <c r="G80" s="354"/>
      <c r="H80" s="362"/>
      <c r="I80" s="362"/>
      <c r="J80" s="362"/>
      <c r="K80" s="355"/>
      <c r="L80" s="343"/>
      <c r="M80" s="354"/>
      <c r="N80" s="362"/>
      <c r="O80" s="362"/>
      <c r="P80" s="362"/>
      <c r="Q80" s="355"/>
    </row>
    <row r="81" spans="1:17" ht="14.25">
      <c r="A81" s="354"/>
      <c r="B81" s="362"/>
      <c r="C81" s="362"/>
      <c r="D81" s="362"/>
      <c r="E81" s="355"/>
      <c r="F81" s="356"/>
      <c r="G81" s="354"/>
      <c r="H81" s="362"/>
      <c r="I81" s="362"/>
      <c r="J81" s="362"/>
      <c r="K81" s="355"/>
      <c r="L81" s="343"/>
      <c r="M81" s="354"/>
      <c r="N81" s="362"/>
      <c r="O81" s="362"/>
      <c r="P81" s="362"/>
      <c r="Q81" s="355"/>
    </row>
    <row r="82" spans="1:17" ht="14.25">
      <c r="A82" s="354"/>
      <c r="B82" s="362"/>
      <c r="C82" s="362"/>
      <c r="D82" s="362"/>
      <c r="E82" s="355"/>
      <c r="F82" s="356"/>
      <c r="G82" s="354"/>
      <c r="H82" s="362"/>
      <c r="I82" s="362"/>
      <c r="J82" s="362"/>
      <c r="K82" s="355"/>
      <c r="L82" s="343"/>
      <c r="M82" s="354"/>
      <c r="N82" s="362"/>
      <c r="O82" s="362"/>
      <c r="P82" s="362"/>
      <c r="Q82" s="355"/>
    </row>
    <row r="83" spans="1:17" ht="14.25">
      <c r="A83" s="354"/>
      <c r="B83" s="362"/>
      <c r="C83" s="362"/>
      <c r="D83" s="362"/>
      <c r="E83" s="355"/>
      <c r="F83" s="356"/>
      <c r="G83" s="354"/>
      <c r="H83" s="362"/>
      <c r="I83" s="362"/>
      <c r="J83" s="362"/>
      <c r="K83" s="355"/>
      <c r="L83" s="343"/>
      <c r="M83" s="354"/>
      <c r="N83" s="362"/>
      <c r="O83" s="362"/>
      <c r="P83" s="362"/>
      <c r="Q83" s="355"/>
    </row>
    <row r="84" spans="1:17" ht="14.25">
      <c r="A84" s="354"/>
      <c r="B84" s="362"/>
      <c r="C84" s="362"/>
      <c r="D84" s="362"/>
      <c r="E84" s="355"/>
      <c r="F84" s="356"/>
      <c r="G84" s="354"/>
      <c r="H84" s="362"/>
      <c r="I84" s="362"/>
      <c r="J84" s="362"/>
      <c r="K84" s="355"/>
      <c r="L84" s="343"/>
      <c r="M84" s="354"/>
      <c r="N84" s="362"/>
      <c r="O84" s="362"/>
      <c r="P84" s="362"/>
      <c r="Q84" s="355"/>
    </row>
    <row r="85" spans="1:17" ht="14.25">
      <c r="A85" s="354"/>
      <c r="B85" s="362"/>
      <c r="C85" s="362"/>
      <c r="D85" s="362"/>
      <c r="E85" s="355"/>
      <c r="F85" s="356"/>
      <c r="G85" s="354"/>
      <c r="H85" s="362"/>
      <c r="I85" s="362"/>
      <c r="J85" s="362"/>
      <c r="K85" s="355"/>
      <c r="L85" s="343"/>
      <c r="M85" s="354"/>
      <c r="N85" s="362"/>
      <c r="O85" s="362"/>
      <c r="P85" s="362"/>
      <c r="Q85" s="355"/>
    </row>
    <row r="86" spans="1:17" ht="14.25">
      <c r="A86" s="354"/>
      <c r="B86" s="362"/>
      <c r="C86" s="362"/>
      <c r="D86" s="362"/>
      <c r="E86" s="355"/>
      <c r="F86" s="356"/>
      <c r="G86" s="354"/>
      <c r="H86" s="362"/>
      <c r="I86" s="362"/>
      <c r="J86" s="362"/>
      <c r="K86" s="355"/>
      <c r="L86" s="343"/>
      <c r="M86" s="354"/>
      <c r="N86" s="362"/>
      <c r="O86" s="362"/>
      <c r="P86" s="362"/>
      <c r="Q86" s="355"/>
    </row>
    <row r="87" spans="1:17" ht="14.25">
      <c r="A87" s="354"/>
      <c r="B87" s="362"/>
      <c r="C87" s="362"/>
      <c r="D87" s="362"/>
      <c r="E87" s="355"/>
      <c r="F87" s="356"/>
      <c r="G87" s="354"/>
      <c r="H87" s="362"/>
      <c r="I87" s="362"/>
      <c r="J87" s="362"/>
      <c r="K87" s="355"/>
      <c r="L87" s="343"/>
      <c r="M87" s="354"/>
      <c r="N87" s="362"/>
      <c r="O87" s="362"/>
      <c r="P87" s="362"/>
      <c r="Q87" s="355"/>
    </row>
    <row r="88" spans="1:17" ht="14.25">
      <c r="A88" s="354"/>
      <c r="B88" s="362"/>
      <c r="C88" s="362"/>
      <c r="D88" s="362"/>
      <c r="E88" s="355"/>
      <c r="F88" s="343"/>
      <c r="G88" s="354"/>
      <c r="H88" s="362"/>
      <c r="I88" s="362"/>
      <c r="J88" s="362"/>
      <c r="K88" s="355"/>
      <c r="L88" s="357"/>
      <c r="M88" s="354"/>
      <c r="N88" s="362"/>
      <c r="O88" s="362"/>
      <c r="P88" s="362"/>
      <c r="Q88" s="355"/>
    </row>
    <row r="89" spans="1:17" ht="15">
      <c r="A89" s="359"/>
      <c r="B89" s="344"/>
      <c r="C89" s="344"/>
      <c r="D89" s="344"/>
      <c r="E89" s="352"/>
      <c r="F89" s="356"/>
      <c r="G89" s="359"/>
      <c r="H89" s="344"/>
      <c r="I89" s="344"/>
      <c r="J89" s="344"/>
      <c r="K89" s="352"/>
      <c r="L89" s="343"/>
      <c r="M89" s="359"/>
      <c r="N89" s="344"/>
      <c r="O89" s="344"/>
      <c r="P89" s="344"/>
      <c r="Q89" s="352"/>
    </row>
    <row r="90" spans="1:17" ht="15">
      <c r="A90" s="340"/>
      <c r="B90" s="344"/>
      <c r="C90" s="344"/>
      <c r="D90" s="344"/>
      <c r="E90" s="355"/>
      <c r="F90" s="356"/>
      <c r="G90" s="340"/>
      <c r="H90" s="341"/>
      <c r="I90" s="341"/>
      <c r="J90" s="341"/>
      <c r="K90" s="342"/>
      <c r="L90" s="343"/>
      <c r="M90" s="340"/>
      <c r="N90" s="344"/>
      <c r="O90" s="344"/>
      <c r="P90" s="344"/>
      <c r="Q90" s="355"/>
    </row>
    <row r="91" spans="1:17" ht="15">
      <c r="A91" s="345"/>
      <c r="B91" s="345"/>
      <c r="C91" s="346"/>
      <c r="D91" s="346"/>
      <c r="E91" s="347"/>
      <c r="F91" s="343"/>
      <c r="G91" s="345"/>
      <c r="H91" s="345"/>
      <c r="I91" s="346"/>
      <c r="J91" s="346"/>
      <c r="K91" s="347"/>
      <c r="L91" s="343"/>
      <c r="M91" s="345"/>
      <c r="N91" s="345"/>
      <c r="O91" s="346"/>
      <c r="P91" s="346"/>
      <c r="Q91" s="345"/>
    </row>
    <row r="92" spans="1:17" ht="15">
      <c r="A92" s="350"/>
      <c r="B92" s="351"/>
      <c r="C92" s="351"/>
      <c r="D92" s="351"/>
      <c r="E92" s="352"/>
      <c r="F92" s="350"/>
      <c r="G92" s="350"/>
      <c r="H92" s="351"/>
      <c r="I92" s="351"/>
      <c r="J92" s="351"/>
      <c r="K92" s="352"/>
      <c r="L92" s="343"/>
      <c r="M92" s="350"/>
      <c r="N92" s="351"/>
      <c r="O92" s="351"/>
      <c r="P92" s="351"/>
      <c r="Q92" s="352"/>
    </row>
    <row r="93" spans="1:17" ht="14.25">
      <c r="A93" s="354"/>
      <c r="B93" s="362"/>
      <c r="C93" s="362"/>
      <c r="D93" s="362"/>
      <c r="E93" s="355"/>
      <c r="F93" s="343"/>
      <c r="G93" s="354"/>
      <c r="H93" s="362"/>
      <c r="I93" s="362"/>
      <c r="J93" s="362"/>
      <c r="K93" s="355"/>
      <c r="L93" s="343"/>
      <c r="M93" s="354"/>
      <c r="N93" s="362"/>
      <c r="O93" s="362"/>
      <c r="P93" s="362"/>
      <c r="Q93" s="355"/>
    </row>
    <row r="94" spans="1:17" ht="14.25">
      <c r="A94" s="354"/>
      <c r="B94" s="362"/>
      <c r="C94" s="362"/>
      <c r="D94" s="362"/>
      <c r="E94" s="355"/>
      <c r="F94" s="343"/>
      <c r="G94" s="354"/>
      <c r="H94" s="362"/>
      <c r="I94" s="362"/>
      <c r="J94" s="362"/>
      <c r="K94" s="355"/>
      <c r="L94" s="343"/>
      <c r="M94" s="354"/>
      <c r="N94" s="362"/>
      <c r="O94" s="362"/>
      <c r="P94" s="362"/>
      <c r="Q94" s="355"/>
    </row>
    <row r="95" spans="1:17" ht="14.25">
      <c r="A95" s="354"/>
      <c r="B95" s="362"/>
      <c r="C95" s="362"/>
      <c r="D95" s="362"/>
      <c r="E95" s="355"/>
      <c r="F95" s="343"/>
      <c r="G95" s="354"/>
      <c r="H95" s="362"/>
      <c r="I95" s="362"/>
      <c r="J95" s="362"/>
      <c r="K95" s="355"/>
      <c r="L95" s="343"/>
      <c r="M95" s="354"/>
      <c r="N95" s="362"/>
      <c r="O95" s="362"/>
      <c r="P95" s="362"/>
      <c r="Q95" s="355"/>
    </row>
    <row r="96" spans="1:17" ht="14.25">
      <c r="A96" s="354"/>
      <c r="B96" s="362"/>
      <c r="C96" s="362"/>
      <c r="D96" s="362"/>
      <c r="E96" s="355"/>
      <c r="F96" s="343"/>
      <c r="G96" s="354"/>
      <c r="H96" s="362"/>
      <c r="I96" s="362"/>
      <c r="J96" s="362"/>
      <c r="K96" s="355"/>
      <c r="L96" s="343"/>
      <c r="M96" s="354"/>
      <c r="N96" s="362"/>
      <c r="O96" s="362"/>
      <c r="P96" s="362"/>
      <c r="Q96" s="355"/>
    </row>
    <row r="97" spans="1:17" ht="14.25">
      <c r="A97" s="354"/>
      <c r="B97" s="362"/>
      <c r="C97" s="362"/>
      <c r="D97" s="362"/>
      <c r="E97" s="355"/>
      <c r="F97" s="343"/>
      <c r="G97" s="354"/>
      <c r="H97" s="362"/>
      <c r="I97" s="362"/>
      <c r="J97" s="362"/>
      <c r="K97" s="355"/>
      <c r="L97" s="343"/>
      <c r="M97" s="354"/>
      <c r="N97" s="362"/>
      <c r="O97" s="362"/>
      <c r="P97" s="362"/>
      <c r="Q97" s="355"/>
    </row>
    <row r="98" spans="1:17" ht="14.25">
      <c r="A98" s="354"/>
      <c r="B98" s="362"/>
      <c r="C98" s="362"/>
      <c r="D98" s="362"/>
      <c r="E98" s="355"/>
      <c r="F98" s="356"/>
      <c r="G98" s="354"/>
      <c r="H98" s="362"/>
      <c r="I98" s="362"/>
      <c r="J98" s="362"/>
      <c r="K98" s="355"/>
      <c r="L98" s="343"/>
      <c r="M98" s="354"/>
      <c r="N98" s="362"/>
      <c r="O98" s="362"/>
      <c r="P98" s="362"/>
      <c r="Q98" s="355"/>
    </row>
    <row r="99" spans="1:17" ht="14.25">
      <c r="A99" s="354"/>
      <c r="B99" s="362"/>
      <c r="C99" s="362"/>
      <c r="D99" s="362"/>
      <c r="E99" s="355"/>
      <c r="F99" s="356"/>
      <c r="G99" s="354"/>
      <c r="H99" s="362"/>
      <c r="I99" s="362"/>
      <c r="J99" s="362"/>
      <c r="K99" s="355"/>
      <c r="L99" s="343"/>
      <c r="M99" s="354"/>
      <c r="N99" s="362"/>
      <c r="O99" s="362"/>
      <c r="P99" s="362"/>
      <c r="Q99" s="355"/>
    </row>
    <row r="100" spans="1:17" ht="14.25">
      <c r="A100" s="354"/>
      <c r="B100" s="362"/>
      <c r="C100" s="362"/>
      <c r="D100" s="362"/>
      <c r="E100" s="355"/>
      <c r="F100" s="356"/>
      <c r="G100" s="354"/>
      <c r="H100" s="362"/>
      <c r="I100" s="362"/>
      <c r="J100" s="362"/>
      <c r="K100" s="355"/>
      <c r="L100" s="343"/>
      <c r="M100" s="354"/>
      <c r="N100" s="362"/>
      <c r="O100" s="362"/>
      <c r="P100" s="362"/>
      <c r="Q100" s="355"/>
    </row>
    <row r="101" spans="1:17" ht="14.25">
      <c r="A101" s="354"/>
      <c r="B101" s="362"/>
      <c r="C101" s="362"/>
      <c r="D101" s="362"/>
      <c r="E101" s="355"/>
      <c r="F101" s="356"/>
      <c r="G101" s="354"/>
      <c r="H101" s="362"/>
      <c r="I101" s="362"/>
      <c r="J101" s="362"/>
      <c r="K101" s="355"/>
      <c r="L101" s="343"/>
      <c r="M101" s="354"/>
      <c r="N101" s="362"/>
      <c r="O101" s="362"/>
      <c r="P101" s="362"/>
      <c r="Q101" s="355"/>
    </row>
    <row r="102" spans="1:17" ht="14.25">
      <c r="A102" s="354"/>
      <c r="B102" s="362"/>
      <c r="C102" s="362"/>
      <c r="D102" s="362"/>
      <c r="E102" s="355"/>
      <c r="F102" s="356"/>
      <c r="G102" s="354"/>
      <c r="H102" s="362"/>
      <c r="I102" s="362"/>
      <c r="J102" s="362"/>
      <c r="K102" s="355"/>
      <c r="L102" s="343"/>
      <c r="M102" s="354"/>
      <c r="N102" s="362"/>
      <c r="O102" s="362"/>
      <c r="P102" s="362"/>
      <c r="Q102" s="355"/>
    </row>
    <row r="103" spans="1:17" ht="14.25">
      <c r="A103" s="354"/>
      <c r="B103" s="362"/>
      <c r="C103" s="362"/>
      <c r="D103" s="362"/>
      <c r="E103" s="355"/>
      <c r="F103" s="356"/>
      <c r="G103" s="354"/>
      <c r="H103" s="362"/>
      <c r="I103" s="362"/>
      <c r="J103" s="362"/>
      <c r="K103" s="355"/>
      <c r="L103" s="343"/>
      <c r="M103" s="354"/>
      <c r="N103" s="362"/>
      <c r="O103" s="362"/>
      <c r="P103" s="362"/>
      <c r="Q103" s="355"/>
    </row>
    <row r="104" spans="1:17" ht="14.25">
      <c r="A104" s="354"/>
      <c r="B104" s="362"/>
      <c r="C104" s="362"/>
      <c r="D104" s="362"/>
      <c r="E104" s="355"/>
      <c r="F104" s="356"/>
      <c r="G104" s="354"/>
      <c r="H104" s="362"/>
      <c r="I104" s="362"/>
      <c r="J104" s="362"/>
      <c r="K104" s="355"/>
      <c r="L104" s="343"/>
      <c r="M104" s="354"/>
      <c r="N104" s="362"/>
      <c r="O104" s="362"/>
      <c r="P104" s="362"/>
      <c r="Q104" s="355"/>
    </row>
    <row r="105" spans="1:17" ht="14.25">
      <c r="A105" s="354"/>
      <c r="B105" s="362"/>
      <c r="C105" s="362"/>
      <c r="D105" s="362"/>
      <c r="E105" s="355"/>
      <c r="F105" s="343"/>
      <c r="G105" s="354"/>
      <c r="H105" s="362"/>
      <c r="I105" s="362"/>
      <c r="J105" s="362"/>
      <c r="K105" s="355"/>
      <c r="L105" s="357"/>
      <c r="M105" s="354"/>
      <c r="N105" s="362"/>
      <c r="O105" s="362"/>
      <c r="P105" s="362"/>
      <c r="Q105" s="355"/>
    </row>
    <row r="106" spans="1:17" ht="15">
      <c r="A106" s="359"/>
      <c r="B106" s="344"/>
      <c r="C106" s="344"/>
      <c r="D106" s="344"/>
      <c r="E106" s="352"/>
      <c r="F106" s="356"/>
      <c r="G106" s="359"/>
      <c r="H106" s="361"/>
      <c r="I106" s="361"/>
      <c r="J106" s="361"/>
      <c r="K106" s="352"/>
      <c r="L106" s="343"/>
      <c r="M106" s="359"/>
      <c r="N106" s="344"/>
      <c r="O106" s="344"/>
      <c r="P106" s="344"/>
      <c r="Q106" s="352"/>
    </row>
    <row r="107" spans="1:17" ht="15">
      <c r="A107" s="340"/>
      <c r="B107" s="344"/>
      <c r="C107" s="344"/>
      <c r="D107" s="344"/>
      <c r="E107" s="355"/>
      <c r="F107" s="356"/>
      <c r="G107" s="340"/>
      <c r="H107" s="341"/>
      <c r="I107" s="341"/>
      <c r="J107" s="341"/>
      <c r="K107" s="342"/>
      <c r="L107" s="343"/>
      <c r="M107" s="340"/>
      <c r="N107" s="344"/>
      <c r="O107" s="344"/>
      <c r="P107" s="344"/>
      <c r="Q107" s="355"/>
    </row>
    <row r="108" spans="1:17" ht="15">
      <c r="A108" s="345"/>
      <c r="B108" s="345"/>
      <c r="C108" s="346"/>
      <c r="D108" s="346"/>
      <c r="E108" s="347"/>
      <c r="F108" s="343"/>
      <c r="G108" s="345"/>
      <c r="H108" s="345"/>
      <c r="I108" s="346"/>
      <c r="J108" s="346"/>
      <c r="K108" s="347"/>
      <c r="L108" s="343"/>
      <c r="M108" s="345"/>
      <c r="N108" s="345"/>
      <c r="O108" s="346"/>
      <c r="P108" s="346"/>
      <c r="Q108" s="345"/>
    </row>
    <row r="109" spans="1:17" ht="15">
      <c r="A109" s="350"/>
      <c r="B109" s="351"/>
      <c r="C109" s="351"/>
      <c r="D109" s="351"/>
      <c r="E109" s="352"/>
      <c r="F109" s="350"/>
      <c r="G109" s="350"/>
      <c r="H109" s="351"/>
      <c r="I109" s="351"/>
      <c r="J109" s="351"/>
      <c r="K109" s="352"/>
      <c r="L109" s="343"/>
      <c r="M109" s="350"/>
      <c r="N109" s="351"/>
      <c r="O109" s="351"/>
      <c r="P109" s="351"/>
      <c r="Q109" s="352"/>
    </row>
    <row r="110" spans="1:17" ht="14.25">
      <c r="A110" s="354"/>
      <c r="B110" s="362"/>
      <c r="C110" s="362"/>
      <c r="D110" s="362"/>
      <c r="E110" s="355"/>
      <c r="F110" s="343"/>
      <c r="G110" s="354"/>
      <c r="H110" s="362"/>
      <c r="I110" s="362"/>
      <c r="J110" s="362"/>
      <c r="K110" s="355"/>
      <c r="L110" s="343"/>
      <c r="M110" s="354"/>
      <c r="N110" s="362"/>
      <c r="O110" s="362"/>
      <c r="P110" s="362"/>
      <c r="Q110" s="355"/>
    </row>
    <row r="111" spans="1:17" ht="14.25">
      <c r="A111" s="354"/>
      <c r="B111" s="362"/>
      <c r="C111" s="362"/>
      <c r="D111" s="362"/>
      <c r="E111" s="355"/>
      <c r="F111" s="343"/>
      <c r="G111" s="354"/>
      <c r="H111" s="362"/>
      <c r="I111" s="362"/>
      <c r="J111" s="362"/>
      <c r="K111" s="355"/>
      <c r="L111" s="343"/>
      <c r="M111" s="354"/>
      <c r="N111" s="362"/>
      <c r="O111" s="362"/>
      <c r="P111" s="362"/>
      <c r="Q111" s="355"/>
    </row>
    <row r="112" spans="1:17" ht="14.25">
      <c r="A112" s="354"/>
      <c r="B112" s="362"/>
      <c r="C112" s="362"/>
      <c r="D112" s="362"/>
      <c r="E112" s="355"/>
      <c r="F112" s="343"/>
      <c r="G112" s="354"/>
      <c r="H112" s="362"/>
      <c r="I112" s="362"/>
      <c r="J112" s="362"/>
      <c r="K112" s="355"/>
      <c r="L112" s="343"/>
      <c r="M112" s="354"/>
      <c r="N112" s="362"/>
      <c r="O112" s="362"/>
      <c r="P112" s="362"/>
      <c r="Q112" s="355"/>
    </row>
    <row r="113" spans="1:17" ht="14.25">
      <c r="A113" s="354"/>
      <c r="B113" s="362"/>
      <c r="C113" s="362"/>
      <c r="D113" s="362"/>
      <c r="E113" s="355"/>
      <c r="F113" s="343"/>
      <c r="G113" s="354"/>
      <c r="H113" s="362"/>
      <c r="I113" s="362"/>
      <c r="J113" s="362"/>
      <c r="K113" s="355"/>
      <c r="L113" s="343"/>
      <c r="M113" s="354"/>
      <c r="N113" s="362"/>
      <c r="O113" s="362"/>
      <c r="P113" s="362"/>
      <c r="Q113" s="355"/>
    </row>
    <row r="114" spans="1:17" ht="14.25">
      <c r="A114" s="354"/>
      <c r="B114" s="362"/>
      <c r="C114" s="362"/>
      <c r="D114" s="362"/>
      <c r="E114" s="355"/>
      <c r="F114" s="343"/>
      <c r="G114" s="354"/>
      <c r="H114" s="362"/>
      <c r="I114" s="362"/>
      <c r="J114" s="362"/>
      <c r="K114" s="355"/>
      <c r="L114" s="343"/>
      <c r="M114" s="354"/>
      <c r="N114" s="362"/>
      <c r="O114" s="362"/>
      <c r="P114" s="362"/>
      <c r="Q114" s="355"/>
    </row>
    <row r="115" spans="1:17" ht="14.25">
      <c r="A115" s="354"/>
      <c r="B115" s="362"/>
      <c r="C115" s="362"/>
      <c r="D115" s="362"/>
      <c r="E115" s="355"/>
      <c r="F115" s="356"/>
      <c r="G115" s="354"/>
      <c r="H115" s="362"/>
      <c r="I115" s="362"/>
      <c r="J115" s="362"/>
      <c r="K115" s="355"/>
      <c r="L115" s="343"/>
      <c r="M115" s="354"/>
      <c r="N115" s="362"/>
      <c r="O115" s="362"/>
      <c r="P115" s="362"/>
      <c r="Q115" s="355"/>
    </row>
    <row r="116" spans="1:17" ht="14.25">
      <c r="A116" s="354"/>
      <c r="B116" s="362"/>
      <c r="C116" s="362"/>
      <c r="D116" s="362"/>
      <c r="E116" s="355"/>
      <c r="F116" s="356"/>
      <c r="G116" s="354"/>
      <c r="H116" s="362"/>
      <c r="I116" s="362"/>
      <c r="J116" s="362"/>
      <c r="K116" s="355"/>
      <c r="L116" s="343"/>
      <c r="M116" s="354"/>
      <c r="N116" s="362"/>
      <c r="O116" s="362"/>
      <c r="P116" s="362"/>
      <c r="Q116" s="355"/>
    </row>
    <row r="117" spans="1:17" ht="14.25">
      <c r="A117" s="354"/>
      <c r="B117" s="362"/>
      <c r="C117" s="362"/>
      <c r="D117" s="362"/>
      <c r="E117" s="355"/>
      <c r="F117" s="356"/>
      <c r="G117" s="354"/>
      <c r="H117" s="362"/>
      <c r="I117" s="362"/>
      <c r="J117" s="362"/>
      <c r="K117" s="355"/>
      <c r="L117" s="343"/>
      <c r="M117" s="354"/>
      <c r="N117" s="362"/>
      <c r="O117" s="362"/>
      <c r="P117" s="362"/>
      <c r="Q117" s="355"/>
    </row>
    <row r="118" spans="1:17" ht="14.25">
      <c r="A118" s="354"/>
      <c r="B118" s="362"/>
      <c r="C118" s="362"/>
      <c r="D118" s="362"/>
      <c r="E118" s="355"/>
      <c r="F118" s="356"/>
      <c r="G118" s="354"/>
      <c r="H118" s="362"/>
      <c r="I118" s="362"/>
      <c r="J118" s="362"/>
      <c r="K118" s="355"/>
      <c r="L118" s="343"/>
      <c r="M118" s="354"/>
      <c r="N118" s="362"/>
      <c r="O118" s="362"/>
      <c r="P118" s="362"/>
      <c r="Q118" s="355"/>
    </row>
    <row r="119" spans="1:17" ht="14.25">
      <c r="A119" s="354"/>
      <c r="B119" s="362"/>
      <c r="C119" s="362"/>
      <c r="D119" s="362"/>
      <c r="E119" s="355"/>
      <c r="F119" s="356"/>
      <c r="G119" s="354"/>
      <c r="H119" s="362"/>
      <c r="I119" s="362"/>
      <c r="J119" s="362"/>
      <c r="K119" s="355"/>
      <c r="L119" s="343"/>
      <c r="M119" s="354"/>
      <c r="N119" s="362"/>
      <c r="O119" s="362"/>
      <c r="P119" s="362"/>
      <c r="Q119" s="355"/>
    </row>
    <row r="120" spans="1:17" ht="14.25">
      <c r="A120" s="354"/>
      <c r="B120" s="362"/>
      <c r="C120" s="362"/>
      <c r="D120" s="362"/>
      <c r="E120" s="355"/>
      <c r="F120" s="356"/>
      <c r="G120" s="354"/>
      <c r="H120" s="362"/>
      <c r="I120" s="362"/>
      <c r="J120" s="362"/>
      <c r="K120" s="355"/>
      <c r="L120" s="343"/>
      <c r="M120" s="354"/>
      <c r="N120" s="362"/>
      <c r="O120" s="362"/>
      <c r="P120" s="362"/>
      <c r="Q120" s="355"/>
    </row>
    <row r="121" spans="1:17" ht="14.25">
      <c r="A121" s="354"/>
      <c r="B121" s="362"/>
      <c r="C121" s="362"/>
      <c r="D121" s="362"/>
      <c r="E121" s="355"/>
      <c r="F121" s="356"/>
      <c r="G121" s="354"/>
      <c r="H121" s="362"/>
      <c r="I121" s="362"/>
      <c r="J121" s="362"/>
      <c r="K121" s="355"/>
      <c r="L121" s="343"/>
      <c r="M121" s="354"/>
      <c r="N121" s="362"/>
      <c r="O121" s="362"/>
      <c r="P121" s="362"/>
      <c r="Q121" s="355"/>
    </row>
    <row r="122" spans="1:17" ht="14.25">
      <c r="A122" s="354"/>
      <c r="B122" s="362"/>
      <c r="C122" s="362"/>
      <c r="D122" s="362"/>
      <c r="E122" s="355"/>
      <c r="F122" s="343"/>
      <c r="G122" s="354"/>
      <c r="H122" s="362"/>
      <c r="I122" s="362"/>
      <c r="J122" s="362"/>
      <c r="K122" s="355"/>
      <c r="L122" s="357"/>
      <c r="M122" s="354"/>
      <c r="N122" s="362"/>
      <c r="O122" s="362"/>
      <c r="P122" s="362"/>
      <c r="Q122" s="355"/>
    </row>
    <row r="123" spans="1:17" ht="15">
      <c r="A123" s="359"/>
      <c r="B123" s="344"/>
      <c r="C123" s="344"/>
      <c r="D123" s="344"/>
      <c r="E123" s="352"/>
      <c r="F123" s="356"/>
      <c r="G123" s="359"/>
      <c r="H123" s="344"/>
      <c r="I123" s="344"/>
      <c r="J123" s="344"/>
      <c r="K123" s="352"/>
      <c r="L123" s="343"/>
      <c r="M123" s="359"/>
      <c r="N123" s="344"/>
      <c r="O123" s="344"/>
      <c r="P123" s="344"/>
      <c r="Q123" s="352"/>
    </row>
    <row r="124" spans="1:17" ht="15">
      <c r="A124" s="340"/>
      <c r="B124" s="344"/>
      <c r="C124" s="344"/>
      <c r="D124" s="344"/>
      <c r="E124" s="355"/>
      <c r="F124" s="356"/>
      <c r="G124" s="340"/>
      <c r="H124" s="341"/>
      <c r="I124" s="341"/>
      <c r="J124" s="341"/>
      <c r="K124" s="342"/>
      <c r="L124" s="343"/>
      <c r="M124" s="340"/>
      <c r="N124" s="341"/>
      <c r="O124" s="341"/>
      <c r="P124" s="341"/>
      <c r="Q124" s="342"/>
    </row>
    <row r="125" spans="1:17" ht="15">
      <c r="A125" s="345"/>
      <c r="B125" s="345"/>
      <c r="C125" s="346"/>
      <c r="D125" s="346"/>
      <c r="E125" s="347"/>
      <c r="F125" s="343"/>
      <c r="G125" s="345"/>
      <c r="H125" s="345"/>
      <c r="I125" s="346"/>
      <c r="J125" s="346"/>
      <c r="K125" s="347"/>
      <c r="L125" s="343"/>
      <c r="M125" s="345"/>
      <c r="N125" s="345"/>
      <c r="O125" s="346"/>
      <c r="P125" s="346"/>
      <c r="Q125" s="347"/>
    </row>
    <row r="126" spans="1:17" ht="15">
      <c r="A126" s="350"/>
      <c r="B126" s="351"/>
      <c r="C126" s="351"/>
      <c r="D126" s="351"/>
      <c r="E126" s="352"/>
      <c r="F126" s="350"/>
      <c r="G126" s="350"/>
      <c r="H126" s="351"/>
      <c r="I126" s="351"/>
      <c r="J126" s="351"/>
      <c r="K126" s="352"/>
      <c r="L126" s="343"/>
      <c r="M126" s="350"/>
      <c r="N126" s="351"/>
      <c r="O126" s="351"/>
      <c r="P126" s="351"/>
      <c r="Q126" s="352"/>
    </row>
    <row r="127" spans="1:17" ht="14.25">
      <c r="A127" s="354"/>
      <c r="B127" s="362"/>
      <c r="C127" s="362"/>
      <c r="D127" s="362"/>
      <c r="E127" s="355"/>
      <c r="F127" s="343"/>
      <c r="G127" s="354"/>
      <c r="H127" s="362"/>
      <c r="I127" s="362"/>
      <c r="J127" s="362"/>
      <c r="K127" s="355"/>
      <c r="L127" s="343"/>
      <c r="M127" s="354"/>
      <c r="N127" s="362"/>
      <c r="O127" s="362"/>
      <c r="P127" s="362"/>
      <c r="Q127" s="355"/>
    </row>
    <row r="128" spans="1:17" ht="14.25">
      <c r="A128" s="354"/>
      <c r="B128" s="362"/>
      <c r="C128" s="362"/>
      <c r="D128" s="362"/>
      <c r="E128" s="355"/>
      <c r="F128" s="343"/>
      <c r="G128" s="354"/>
      <c r="H128" s="362"/>
      <c r="I128" s="362"/>
      <c r="J128" s="362"/>
      <c r="K128" s="355"/>
      <c r="L128" s="343"/>
      <c r="M128" s="354"/>
      <c r="N128" s="362"/>
      <c r="O128" s="362"/>
      <c r="P128" s="362"/>
      <c r="Q128" s="355"/>
    </row>
    <row r="129" spans="1:17" ht="14.25">
      <c r="A129" s="354"/>
      <c r="B129" s="362"/>
      <c r="C129" s="362"/>
      <c r="D129" s="362"/>
      <c r="E129" s="355"/>
      <c r="F129" s="343"/>
      <c r="G129" s="354"/>
      <c r="H129" s="362"/>
      <c r="I129" s="362"/>
      <c r="J129" s="362"/>
      <c r="K129" s="355"/>
      <c r="L129" s="343"/>
      <c r="M129" s="354"/>
      <c r="N129" s="362"/>
      <c r="O129" s="362"/>
      <c r="P129" s="362"/>
      <c r="Q129" s="355"/>
    </row>
    <row r="130" spans="1:17" ht="14.25">
      <c r="A130" s="354"/>
      <c r="B130" s="362"/>
      <c r="C130" s="362"/>
      <c r="D130" s="362"/>
      <c r="E130" s="355"/>
      <c r="F130" s="343"/>
      <c r="G130" s="354"/>
      <c r="H130" s="362"/>
      <c r="I130" s="362"/>
      <c r="J130" s="362"/>
      <c r="K130" s="355"/>
      <c r="L130" s="343"/>
      <c r="M130" s="354"/>
      <c r="N130" s="362"/>
      <c r="O130" s="362"/>
      <c r="P130" s="362"/>
      <c r="Q130" s="355"/>
    </row>
    <row r="131" spans="1:17" ht="14.25">
      <c r="A131" s="354"/>
      <c r="B131" s="362"/>
      <c r="C131" s="362"/>
      <c r="D131" s="362"/>
      <c r="E131" s="355"/>
      <c r="F131" s="343"/>
      <c r="G131" s="354"/>
      <c r="H131" s="362"/>
      <c r="I131" s="362"/>
      <c r="J131" s="362"/>
      <c r="K131" s="355"/>
      <c r="L131" s="343"/>
      <c r="M131" s="354"/>
      <c r="N131" s="362"/>
      <c r="O131" s="362"/>
      <c r="P131" s="362"/>
      <c r="Q131" s="355"/>
    </row>
    <row r="132" spans="1:17" ht="14.25">
      <c r="A132" s="354"/>
      <c r="B132" s="362"/>
      <c r="C132" s="362"/>
      <c r="D132" s="362"/>
      <c r="E132" s="355"/>
      <c r="F132" s="356"/>
      <c r="G132" s="354"/>
      <c r="H132" s="362"/>
      <c r="I132" s="362"/>
      <c r="J132" s="362"/>
      <c r="K132" s="355"/>
      <c r="L132" s="343"/>
      <c r="M132" s="354"/>
      <c r="N132" s="362"/>
      <c r="O132" s="362"/>
      <c r="P132" s="362"/>
      <c r="Q132" s="355"/>
    </row>
    <row r="133" spans="1:17" ht="14.25">
      <c r="A133" s="354"/>
      <c r="B133" s="362"/>
      <c r="C133" s="362"/>
      <c r="D133" s="362"/>
      <c r="E133" s="355"/>
      <c r="F133" s="356"/>
      <c r="G133" s="354"/>
      <c r="H133" s="362"/>
      <c r="I133" s="362"/>
      <c r="J133" s="362"/>
      <c r="K133" s="355"/>
      <c r="L133" s="343"/>
      <c r="M133" s="354"/>
      <c r="N133" s="362"/>
      <c r="O133" s="362"/>
      <c r="P133" s="362"/>
      <c r="Q133" s="355"/>
    </row>
    <row r="134" spans="1:17" ht="14.25">
      <c r="A134" s="354"/>
      <c r="B134" s="362"/>
      <c r="C134" s="362"/>
      <c r="D134" s="362"/>
      <c r="E134" s="355"/>
      <c r="F134" s="356"/>
      <c r="G134" s="354"/>
      <c r="H134" s="362"/>
      <c r="I134" s="362"/>
      <c r="J134" s="362"/>
      <c r="K134" s="355"/>
      <c r="L134" s="343"/>
      <c r="M134" s="354"/>
      <c r="N134" s="362"/>
      <c r="O134" s="362"/>
      <c r="P134" s="362"/>
      <c r="Q134" s="355"/>
    </row>
    <row r="135" spans="1:17" ht="14.25">
      <c r="A135" s="354"/>
      <c r="B135" s="362"/>
      <c r="C135" s="362"/>
      <c r="D135" s="362"/>
      <c r="E135" s="355"/>
      <c r="F135" s="356"/>
      <c r="G135" s="354"/>
      <c r="H135" s="362"/>
      <c r="I135" s="362"/>
      <c r="J135" s="362"/>
      <c r="K135" s="355"/>
      <c r="L135" s="343"/>
      <c r="M135" s="354"/>
      <c r="N135" s="362"/>
      <c r="O135" s="362"/>
      <c r="P135" s="362"/>
      <c r="Q135" s="355"/>
    </row>
    <row r="136" spans="1:17" ht="14.25">
      <c r="A136" s="354"/>
      <c r="B136" s="362"/>
      <c r="C136" s="362"/>
      <c r="D136" s="362"/>
      <c r="E136" s="355"/>
      <c r="F136" s="356"/>
      <c r="G136" s="354"/>
      <c r="H136" s="362"/>
      <c r="I136" s="362"/>
      <c r="J136" s="362"/>
      <c r="K136" s="355"/>
      <c r="L136" s="343"/>
      <c r="M136" s="354"/>
      <c r="N136" s="362"/>
      <c r="O136" s="362"/>
      <c r="P136" s="362"/>
      <c r="Q136" s="355"/>
    </row>
    <row r="137" spans="1:17" ht="14.25">
      <c r="A137" s="354"/>
      <c r="B137" s="362"/>
      <c r="C137" s="362"/>
      <c r="D137" s="362"/>
      <c r="E137" s="355"/>
      <c r="F137" s="356"/>
      <c r="G137" s="354"/>
      <c r="H137" s="362"/>
      <c r="I137" s="362"/>
      <c r="J137" s="362"/>
      <c r="K137" s="355"/>
      <c r="L137" s="343"/>
      <c r="M137" s="354"/>
      <c r="N137" s="362"/>
      <c r="O137" s="362"/>
      <c r="P137" s="362"/>
      <c r="Q137" s="355"/>
    </row>
    <row r="138" spans="1:17" ht="14.25">
      <c r="A138" s="354"/>
      <c r="B138" s="362"/>
      <c r="C138" s="362"/>
      <c r="D138" s="362"/>
      <c r="E138" s="355"/>
      <c r="F138" s="356"/>
      <c r="G138" s="354"/>
      <c r="H138" s="362"/>
      <c r="I138" s="362"/>
      <c r="J138" s="362"/>
      <c r="K138" s="355"/>
      <c r="L138" s="343"/>
      <c r="M138" s="354"/>
      <c r="N138" s="362"/>
      <c r="O138" s="362"/>
      <c r="P138" s="362"/>
      <c r="Q138" s="355"/>
    </row>
    <row r="139" spans="1:17" ht="14.25">
      <c r="A139" s="354"/>
      <c r="B139" s="362"/>
      <c r="C139" s="362"/>
      <c r="D139" s="362"/>
      <c r="E139" s="355"/>
      <c r="F139" s="343"/>
      <c r="G139" s="354"/>
      <c r="H139" s="362"/>
      <c r="I139" s="362"/>
      <c r="J139" s="362"/>
      <c r="K139" s="355"/>
      <c r="L139" s="357"/>
      <c r="M139" s="354"/>
      <c r="N139" s="362"/>
      <c r="O139" s="362"/>
      <c r="P139" s="362"/>
      <c r="Q139" s="355"/>
    </row>
    <row r="140" spans="1:17" ht="15">
      <c r="A140" s="359"/>
      <c r="B140" s="344"/>
      <c r="C140" s="344"/>
      <c r="D140" s="344"/>
      <c r="E140" s="352"/>
      <c r="F140" s="356"/>
      <c r="G140" s="359"/>
      <c r="H140" s="344"/>
      <c r="I140" s="344"/>
      <c r="J140" s="344"/>
      <c r="K140" s="352"/>
      <c r="L140" s="343"/>
      <c r="M140" s="359"/>
      <c r="N140" s="361"/>
      <c r="O140" s="361"/>
      <c r="P140" s="361"/>
      <c r="Q140" s="352"/>
    </row>
    <row r="141" spans="1:17" ht="15">
      <c r="A141" s="340"/>
      <c r="B141" s="344"/>
      <c r="C141" s="344"/>
      <c r="D141" s="344"/>
      <c r="E141" s="355"/>
      <c r="F141" s="356"/>
      <c r="G141" s="340"/>
      <c r="H141" s="341"/>
      <c r="I141" s="341"/>
      <c r="J141" s="341"/>
      <c r="K141" s="342"/>
      <c r="L141" s="343"/>
      <c r="M141" s="340"/>
      <c r="N141" s="344"/>
      <c r="O141" s="344"/>
      <c r="P141" s="344"/>
      <c r="Q141" s="355"/>
    </row>
    <row r="142" spans="1:17" ht="15">
      <c r="A142" s="345"/>
      <c r="B142" s="345"/>
      <c r="C142" s="346"/>
      <c r="D142" s="346"/>
      <c r="E142" s="347"/>
      <c r="F142" s="343"/>
      <c r="G142" s="345"/>
      <c r="H142" s="345"/>
      <c r="I142" s="346"/>
      <c r="J142" s="346"/>
      <c r="K142" s="347"/>
      <c r="L142" s="343"/>
      <c r="M142" s="345"/>
      <c r="N142" s="345"/>
      <c r="O142" s="346"/>
      <c r="P142" s="346"/>
      <c r="Q142" s="345"/>
    </row>
    <row r="143" spans="1:17" ht="15">
      <c r="A143" s="350"/>
      <c r="B143" s="351"/>
      <c r="C143" s="351"/>
      <c r="D143" s="351"/>
      <c r="E143" s="352"/>
      <c r="F143" s="350"/>
      <c r="G143" s="350"/>
      <c r="H143" s="351"/>
      <c r="I143" s="351"/>
      <c r="J143" s="351"/>
      <c r="K143" s="352"/>
      <c r="L143" s="343"/>
      <c r="M143" s="350"/>
      <c r="N143" s="351"/>
      <c r="O143" s="351"/>
      <c r="P143" s="351"/>
      <c r="Q143" s="352"/>
    </row>
    <row r="144" spans="1:17" ht="14.25">
      <c r="A144" s="354"/>
      <c r="B144" s="362"/>
      <c r="C144" s="362"/>
      <c r="D144" s="362"/>
      <c r="E144" s="355"/>
      <c r="F144" s="343"/>
      <c r="G144" s="354"/>
      <c r="H144" s="362"/>
      <c r="I144" s="362"/>
      <c r="J144" s="362"/>
      <c r="K144" s="355"/>
      <c r="L144" s="343"/>
      <c r="M144" s="354"/>
      <c r="N144" s="362"/>
      <c r="O144" s="362"/>
      <c r="P144" s="362"/>
      <c r="Q144" s="355"/>
    </row>
    <row r="145" spans="1:17" ht="14.25">
      <c r="A145" s="354"/>
      <c r="B145" s="362"/>
      <c r="C145" s="362"/>
      <c r="D145" s="362"/>
      <c r="E145" s="355"/>
      <c r="F145" s="343"/>
      <c r="G145" s="354"/>
      <c r="H145" s="362"/>
      <c r="I145" s="362"/>
      <c r="J145" s="362"/>
      <c r="K145" s="355"/>
      <c r="L145" s="343"/>
      <c r="M145" s="354"/>
      <c r="N145" s="362"/>
      <c r="O145" s="362"/>
      <c r="P145" s="362"/>
      <c r="Q145" s="355"/>
    </row>
    <row r="146" spans="1:17" ht="14.25">
      <c r="A146" s="354"/>
      <c r="B146" s="362"/>
      <c r="C146" s="362"/>
      <c r="D146" s="362"/>
      <c r="E146" s="355"/>
      <c r="F146" s="343"/>
      <c r="G146" s="354"/>
      <c r="H146" s="362"/>
      <c r="I146" s="362"/>
      <c r="J146" s="362"/>
      <c r="K146" s="355"/>
      <c r="L146" s="343"/>
      <c r="M146" s="354"/>
      <c r="N146" s="362"/>
      <c r="O146" s="362"/>
      <c r="P146" s="362"/>
      <c r="Q146" s="355"/>
    </row>
    <row r="147" spans="1:17" ht="14.25">
      <c r="A147" s="354"/>
      <c r="B147" s="362"/>
      <c r="C147" s="362"/>
      <c r="D147" s="362"/>
      <c r="E147" s="355"/>
      <c r="F147" s="343"/>
      <c r="G147" s="354"/>
      <c r="H147" s="362"/>
      <c r="I147" s="362"/>
      <c r="J147" s="362"/>
      <c r="K147" s="355"/>
      <c r="L147" s="343"/>
      <c r="M147" s="354"/>
      <c r="N147" s="362"/>
      <c r="O147" s="362"/>
      <c r="P147" s="362"/>
      <c r="Q147" s="355"/>
    </row>
    <row r="148" spans="1:17" ht="14.25">
      <c r="A148" s="354"/>
      <c r="B148" s="362"/>
      <c r="C148" s="362"/>
      <c r="D148" s="362"/>
      <c r="E148" s="355"/>
      <c r="F148" s="343"/>
      <c r="G148" s="354"/>
      <c r="H148" s="362"/>
      <c r="I148" s="362"/>
      <c r="J148" s="362"/>
      <c r="K148" s="355"/>
      <c r="L148" s="343"/>
      <c r="M148" s="354"/>
      <c r="N148" s="362"/>
      <c r="O148" s="362"/>
      <c r="P148" s="362"/>
      <c r="Q148" s="355"/>
    </row>
    <row r="149" spans="1:17" ht="14.25">
      <c r="A149" s="354"/>
      <c r="B149" s="362"/>
      <c r="C149" s="362"/>
      <c r="D149" s="362"/>
      <c r="E149" s="355"/>
      <c r="F149" s="356"/>
      <c r="G149" s="354"/>
      <c r="H149" s="362"/>
      <c r="I149" s="362"/>
      <c r="J149" s="362"/>
      <c r="K149" s="355"/>
      <c r="L149" s="343"/>
      <c r="M149" s="354"/>
      <c r="N149" s="362"/>
      <c r="O149" s="362"/>
      <c r="P149" s="362"/>
      <c r="Q149" s="355"/>
    </row>
    <row r="150" spans="1:17" ht="14.25">
      <c r="A150" s="354"/>
      <c r="B150" s="362"/>
      <c r="C150" s="362"/>
      <c r="D150" s="362"/>
      <c r="E150" s="355"/>
      <c r="F150" s="356"/>
      <c r="G150" s="354"/>
      <c r="H150" s="362"/>
      <c r="I150" s="362"/>
      <c r="J150" s="362"/>
      <c r="K150" s="355"/>
      <c r="L150" s="343"/>
      <c r="M150" s="354"/>
      <c r="N150" s="362"/>
      <c r="O150" s="362"/>
      <c r="P150" s="362"/>
      <c r="Q150" s="355"/>
    </row>
    <row r="151" spans="1:17" ht="14.25">
      <c r="A151" s="354"/>
      <c r="B151" s="362"/>
      <c r="C151" s="362"/>
      <c r="D151" s="362"/>
      <c r="E151" s="355"/>
      <c r="F151" s="356"/>
      <c r="G151" s="354"/>
      <c r="H151" s="362"/>
      <c r="I151" s="362"/>
      <c r="J151" s="362"/>
      <c r="K151" s="355"/>
      <c r="L151" s="343"/>
      <c r="M151" s="354"/>
      <c r="N151" s="362"/>
      <c r="O151" s="362"/>
      <c r="P151" s="362"/>
      <c r="Q151" s="355"/>
    </row>
    <row r="152" spans="1:17" ht="14.25">
      <c r="A152" s="354"/>
      <c r="B152" s="362"/>
      <c r="C152" s="362"/>
      <c r="D152" s="362"/>
      <c r="E152" s="355"/>
      <c r="F152" s="356"/>
      <c r="G152" s="354"/>
      <c r="H152" s="362"/>
      <c r="I152" s="362"/>
      <c r="J152" s="362"/>
      <c r="K152" s="355"/>
      <c r="L152" s="343"/>
      <c r="M152" s="354"/>
      <c r="N152" s="362"/>
      <c r="O152" s="362"/>
      <c r="P152" s="362"/>
      <c r="Q152" s="355"/>
    </row>
    <row r="153" spans="1:17" ht="14.25">
      <c r="A153" s="354"/>
      <c r="B153" s="362"/>
      <c r="C153" s="362"/>
      <c r="D153" s="362"/>
      <c r="E153" s="355"/>
      <c r="F153" s="356"/>
      <c r="G153" s="354"/>
      <c r="H153" s="362"/>
      <c r="I153" s="362"/>
      <c r="J153" s="362"/>
      <c r="K153" s="355"/>
      <c r="L153" s="343"/>
      <c r="M153" s="354"/>
      <c r="N153" s="362"/>
      <c r="O153" s="362"/>
      <c r="P153" s="362"/>
      <c r="Q153" s="355"/>
    </row>
    <row r="154" spans="1:17" ht="14.25">
      <c r="A154" s="354"/>
      <c r="B154" s="362"/>
      <c r="C154" s="362"/>
      <c r="D154" s="362"/>
      <c r="E154" s="355"/>
      <c r="F154" s="356"/>
      <c r="G154" s="354"/>
      <c r="H154" s="362"/>
      <c r="I154" s="362"/>
      <c r="J154" s="362"/>
      <c r="K154" s="355"/>
      <c r="L154" s="343"/>
      <c r="M154" s="354"/>
      <c r="N154" s="362"/>
      <c r="O154" s="362"/>
      <c r="P154" s="362"/>
      <c r="Q154" s="355"/>
    </row>
    <row r="155" spans="1:17" ht="14.25">
      <c r="A155" s="354"/>
      <c r="B155" s="362"/>
      <c r="C155" s="362"/>
      <c r="D155" s="362"/>
      <c r="E155" s="355"/>
      <c r="F155" s="356"/>
      <c r="G155" s="354"/>
      <c r="H155" s="362"/>
      <c r="I155" s="362"/>
      <c r="J155" s="362"/>
      <c r="K155" s="355"/>
      <c r="L155" s="343"/>
      <c r="M155" s="354"/>
      <c r="N155" s="362"/>
      <c r="O155" s="362"/>
      <c r="P155" s="362"/>
      <c r="Q155" s="355"/>
    </row>
    <row r="156" spans="1:17" ht="14.25">
      <c r="A156" s="354"/>
      <c r="B156" s="362"/>
      <c r="C156" s="362"/>
      <c r="D156" s="362"/>
      <c r="E156" s="355"/>
      <c r="F156" s="343"/>
      <c r="G156" s="354"/>
      <c r="H156" s="362"/>
      <c r="I156" s="362"/>
      <c r="J156" s="362"/>
      <c r="K156" s="355"/>
      <c r="L156" s="343"/>
      <c r="M156" s="354"/>
      <c r="N156" s="362"/>
      <c r="O156" s="362"/>
      <c r="P156" s="362"/>
      <c r="Q156" s="355"/>
    </row>
    <row r="157" spans="1:17" ht="15">
      <c r="A157" s="359"/>
      <c r="B157" s="344"/>
      <c r="C157" s="344"/>
      <c r="D157" s="344"/>
      <c r="E157" s="352"/>
      <c r="F157" s="356"/>
      <c r="G157" s="359"/>
      <c r="H157" s="344"/>
      <c r="I157" s="344"/>
      <c r="J157" s="344"/>
      <c r="K157" s="352"/>
      <c r="L157" s="343"/>
      <c r="M157" s="359"/>
      <c r="N157" s="344"/>
      <c r="O157" s="344"/>
      <c r="P157" s="344"/>
      <c r="Q157" s="352"/>
    </row>
    <row r="158" spans="1:17" ht="15">
      <c r="A158" s="340"/>
      <c r="B158" s="344"/>
      <c r="C158" s="344"/>
      <c r="D158" s="344"/>
      <c r="E158" s="355"/>
      <c r="F158" s="356"/>
      <c r="G158" s="340"/>
      <c r="H158" s="341"/>
      <c r="I158" s="341"/>
      <c r="J158" s="341"/>
      <c r="K158" s="342"/>
      <c r="L158" s="343"/>
      <c r="M158" s="340"/>
      <c r="N158" s="344"/>
      <c r="O158" s="344"/>
      <c r="P158" s="344"/>
      <c r="Q158" s="355"/>
    </row>
    <row r="159" spans="1:17" ht="15">
      <c r="A159" s="345"/>
      <c r="B159" s="345"/>
      <c r="C159" s="346"/>
      <c r="D159" s="346"/>
      <c r="E159" s="347"/>
      <c r="F159" s="343"/>
      <c r="G159" s="345"/>
      <c r="H159" s="345"/>
      <c r="I159" s="346"/>
      <c r="J159" s="346"/>
      <c r="K159" s="347"/>
      <c r="L159" s="343"/>
      <c r="M159" s="345"/>
      <c r="N159" s="345"/>
      <c r="O159" s="346"/>
      <c r="P159" s="346"/>
      <c r="Q159" s="345"/>
    </row>
    <row r="160" spans="1:17" ht="15">
      <c r="A160" s="350"/>
      <c r="B160" s="351"/>
      <c r="C160" s="351"/>
      <c r="D160" s="351"/>
      <c r="E160" s="352"/>
      <c r="F160" s="363"/>
      <c r="G160" s="350"/>
      <c r="H160" s="351"/>
      <c r="I160" s="351"/>
      <c r="J160" s="351"/>
      <c r="K160" s="352"/>
      <c r="L160" s="364"/>
      <c r="M160" s="350"/>
      <c r="N160" s="351"/>
      <c r="O160" s="351"/>
      <c r="P160" s="351"/>
      <c r="Q160" s="352"/>
    </row>
    <row r="161" spans="1:17" ht="14.25">
      <c r="A161" s="354"/>
      <c r="B161" s="362"/>
      <c r="C161" s="362"/>
      <c r="D161" s="362"/>
      <c r="E161" s="355"/>
      <c r="F161" s="364"/>
      <c r="G161" s="354"/>
      <c r="H161" s="362"/>
      <c r="I161" s="362"/>
      <c r="J161" s="362"/>
      <c r="K161" s="355"/>
      <c r="L161" s="364"/>
      <c r="M161" s="354"/>
      <c r="N161" s="362"/>
      <c r="O161" s="362"/>
      <c r="P161" s="362"/>
      <c r="Q161" s="355"/>
    </row>
    <row r="162" spans="1:17" ht="14.25">
      <c r="A162" s="354"/>
      <c r="B162" s="362"/>
      <c r="C162" s="362"/>
      <c r="D162" s="362"/>
      <c r="E162" s="355"/>
      <c r="F162" s="364"/>
      <c r="G162" s="354"/>
      <c r="H162" s="362"/>
      <c r="I162" s="362"/>
      <c r="J162" s="362"/>
      <c r="K162" s="355"/>
      <c r="L162" s="364"/>
      <c r="M162" s="354"/>
      <c r="N162" s="362"/>
      <c r="O162" s="362"/>
      <c r="P162" s="362"/>
      <c r="Q162" s="355"/>
    </row>
    <row r="163" spans="1:17" ht="14.25">
      <c r="A163" s="354"/>
      <c r="B163" s="362"/>
      <c r="C163" s="362"/>
      <c r="D163" s="362"/>
      <c r="E163" s="355"/>
      <c r="F163" s="364"/>
      <c r="G163" s="354"/>
      <c r="H163" s="362"/>
      <c r="I163" s="362"/>
      <c r="J163" s="362"/>
      <c r="K163" s="355"/>
      <c r="L163" s="364"/>
      <c r="M163" s="354"/>
      <c r="N163" s="362"/>
      <c r="O163" s="362"/>
      <c r="P163" s="362"/>
      <c r="Q163" s="355"/>
    </row>
    <row r="164" spans="1:17" ht="14.25">
      <c r="A164" s="354"/>
      <c r="B164" s="362"/>
      <c r="C164" s="362"/>
      <c r="D164" s="362"/>
      <c r="E164" s="355"/>
      <c r="F164" s="364"/>
      <c r="G164" s="354"/>
      <c r="H164" s="362"/>
      <c r="I164" s="362"/>
      <c r="J164" s="362"/>
      <c r="K164" s="355"/>
      <c r="L164" s="364"/>
      <c r="M164" s="354"/>
      <c r="N164" s="362"/>
      <c r="O164" s="362"/>
      <c r="P164" s="362"/>
      <c r="Q164" s="355"/>
    </row>
    <row r="165" spans="1:17" ht="14.25">
      <c r="A165" s="354"/>
      <c r="B165" s="362"/>
      <c r="C165" s="362"/>
      <c r="D165" s="362"/>
      <c r="E165" s="355"/>
      <c r="F165" s="364"/>
      <c r="G165" s="354"/>
      <c r="H165" s="362"/>
      <c r="I165" s="362"/>
      <c r="J165" s="362"/>
      <c r="K165" s="355"/>
      <c r="L165" s="364"/>
      <c r="M165" s="354"/>
      <c r="N165" s="362"/>
      <c r="O165" s="362"/>
      <c r="P165" s="362"/>
      <c r="Q165" s="355"/>
    </row>
    <row r="166" spans="1:17" ht="14.25">
      <c r="A166" s="354"/>
      <c r="B166" s="362"/>
      <c r="C166" s="362"/>
      <c r="D166" s="362"/>
      <c r="E166" s="355"/>
      <c r="F166" s="365"/>
      <c r="G166" s="354"/>
      <c r="H166" s="362"/>
      <c r="I166" s="362"/>
      <c r="J166" s="362"/>
      <c r="K166" s="355"/>
      <c r="L166" s="364"/>
      <c r="M166" s="354"/>
      <c r="N166" s="362"/>
      <c r="O166" s="362"/>
      <c r="P166" s="362"/>
      <c r="Q166" s="355"/>
    </row>
    <row r="167" spans="1:17" ht="14.25">
      <c r="A167" s="354"/>
      <c r="B167" s="362"/>
      <c r="C167" s="362"/>
      <c r="D167" s="362"/>
      <c r="E167" s="355"/>
      <c r="F167" s="365"/>
      <c r="G167" s="354"/>
      <c r="H167" s="362"/>
      <c r="I167" s="362"/>
      <c r="J167" s="362"/>
      <c r="K167" s="355"/>
      <c r="L167" s="364"/>
      <c r="M167" s="354"/>
      <c r="N167" s="362"/>
      <c r="O167" s="362"/>
      <c r="P167" s="362"/>
      <c r="Q167" s="355"/>
    </row>
    <row r="168" spans="1:17" ht="14.25">
      <c r="A168" s="354"/>
      <c r="B168" s="362"/>
      <c r="C168" s="362"/>
      <c r="D168" s="362"/>
      <c r="E168" s="355"/>
      <c r="F168" s="365"/>
      <c r="G168" s="354"/>
      <c r="H168" s="362"/>
      <c r="I168" s="362"/>
      <c r="J168" s="362"/>
      <c r="K168" s="355"/>
      <c r="L168" s="364"/>
      <c r="M168" s="354"/>
      <c r="N168" s="362"/>
      <c r="O168" s="362"/>
      <c r="P168" s="362"/>
      <c r="Q168" s="355"/>
    </row>
    <row r="169" spans="1:17" ht="14.25">
      <c r="A169" s="354"/>
      <c r="B169" s="362"/>
      <c r="C169" s="362"/>
      <c r="D169" s="362"/>
      <c r="E169" s="355"/>
      <c r="F169" s="365"/>
      <c r="G169" s="354"/>
      <c r="H169" s="362"/>
      <c r="I169" s="362"/>
      <c r="J169" s="362"/>
      <c r="K169" s="355"/>
      <c r="L169" s="364"/>
      <c r="M169" s="354"/>
      <c r="N169" s="362"/>
      <c r="O169" s="362"/>
      <c r="P169" s="362"/>
      <c r="Q169" s="355"/>
    </row>
    <row r="170" spans="1:17" ht="14.25">
      <c r="A170" s="354"/>
      <c r="B170" s="362"/>
      <c r="C170" s="362"/>
      <c r="D170" s="362"/>
      <c r="E170" s="355"/>
      <c r="F170" s="365"/>
      <c r="G170" s="354"/>
      <c r="H170" s="362"/>
      <c r="I170" s="362"/>
      <c r="J170" s="362"/>
      <c r="K170" s="355"/>
      <c r="L170" s="364"/>
      <c r="M170" s="354"/>
      <c r="N170" s="362"/>
      <c r="O170" s="362"/>
      <c r="P170" s="362"/>
      <c r="Q170" s="355"/>
    </row>
    <row r="171" spans="1:17" ht="14.25">
      <c r="A171" s="354"/>
      <c r="B171" s="362"/>
      <c r="C171" s="362"/>
      <c r="D171" s="362"/>
      <c r="E171" s="355"/>
      <c r="F171" s="365"/>
      <c r="G171" s="354"/>
      <c r="H171" s="362"/>
      <c r="I171" s="362"/>
      <c r="J171" s="362"/>
      <c r="K171" s="355"/>
      <c r="L171" s="364"/>
      <c r="M171" s="354"/>
      <c r="N171" s="362"/>
      <c r="O171" s="362"/>
      <c r="P171" s="362"/>
      <c r="Q171" s="355"/>
    </row>
    <row r="172" spans="1:17" ht="14.25">
      <c r="A172" s="354"/>
      <c r="B172" s="362"/>
      <c r="C172" s="362"/>
      <c r="D172" s="362"/>
      <c r="E172" s="355"/>
      <c r="F172" s="365"/>
      <c r="G172" s="354"/>
      <c r="H172" s="362"/>
      <c r="I172" s="362"/>
      <c r="J172" s="362"/>
      <c r="K172" s="355"/>
      <c r="L172" s="364"/>
      <c r="M172" s="354"/>
      <c r="N172" s="362"/>
      <c r="O172" s="362"/>
      <c r="P172" s="362"/>
      <c r="Q172" s="355"/>
    </row>
    <row r="173" spans="1:17" ht="14.25">
      <c r="A173" s="354"/>
      <c r="B173" s="362"/>
      <c r="C173" s="362"/>
      <c r="D173" s="362"/>
      <c r="E173" s="355"/>
      <c r="F173" s="364"/>
      <c r="G173" s="354"/>
      <c r="H173" s="362"/>
      <c r="I173" s="362"/>
      <c r="J173" s="362"/>
      <c r="K173" s="355"/>
      <c r="L173" s="364"/>
      <c r="M173" s="354"/>
      <c r="N173" s="362"/>
      <c r="O173" s="362"/>
      <c r="P173" s="362"/>
      <c r="Q173" s="355"/>
    </row>
    <row r="174" spans="1:17" ht="15">
      <c r="A174" s="359"/>
      <c r="B174" s="344"/>
      <c r="C174" s="344"/>
      <c r="D174" s="344"/>
      <c r="E174" s="352"/>
      <c r="F174" s="365"/>
      <c r="G174" s="359"/>
      <c r="H174" s="344"/>
      <c r="I174" s="344"/>
      <c r="J174" s="344"/>
      <c r="K174" s="352"/>
      <c r="L174" s="364"/>
      <c r="M174" s="359"/>
      <c r="N174" s="344"/>
      <c r="O174" s="344"/>
      <c r="P174" s="344"/>
      <c r="Q174" s="352"/>
    </row>
    <row r="175" spans="1:17" ht="15">
      <c r="A175" s="340"/>
      <c r="B175" s="344"/>
      <c r="C175" s="344"/>
      <c r="D175" s="344"/>
      <c r="E175" s="355"/>
      <c r="F175" s="356"/>
      <c r="G175" s="340"/>
      <c r="H175" s="341"/>
      <c r="I175" s="341"/>
      <c r="J175" s="341"/>
      <c r="K175" s="342"/>
      <c r="L175" s="343"/>
      <c r="M175" s="340"/>
      <c r="N175" s="344"/>
      <c r="O175" s="344"/>
      <c r="P175" s="344"/>
      <c r="Q175" s="355"/>
    </row>
    <row r="176" spans="1:17" ht="15">
      <c r="A176" s="345"/>
      <c r="B176" s="345"/>
      <c r="C176" s="346"/>
      <c r="D176" s="346"/>
      <c r="E176" s="347"/>
      <c r="F176" s="343"/>
      <c r="G176" s="345"/>
      <c r="H176" s="345"/>
      <c r="I176" s="346"/>
      <c r="J176" s="346"/>
      <c r="K176" s="347"/>
      <c r="L176" s="343"/>
      <c r="M176" s="345"/>
      <c r="N176" s="345"/>
      <c r="O176" s="346"/>
      <c r="P176" s="346"/>
      <c r="Q176" s="345"/>
    </row>
    <row r="177" spans="1:17" ht="15">
      <c r="A177" s="350"/>
      <c r="B177" s="351"/>
      <c r="C177" s="351"/>
      <c r="D177" s="351"/>
      <c r="E177" s="352"/>
      <c r="F177" s="363"/>
      <c r="G177" s="350"/>
      <c r="H177" s="351"/>
      <c r="I177" s="351"/>
      <c r="J177" s="351"/>
      <c r="K177" s="352"/>
      <c r="L177" s="364"/>
      <c r="M177" s="350"/>
      <c r="N177" s="351"/>
      <c r="O177" s="351"/>
      <c r="P177" s="351"/>
      <c r="Q177" s="352"/>
    </row>
    <row r="178" spans="1:17" ht="14.25">
      <c r="A178" s="354"/>
      <c r="B178" s="362"/>
      <c r="C178" s="362"/>
      <c r="D178" s="362"/>
      <c r="E178" s="355"/>
      <c r="F178" s="364"/>
      <c r="G178" s="354"/>
      <c r="H178"/>
      <c r="I178"/>
      <c r="J178"/>
      <c r="K178" s="355"/>
      <c r="L178" s="364"/>
      <c r="M178" s="354"/>
      <c r="N178"/>
      <c r="O178"/>
      <c r="P178"/>
      <c r="Q178" s="355"/>
    </row>
    <row r="179" spans="1:17" ht="14.25">
      <c r="A179" s="354"/>
      <c r="B179" s="362"/>
      <c r="C179" s="362"/>
      <c r="D179" s="362"/>
      <c r="E179" s="355"/>
      <c r="F179" s="364"/>
      <c r="G179" s="354"/>
      <c r="H179"/>
      <c r="I179"/>
      <c r="J179"/>
      <c r="K179" s="355"/>
      <c r="L179" s="364"/>
      <c r="M179" s="354"/>
      <c r="N179"/>
      <c r="O179"/>
      <c r="P179"/>
      <c r="Q179" s="355"/>
    </row>
    <row r="180" spans="1:17" ht="14.25">
      <c r="A180" s="354"/>
      <c r="B180" s="362"/>
      <c r="C180" s="362"/>
      <c r="D180" s="362"/>
      <c r="E180" s="355"/>
      <c r="F180" s="364"/>
      <c r="G180" s="354"/>
      <c r="H180"/>
      <c r="I180"/>
      <c r="J180"/>
      <c r="K180" s="355"/>
      <c r="L180" s="364"/>
      <c r="M180" s="354"/>
      <c r="N180"/>
      <c r="O180"/>
      <c r="P180"/>
      <c r="Q180" s="355"/>
    </row>
    <row r="181" spans="1:17" ht="14.25">
      <c r="A181" s="354"/>
      <c r="B181" s="362"/>
      <c r="C181" s="362"/>
      <c r="D181" s="362"/>
      <c r="E181" s="355"/>
      <c r="F181" s="364"/>
      <c r="G181" s="354"/>
      <c r="H181"/>
      <c r="I181"/>
      <c r="J181"/>
      <c r="K181" s="355"/>
      <c r="L181" s="364"/>
      <c r="M181" s="354"/>
      <c r="N181"/>
      <c r="O181"/>
      <c r="P181"/>
      <c r="Q181" s="355"/>
    </row>
    <row r="182" spans="1:17" ht="14.25">
      <c r="A182" s="354"/>
      <c r="B182" s="362"/>
      <c r="C182" s="362"/>
      <c r="D182" s="362"/>
      <c r="E182" s="355"/>
      <c r="F182" s="364"/>
      <c r="G182" s="354"/>
      <c r="H182"/>
      <c r="I182"/>
      <c r="J182"/>
      <c r="K182" s="355"/>
      <c r="L182" s="364"/>
      <c r="M182" s="354"/>
      <c r="N182"/>
      <c r="O182"/>
      <c r="P182"/>
      <c r="Q182" s="355"/>
    </row>
    <row r="183" spans="1:17" ht="14.25">
      <c r="A183" s="354"/>
      <c r="B183" s="362"/>
      <c r="C183" s="362"/>
      <c r="D183" s="362"/>
      <c r="E183" s="355"/>
      <c r="F183" s="365"/>
      <c r="G183" s="354"/>
      <c r="H183"/>
      <c r="I183"/>
      <c r="J183"/>
      <c r="K183" s="355"/>
      <c r="L183" s="364"/>
      <c r="M183" s="354"/>
      <c r="N183"/>
      <c r="O183"/>
      <c r="P183"/>
      <c r="Q183" s="355"/>
    </row>
    <row r="184" spans="1:17" ht="14.25">
      <c r="A184" s="354"/>
      <c r="B184" s="362"/>
      <c r="C184" s="362"/>
      <c r="D184" s="362"/>
      <c r="E184" s="355"/>
      <c r="F184" s="365"/>
      <c r="G184" s="354"/>
      <c r="H184"/>
      <c r="I184"/>
      <c r="J184"/>
      <c r="K184" s="355"/>
      <c r="L184" s="364"/>
      <c r="M184" s="354"/>
      <c r="N184"/>
      <c r="O184"/>
      <c r="P184"/>
      <c r="Q184" s="355"/>
    </row>
    <row r="185" spans="1:17" ht="14.25">
      <c r="A185" s="354"/>
      <c r="B185" s="362"/>
      <c r="C185" s="362"/>
      <c r="D185" s="362"/>
      <c r="E185" s="355"/>
      <c r="F185" s="365"/>
      <c r="G185" s="354"/>
      <c r="H185"/>
      <c r="I185"/>
      <c r="J185"/>
      <c r="K185" s="355"/>
      <c r="L185" s="364"/>
      <c r="M185" s="354"/>
      <c r="N185"/>
      <c r="O185"/>
      <c r="P185"/>
      <c r="Q185" s="355"/>
    </row>
    <row r="186" spans="1:17" ht="14.25">
      <c r="A186" s="354"/>
      <c r="B186" s="362"/>
      <c r="C186" s="362"/>
      <c r="D186" s="362"/>
      <c r="E186" s="355"/>
      <c r="F186" s="365"/>
      <c r="G186" s="354"/>
      <c r="H186"/>
      <c r="I186"/>
      <c r="J186"/>
      <c r="K186" s="355"/>
      <c r="L186" s="364"/>
      <c r="M186" s="354"/>
      <c r="N186"/>
      <c r="O186"/>
      <c r="P186"/>
      <c r="Q186" s="355"/>
    </row>
    <row r="187" spans="1:17" ht="14.25">
      <c r="A187" s="354"/>
      <c r="B187" s="362"/>
      <c r="C187" s="362"/>
      <c r="D187" s="362"/>
      <c r="E187" s="355"/>
      <c r="F187" s="365"/>
      <c r="G187" s="354"/>
      <c r="H187"/>
      <c r="I187"/>
      <c r="J187"/>
      <c r="K187" s="355"/>
      <c r="L187" s="364"/>
      <c r="M187" s="354"/>
      <c r="N187"/>
      <c r="O187"/>
      <c r="P187"/>
      <c r="Q187" s="355"/>
    </row>
    <row r="188" spans="1:17" ht="14.25">
      <c r="A188" s="354"/>
      <c r="B188" s="362"/>
      <c r="C188" s="362"/>
      <c r="D188" s="362"/>
      <c r="E188" s="355"/>
      <c r="F188" s="365"/>
      <c r="G188" s="354"/>
      <c r="H188"/>
      <c r="I188"/>
      <c r="J188"/>
      <c r="K188" s="355"/>
      <c r="L188" s="364"/>
      <c r="M188" s="354"/>
      <c r="N188"/>
      <c r="O188"/>
      <c r="P188"/>
      <c r="Q188" s="355"/>
    </row>
    <row r="189" spans="1:17" ht="14.25">
      <c r="A189" s="354"/>
      <c r="B189" s="362"/>
      <c r="C189" s="362"/>
      <c r="D189" s="362"/>
      <c r="E189" s="355"/>
      <c r="F189" s="365"/>
      <c r="G189" s="354"/>
      <c r="H189"/>
      <c r="I189"/>
      <c r="J189"/>
      <c r="K189" s="355"/>
      <c r="L189" s="364"/>
      <c r="M189" s="354"/>
      <c r="N189"/>
      <c r="O189"/>
      <c r="P189"/>
      <c r="Q189" s="355"/>
    </row>
    <row r="190" spans="1:17" ht="14.25">
      <c r="A190" s="354"/>
      <c r="B190" s="362"/>
      <c r="C190" s="362"/>
      <c r="D190" s="362"/>
      <c r="E190" s="355"/>
      <c r="F190" s="364"/>
      <c r="G190" s="354"/>
      <c r="H190"/>
      <c r="I190"/>
      <c r="J190"/>
      <c r="K190" s="355"/>
      <c r="L190" s="364"/>
      <c r="M190" s="354"/>
      <c r="N190"/>
      <c r="O190"/>
      <c r="P190"/>
      <c r="Q190" s="355"/>
    </row>
    <row r="191" spans="1:17" ht="15">
      <c r="A191" s="359"/>
      <c r="B191" s="344"/>
      <c r="C191" s="344"/>
      <c r="D191" s="344"/>
      <c r="E191" s="352"/>
      <c r="F191" s="365"/>
      <c r="G191" s="359"/>
      <c r="H191" s="344"/>
      <c r="I191" s="344"/>
      <c r="J191" s="344"/>
      <c r="K191" s="352"/>
      <c r="L191" s="364"/>
      <c r="M191" s="359"/>
      <c r="N191" s="344"/>
      <c r="O191" s="344"/>
      <c r="P191" s="344"/>
      <c r="Q191" s="352"/>
    </row>
    <row r="192" spans="1:17" ht="15">
      <c r="A192" s="340"/>
      <c r="B192" s="344"/>
      <c r="C192" s="344"/>
      <c r="D192" s="344"/>
      <c r="E192" s="355"/>
      <c r="F192" s="356"/>
      <c r="G192" s="340"/>
      <c r="H192" s="341"/>
      <c r="I192" s="341"/>
      <c r="J192" s="341"/>
      <c r="K192" s="342"/>
      <c r="L192" s="343"/>
      <c r="M192" s="340"/>
      <c r="N192" s="344"/>
      <c r="O192" s="344"/>
      <c r="P192" s="344"/>
      <c r="Q192" s="355"/>
    </row>
    <row r="193" spans="1:17" ht="15">
      <c r="A193" s="345"/>
      <c r="B193" s="345"/>
      <c r="C193" s="346"/>
      <c r="D193" s="346"/>
      <c r="E193" s="347"/>
      <c r="F193" s="343"/>
      <c r="G193" s="345"/>
      <c r="H193" s="345"/>
      <c r="I193" s="346"/>
      <c r="J193" s="346"/>
      <c r="K193" s="347"/>
      <c r="L193" s="343"/>
      <c r="M193" s="345"/>
      <c r="N193" s="345"/>
      <c r="O193" s="346"/>
      <c r="P193" s="346"/>
      <c r="Q193" s="345"/>
    </row>
    <row r="194" spans="1:17" ht="15">
      <c r="A194" s="350"/>
      <c r="B194" s="351"/>
      <c r="C194" s="351"/>
      <c r="D194" s="351"/>
      <c r="E194" s="352"/>
      <c r="F194" s="363"/>
      <c r="G194" s="350"/>
      <c r="H194" s="351"/>
      <c r="I194" s="351"/>
      <c r="J194" s="351"/>
      <c r="K194" s="352"/>
      <c r="L194" s="364"/>
      <c r="M194" s="350"/>
      <c r="N194" s="351"/>
      <c r="O194" s="351"/>
      <c r="P194" s="351"/>
      <c r="Q194" s="352"/>
    </row>
    <row r="195" spans="1:17" ht="14.25">
      <c r="A195" s="354"/>
      <c r="B195"/>
      <c r="C195"/>
      <c r="D195"/>
      <c r="E195" s="355"/>
      <c r="F195" s="364"/>
      <c r="G195" s="354"/>
      <c r="H195"/>
      <c r="I195"/>
      <c r="J195"/>
      <c r="K195" s="355"/>
      <c r="L195" s="364"/>
      <c r="M195" s="354"/>
      <c r="N195" s="362"/>
      <c r="O195" s="362"/>
      <c r="P195" s="362"/>
      <c r="Q195" s="355"/>
    </row>
    <row r="196" spans="1:17" ht="14.25">
      <c r="A196" s="354"/>
      <c r="B196"/>
      <c r="C196"/>
      <c r="D196"/>
      <c r="E196" s="355"/>
      <c r="F196" s="364"/>
      <c r="G196" s="354"/>
      <c r="H196"/>
      <c r="I196"/>
      <c r="J196"/>
      <c r="K196" s="355"/>
      <c r="L196" s="364"/>
      <c r="M196" s="354"/>
      <c r="N196" s="362"/>
      <c r="O196" s="362"/>
      <c r="P196" s="362"/>
      <c r="Q196" s="355"/>
    </row>
    <row r="197" spans="1:17" ht="14.25">
      <c r="A197" s="354"/>
      <c r="B197"/>
      <c r="C197"/>
      <c r="D197"/>
      <c r="E197" s="355"/>
      <c r="F197" s="364"/>
      <c r="G197" s="354"/>
      <c r="H197"/>
      <c r="I197"/>
      <c r="J197"/>
      <c r="K197" s="355"/>
      <c r="L197" s="364"/>
      <c r="M197" s="354"/>
      <c r="N197" s="362"/>
      <c r="O197" s="362"/>
      <c r="P197" s="362"/>
      <c r="Q197" s="355"/>
    </row>
    <row r="198" spans="1:17" ht="14.25">
      <c r="A198" s="354"/>
      <c r="B198"/>
      <c r="C198"/>
      <c r="D198"/>
      <c r="E198" s="355"/>
      <c r="F198" s="364"/>
      <c r="G198" s="354"/>
      <c r="H198"/>
      <c r="I198"/>
      <c r="J198"/>
      <c r="K198" s="355"/>
      <c r="L198" s="364"/>
      <c r="M198" s="354"/>
      <c r="N198" s="362"/>
      <c r="O198" s="362"/>
      <c r="P198" s="362"/>
      <c r="Q198" s="355"/>
    </row>
    <row r="199" spans="1:17" ht="14.25">
      <c r="A199" s="354"/>
      <c r="B199"/>
      <c r="C199"/>
      <c r="D199"/>
      <c r="E199" s="355"/>
      <c r="F199" s="364"/>
      <c r="G199" s="354"/>
      <c r="H199"/>
      <c r="I199"/>
      <c r="J199"/>
      <c r="K199" s="355"/>
      <c r="L199" s="364"/>
      <c r="M199" s="354"/>
      <c r="N199" s="362"/>
      <c r="O199" s="362"/>
      <c r="P199" s="362"/>
      <c r="Q199" s="355"/>
    </row>
    <row r="200" spans="1:17" ht="14.25">
      <c r="A200" s="354"/>
      <c r="B200"/>
      <c r="C200"/>
      <c r="D200"/>
      <c r="E200" s="355"/>
      <c r="F200" s="365"/>
      <c r="G200" s="354"/>
      <c r="H200"/>
      <c r="I200"/>
      <c r="J200"/>
      <c r="K200" s="355"/>
      <c r="L200" s="364"/>
      <c r="M200" s="354"/>
      <c r="N200" s="362"/>
      <c r="O200" s="362"/>
      <c r="P200" s="362"/>
      <c r="Q200" s="355"/>
    </row>
    <row r="201" spans="1:17" ht="14.25">
      <c r="A201" s="354"/>
      <c r="B201"/>
      <c r="C201"/>
      <c r="D201"/>
      <c r="E201" s="355"/>
      <c r="F201" s="365"/>
      <c r="G201" s="354"/>
      <c r="H201"/>
      <c r="I201"/>
      <c r="J201"/>
      <c r="K201" s="355"/>
      <c r="L201" s="364"/>
      <c r="M201" s="354"/>
      <c r="N201" s="362"/>
      <c r="O201" s="362"/>
      <c r="P201" s="362"/>
      <c r="Q201" s="355"/>
    </row>
    <row r="202" spans="1:17" ht="14.25">
      <c r="A202" s="354"/>
      <c r="B202"/>
      <c r="C202"/>
      <c r="D202"/>
      <c r="E202" s="355"/>
      <c r="F202" s="365"/>
      <c r="G202" s="354"/>
      <c r="H202"/>
      <c r="I202"/>
      <c r="J202"/>
      <c r="K202" s="355"/>
      <c r="L202" s="364"/>
      <c r="M202" s="354"/>
      <c r="N202" s="362"/>
      <c r="O202" s="362"/>
      <c r="P202" s="362"/>
      <c r="Q202" s="355"/>
    </row>
    <row r="203" spans="1:17" ht="14.25">
      <c r="A203" s="354"/>
      <c r="B203"/>
      <c r="C203"/>
      <c r="D203"/>
      <c r="E203" s="355"/>
      <c r="F203" s="365"/>
      <c r="G203" s="354"/>
      <c r="H203"/>
      <c r="I203"/>
      <c r="J203"/>
      <c r="K203" s="355"/>
      <c r="L203" s="364"/>
      <c r="M203" s="354"/>
      <c r="N203" s="362"/>
      <c r="O203" s="362"/>
      <c r="P203" s="362"/>
      <c r="Q203" s="355"/>
    </row>
    <row r="204" spans="1:17" ht="14.25">
      <c r="A204" s="354"/>
      <c r="B204"/>
      <c r="C204"/>
      <c r="D204"/>
      <c r="E204" s="355"/>
      <c r="F204" s="365"/>
      <c r="G204" s="354"/>
      <c r="H204"/>
      <c r="I204"/>
      <c r="J204"/>
      <c r="K204" s="355"/>
      <c r="L204" s="364"/>
      <c r="M204" s="354"/>
      <c r="N204" s="362"/>
      <c r="O204" s="362"/>
      <c r="P204" s="362"/>
      <c r="Q204" s="355"/>
    </row>
    <row r="205" spans="1:17" ht="14.25">
      <c r="A205" s="354"/>
      <c r="B205"/>
      <c r="C205"/>
      <c r="D205"/>
      <c r="E205" s="355"/>
      <c r="F205" s="365"/>
      <c r="G205" s="354"/>
      <c r="H205"/>
      <c r="I205"/>
      <c r="J205"/>
      <c r="K205" s="355"/>
      <c r="L205" s="364"/>
      <c r="M205" s="354"/>
      <c r="N205" s="362"/>
      <c r="O205" s="362"/>
      <c r="P205" s="362"/>
      <c r="Q205" s="355"/>
    </row>
    <row r="206" spans="1:17" ht="14.25">
      <c r="A206" s="354"/>
      <c r="B206"/>
      <c r="C206"/>
      <c r="D206"/>
      <c r="E206" s="355"/>
      <c r="F206" s="365"/>
      <c r="G206" s="354"/>
      <c r="H206"/>
      <c r="I206"/>
      <c r="J206"/>
      <c r="K206" s="355"/>
      <c r="L206" s="364"/>
      <c r="M206" s="354"/>
      <c r="N206" s="362"/>
      <c r="O206" s="362"/>
      <c r="P206" s="362"/>
      <c r="Q206" s="355"/>
    </row>
    <row r="207" spans="1:17" ht="14.25">
      <c r="A207" s="354"/>
      <c r="B207"/>
      <c r="C207"/>
      <c r="D207"/>
      <c r="E207" s="355"/>
      <c r="F207" s="364"/>
      <c r="G207" s="354"/>
      <c r="H207"/>
      <c r="I207"/>
      <c r="J207"/>
      <c r="K207" s="355"/>
      <c r="L207" s="364"/>
      <c r="M207" s="354"/>
      <c r="N207" s="362"/>
      <c r="O207" s="362"/>
      <c r="P207" s="362"/>
      <c r="Q207" s="355"/>
    </row>
    <row r="208" spans="1:17" ht="15">
      <c r="A208" s="359"/>
      <c r="B208" s="344"/>
      <c r="C208" s="344"/>
      <c r="D208" s="344"/>
      <c r="E208" s="352"/>
      <c r="F208" s="365"/>
      <c r="G208" s="359"/>
      <c r="H208" s="344"/>
      <c r="I208" s="344"/>
      <c r="J208" s="344"/>
      <c r="K208" s="352"/>
      <c r="L208" s="364"/>
      <c r="M208" s="359"/>
      <c r="N208" s="344"/>
      <c r="O208" s="344"/>
      <c r="P208" s="344"/>
      <c r="Q208" s="352"/>
    </row>
    <row r="209" spans="1:17" ht="15">
      <c r="A209" s="340"/>
      <c r="B209" s="344"/>
      <c r="C209" s="344"/>
      <c r="D209" s="344"/>
      <c r="E209" s="355"/>
      <c r="F209" s="356"/>
      <c r="G209" s="340"/>
      <c r="H209" s="341"/>
      <c r="I209" s="341"/>
      <c r="J209" s="341"/>
      <c r="K209" s="342"/>
      <c r="L209" s="343"/>
      <c r="M209" s="340"/>
      <c r="N209" s="344"/>
    </row>
    <row r="210" spans="1:17" ht="15">
      <c r="A210" s="345"/>
      <c r="B210" s="345"/>
      <c r="C210" s="346"/>
      <c r="D210" s="346"/>
      <c r="E210" s="347"/>
      <c r="F210" s="343"/>
      <c r="G210" s="345"/>
      <c r="H210" s="345"/>
      <c r="I210" s="346"/>
      <c r="J210" s="346"/>
      <c r="K210" s="347"/>
      <c r="L210" s="343"/>
      <c r="M210" s="345"/>
      <c r="N210" s="345"/>
      <c r="O210" s="346"/>
      <c r="P210" s="346"/>
      <c r="Q210" s="366"/>
    </row>
    <row r="211" spans="1:17" ht="15">
      <c r="A211" s="363"/>
      <c r="B211" s="351"/>
      <c r="C211" s="351"/>
      <c r="D211" s="351"/>
      <c r="E211" s="352"/>
      <c r="F211" s="363"/>
      <c r="G211" s="363"/>
      <c r="H211" s="351"/>
      <c r="I211" s="351"/>
      <c r="J211" s="351"/>
      <c r="K211" s="352"/>
      <c r="L211" s="364"/>
      <c r="M211" s="363"/>
      <c r="N211" s="351"/>
      <c r="O211" s="351"/>
      <c r="P211" s="351"/>
      <c r="Q211" s="352"/>
    </row>
    <row r="212" spans="1:17" ht="14.25">
      <c r="A212" s="354"/>
      <c r="B212" s="362"/>
      <c r="C212" s="362"/>
      <c r="D212" s="362"/>
      <c r="E212" s="355"/>
      <c r="F212" s="364"/>
      <c r="G212" s="354"/>
      <c r="H212" s="362"/>
      <c r="I212" s="362"/>
      <c r="J212" s="362"/>
      <c r="K212" s="355"/>
      <c r="L212" s="364"/>
      <c r="M212" s="354"/>
      <c r="N212" s="362"/>
      <c r="O212" s="362"/>
      <c r="P212" s="362"/>
      <c r="Q212" s="355"/>
    </row>
    <row r="213" spans="1:17" ht="14.25">
      <c r="A213" s="354"/>
      <c r="B213" s="362"/>
      <c r="C213" s="362"/>
      <c r="D213" s="362"/>
      <c r="E213" s="355"/>
      <c r="F213" s="364"/>
      <c r="G213" s="354"/>
      <c r="H213" s="362"/>
      <c r="I213" s="362"/>
      <c r="J213" s="362"/>
      <c r="K213" s="355"/>
      <c r="L213" s="364"/>
      <c r="M213" s="354"/>
      <c r="N213" s="362"/>
      <c r="O213" s="362"/>
      <c r="P213" s="362"/>
      <c r="Q213" s="355"/>
    </row>
    <row r="214" spans="1:17" ht="14.25">
      <c r="A214" s="354"/>
      <c r="B214" s="362"/>
      <c r="C214" s="362"/>
      <c r="D214" s="362"/>
      <c r="E214" s="355"/>
      <c r="F214" s="364"/>
      <c r="G214" s="354"/>
      <c r="H214" s="362"/>
      <c r="I214" s="362"/>
      <c r="J214" s="362"/>
      <c r="K214" s="355"/>
      <c r="L214" s="364"/>
      <c r="M214" s="354"/>
      <c r="N214" s="362"/>
      <c r="O214" s="362"/>
      <c r="P214" s="362"/>
      <c r="Q214" s="355"/>
    </row>
    <row r="215" spans="1:17" ht="14.25">
      <c r="A215" s="354"/>
      <c r="B215" s="362"/>
      <c r="C215" s="362"/>
      <c r="D215" s="362"/>
      <c r="E215" s="355"/>
      <c r="F215" s="364"/>
      <c r="G215" s="354"/>
      <c r="H215" s="362"/>
      <c r="I215" s="362"/>
      <c r="J215" s="362"/>
      <c r="K215" s="355"/>
      <c r="L215" s="364"/>
      <c r="M215" s="354"/>
      <c r="N215" s="362"/>
      <c r="O215" s="362"/>
      <c r="P215" s="362"/>
      <c r="Q215" s="355"/>
    </row>
    <row r="216" spans="1:17" ht="14.25">
      <c r="A216" s="354"/>
      <c r="B216" s="362"/>
      <c r="C216" s="362"/>
      <c r="D216" s="362"/>
      <c r="E216" s="355"/>
      <c r="F216" s="364"/>
      <c r="G216" s="354"/>
      <c r="H216" s="362"/>
      <c r="I216" s="362"/>
      <c r="J216" s="362"/>
      <c r="K216" s="355"/>
      <c r="L216" s="364"/>
      <c r="M216" s="354"/>
      <c r="N216" s="362"/>
      <c r="O216" s="362"/>
      <c r="P216" s="362"/>
      <c r="Q216" s="355"/>
    </row>
    <row r="217" spans="1:17" ht="14.25">
      <c r="A217" s="354"/>
      <c r="B217" s="362"/>
      <c r="C217" s="362"/>
      <c r="D217" s="362"/>
      <c r="E217" s="355"/>
      <c r="F217" s="365"/>
      <c r="G217" s="354"/>
      <c r="H217" s="362"/>
      <c r="I217" s="362"/>
      <c r="J217" s="362"/>
      <c r="K217" s="355"/>
      <c r="L217" s="364"/>
      <c r="M217" s="354"/>
      <c r="N217" s="362"/>
      <c r="O217" s="362"/>
      <c r="P217" s="362"/>
      <c r="Q217" s="355"/>
    </row>
    <row r="218" spans="1:17" ht="14.25">
      <c r="A218" s="354"/>
      <c r="B218" s="362"/>
      <c r="C218" s="362"/>
      <c r="D218" s="362"/>
      <c r="E218" s="355"/>
      <c r="F218" s="365"/>
      <c r="G218" s="354"/>
      <c r="H218" s="362"/>
      <c r="I218" s="362"/>
      <c r="J218" s="362"/>
      <c r="K218" s="355"/>
      <c r="L218" s="364"/>
      <c r="M218" s="354"/>
      <c r="N218" s="362"/>
      <c r="O218" s="362"/>
      <c r="P218" s="362"/>
      <c r="Q218" s="355"/>
    </row>
    <row r="219" spans="1:17" ht="14.25">
      <c r="A219" s="354"/>
      <c r="B219" s="362"/>
      <c r="C219" s="362"/>
      <c r="D219" s="362"/>
      <c r="E219" s="355"/>
      <c r="F219" s="365"/>
      <c r="G219" s="354"/>
      <c r="H219" s="362"/>
      <c r="I219" s="362"/>
      <c r="J219" s="362"/>
      <c r="K219" s="355"/>
      <c r="L219" s="364"/>
      <c r="M219" s="354"/>
      <c r="N219" s="362"/>
      <c r="O219" s="362"/>
      <c r="P219" s="362"/>
      <c r="Q219" s="355"/>
    </row>
    <row r="220" spans="1:17" ht="14.25">
      <c r="A220" s="354"/>
      <c r="B220" s="362"/>
      <c r="C220" s="362"/>
      <c r="D220" s="362"/>
      <c r="E220" s="355"/>
      <c r="F220" s="365"/>
      <c r="G220" s="354"/>
      <c r="H220" s="362"/>
      <c r="I220" s="362"/>
      <c r="J220" s="362"/>
      <c r="K220" s="355"/>
      <c r="L220" s="364"/>
      <c r="M220" s="354"/>
      <c r="N220" s="362"/>
      <c r="O220" s="362"/>
      <c r="P220" s="362"/>
      <c r="Q220" s="355"/>
    </row>
    <row r="221" spans="1:17" ht="14.25">
      <c r="A221" s="354"/>
      <c r="B221" s="362"/>
      <c r="C221" s="362"/>
      <c r="D221" s="362"/>
      <c r="E221" s="355"/>
      <c r="F221" s="365"/>
      <c r="G221" s="354"/>
      <c r="H221" s="362"/>
      <c r="I221" s="362"/>
      <c r="J221" s="362"/>
      <c r="K221" s="355"/>
      <c r="L221" s="364"/>
      <c r="M221" s="354"/>
      <c r="N221" s="362"/>
      <c r="O221" s="362"/>
      <c r="P221" s="362"/>
      <c r="Q221" s="355"/>
    </row>
    <row r="222" spans="1:17" ht="14.25">
      <c r="A222" s="354"/>
      <c r="B222" s="362"/>
      <c r="C222" s="362"/>
      <c r="D222" s="362"/>
      <c r="E222" s="355"/>
      <c r="F222" s="365"/>
      <c r="G222" s="354"/>
      <c r="H222" s="362"/>
      <c r="I222" s="362"/>
      <c r="J222" s="362"/>
      <c r="K222" s="355"/>
      <c r="L222" s="364"/>
      <c r="M222" s="354"/>
      <c r="N222" s="362"/>
      <c r="O222" s="362"/>
      <c r="P222" s="362"/>
      <c r="Q222" s="355"/>
    </row>
    <row r="223" spans="1:17" ht="14.25">
      <c r="A223" s="354"/>
      <c r="B223" s="362"/>
      <c r="C223" s="362"/>
      <c r="D223" s="362"/>
      <c r="E223" s="355"/>
      <c r="F223" s="365"/>
      <c r="G223" s="354"/>
      <c r="H223" s="362"/>
      <c r="I223" s="362"/>
      <c r="J223" s="362"/>
      <c r="K223" s="355"/>
      <c r="L223" s="364"/>
      <c r="M223" s="354"/>
      <c r="N223" s="362"/>
      <c r="O223" s="362"/>
      <c r="P223" s="362"/>
      <c r="Q223" s="355"/>
    </row>
    <row r="224" spans="1:17" ht="14.25">
      <c r="A224" s="354"/>
      <c r="B224" s="362"/>
      <c r="C224" s="362"/>
      <c r="D224" s="362"/>
      <c r="E224" s="355"/>
      <c r="F224" s="364"/>
      <c r="G224" s="354"/>
      <c r="H224" s="362"/>
      <c r="I224" s="362"/>
      <c r="J224" s="362"/>
      <c r="K224" s="355"/>
      <c r="L224" s="364"/>
      <c r="M224" s="354"/>
      <c r="N224" s="362"/>
      <c r="O224" s="362"/>
      <c r="P224" s="362"/>
      <c r="Q224" s="355"/>
    </row>
    <row r="225" spans="1:17" ht="15">
      <c r="A225" s="367"/>
      <c r="B225" s="344"/>
      <c r="C225" s="344"/>
      <c r="D225" s="344"/>
      <c r="E225" s="352"/>
      <c r="F225" s="365"/>
      <c r="G225" s="367"/>
      <c r="H225" s="344"/>
      <c r="I225" s="344"/>
      <c r="J225" s="344"/>
      <c r="K225" s="352"/>
      <c r="L225" s="364"/>
      <c r="M225" s="367"/>
      <c r="N225" s="344"/>
      <c r="O225" s="344"/>
      <c r="P225" s="344"/>
      <c r="Q225" s="352"/>
    </row>
  </sheetData>
  <mergeCells count="2">
    <mergeCell ref="A1:Q1"/>
    <mergeCell ref="A3:Q3"/>
  </mergeCells>
  <printOptions horizontalCentered="1"/>
  <pageMargins left="0.7" right="0.7" top="0.75" bottom="0.75" header="0.3" footer="0.3"/>
  <pageSetup scale="54" fitToHeight="2" orientation="portrait" r:id="rId1"/>
  <rowBreaks count="2" manualBreakCount="2">
    <brk id="89" max="16" man="1"/>
    <brk id="174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"/>
  <sheetViews>
    <sheetView zoomScale="80" zoomScaleNormal="80" zoomScaleSheetLayoutView="80" workbookViewId="0">
      <selection activeCell="A2" sqref="A2"/>
    </sheetView>
  </sheetViews>
  <sheetFormatPr defaultRowHeight="14.25"/>
  <cols>
    <col min="1" max="1" width="6.125" style="99" customWidth="1"/>
    <col min="2" max="2" width="8.875" style="97" customWidth="1"/>
    <col min="3" max="3" width="14" style="97" customWidth="1"/>
    <col min="4" max="5" width="10.875" style="97" customWidth="1"/>
    <col min="6" max="6" width="1.375" style="97" customWidth="1"/>
    <col min="7" max="8" width="11.375" style="97" customWidth="1"/>
    <col min="9" max="9" width="1.375" style="97" customWidth="1"/>
    <col min="10" max="11" width="11.25" style="142" customWidth="1"/>
    <col min="12" max="12" width="1.25" style="142" customWidth="1"/>
    <col min="13" max="14" width="11.25" style="142" customWidth="1"/>
    <col min="15" max="15" width="1.125" style="142" customWidth="1"/>
    <col min="16" max="17" width="11.25" style="142" customWidth="1"/>
    <col min="18" max="16384" width="9" style="97"/>
  </cols>
  <sheetData>
    <row r="1" spans="1:17" ht="27.75">
      <c r="A1" s="68" t="str">
        <f>'MPG-5'!A1:K1</f>
        <v>Puget Sound Energy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/>
      <c r="B2"/>
      <c r="C2"/>
      <c r="D2"/>
      <c r="E2" s="354"/>
      <c r="F2"/>
      <c r="G2"/>
      <c r="H2"/>
      <c r="I2"/>
      <c r="J2"/>
      <c r="K2"/>
      <c r="L2"/>
      <c r="M2"/>
      <c r="N2"/>
      <c r="O2"/>
      <c r="P2"/>
      <c r="Q2"/>
    </row>
    <row r="3" spans="1:17">
      <c r="A3"/>
      <c r="B3"/>
      <c r="C3"/>
      <c r="D3"/>
      <c r="E3" s="354"/>
      <c r="F3"/>
      <c r="G3"/>
      <c r="H3"/>
      <c r="I3"/>
      <c r="J3"/>
      <c r="K3"/>
      <c r="L3"/>
      <c r="M3"/>
      <c r="N3"/>
      <c r="O3"/>
      <c r="P3"/>
      <c r="Q3"/>
    </row>
    <row r="4" spans="1:17">
      <c r="A4"/>
      <c r="B4" s="368"/>
      <c r="C4" s="368"/>
      <c r="D4" s="368"/>
      <c r="E4"/>
      <c r="F4"/>
      <c r="G4" s="369"/>
      <c r="H4"/>
      <c r="I4"/>
      <c r="J4"/>
      <c r="K4"/>
      <c r="L4"/>
      <c r="M4"/>
      <c r="N4"/>
      <c r="O4"/>
      <c r="P4"/>
      <c r="Q4"/>
    </row>
    <row r="5" spans="1:17" ht="20.25">
      <c r="A5" s="370" t="s">
        <v>526</v>
      </c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</row>
    <row r="6" spans="1:17">
      <c r="J6" s="97"/>
      <c r="K6" s="97"/>
      <c r="L6" s="97"/>
      <c r="M6" s="97"/>
      <c r="N6" s="97"/>
      <c r="O6" s="97"/>
      <c r="P6" s="97"/>
      <c r="Q6" s="97"/>
    </row>
    <row r="7" spans="1:17" ht="15">
      <c r="K7" s="168"/>
      <c r="L7" s="168"/>
      <c r="N7" s="168"/>
      <c r="O7" s="168"/>
      <c r="Q7" s="168"/>
    </row>
    <row r="8" spans="1:17" s="125" customFormat="1" ht="15">
      <c r="A8" s="101"/>
      <c r="G8" s="505" t="s">
        <v>527</v>
      </c>
      <c r="H8" s="505"/>
      <c r="J8" s="371"/>
      <c r="K8" s="103"/>
      <c r="L8" s="103"/>
      <c r="M8" s="371"/>
      <c r="N8" s="103"/>
      <c r="O8" s="103"/>
      <c r="P8" s="371"/>
      <c r="Q8" s="103"/>
    </row>
    <row r="9" spans="1:17" s="125" customFormat="1" ht="15">
      <c r="A9" s="101"/>
      <c r="D9" s="101" t="s">
        <v>152</v>
      </c>
      <c r="G9" s="491" t="s">
        <v>528</v>
      </c>
      <c r="H9" s="491"/>
      <c r="J9" s="487" t="s">
        <v>529</v>
      </c>
      <c r="K9" s="487"/>
      <c r="L9" s="137"/>
      <c r="M9" s="487" t="s">
        <v>163</v>
      </c>
      <c r="N9" s="487"/>
      <c r="O9" s="168"/>
      <c r="P9" s="487" t="s">
        <v>164</v>
      </c>
      <c r="Q9" s="487"/>
    </row>
    <row r="10" spans="1:17" s="372" customFormat="1" ht="15">
      <c r="A10" s="102" t="s">
        <v>3</v>
      </c>
      <c r="B10" s="483" t="s">
        <v>4</v>
      </c>
      <c r="C10" s="483"/>
      <c r="D10" s="321" t="s">
        <v>158</v>
      </c>
      <c r="E10" s="321" t="s">
        <v>491</v>
      </c>
      <c r="F10" s="321"/>
      <c r="G10" s="138">
        <v>2010</v>
      </c>
      <c r="H10" s="139" t="s">
        <v>194</v>
      </c>
      <c r="I10" s="321"/>
      <c r="J10" s="138">
        <v>2010</v>
      </c>
      <c r="K10" s="139" t="s">
        <v>194</v>
      </c>
      <c r="L10" s="139"/>
      <c r="M10" s="138">
        <v>2010</v>
      </c>
      <c r="N10" s="139" t="s">
        <v>194</v>
      </c>
      <c r="O10" s="139"/>
      <c r="P10" s="138">
        <v>2010</v>
      </c>
      <c r="Q10" s="139" t="s">
        <v>194</v>
      </c>
    </row>
    <row r="11" spans="1:17" s="373" customFormat="1" ht="15">
      <c r="A11" s="103"/>
      <c r="B11" s="103"/>
      <c r="C11" s="103"/>
      <c r="D11" s="168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7" ht="15">
      <c r="B12" s="101"/>
      <c r="C12" s="101"/>
      <c r="D12" s="101"/>
      <c r="E12" s="101"/>
      <c r="F12" s="101"/>
      <c r="I12" s="101"/>
      <c r="P12" s="97"/>
      <c r="Q12" s="97"/>
    </row>
    <row r="13" spans="1:17" ht="17.25" customHeight="1">
      <c r="A13" s="24">
        <f t="shared" ref="A13:A18" si="0">IF(B13=0,"N/A",MAX(A9:A12)+1)</f>
        <v>1</v>
      </c>
      <c r="B13" s="25" t="str">
        <f>'MPG-5'!B13</f>
        <v>Alliant Energy</v>
      </c>
      <c r="C13" s="99"/>
      <c r="D13" s="374">
        <v>0.42499999999999999</v>
      </c>
      <c r="E13" s="142">
        <v>0.7</v>
      </c>
      <c r="F13" s="99"/>
      <c r="G13" s="306">
        <v>110.89</v>
      </c>
      <c r="H13" s="306">
        <v>116</v>
      </c>
      <c r="I13" s="306"/>
      <c r="J13" s="306">
        <v>26.09</v>
      </c>
      <c r="K13" s="306">
        <v>30.15</v>
      </c>
      <c r="L13" s="306"/>
      <c r="M13" s="306">
        <v>1.58</v>
      </c>
      <c r="N13" s="306">
        <v>2.1</v>
      </c>
      <c r="O13" s="306"/>
      <c r="P13" s="306">
        <v>2.75</v>
      </c>
      <c r="Q13" s="306">
        <v>3.6</v>
      </c>
    </row>
    <row r="14" spans="1:17" ht="17.25" customHeight="1">
      <c r="A14" s="24">
        <f t="shared" si="0"/>
        <v>2</v>
      </c>
      <c r="B14" s="25" t="str">
        <f>'MPG-5'!B14</f>
        <v>CMS Energy</v>
      </c>
      <c r="C14" s="99"/>
      <c r="D14" s="374">
        <v>0.21</v>
      </c>
      <c r="E14" s="142">
        <v>0.75</v>
      </c>
      <c r="F14" s="99"/>
      <c r="G14" s="306">
        <v>249.6</v>
      </c>
      <c r="H14" s="306">
        <v>260</v>
      </c>
      <c r="I14" s="306"/>
      <c r="J14" s="306">
        <v>11.19</v>
      </c>
      <c r="K14" s="306">
        <v>15</v>
      </c>
      <c r="L14" s="306"/>
      <c r="M14" s="306">
        <v>0.66</v>
      </c>
      <c r="N14" s="306">
        <v>1.1000000000000001</v>
      </c>
      <c r="O14" s="306"/>
      <c r="P14" s="306">
        <v>1.33</v>
      </c>
      <c r="Q14" s="306">
        <v>1.75</v>
      </c>
    </row>
    <row r="15" spans="1:17" ht="17.25" customHeight="1">
      <c r="A15" s="24">
        <f t="shared" si="0"/>
        <v>3</v>
      </c>
      <c r="B15" s="25" t="str">
        <f>'MPG-5'!B15</f>
        <v>Great Plains Energy</v>
      </c>
      <c r="C15" s="99"/>
      <c r="D15" s="374">
        <v>0.20749999999999999</v>
      </c>
      <c r="E15" s="142">
        <v>0.75</v>
      </c>
      <c r="F15" s="99"/>
      <c r="G15" s="306">
        <v>135.71</v>
      </c>
      <c r="H15" s="306">
        <v>155</v>
      </c>
      <c r="I15" s="306"/>
      <c r="J15" s="306">
        <v>21.26</v>
      </c>
      <c r="K15" s="306">
        <v>23.5</v>
      </c>
      <c r="L15" s="306"/>
      <c r="M15" s="306">
        <v>0.83</v>
      </c>
      <c r="N15" s="306">
        <v>1.1000000000000001</v>
      </c>
      <c r="O15" s="306"/>
      <c r="P15" s="306">
        <v>1.53</v>
      </c>
      <c r="Q15" s="306">
        <v>1.75</v>
      </c>
    </row>
    <row r="16" spans="1:17" ht="17.25" customHeight="1">
      <c r="A16" s="24">
        <f t="shared" si="0"/>
        <v>4</v>
      </c>
      <c r="B16" s="25" t="str">
        <f>'MPG-5'!B16</f>
        <v>NV Energy</v>
      </c>
      <c r="C16" s="99"/>
      <c r="D16" s="374">
        <v>0.12</v>
      </c>
      <c r="E16" s="142">
        <v>0.85</v>
      </c>
      <c r="F16" s="99"/>
      <c r="G16" s="306">
        <v>235.32</v>
      </c>
      <c r="H16" s="306">
        <v>250</v>
      </c>
      <c r="I16" s="306"/>
      <c r="J16" s="306">
        <v>14.24</v>
      </c>
      <c r="K16" s="306">
        <v>17.25</v>
      </c>
      <c r="L16" s="306"/>
      <c r="M16" s="306">
        <v>0.45</v>
      </c>
      <c r="N16" s="306">
        <v>0.75</v>
      </c>
      <c r="O16" s="306"/>
      <c r="P16" s="306">
        <v>0.96</v>
      </c>
      <c r="Q16" s="306">
        <v>1.5</v>
      </c>
    </row>
    <row r="17" spans="1:17" ht="17.25" customHeight="1">
      <c r="A17" s="24">
        <f t="shared" si="0"/>
        <v>5</v>
      </c>
      <c r="B17" s="25" t="str">
        <f>'MPG-5'!B17</f>
        <v>OGE Energy</v>
      </c>
      <c r="C17" s="99"/>
      <c r="D17" s="374">
        <v>0.375</v>
      </c>
      <c r="E17" s="142">
        <v>0.75</v>
      </c>
      <c r="F17" s="99"/>
      <c r="G17" s="306">
        <v>97.6</v>
      </c>
      <c r="H17" s="306">
        <v>100</v>
      </c>
      <c r="I17" s="306"/>
      <c r="J17" s="306">
        <v>23.46</v>
      </c>
      <c r="K17" s="306">
        <v>33.75</v>
      </c>
      <c r="L17" s="306"/>
      <c r="M17" s="306">
        <v>1.46</v>
      </c>
      <c r="N17" s="306">
        <v>1.8</v>
      </c>
      <c r="O17" s="306"/>
      <c r="P17" s="306">
        <v>2.99</v>
      </c>
      <c r="Q17" s="306">
        <v>4</v>
      </c>
    </row>
    <row r="18" spans="1:17" ht="17.25" customHeight="1">
      <c r="A18" s="24">
        <f t="shared" si="0"/>
        <v>6</v>
      </c>
      <c r="B18" s="25" t="str">
        <f>'MPG-5'!B18</f>
        <v>Pinnacle West Capital</v>
      </c>
      <c r="C18" s="99"/>
      <c r="D18" s="374">
        <v>0.52500000000000002</v>
      </c>
      <c r="E18" s="142">
        <v>0.7</v>
      </c>
      <c r="F18" s="99"/>
      <c r="G18" s="306">
        <v>108.77</v>
      </c>
      <c r="H18" s="306">
        <v>123</v>
      </c>
      <c r="I18" s="306"/>
      <c r="J18" s="306">
        <v>33.86</v>
      </c>
      <c r="K18" s="306">
        <v>39.25</v>
      </c>
      <c r="L18" s="306"/>
      <c r="M18" s="306">
        <v>2.1</v>
      </c>
      <c r="N18" s="306">
        <v>2.2999999999999998</v>
      </c>
      <c r="O18" s="306"/>
      <c r="P18" s="306">
        <v>3.08</v>
      </c>
      <c r="Q18" s="306">
        <v>3.5</v>
      </c>
    </row>
    <row r="19" spans="1:17" ht="17.25" customHeight="1">
      <c r="A19" s="24">
        <f t="shared" ref="A19:A21" si="1">IF(B19=0,"N/A",MAX(A16:A18)+1)</f>
        <v>7</v>
      </c>
      <c r="B19" s="25" t="str">
        <f>'MPG-5'!B19</f>
        <v>TECO Energy</v>
      </c>
      <c r="C19" s="99"/>
      <c r="D19" s="374">
        <v>0.215</v>
      </c>
      <c r="E19" s="142">
        <v>0.85</v>
      </c>
      <c r="F19" s="99"/>
      <c r="G19" s="306">
        <v>214.9</v>
      </c>
      <c r="H19" s="306">
        <v>220</v>
      </c>
      <c r="I19" s="306"/>
      <c r="J19" s="306">
        <v>10.1</v>
      </c>
      <c r="K19" s="306">
        <v>13.25</v>
      </c>
      <c r="L19" s="306"/>
      <c r="M19" s="306">
        <v>0.82</v>
      </c>
      <c r="N19" s="306">
        <v>1.05</v>
      </c>
      <c r="O19" s="306"/>
      <c r="P19" s="306">
        <v>1.1299999999999999</v>
      </c>
      <c r="Q19" s="306">
        <v>1.75</v>
      </c>
    </row>
    <row r="20" spans="1:17" ht="17.25" customHeight="1">
      <c r="A20" s="24">
        <f t="shared" si="1"/>
        <v>8</v>
      </c>
      <c r="B20" s="25" t="str">
        <f>'MPG-5'!B20</f>
        <v>Westar Energy</v>
      </c>
      <c r="C20" s="99"/>
      <c r="D20" s="374">
        <v>0.32</v>
      </c>
      <c r="E20" s="142">
        <v>0.75</v>
      </c>
      <c r="F20" s="99"/>
      <c r="G20" s="306">
        <v>112.13</v>
      </c>
      <c r="H20" s="306">
        <v>128</v>
      </c>
      <c r="I20" s="306"/>
      <c r="J20" s="306">
        <v>21.25</v>
      </c>
      <c r="K20" s="306">
        <v>23.45</v>
      </c>
      <c r="L20" s="306"/>
      <c r="M20" s="306">
        <v>1.24</v>
      </c>
      <c r="N20" s="306">
        <v>1.44</v>
      </c>
      <c r="O20" s="306"/>
      <c r="P20" s="306">
        <v>1.8</v>
      </c>
      <c r="Q20" s="306">
        <v>2.4</v>
      </c>
    </row>
    <row r="21" spans="1:17" ht="17.25" customHeight="1">
      <c r="A21" s="24">
        <f t="shared" si="1"/>
        <v>9</v>
      </c>
      <c r="B21" s="25" t="str">
        <f>'MPG-5'!B21</f>
        <v>Wisconsin Energy</v>
      </c>
      <c r="C21" s="99"/>
      <c r="D21" s="374">
        <v>0.26</v>
      </c>
      <c r="E21" s="142">
        <v>0.65</v>
      </c>
      <c r="F21" s="99"/>
      <c r="G21" s="306">
        <v>233.77</v>
      </c>
      <c r="H21" s="306">
        <v>224</v>
      </c>
      <c r="I21" s="306"/>
      <c r="J21" s="306">
        <v>16.260000000000002</v>
      </c>
      <c r="K21" s="306">
        <v>19.75</v>
      </c>
      <c r="L21" s="306"/>
      <c r="M21" s="306">
        <v>0.8</v>
      </c>
      <c r="N21" s="306">
        <v>1.65</v>
      </c>
      <c r="O21" s="306"/>
      <c r="P21" s="306">
        <v>1.92</v>
      </c>
      <c r="Q21" s="306">
        <v>2.75</v>
      </c>
    </row>
    <row r="22" spans="1:17" ht="17.25" customHeight="1">
      <c r="B22" s="113"/>
      <c r="C22" s="125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</row>
    <row r="23" spans="1:17" ht="15">
      <c r="A23" s="24">
        <f>MAX(A13:A22)+1</f>
        <v>10</v>
      </c>
      <c r="B23" s="120" t="str">
        <f>'MPG-7'!B23</f>
        <v>Average</v>
      </c>
      <c r="C23" s="125"/>
      <c r="D23" s="375">
        <f>AVERAGE(D13:D21)</f>
        <v>0.29527777777777775</v>
      </c>
      <c r="E23" s="168">
        <f>AVERAGE(E13:E21)</f>
        <v>0.75</v>
      </c>
      <c r="F23" s="125"/>
      <c r="G23" s="168">
        <f>AVERAGE(G13:G21)</f>
        <v>166.52111111111111</v>
      </c>
      <c r="H23" s="168">
        <f>AVERAGE(H13:H21)</f>
        <v>175.11111111111111</v>
      </c>
      <c r="I23" s="168"/>
      <c r="J23" s="168">
        <f>AVERAGE(J13:J21)</f>
        <v>19.745555555555555</v>
      </c>
      <c r="K23" s="168">
        <f>AVERAGE(K13:K21)</f>
        <v>23.927777777777777</v>
      </c>
      <c r="L23" s="168"/>
      <c r="M23" s="168">
        <f>AVERAGE(M13:M21)</f>
        <v>1.1044444444444446</v>
      </c>
      <c r="N23" s="168">
        <f>AVERAGE(N13:N21)</f>
        <v>1.4766666666666668</v>
      </c>
      <c r="O23" s="168"/>
      <c r="P23" s="168">
        <f>AVERAGE(P13:P21)</f>
        <v>1.9433333333333336</v>
      </c>
      <c r="Q23" s="168">
        <f>AVERAGE(Q13:Q21)</f>
        <v>2.5555555555555554</v>
      </c>
    </row>
    <row r="24" spans="1:17">
      <c r="B24" s="113"/>
      <c r="M24" s="144"/>
      <c r="N24" s="144"/>
      <c r="O24" s="144"/>
      <c r="P24" s="112"/>
      <c r="Q24" s="112"/>
    </row>
    <row r="25" spans="1:17">
      <c r="D25" s="374"/>
      <c r="E25" s="142"/>
      <c r="F25" s="99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</row>
  </sheetData>
  <mergeCells count="6">
    <mergeCell ref="P9:Q9"/>
    <mergeCell ref="B10:C10"/>
    <mergeCell ref="G8:H8"/>
    <mergeCell ref="G9:H9"/>
    <mergeCell ref="J9:K9"/>
    <mergeCell ref="M9:N9"/>
  </mergeCells>
  <printOptions horizontalCentered="1"/>
  <pageMargins left="0.75" right="0.75" top="1" bottom="1" header="0.5" footer="0.5"/>
  <pageSetup scale="7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zoomScale="80" zoomScaleNormal="80" workbookViewId="0"/>
  </sheetViews>
  <sheetFormatPr defaultRowHeight="14.25"/>
  <cols>
    <col min="1" max="1" width="13" style="377" customWidth="1"/>
    <col min="2" max="4" width="14.375" style="377" customWidth="1"/>
    <col min="5" max="6" width="9" style="377"/>
    <col min="7" max="7" width="13.25" style="377" customWidth="1"/>
    <col min="8" max="8" width="11.125" style="377" bestFit="1" customWidth="1"/>
    <col min="9" max="16384" width="9" style="377"/>
  </cols>
  <sheetData>
    <row r="1" spans="1:8" ht="15">
      <c r="A1" s="376" t="s">
        <v>530</v>
      </c>
    </row>
    <row r="3" spans="1:8" ht="15">
      <c r="A3" s="376"/>
      <c r="B3" s="378" t="s">
        <v>531</v>
      </c>
      <c r="C3" s="376"/>
      <c r="D3" s="376"/>
      <c r="E3" s="376"/>
      <c r="F3" s="376"/>
      <c r="G3" s="376"/>
      <c r="H3" s="376"/>
    </row>
    <row r="4" spans="1:8" ht="15">
      <c r="A4" s="376"/>
      <c r="B4" s="376"/>
      <c r="C4" s="379" t="s">
        <v>532</v>
      </c>
      <c r="D4" s="376"/>
      <c r="E4" s="376"/>
      <c r="F4" s="376"/>
      <c r="G4" s="376"/>
      <c r="H4" s="376"/>
    </row>
    <row r="5" spans="1:8" ht="15">
      <c r="A5" s="35" t="s">
        <v>533</v>
      </c>
      <c r="B5" s="376"/>
      <c r="C5" s="376"/>
      <c r="D5" s="379" t="s">
        <v>534</v>
      </c>
      <c r="E5" s="376"/>
      <c r="F5" s="376"/>
      <c r="G5" s="378" t="s">
        <v>535</v>
      </c>
      <c r="H5" s="378" t="s">
        <v>536</v>
      </c>
    </row>
    <row r="6" spans="1:8">
      <c r="A6" s="380">
        <v>38749</v>
      </c>
      <c r="B6" s="381">
        <f>('Workpaper 4'!F277)/100</f>
        <v>4.5400000000000003E-2</v>
      </c>
      <c r="C6" s="382">
        <f>('Workpaper 6'!I105)/100</f>
        <v>5.8200000000000002E-2</v>
      </c>
      <c r="D6" s="382">
        <f>('Workpaper 6'!J105)/100</f>
        <v>6.1100000000000002E-2</v>
      </c>
      <c r="E6" s="31"/>
      <c r="F6" s="377" t="s">
        <v>537</v>
      </c>
      <c r="G6" s="382">
        <f>(C6-B6)</f>
        <v>1.2799999999999999E-2</v>
      </c>
      <c r="H6" s="382">
        <f t="shared" ref="H6:H69" si="0">(D6-B6)</f>
        <v>1.5699999999999999E-2</v>
      </c>
    </row>
    <row r="7" spans="1:8">
      <c r="A7" s="380">
        <v>38777</v>
      </c>
      <c r="B7" s="381">
        <f>('Workpaper 4'!F278)/100</f>
        <v>4.7300000000000002E-2</v>
      </c>
      <c r="C7" s="382">
        <f>('Workpaper 6'!I106)/100</f>
        <v>5.9800000000000006E-2</v>
      </c>
      <c r="D7" s="382">
        <f>('Workpaper 6'!J106)/100</f>
        <v>6.2600000000000003E-2</v>
      </c>
      <c r="E7" s="31"/>
      <c r="F7" s="377" t="s">
        <v>538</v>
      </c>
      <c r="G7" s="382">
        <f t="shared" ref="G7:G63" si="1">(C7-B7)</f>
        <v>1.2500000000000004E-2</v>
      </c>
      <c r="H7" s="382">
        <f t="shared" si="0"/>
        <v>1.5300000000000001E-2</v>
      </c>
    </row>
    <row r="8" spans="1:8">
      <c r="A8" s="380">
        <v>38808</v>
      </c>
      <c r="B8" s="381">
        <f>('Workpaper 4'!F279)/100</f>
        <v>5.0599999999999999E-2</v>
      </c>
      <c r="C8" s="382">
        <f>('Workpaper 6'!I107)/100</f>
        <v>6.2899999999999998E-2</v>
      </c>
      <c r="D8" s="382">
        <f>('Workpaper 6'!J107)/100</f>
        <v>6.54E-2</v>
      </c>
      <c r="E8" s="31"/>
      <c r="F8" s="377" t="s">
        <v>539</v>
      </c>
      <c r="G8" s="382">
        <f t="shared" si="1"/>
        <v>1.2299999999999998E-2</v>
      </c>
      <c r="H8" s="382">
        <f t="shared" si="0"/>
        <v>1.4800000000000001E-2</v>
      </c>
    </row>
    <row r="9" spans="1:8">
      <c r="A9" s="380">
        <v>38838</v>
      </c>
      <c r="B9" s="381">
        <f>('Workpaper 4'!F280)/100</f>
        <v>5.2000000000000005E-2</v>
      </c>
      <c r="C9" s="382">
        <f>('Workpaper 6'!I108)/100</f>
        <v>6.4199999999999993E-2</v>
      </c>
      <c r="D9" s="382">
        <f>('Workpaper 6'!J108)/100</f>
        <v>6.59E-2</v>
      </c>
      <c r="E9" s="31"/>
      <c r="F9" s="377" t="s">
        <v>540</v>
      </c>
      <c r="G9" s="382">
        <f t="shared" si="1"/>
        <v>1.2199999999999989E-2</v>
      </c>
      <c r="H9" s="382">
        <f t="shared" si="0"/>
        <v>1.3899999999999996E-2</v>
      </c>
    </row>
    <row r="10" spans="1:8">
      <c r="A10" s="380">
        <v>38869</v>
      </c>
      <c r="B10" s="381">
        <f>('Workpaper 4'!F281)/100</f>
        <v>5.1500000000000004E-2</v>
      </c>
      <c r="C10" s="382">
        <f>('Workpaper 6'!I109)/100</f>
        <v>6.4000000000000001E-2</v>
      </c>
      <c r="D10" s="382">
        <f>('Workpaper 6'!J109)/100</f>
        <v>6.6100000000000006E-2</v>
      </c>
      <c r="E10" s="31"/>
      <c r="F10" s="377" t="s">
        <v>541</v>
      </c>
      <c r="G10" s="382">
        <f t="shared" si="1"/>
        <v>1.2499999999999997E-2</v>
      </c>
      <c r="H10" s="382">
        <f t="shared" si="0"/>
        <v>1.4600000000000002E-2</v>
      </c>
    </row>
    <row r="11" spans="1:8">
      <c r="A11" s="380">
        <v>38899</v>
      </c>
      <c r="B11" s="381">
        <f>('Workpaper 4'!F282)/100</f>
        <v>5.1299999999999998E-2</v>
      </c>
      <c r="C11" s="382">
        <f>('Workpaper 6'!I110)/100</f>
        <v>6.3700000000000007E-2</v>
      </c>
      <c r="D11" s="382">
        <f>('Workpaper 6'!J110)/100</f>
        <v>6.6100000000000006E-2</v>
      </c>
      <c r="E11" s="31"/>
      <c r="F11" s="377" t="s">
        <v>542</v>
      </c>
      <c r="G11" s="382">
        <f t="shared" si="1"/>
        <v>1.2400000000000008E-2</v>
      </c>
      <c r="H11" s="382">
        <f t="shared" si="0"/>
        <v>1.4800000000000008E-2</v>
      </c>
    </row>
    <row r="12" spans="1:8">
      <c r="A12" s="380">
        <v>38930</v>
      </c>
      <c r="B12" s="381">
        <f>('Workpaper 4'!F283)/100</f>
        <v>0.05</v>
      </c>
      <c r="C12" s="382">
        <f>('Workpaper 6'!I111)/100</f>
        <v>6.2E-2</v>
      </c>
      <c r="D12" s="382">
        <f>('Workpaper 6'!J111)/100</f>
        <v>6.4299999999999996E-2</v>
      </c>
      <c r="E12" s="31"/>
      <c r="F12" s="377" t="s">
        <v>543</v>
      </c>
      <c r="G12" s="382">
        <f t="shared" si="1"/>
        <v>1.1999999999999997E-2</v>
      </c>
      <c r="H12" s="382">
        <f t="shared" si="0"/>
        <v>1.4299999999999993E-2</v>
      </c>
    </row>
    <row r="13" spans="1:8">
      <c r="A13" s="380">
        <v>38961</v>
      </c>
      <c r="B13" s="381">
        <f>('Workpaper 4'!F284)/100</f>
        <v>4.8499999999999995E-2</v>
      </c>
      <c r="C13" s="382">
        <f>('Workpaper 6'!I112)/100</f>
        <v>0.06</v>
      </c>
      <c r="D13" s="382">
        <f>('Workpaper 6'!J112)/100</f>
        <v>6.2600000000000003E-2</v>
      </c>
      <c r="E13" s="31"/>
      <c r="F13" s="377" t="s">
        <v>544</v>
      </c>
      <c r="G13" s="382">
        <f t="shared" si="1"/>
        <v>1.1500000000000003E-2</v>
      </c>
      <c r="H13" s="382">
        <f t="shared" si="0"/>
        <v>1.4100000000000008E-2</v>
      </c>
    </row>
    <row r="14" spans="1:8">
      <c r="A14" s="380">
        <v>38991</v>
      </c>
      <c r="B14" s="381">
        <f>('Workpaper 4'!F285)/100</f>
        <v>4.8499999999999995E-2</v>
      </c>
      <c r="C14" s="382">
        <f>('Workpaper 6'!I113)/100</f>
        <v>5.9800000000000006E-2</v>
      </c>
      <c r="D14" s="382">
        <f>('Workpaper 6'!J113)/100</f>
        <v>6.2400000000000004E-2</v>
      </c>
      <c r="E14" s="31"/>
      <c r="F14" s="377" t="s">
        <v>545</v>
      </c>
      <c r="G14" s="382">
        <f t="shared" si="1"/>
        <v>1.1300000000000011E-2</v>
      </c>
      <c r="H14" s="382">
        <f t="shared" si="0"/>
        <v>1.390000000000001E-2</v>
      </c>
    </row>
    <row r="15" spans="1:8">
      <c r="A15" s="380">
        <v>39022</v>
      </c>
      <c r="B15" s="381">
        <f>('Workpaper 4'!F286)/100</f>
        <v>4.6900000000000004E-2</v>
      </c>
      <c r="C15" s="382">
        <f>('Workpaper 6'!I114)/100</f>
        <v>5.7999999999999996E-2</v>
      </c>
      <c r="D15" s="382">
        <f>('Workpaper 6'!J114)/100</f>
        <v>6.0400000000000002E-2</v>
      </c>
      <c r="E15" s="31"/>
      <c r="F15" s="377" t="s">
        <v>546</v>
      </c>
      <c r="G15" s="382">
        <f t="shared" si="1"/>
        <v>1.1099999999999992E-2</v>
      </c>
      <c r="H15" s="382">
        <f t="shared" si="0"/>
        <v>1.3499999999999998E-2</v>
      </c>
    </row>
    <row r="16" spans="1:8">
      <c r="A16" s="380">
        <v>39052</v>
      </c>
      <c r="B16" s="381">
        <f>('Workpaper 4'!F287)/100</f>
        <v>4.6799999999999994E-2</v>
      </c>
      <c r="C16" s="382">
        <f>('Workpaper 6'!I115)/100</f>
        <v>5.8099999999999999E-2</v>
      </c>
      <c r="D16" s="382">
        <f>('Workpaper 6'!J115)/100</f>
        <v>6.0499999999999998E-2</v>
      </c>
      <c r="E16" s="31"/>
      <c r="F16" s="377" t="s">
        <v>547</v>
      </c>
      <c r="G16" s="382">
        <f t="shared" si="1"/>
        <v>1.1300000000000004E-2</v>
      </c>
      <c r="H16" s="382">
        <f t="shared" si="0"/>
        <v>1.3700000000000004E-2</v>
      </c>
    </row>
    <row r="17" spans="1:10">
      <c r="A17" s="380">
        <v>39083</v>
      </c>
      <c r="B17" s="381">
        <f>('Workpaper 4'!F288)/100</f>
        <v>4.8499999999999995E-2</v>
      </c>
      <c r="C17" s="382">
        <f>('Workpaper 6'!I120)/100</f>
        <v>5.96E-2</v>
      </c>
      <c r="D17" s="382">
        <f>('Workpaper 6'!J120)/100</f>
        <v>6.1600000000000002E-2</v>
      </c>
      <c r="E17" s="31"/>
      <c r="F17" s="377" t="s">
        <v>548</v>
      </c>
      <c r="G17" s="382">
        <f t="shared" si="1"/>
        <v>1.1100000000000006E-2</v>
      </c>
      <c r="H17" s="382">
        <f t="shared" si="0"/>
        <v>1.3100000000000007E-2</v>
      </c>
    </row>
    <row r="18" spans="1:10">
      <c r="A18" s="380">
        <v>39114</v>
      </c>
      <c r="B18" s="381">
        <f>('Workpaper 4'!F289)/100</f>
        <v>4.82E-2</v>
      </c>
      <c r="C18" s="382">
        <f>('Workpaper 6'!I121)/100</f>
        <v>5.9000000000000004E-2</v>
      </c>
      <c r="D18" s="382">
        <f>('Workpaper 6'!J121)/100</f>
        <v>6.0999999999999999E-2</v>
      </c>
      <c r="E18" s="31"/>
      <c r="F18" s="377" t="s">
        <v>549</v>
      </c>
      <c r="G18" s="382">
        <f t="shared" si="1"/>
        <v>1.0800000000000004E-2</v>
      </c>
      <c r="H18" s="382">
        <f t="shared" si="0"/>
        <v>1.2799999999999999E-2</v>
      </c>
    </row>
    <row r="19" spans="1:10">
      <c r="A19" s="380">
        <v>39142</v>
      </c>
      <c r="B19" s="381">
        <f>('Workpaper 4'!F290)/100</f>
        <v>4.7199999999999999E-2</v>
      </c>
      <c r="C19" s="382">
        <f>('Workpaper 6'!I122)/100</f>
        <v>5.8499999999999996E-2</v>
      </c>
      <c r="D19" s="382">
        <f>('Workpaper 6'!J122)/100</f>
        <v>6.0999999999999999E-2</v>
      </c>
      <c r="E19" s="31"/>
      <c r="F19" s="377" t="s">
        <v>550</v>
      </c>
      <c r="G19" s="382">
        <f t="shared" si="1"/>
        <v>1.1299999999999998E-2</v>
      </c>
      <c r="H19" s="382">
        <f t="shared" si="0"/>
        <v>1.38E-2</v>
      </c>
    </row>
    <row r="20" spans="1:10">
      <c r="A20" s="380">
        <v>39173</v>
      </c>
      <c r="B20" s="381">
        <f>('Workpaper 4'!F291)/100</f>
        <v>4.87E-2</v>
      </c>
      <c r="C20" s="382">
        <f>('Workpaper 6'!I123)/100</f>
        <v>5.9699999999999996E-2</v>
      </c>
      <c r="D20" s="382">
        <f>('Workpaper 6'!J123)/100</f>
        <v>6.2400000000000004E-2</v>
      </c>
      <c r="E20" s="31"/>
      <c r="F20" s="377" t="s">
        <v>551</v>
      </c>
      <c r="G20" s="382">
        <f t="shared" si="1"/>
        <v>1.0999999999999996E-2</v>
      </c>
      <c r="H20" s="382">
        <f t="shared" si="0"/>
        <v>1.3700000000000004E-2</v>
      </c>
    </row>
    <row r="21" spans="1:10">
      <c r="A21" s="380">
        <v>39203</v>
      </c>
      <c r="B21" s="381">
        <f>('Workpaper 4'!F292)/100</f>
        <v>4.9000000000000002E-2</v>
      </c>
      <c r="C21" s="382">
        <f>('Workpaper 6'!I124)/100</f>
        <v>5.9900000000000002E-2</v>
      </c>
      <c r="D21" s="382">
        <f>('Workpaper 6'!J124)/100</f>
        <v>6.2300000000000001E-2</v>
      </c>
      <c r="E21" s="31"/>
      <c r="F21" s="377" t="s">
        <v>552</v>
      </c>
      <c r="G21" s="382">
        <f t="shared" si="1"/>
        <v>1.09E-2</v>
      </c>
      <c r="H21" s="382">
        <f t="shared" si="0"/>
        <v>1.3299999999999999E-2</v>
      </c>
    </row>
    <row r="22" spans="1:10">
      <c r="A22" s="380">
        <v>39234</v>
      </c>
      <c r="B22" s="381">
        <f>('Workpaper 4'!F293)/100</f>
        <v>5.2000000000000005E-2</v>
      </c>
      <c r="C22" s="382">
        <f>('Workpaper 6'!I125)/100</f>
        <v>6.3E-2</v>
      </c>
      <c r="D22" s="382">
        <f>('Workpaper 6'!J125)/100</f>
        <v>6.54E-2</v>
      </c>
      <c r="E22" s="31"/>
      <c r="F22" s="377" t="s">
        <v>553</v>
      </c>
      <c r="G22" s="382">
        <f t="shared" si="1"/>
        <v>1.0999999999999996E-2</v>
      </c>
      <c r="H22" s="382">
        <f t="shared" si="0"/>
        <v>1.3399999999999995E-2</v>
      </c>
    </row>
    <row r="23" spans="1:10">
      <c r="A23" s="380">
        <v>39264</v>
      </c>
      <c r="B23" s="381">
        <f>('Workpaper 4'!F294)/100</f>
        <v>5.1100000000000007E-2</v>
      </c>
      <c r="C23" s="382">
        <f>('Workpaper 6'!I126)/100</f>
        <v>6.25E-2</v>
      </c>
      <c r="D23" s="382">
        <f>('Workpaper 6'!J126)/100</f>
        <v>6.4899999999999999E-2</v>
      </c>
      <c r="E23" s="31"/>
      <c r="F23" s="377" t="s">
        <v>554</v>
      </c>
      <c r="G23" s="382">
        <f t="shared" si="1"/>
        <v>1.1399999999999993E-2</v>
      </c>
      <c r="H23" s="382">
        <f t="shared" si="0"/>
        <v>1.3799999999999993E-2</v>
      </c>
    </row>
    <row r="24" spans="1:10">
      <c r="A24" s="380">
        <v>39295</v>
      </c>
      <c r="B24" s="381">
        <f>('Workpaper 4'!F295)/100</f>
        <v>4.9299999999999997E-2</v>
      </c>
      <c r="C24" s="382">
        <f>('Workpaper 6'!I127)/100</f>
        <v>6.2400000000000004E-2</v>
      </c>
      <c r="D24" s="382">
        <f>('Workpaper 6'!J127)/100</f>
        <v>6.5099999999999991E-2</v>
      </c>
      <c r="E24" s="31"/>
      <c r="F24" s="377" t="s">
        <v>555</v>
      </c>
      <c r="G24" s="382">
        <f t="shared" si="1"/>
        <v>1.3100000000000007E-2</v>
      </c>
      <c r="H24" s="382">
        <f t="shared" si="0"/>
        <v>1.5799999999999995E-2</v>
      </c>
    </row>
    <row r="25" spans="1:10">
      <c r="A25" s="380">
        <v>39326</v>
      </c>
      <c r="B25" s="381">
        <f>('Workpaper 4'!F296)/100</f>
        <v>4.7899999999999998E-2</v>
      </c>
      <c r="C25" s="382">
        <f>('Workpaper 6'!I128)/100</f>
        <v>6.1799999999999994E-2</v>
      </c>
      <c r="D25" s="382">
        <f>('Workpaper 6'!J128)/100</f>
        <v>6.4500000000000002E-2</v>
      </c>
      <c r="E25" s="31"/>
      <c r="F25" s="377" t="s">
        <v>556</v>
      </c>
      <c r="G25" s="382">
        <f t="shared" si="1"/>
        <v>1.3899999999999996E-2</v>
      </c>
      <c r="H25" s="382">
        <f t="shared" si="0"/>
        <v>1.6600000000000004E-2</v>
      </c>
    </row>
    <row r="26" spans="1:10">
      <c r="A26" s="380">
        <v>39356</v>
      </c>
      <c r="B26" s="381">
        <f>('Workpaper 4'!F297)/100</f>
        <v>4.7699999999999992E-2</v>
      </c>
      <c r="C26" s="382">
        <f>('Workpaper 6'!I129)/100</f>
        <v>6.1100000000000002E-2</v>
      </c>
      <c r="D26" s="382">
        <f>('Workpaper 6'!J129)/100</f>
        <v>6.3600000000000004E-2</v>
      </c>
      <c r="E26" s="31"/>
      <c r="F26" s="377" t="s">
        <v>557</v>
      </c>
      <c r="G26" s="382">
        <f t="shared" si="1"/>
        <v>1.3400000000000009E-2</v>
      </c>
      <c r="H26" s="382">
        <f t="shared" si="0"/>
        <v>1.5900000000000011E-2</v>
      </c>
    </row>
    <row r="27" spans="1:10">
      <c r="A27" s="380">
        <v>39387</v>
      </c>
      <c r="B27" s="381">
        <f>('Workpaper 4'!F298)/100</f>
        <v>4.5199999999999997E-2</v>
      </c>
      <c r="C27" s="382">
        <f>('Workpaper 6'!I130)/100</f>
        <v>5.9699999999999996E-2</v>
      </c>
      <c r="D27" s="382">
        <f>('Workpaper 6'!J130)/100</f>
        <v>6.2699999999999992E-2</v>
      </c>
      <c r="E27" s="31"/>
      <c r="F27" s="377" t="s">
        <v>558</v>
      </c>
      <c r="G27" s="382">
        <f t="shared" si="1"/>
        <v>1.4499999999999999E-2</v>
      </c>
      <c r="H27" s="382">
        <f t="shared" si="0"/>
        <v>1.7499999999999995E-2</v>
      </c>
    </row>
    <row r="28" spans="1:10">
      <c r="A28" s="380">
        <v>39417</v>
      </c>
      <c r="B28" s="381">
        <f>('Workpaper 4'!F299)/100</f>
        <v>4.53E-2</v>
      </c>
      <c r="C28" s="382">
        <f>('Workpaper 6'!I131)/100</f>
        <v>6.1600000000000002E-2</v>
      </c>
      <c r="D28" s="382">
        <f>('Workpaper 6'!J131)/100</f>
        <v>6.5099999999999991E-2</v>
      </c>
      <c r="E28" s="31"/>
      <c r="F28" s="377" t="s">
        <v>559</v>
      </c>
      <c r="G28" s="382">
        <f t="shared" si="1"/>
        <v>1.6300000000000002E-2</v>
      </c>
      <c r="H28" s="382">
        <f t="shared" si="0"/>
        <v>1.9799999999999991E-2</v>
      </c>
    </row>
    <row r="29" spans="1:10">
      <c r="A29" s="380">
        <v>39448</v>
      </c>
      <c r="B29" s="381">
        <f>('Workpaper 4'!F300)/100</f>
        <v>4.3299999999999998E-2</v>
      </c>
      <c r="C29" s="382">
        <f>('Workpaper 6'!I136)/100</f>
        <v>6.0199999999999997E-2</v>
      </c>
      <c r="D29" s="382">
        <f>('Workpaper 6'!J136)/100</f>
        <v>6.3500000000000001E-2</v>
      </c>
      <c r="E29" s="31"/>
      <c r="F29" s="377" t="s">
        <v>560</v>
      </c>
      <c r="G29" s="382">
        <f t="shared" si="1"/>
        <v>1.6899999999999998E-2</v>
      </c>
      <c r="H29" s="382">
        <f t="shared" si="0"/>
        <v>2.0200000000000003E-2</v>
      </c>
    </row>
    <row r="30" spans="1:10">
      <c r="A30" s="380">
        <v>39479</v>
      </c>
      <c r="B30" s="381">
        <f>('Workpaper 4'!F301)/100</f>
        <v>4.5199999999999997E-2</v>
      </c>
      <c r="C30" s="382">
        <f>('Workpaper 6'!I137)/100</f>
        <v>6.2100000000000002E-2</v>
      </c>
      <c r="D30" s="382">
        <f>('Workpaper 6'!J137)/100</f>
        <v>6.6000000000000003E-2</v>
      </c>
      <c r="E30" s="31"/>
      <c r="F30" s="377" t="s">
        <v>561</v>
      </c>
      <c r="G30" s="382">
        <f t="shared" si="1"/>
        <v>1.6900000000000005E-2</v>
      </c>
      <c r="H30" s="382">
        <f t="shared" si="0"/>
        <v>2.0800000000000006E-2</v>
      </c>
    </row>
    <row r="31" spans="1:10">
      <c r="A31" s="380">
        <v>39508</v>
      </c>
      <c r="B31" s="381">
        <f>('Workpaper 4'!F302)/100</f>
        <v>4.3899999999999995E-2</v>
      </c>
      <c r="C31" s="382">
        <f>('Workpaper 6'!I138)/100</f>
        <v>6.2100000000000002E-2</v>
      </c>
      <c r="D31" s="382">
        <f>('Workpaper 6'!J138)/100</f>
        <v>6.6799999999999998E-2</v>
      </c>
      <c r="E31" s="31"/>
      <c r="F31" s="377" t="s">
        <v>562</v>
      </c>
      <c r="G31" s="382">
        <f t="shared" si="1"/>
        <v>1.8200000000000008E-2</v>
      </c>
      <c r="H31" s="382">
        <f t="shared" si="0"/>
        <v>2.2900000000000004E-2</v>
      </c>
      <c r="J31" s="383"/>
    </row>
    <row r="32" spans="1:10">
      <c r="A32" s="380">
        <v>39539</v>
      </c>
      <c r="B32" s="381">
        <f>('Workpaper 4'!F303)/100</f>
        <v>4.4400000000000002E-2</v>
      </c>
      <c r="C32" s="382">
        <f>('Workpaper 6'!I139)/100</f>
        <v>6.2899999999999998E-2</v>
      </c>
      <c r="D32" s="382">
        <f>('Workpaper 6'!J139)/100</f>
        <v>6.8099999999999994E-2</v>
      </c>
      <c r="E32" s="31"/>
      <c r="F32" s="377" t="s">
        <v>563</v>
      </c>
      <c r="G32" s="382">
        <f t="shared" si="1"/>
        <v>1.8499999999999996E-2</v>
      </c>
      <c r="H32" s="382">
        <f t="shared" si="0"/>
        <v>2.3699999999999992E-2</v>
      </c>
      <c r="J32" s="383"/>
    </row>
    <row r="33" spans="1:10">
      <c r="A33" s="380">
        <v>39569</v>
      </c>
      <c r="B33" s="381">
        <f>('Workpaper 4'!F304)/100</f>
        <v>4.5999999999999999E-2</v>
      </c>
      <c r="C33" s="382">
        <f>('Workpaper 6'!I140)/100</f>
        <v>6.2699999999999992E-2</v>
      </c>
      <c r="D33" s="382">
        <f>('Workpaper 6'!J140)/100</f>
        <v>6.7900000000000002E-2</v>
      </c>
      <c r="E33" s="31"/>
      <c r="F33" s="377" t="s">
        <v>564</v>
      </c>
      <c r="G33" s="382">
        <f t="shared" si="1"/>
        <v>1.6699999999999993E-2</v>
      </c>
      <c r="H33" s="382">
        <f t="shared" si="0"/>
        <v>2.1900000000000003E-2</v>
      </c>
      <c r="J33" s="383"/>
    </row>
    <row r="34" spans="1:10">
      <c r="A34" s="380">
        <v>39600</v>
      </c>
      <c r="B34" s="381">
        <f>('Workpaper 4'!F305)/100</f>
        <v>4.6900000000000004E-2</v>
      </c>
      <c r="C34" s="382">
        <f>('Workpaper 6'!I141)/100</f>
        <v>6.3799999999999996E-2</v>
      </c>
      <c r="D34" s="382">
        <f>('Workpaper 6'!J141)/100</f>
        <v>6.93E-2</v>
      </c>
      <c r="E34" s="31"/>
      <c r="F34" s="377" t="s">
        <v>565</v>
      </c>
      <c r="G34" s="382">
        <f t="shared" si="1"/>
        <v>1.6899999999999991E-2</v>
      </c>
      <c r="H34" s="382">
        <f t="shared" si="0"/>
        <v>2.2399999999999996E-2</v>
      </c>
      <c r="J34" s="383"/>
    </row>
    <row r="35" spans="1:10">
      <c r="A35" s="380">
        <v>39630</v>
      </c>
      <c r="B35" s="381">
        <f>('Workpaper 4'!F306)/100</f>
        <v>4.5700000000000005E-2</v>
      </c>
      <c r="C35" s="382">
        <f>('Workpaper 6'!I142)/100</f>
        <v>6.4000000000000001E-2</v>
      </c>
      <c r="D35" s="382">
        <f>('Workpaper 6'!J142)/100</f>
        <v>6.9699999999999998E-2</v>
      </c>
      <c r="E35" s="31"/>
      <c r="F35" s="377" t="s">
        <v>566</v>
      </c>
      <c r="G35" s="382">
        <f t="shared" si="1"/>
        <v>1.8299999999999997E-2</v>
      </c>
      <c r="H35" s="382">
        <f t="shared" si="0"/>
        <v>2.3999999999999994E-2</v>
      </c>
      <c r="J35" s="383"/>
    </row>
    <row r="36" spans="1:10">
      <c r="A36" s="380">
        <v>39661</v>
      </c>
      <c r="B36" s="381">
        <f>('Workpaper 4'!F307)/100</f>
        <v>4.4999999999999998E-2</v>
      </c>
      <c r="C36" s="382">
        <f>('Workpaper 6'!I143)/100</f>
        <v>6.3700000000000007E-2</v>
      </c>
      <c r="D36" s="382">
        <f>('Workpaper 6'!J143)/100</f>
        <v>6.9800000000000001E-2</v>
      </c>
      <c r="E36" s="31"/>
      <c r="F36" s="377" t="s">
        <v>567</v>
      </c>
      <c r="G36" s="382">
        <f t="shared" si="1"/>
        <v>1.8700000000000008E-2</v>
      </c>
      <c r="H36" s="382">
        <f t="shared" si="0"/>
        <v>2.4800000000000003E-2</v>
      </c>
    </row>
    <row r="37" spans="1:10">
      <c r="A37" s="380">
        <v>39692</v>
      </c>
      <c r="B37" s="381">
        <f>('Workpaper 4'!F308)/100</f>
        <v>4.2699999999999995E-2</v>
      </c>
      <c r="C37" s="382">
        <f>('Workpaper 6'!I144)/100</f>
        <v>6.4899999999999999E-2</v>
      </c>
      <c r="D37" s="382">
        <f>('Workpaper 6'!J144)/100</f>
        <v>7.1500000000000008E-2</v>
      </c>
      <c r="E37" s="31"/>
      <c r="F37" s="377" t="s">
        <v>568</v>
      </c>
      <c r="G37" s="382">
        <f t="shared" si="1"/>
        <v>2.2200000000000004E-2</v>
      </c>
      <c r="H37" s="382">
        <f t="shared" si="0"/>
        <v>2.8800000000000013E-2</v>
      </c>
    </row>
    <row r="38" spans="1:10">
      <c r="A38" s="380">
        <v>39722</v>
      </c>
      <c r="B38" s="381">
        <f>('Workpaper 4'!F309)/100</f>
        <v>4.1700000000000001E-2</v>
      </c>
      <c r="C38" s="382">
        <f>('Workpaper 6'!I145)/100</f>
        <v>7.5600000000000001E-2</v>
      </c>
      <c r="D38" s="382">
        <f>('Workpaper 6'!J145)/100</f>
        <v>8.5800000000000001E-2</v>
      </c>
      <c r="E38" s="31"/>
      <c r="F38" s="377" t="s">
        <v>569</v>
      </c>
      <c r="G38" s="382">
        <f t="shared" si="1"/>
        <v>3.39E-2</v>
      </c>
      <c r="H38" s="382">
        <f t="shared" si="0"/>
        <v>4.41E-2</v>
      </c>
    </row>
    <row r="39" spans="1:10">
      <c r="A39" s="380">
        <v>39753</v>
      </c>
      <c r="B39" s="381">
        <f>('Workpaper 4'!F310)/100</f>
        <v>0.04</v>
      </c>
      <c r="C39" s="382">
        <f>('Workpaper 6'!I146)/100</f>
        <v>7.5999999999999998E-2</v>
      </c>
      <c r="D39" s="382">
        <f>('Workpaper 6'!J146)/100</f>
        <v>8.9800000000000005E-2</v>
      </c>
      <c r="E39" s="31"/>
      <c r="F39" s="377" t="s">
        <v>570</v>
      </c>
      <c r="G39" s="382">
        <f t="shared" si="1"/>
        <v>3.5999999999999997E-2</v>
      </c>
      <c r="H39" s="382">
        <f t="shared" si="0"/>
        <v>4.9800000000000004E-2</v>
      </c>
    </row>
    <row r="40" spans="1:10">
      <c r="A40" s="380">
        <v>39783</v>
      </c>
      <c r="B40" s="381">
        <f>('Workpaper 4'!F311)/100</f>
        <v>2.87E-2</v>
      </c>
      <c r="C40" s="382">
        <f>('Workpaper 6'!I147)/100</f>
        <v>6.54E-2</v>
      </c>
      <c r="D40" s="382">
        <f>('Workpaper 6'!J147)/100</f>
        <v>8.1300000000000011E-2</v>
      </c>
      <c r="E40" s="31"/>
      <c r="F40" s="377" t="s">
        <v>571</v>
      </c>
      <c r="G40" s="382">
        <f t="shared" si="1"/>
        <v>3.6699999999999997E-2</v>
      </c>
      <c r="H40" s="382">
        <f t="shared" si="0"/>
        <v>5.2600000000000008E-2</v>
      </c>
    </row>
    <row r="41" spans="1:10">
      <c r="A41" s="380">
        <v>39814</v>
      </c>
      <c r="B41" s="381">
        <f>('Workpaper 4'!F312)/100</f>
        <v>3.1300000000000001E-2</v>
      </c>
      <c r="C41" s="382">
        <f>('Workpaper 6'!I152)/100</f>
        <v>6.3899999999999998E-2</v>
      </c>
      <c r="D41" s="382">
        <f>('Workpaper 6'!J152)/100</f>
        <v>7.9000000000000001E-2</v>
      </c>
      <c r="E41" s="31"/>
      <c r="F41" s="377" t="s">
        <v>572</v>
      </c>
      <c r="G41" s="382">
        <f t="shared" si="1"/>
        <v>3.2599999999999997E-2</v>
      </c>
      <c r="H41" s="382">
        <f t="shared" si="0"/>
        <v>4.7699999999999999E-2</v>
      </c>
    </row>
    <row r="42" spans="1:10">
      <c r="A42" s="380">
        <v>39845</v>
      </c>
      <c r="B42" s="381">
        <f>('Workpaper 4'!F313)/100</f>
        <v>3.5900000000000001E-2</v>
      </c>
      <c r="C42" s="382">
        <f>('Workpaper 6'!I153)/100</f>
        <v>6.3E-2</v>
      </c>
      <c r="D42" s="382">
        <f>('Workpaper 6'!J153)/100</f>
        <v>7.7399999999999997E-2</v>
      </c>
      <c r="E42" s="31"/>
      <c r="F42" s="377" t="s">
        <v>573</v>
      </c>
      <c r="G42" s="382">
        <f t="shared" si="1"/>
        <v>2.7099999999999999E-2</v>
      </c>
      <c r="H42" s="382">
        <f t="shared" si="0"/>
        <v>4.1499999999999995E-2</v>
      </c>
    </row>
    <row r="43" spans="1:10">
      <c r="A43" s="380">
        <v>39873</v>
      </c>
      <c r="B43" s="381">
        <f>('Workpaper 4'!F314)/100</f>
        <v>3.6400000000000002E-2</v>
      </c>
      <c r="C43" s="382">
        <f>('Workpaper 6'!I154)/100</f>
        <v>6.4199999999999993E-2</v>
      </c>
      <c r="D43" s="382">
        <f>('Workpaper 6'!J154)/100</f>
        <v>0.08</v>
      </c>
      <c r="E43" s="31"/>
      <c r="F43" s="377" t="s">
        <v>574</v>
      </c>
      <c r="G43" s="382">
        <f t="shared" si="1"/>
        <v>2.7799999999999991E-2</v>
      </c>
      <c r="H43" s="382">
        <f t="shared" si="0"/>
        <v>4.36E-2</v>
      </c>
    </row>
    <row r="44" spans="1:10">
      <c r="A44" s="380">
        <v>39904</v>
      </c>
      <c r="B44" s="381">
        <f>('Workpaper 4'!F315)/100</f>
        <v>3.7599999999999995E-2</v>
      </c>
      <c r="C44" s="382">
        <f>('Workpaper 6'!I155)/100</f>
        <v>6.480000000000001E-2</v>
      </c>
      <c r="D44" s="382">
        <f>('Workpaper 6'!J155)/100</f>
        <v>8.0299999999999996E-2</v>
      </c>
      <c r="E44" s="31"/>
      <c r="F44" s="377" t="s">
        <v>575</v>
      </c>
      <c r="G44" s="382">
        <f t="shared" si="1"/>
        <v>2.7200000000000016E-2</v>
      </c>
      <c r="H44" s="382">
        <f t="shared" si="0"/>
        <v>4.2700000000000002E-2</v>
      </c>
    </row>
    <row r="45" spans="1:10">
      <c r="A45" s="380">
        <v>39934</v>
      </c>
      <c r="B45" s="381">
        <f>('Workpaper 4'!F316)/100</f>
        <v>4.2300000000000004E-2</v>
      </c>
      <c r="C45" s="382">
        <f>('Workpaper 6'!I156)/100</f>
        <v>6.4899999999999999E-2</v>
      </c>
      <c r="D45" s="382">
        <f>('Workpaper 6'!J156)/100</f>
        <v>7.7600000000000002E-2</v>
      </c>
      <c r="E45" s="31"/>
      <c r="F45" s="377" t="s">
        <v>576</v>
      </c>
      <c r="G45" s="382">
        <f t="shared" si="1"/>
        <v>2.2599999999999995E-2</v>
      </c>
      <c r="H45" s="382">
        <f t="shared" si="0"/>
        <v>3.5299999999999998E-2</v>
      </c>
    </row>
    <row r="46" spans="1:10">
      <c r="A46" s="380">
        <v>39965</v>
      </c>
      <c r="B46" s="381">
        <f>('Workpaper 4'!F317)/100</f>
        <v>4.5199999999999997E-2</v>
      </c>
      <c r="C46" s="382">
        <f>('Workpaper 6'!I157)/100</f>
        <v>6.2E-2</v>
      </c>
      <c r="D46" s="382">
        <f>('Workpaper 6'!J157)/100</f>
        <v>7.2999999999999995E-2</v>
      </c>
      <c r="E46" s="31"/>
      <c r="F46" s="377" t="s">
        <v>577</v>
      </c>
      <c r="G46" s="382">
        <f t="shared" si="1"/>
        <v>1.6800000000000002E-2</v>
      </c>
      <c r="H46" s="382">
        <f t="shared" si="0"/>
        <v>2.7799999999999998E-2</v>
      </c>
    </row>
    <row r="47" spans="1:10">
      <c r="A47" s="380">
        <v>39995</v>
      </c>
      <c r="B47" s="381">
        <f>('Workpaper 4'!F318)/100</f>
        <v>4.41E-2</v>
      </c>
      <c r="C47" s="382">
        <f>('Workpaper 6'!I158)/100</f>
        <v>5.9699999999999996E-2</v>
      </c>
      <c r="D47" s="382">
        <f>('Workpaper 6'!J158)/100</f>
        <v>6.8699999999999997E-2</v>
      </c>
      <c r="E47" s="31"/>
      <c r="F47" s="377" t="s">
        <v>578</v>
      </c>
      <c r="G47" s="382">
        <f t="shared" si="1"/>
        <v>1.5599999999999996E-2</v>
      </c>
      <c r="H47" s="382">
        <f t="shared" si="0"/>
        <v>2.4599999999999997E-2</v>
      </c>
    </row>
    <row r="48" spans="1:10">
      <c r="A48" s="380">
        <v>40026</v>
      </c>
      <c r="B48" s="381">
        <f>('Workpaper 4'!F319)/100</f>
        <v>4.3700000000000003E-2</v>
      </c>
      <c r="C48" s="382">
        <f>('Workpaper 6'!I159)/100</f>
        <v>5.7099999999999998E-2</v>
      </c>
      <c r="D48" s="382">
        <f>('Workpaper 6'!J159)/100</f>
        <v>6.3600000000000004E-2</v>
      </c>
      <c r="E48" s="31"/>
      <c r="F48" s="377" t="s">
        <v>579</v>
      </c>
      <c r="G48" s="382">
        <f t="shared" si="1"/>
        <v>1.3399999999999995E-2</v>
      </c>
      <c r="H48" s="382">
        <f t="shared" si="0"/>
        <v>1.9900000000000001E-2</v>
      </c>
    </row>
    <row r="49" spans="1:8">
      <c r="A49" s="380">
        <v>40057</v>
      </c>
      <c r="B49" s="381">
        <f>('Workpaper 4'!F320)/100</f>
        <v>4.1900000000000007E-2</v>
      </c>
      <c r="C49" s="382">
        <f>('Workpaper 6'!I160)/100</f>
        <v>5.5304761904761898E-2</v>
      </c>
      <c r="D49" s="382">
        <f>('Workpaper 6'!J160)/100</f>
        <v>6.1185714285714302E-2</v>
      </c>
      <c r="E49" s="31"/>
      <c r="F49" s="377" t="s">
        <v>580</v>
      </c>
      <c r="G49" s="382">
        <f t="shared" si="1"/>
        <v>1.3404761904761892E-2</v>
      </c>
      <c r="H49" s="382">
        <f t="shared" si="0"/>
        <v>1.9285714285714295E-2</v>
      </c>
    </row>
    <row r="50" spans="1:8">
      <c r="A50" s="380">
        <v>40087</v>
      </c>
      <c r="B50" s="381">
        <f>('Workpaper 4'!F321)/100</f>
        <v>4.1900000000000007E-2</v>
      </c>
      <c r="C50" s="382">
        <f>('Workpaper 6'!I161)/100</f>
        <v>5.5374999999999994E-2</v>
      </c>
      <c r="D50" s="382">
        <f>('Workpaper 6'!J161)/100</f>
        <v>6.1340000000000006E-2</v>
      </c>
      <c r="E50" s="31"/>
      <c r="F50" s="384" t="s">
        <v>581</v>
      </c>
      <c r="G50" s="382">
        <f t="shared" si="1"/>
        <v>1.3474999999999987E-2</v>
      </c>
      <c r="H50" s="382">
        <f t="shared" si="0"/>
        <v>1.9439999999999999E-2</v>
      </c>
    </row>
    <row r="51" spans="1:8">
      <c r="A51" s="380">
        <v>40118</v>
      </c>
      <c r="B51" s="381">
        <f>('Workpaper 4'!F322)/100</f>
        <v>4.3099999999999999E-2</v>
      </c>
      <c r="C51" s="382">
        <f>('Workpaper 6'!I162)/100</f>
        <v>5.6381249999999994E-2</v>
      </c>
      <c r="D51" s="382">
        <f>('Workpaper 6'!J162)/100</f>
        <v>6.186875E-2</v>
      </c>
      <c r="F51" s="384" t="s">
        <v>582</v>
      </c>
      <c r="G51" s="382">
        <f t="shared" si="1"/>
        <v>1.3281249999999994E-2</v>
      </c>
      <c r="H51" s="382">
        <f t="shared" si="0"/>
        <v>1.8768750000000001E-2</v>
      </c>
    </row>
    <row r="52" spans="1:8">
      <c r="A52" s="380">
        <v>40148</v>
      </c>
      <c r="B52" s="381">
        <f>('Workpaper 4'!F323)/100</f>
        <v>4.4900000000000002E-2</v>
      </c>
      <c r="C52" s="382">
        <f>('Workpaper 6'!I163)/100</f>
        <v>5.7747368421052603E-2</v>
      </c>
      <c r="D52" s="382">
        <f>('Workpaper 6'!J163)/100</f>
        <v>6.2626315789473697E-2</v>
      </c>
      <c r="F52" s="385" t="s">
        <v>583</v>
      </c>
      <c r="G52" s="382">
        <f t="shared" si="1"/>
        <v>1.28473684210526E-2</v>
      </c>
      <c r="H52" s="382">
        <f t="shared" si="0"/>
        <v>1.7726315789473694E-2</v>
      </c>
    </row>
    <row r="53" spans="1:8">
      <c r="A53" s="380">
        <v>40179</v>
      </c>
      <c r="B53" s="381">
        <f>('Workpaper 4'!F324)/100</f>
        <v>4.5999999999999999E-2</v>
      </c>
      <c r="C53" s="382">
        <f>('Workpaper 6'!I168)/100</f>
        <v>5.7726315789473695E-2</v>
      </c>
      <c r="D53" s="382">
        <f>('Workpaper 6'!J168)/100</f>
        <v>6.1557894736842096E-2</v>
      </c>
      <c r="F53" s="385" t="s">
        <v>584</v>
      </c>
      <c r="G53" s="382">
        <f t="shared" si="1"/>
        <v>1.1726315789473696E-2</v>
      </c>
      <c r="H53" s="382">
        <f t="shared" si="0"/>
        <v>1.5557894736842097E-2</v>
      </c>
    </row>
    <row r="54" spans="1:8">
      <c r="A54" s="380">
        <v>40210</v>
      </c>
      <c r="B54" s="381">
        <f>('Workpaper 4'!F325)/100</f>
        <v>4.6199999999999998E-2</v>
      </c>
      <c r="C54" s="382">
        <f>('Workpaper 6'!I169)/100</f>
        <v>5.8705263157894698E-2</v>
      </c>
      <c r="D54" s="382">
        <f>('Workpaper 6'!J169)/100</f>
        <v>6.2463157894736901E-2</v>
      </c>
      <c r="F54" s="385" t="s">
        <v>585</v>
      </c>
      <c r="G54" s="382">
        <f t="shared" si="1"/>
        <v>1.25052631578947E-2</v>
      </c>
      <c r="H54" s="382">
        <f t="shared" si="0"/>
        <v>1.6263157894736903E-2</v>
      </c>
    </row>
    <row r="55" spans="1:8">
      <c r="A55" s="380">
        <v>40238</v>
      </c>
      <c r="B55" s="381">
        <f>('Workpaper 4'!F326)/100</f>
        <v>4.6399999999999997E-2</v>
      </c>
      <c r="C55" s="382">
        <f>('Workpaper 6'!I170)/100</f>
        <v>5.8409523809523793E-2</v>
      </c>
      <c r="D55" s="382">
        <f>('Workpaper 6'!J170)/100</f>
        <v>6.2204761904761895E-2</v>
      </c>
      <c r="F55" s="384" t="s">
        <v>586</v>
      </c>
      <c r="G55" s="382">
        <f t="shared" si="1"/>
        <v>1.2009523809523796E-2</v>
      </c>
      <c r="H55" s="382">
        <f t="shared" si="0"/>
        <v>1.5804761904761898E-2</v>
      </c>
    </row>
    <row r="56" spans="1:8">
      <c r="A56" s="380">
        <v>40269</v>
      </c>
      <c r="B56" s="381">
        <f>('Workpaper 4'!F327)/100</f>
        <v>4.6900000000000004E-2</v>
      </c>
      <c r="C56" s="382">
        <f>('Workpaper 6'!I171)/100</f>
        <v>5.8099999999999999E-2</v>
      </c>
      <c r="D56" s="382">
        <f>('Workpaper 6'!J171)/100</f>
        <v>6.1880952380952384E-2</v>
      </c>
      <c r="F56" s="384" t="s">
        <v>587</v>
      </c>
      <c r="G56" s="382">
        <f t="shared" si="1"/>
        <v>1.1199999999999995E-2</v>
      </c>
      <c r="H56" s="382">
        <f t="shared" si="0"/>
        <v>1.498095238095238E-2</v>
      </c>
    </row>
    <row r="57" spans="1:8">
      <c r="A57" s="380">
        <v>40299</v>
      </c>
      <c r="B57" s="381">
        <f>('Workpaper 4'!F328)/100</f>
        <v>4.2900000000000001E-2</v>
      </c>
      <c r="C57" s="382">
        <f>('Workpaper 6'!I172)/100</f>
        <v>5.5E-2</v>
      </c>
      <c r="D57" s="382">
        <f>('Workpaper 6'!J172)/100</f>
        <v>5.9663157894736842E-2</v>
      </c>
      <c r="F57" s="384" t="s">
        <v>588</v>
      </c>
      <c r="G57" s="382">
        <f t="shared" si="1"/>
        <v>1.21E-2</v>
      </c>
      <c r="H57" s="382">
        <f t="shared" si="0"/>
        <v>1.6763157894736841E-2</v>
      </c>
    </row>
    <row r="58" spans="1:8">
      <c r="A58" s="380">
        <v>40330</v>
      </c>
      <c r="B58" s="381">
        <f>('Workpaper 4'!F329)/100</f>
        <v>4.1299999999999996E-2</v>
      </c>
      <c r="C58" s="382">
        <f>('Workpaper 6'!I173)/100</f>
        <v>5.4600000000000003E-2</v>
      </c>
      <c r="D58" s="382">
        <f>('Workpaper 6'!J173)/100</f>
        <v>6.1799999999999994E-2</v>
      </c>
      <c r="F58" s="384" t="s">
        <v>589</v>
      </c>
      <c r="G58" s="382">
        <f t="shared" si="1"/>
        <v>1.3300000000000006E-2</v>
      </c>
      <c r="H58" s="382">
        <f t="shared" si="0"/>
        <v>2.0499999999999997E-2</v>
      </c>
    </row>
    <row r="59" spans="1:8">
      <c r="A59" s="380">
        <v>40360</v>
      </c>
      <c r="B59" s="381">
        <f>('Workpaper 4'!F330)/100</f>
        <v>3.9900000000000005E-2</v>
      </c>
      <c r="C59" s="382">
        <f>('Workpaper 6'!I174)/100</f>
        <v>5.2600000000000001E-2</v>
      </c>
      <c r="D59" s="382">
        <f>('Workpaper 6'!J174)/100</f>
        <v>5.9800000000000006E-2</v>
      </c>
      <c r="F59" s="384" t="s">
        <v>590</v>
      </c>
      <c r="G59" s="382">
        <f t="shared" si="1"/>
        <v>1.2699999999999996E-2</v>
      </c>
      <c r="H59" s="382">
        <f t="shared" si="0"/>
        <v>1.9900000000000001E-2</v>
      </c>
    </row>
    <row r="60" spans="1:8">
      <c r="A60" s="380">
        <v>40391</v>
      </c>
      <c r="B60" s="381">
        <f>('Workpaper 4'!F331)/100</f>
        <v>3.7999999999999999E-2</v>
      </c>
      <c r="C60" s="382">
        <f>('Workpaper 6'!I175)/100</f>
        <v>5.0070588235294117E-2</v>
      </c>
      <c r="D60" s="382">
        <f>('Workpaper 6'!J175)/100</f>
        <v>5.5500000000000001E-2</v>
      </c>
      <c r="F60" s="384" t="s">
        <v>591</v>
      </c>
      <c r="G60" s="382">
        <f t="shared" si="1"/>
        <v>1.2070588235294118E-2</v>
      </c>
      <c r="H60" s="382">
        <f t="shared" si="0"/>
        <v>1.7500000000000002E-2</v>
      </c>
    </row>
    <row r="61" spans="1:8">
      <c r="A61" s="380">
        <v>40422</v>
      </c>
      <c r="B61" s="381">
        <f>('Workpaper 4'!F332)/100</f>
        <v>3.7699999999999997E-2</v>
      </c>
      <c r="C61" s="382">
        <f>('Workpaper 6'!I176)/100</f>
        <v>5.0095238095238089E-2</v>
      </c>
      <c r="D61" s="382">
        <f>('Workpaper 6'!J176)/100</f>
        <v>5.5319047619047615E-2</v>
      </c>
      <c r="F61" s="384" t="s">
        <v>592</v>
      </c>
      <c r="G61" s="382">
        <f t="shared" si="1"/>
        <v>1.2395238095238091E-2</v>
      </c>
      <c r="H61" s="382">
        <f t="shared" si="0"/>
        <v>1.7619047619047618E-2</v>
      </c>
    </row>
    <row r="62" spans="1:8">
      <c r="A62" s="380">
        <v>40452</v>
      </c>
      <c r="B62" s="381">
        <f>('Workpaper 4'!F333)/100</f>
        <v>3.8699999999999998E-2</v>
      </c>
      <c r="C62" s="382">
        <f>('Workpaper 6'!I177)/100</f>
        <v>5.0888235294117651E-2</v>
      </c>
      <c r="D62" s="382">
        <f>('Workpaper 6'!J177)/100</f>
        <v>5.6064705882352947E-2</v>
      </c>
      <c r="F62" s="384" t="s">
        <v>593</v>
      </c>
      <c r="G62" s="382">
        <f t="shared" si="1"/>
        <v>1.2188235294117652E-2</v>
      </c>
      <c r="H62" s="382">
        <f t="shared" si="0"/>
        <v>1.7364705882352949E-2</v>
      </c>
    </row>
    <row r="63" spans="1:8">
      <c r="A63" s="380">
        <v>40483</v>
      </c>
      <c r="B63" s="381">
        <f>('Workpaper 4'!F334)/100</f>
        <v>4.1900000000000007E-2</v>
      </c>
      <c r="C63" s="382">
        <f>('Workpaper 6'!I178)/100</f>
        <v>5.361052631578947E-2</v>
      </c>
      <c r="D63" s="382">
        <f>('Workpaper 6'!J178)/100</f>
        <v>5.8489473684210536E-2</v>
      </c>
      <c r="F63" s="384" t="s">
        <v>594</v>
      </c>
      <c r="G63" s="382">
        <f t="shared" si="1"/>
        <v>1.1710526315789463E-2</v>
      </c>
      <c r="H63" s="382">
        <f t="shared" si="0"/>
        <v>1.6589473684210529E-2</v>
      </c>
    </row>
    <row r="64" spans="1:8">
      <c r="A64" s="380">
        <v>40513</v>
      </c>
      <c r="B64" s="381">
        <f>('Workpaper 4'!F335)/100</f>
        <v>4.4199999999999996E-2</v>
      </c>
      <c r="C64" s="382">
        <f>('Workpaper 6'!I179)/100</f>
        <v>5.5544999999999997E-2</v>
      </c>
      <c r="D64" s="382">
        <f>('Workpaper 6'!J179)/100</f>
        <v>6.0434999999999996E-2</v>
      </c>
      <c r="F64" s="384" t="s">
        <v>595</v>
      </c>
      <c r="G64" s="382">
        <f>(C64-B64)</f>
        <v>1.1345000000000001E-2</v>
      </c>
      <c r="H64" s="382">
        <f t="shared" si="0"/>
        <v>1.6234999999999999E-2</v>
      </c>
    </row>
    <row r="65" spans="1:8">
      <c r="A65" s="380">
        <v>40544</v>
      </c>
      <c r="B65" s="381">
        <f>('Workpaper 4'!F336)/100</f>
        <v>4.5199999999999997E-2</v>
      </c>
      <c r="C65" s="382">
        <f>'Workpaper 6'!I184/100</f>
        <v>5.5684210526315801E-2</v>
      </c>
      <c r="D65" s="382">
        <f>'Workpaper 6'!J184/100</f>
        <v>6.0584210526315789E-2</v>
      </c>
      <c r="F65" s="384" t="s">
        <v>596</v>
      </c>
      <c r="G65" s="382">
        <f t="shared" ref="G65:G73" si="2">(C65-B65)</f>
        <v>1.0484210526315804E-2</v>
      </c>
      <c r="H65" s="382">
        <f t="shared" si="0"/>
        <v>1.5384210526315792E-2</v>
      </c>
    </row>
    <row r="66" spans="1:8">
      <c r="A66" s="380">
        <v>40575</v>
      </c>
      <c r="B66" s="381">
        <f>('Workpaper 4'!F337)/100</f>
        <v>4.6500000000000007E-2</v>
      </c>
      <c r="C66" s="382">
        <f>'Workpaper 6'!I185/100</f>
        <v>5.670625E-2</v>
      </c>
      <c r="D66" s="382">
        <f>'Workpaper 6'!J185/100</f>
        <v>6.094999999999999E-2</v>
      </c>
      <c r="F66" s="384" t="s">
        <v>597</v>
      </c>
      <c r="G66" s="382">
        <f t="shared" si="2"/>
        <v>1.0206249999999993E-2</v>
      </c>
      <c r="H66" s="382">
        <f t="shared" si="0"/>
        <v>1.4449999999999984E-2</v>
      </c>
    </row>
    <row r="67" spans="1:8">
      <c r="A67" s="380">
        <v>40603</v>
      </c>
      <c r="B67" s="381">
        <f>('Workpaper 4'!F338)/100</f>
        <v>4.5100000000000001E-2</v>
      </c>
      <c r="C67" s="382">
        <f>'Workpaper 6'!I186/100</f>
        <v>5.56809523809524E-2</v>
      </c>
      <c r="D67" s="382">
        <f>'Workpaper 6'!J186/100</f>
        <v>5.9752380952380967E-2</v>
      </c>
      <c r="F67" s="384" t="s">
        <v>598</v>
      </c>
      <c r="G67" s="382">
        <f t="shared" si="2"/>
        <v>1.0580952380952399E-2</v>
      </c>
      <c r="H67" s="382">
        <f t="shared" si="0"/>
        <v>1.4652380952380965E-2</v>
      </c>
    </row>
    <row r="68" spans="1:8">
      <c r="A68" s="380">
        <v>40634</v>
      </c>
      <c r="B68" s="381">
        <f>('Workpaper 4'!F339)/100</f>
        <v>4.4999999999999998E-2</v>
      </c>
      <c r="C68" s="382">
        <f>'Workpaper 6'!I187/100</f>
        <v>5.552222222222223E-2</v>
      </c>
      <c r="D68" s="382">
        <f>'Workpaper 6'!J187/100</f>
        <v>5.9805555555555563E-2</v>
      </c>
      <c r="F68" s="384" t="s">
        <v>599</v>
      </c>
      <c r="G68" s="382">
        <f t="shared" si="2"/>
        <v>1.0522222222222231E-2</v>
      </c>
      <c r="H68" s="382">
        <f t="shared" si="0"/>
        <v>1.4805555555555565E-2</v>
      </c>
    </row>
    <row r="69" spans="1:8">
      <c r="A69" s="380">
        <v>40664</v>
      </c>
      <c r="B69" s="381">
        <f>('Workpaper 4'!F340)/100</f>
        <v>4.2900000000000001E-2</v>
      </c>
      <c r="C69" s="382">
        <f>'Workpaper 6'!I188/100</f>
        <v>5.3161111111111124E-2</v>
      </c>
      <c r="D69" s="382">
        <f>'Workpaper 6'!J188/100</f>
        <v>5.737222222222222E-2</v>
      </c>
      <c r="F69" s="384" t="s">
        <v>600</v>
      </c>
      <c r="G69" s="382">
        <f t="shared" si="2"/>
        <v>1.0261111111111124E-2</v>
      </c>
      <c r="H69" s="382">
        <f t="shared" si="0"/>
        <v>1.447222222222222E-2</v>
      </c>
    </row>
    <row r="70" spans="1:8">
      <c r="A70" s="380">
        <v>40695</v>
      </c>
      <c r="B70" s="381">
        <f>('Workpaper 4'!F341)/100</f>
        <v>4.2300000000000004E-2</v>
      </c>
      <c r="C70" s="382">
        <f>'Workpaper 6'!I189/100</f>
        <v>5.2765000000000006E-2</v>
      </c>
      <c r="D70" s="382">
        <f>'Workpaper 6'!J189/100</f>
        <v>5.6455000000000012E-2</v>
      </c>
      <c r="F70" s="384" t="s">
        <v>601</v>
      </c>
      <c r="G70" s="382">
        <f t="shared" si="2"/>
        <v>1.0465000000000002E-2</v>
      </c>
      <c r="H70" s="382">
        <f t="shared" ref="H70:H73" si="3">(D70-B70)</f>
        <v>1.4155000000000008E-2</v>
      </c>
    </row>
    <row r="71" spans="1:8">
      <c r="A71" s="380">
        <v>40725</v>
      </c>
      <c r="B71" s="381">
        <f>('Workpaper 4'!F342)/100</f>
        <v>4.2699999999999995E-2</v>
      </c>
      <c r="C71" s="382">
        <f>'Workpaper 6'!I190/100</f>
        <v>5.2594444444444451E-2</v>
      </c>
      <c r="D71" s="382">
        <f>'Workpaper 6'!J190/100</f>
        <v>5.6944444444444436E-2</v>
      </c>
      <c r="F71" s="384" t="s">
        <v>602</v>
      </c>
      <c r="G71" s="382">
        <f t="shared" si="2"/>
        <v>9.8944444444444557E-3</v>
      </c>
      <c r="H71" s="382">
        <f t="shared" si="3"/>
        <v>1.4244444444444442E-2</v>
      </c>
    </row>
    <row r="72" spans="1:8">
      <c r="A72" s="380">
        <v>40756</v>
      </c>
      <c r="B72" s="381">
        <f>('Workpaper 4'!F343)/100</f>
        <v>3.6499999999999998E-2</v>
      </c>
      <c r="C72" s="382">
        <f>'Workpaper 6'!I191/100</f>
        <v>4.6891304347826089E-2</v>
      </c>
      <c r="D72" s="382">
        <f>'Workpaper 6'!J191/100</f>
        <v>5.2239130434782607E-2</v>
      </c>
      <c r="F72" s="384" t="s">
        <v>603</v>
      </c>
      <c r="G72" s="382">
        <f t="shared" si="2"/>
        <v>1.0391304347826091E-2</v>
      </c>
      <c r="H72" s="382">
        <f t="shared" si="3"/>
        <v>1.573913043478261E-2</v>
      </c>
    </row>
    <row r="73" spans="1:8">
      <c r="A73" s="380">
        <v>40787</v>
      </c>
      <c r="B73" s="381">
        <f>('Workpaper 4'!F344)/100</f>
        <v>3.1800000000000002E-2</v>
      </c>
      <c r="C73" s="382">
        <f>'Workpaper 6'!I192/100</f>
        <v>4.4835294117647057E-2</v>
      </c>
      <c r="D73" s="382">
        <f>'Workpaper 6'!J192/100</f>
        <v>5.10764705882353E-2</v>
      </c>
      <c r="F73" s="384" t="s">
        <v>604</v>
      </c>
      <c r="G73" s="382">
        <f t="shared" si="2"/>
        <v>1.3035294117647055E-2</v>
      </c>
      <c r="H73" s="382">
        <f t="shared" si="3"/>
        <v>1.9276470588235298E-2</v>
      </c>
    </row>
    <row r="74" spans="1:8">
      <c r="A74" s="380"/>
      <c r="B74" s="381"/>
    </row>
    <row r="75" spans="1:8">
      <c r="B75" s="381"/>
    </row>
    <row r="76" spans="1:8">
      <c r="B76" s="381"/>
    </row>
  </sheetData>
  <pageMargins left="0.7" right="0.7" top="0.75" bottom="0.75" header="0.3" footer="0.3"/>
  <pageSetup scale="76" orientation="portrait" horizont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344"/>
  <sheetViews>
    <sheetView zoomScale="80" zoomScaleNormal="80" zoomScaleSheetLayoutView="80" workbookViewId="0"/>
  </sheetViews>
  <sheetFormatPr defaultRowHeight="14.25"/>
  <cols>
    <col min="1" max="1" width="9" style="387" customWidth="1"/>
    <col min="2" max="2" width="10.125" style="387" customWidth="1"/>
    <col min="3" max="3" width="9" style="387"/>
    <col min="4" max="4" width="9.125" style="387" customWidth="1"/>
    <col min="5" max="5" width="11.125" style="387" bestFit="1" customWidth="1"/>
    <col min="6" max="7" width="9" style="387"/>
    <col min="8" max="8" width="1.25" style="387" customWidth="1"/>
    <col min="9" max="9" width="11.125" style="387" bestFit="1" customWidth="1"/>
    <col min="10" max="16384" width="9" style="387"/>
  </cols>
  <sheetData>
    <row r="1" spans="1:11" ht="15">
      <c r="A1" s="386" t="s">
        <v>605</v>
      </c>
    </row>
    <row r="2" spans="1:11" ht="15">
      <c r="A2" s="386" t="s">
        <v>606</v>
      </c>
    </row>
    <row r="4" spans="1:11" ht="15">
      <c r="A4" s="386" t="s">
        <v>607</v>
      </c>
    </row>
    <row r="5" spans="1:11" ht="15">
      <c r="A5" s="386" t="s">
        <v>608</v>
      </c>
    </row>
    <row r="6" spans="1:11" ht="15">
      <c r="A6" s="386"/>
    </row>
    <row r="7" spans="1:11">
      <c r="A7" s="387" t="s">
        <v>609</v>
      </c>
    </row>
    <row r="8" spans="1:11">
      <c r="A8" t="s">
        <v>610</v>
      </c>
    </row>
    <row r="10" spans="1:11">
      <c r="E10" s="506" t="str">
        <f>A2</f>
        <v>GS30</v>
      </c>
      <c r="F10" s="506"/>
      <c r="G10" s="506"/>
      <c r="I10" s="506" t="str">
        <f>A5</f>
        <v>GS20</v>
      </c>
      <c r="J10" s="506"/>
      <c r="K10" s="506"/>
    </row>
    <row r="11" spans="1:11">
      <c r="B11" s="388" t="s">
        <v>434</v>
      </c>
      <c r="C11" s="388" t="s">
        <v>156</v>
      </c>
      <c r="D11" s="389"/>
      <c r="E11" s="388" t="s">
        <v>483</v>
      </c>
      <c r="F11" s="388" t="s">
        <v>435</v>
      </c>
      <c r="G11" s="388" t="s">
        <v>434</v>
      </c>
      <c r="H11" s="388"/>
      <c r="I11" s="388" t="s">
        <v>483</v>
      </c>
      <c r="J11" s="388" t="s">
        <v>435</v>
      </c>
      <c r="K11" s="388" t="s">
        <v>434</v>
      </c>
    </row>
    <row r="12" spans="1:11">
      <c r="B12" s="390"/>
      <c r="C12" s="390"/>
      <c r="D12" s="390"/>
      <c r="E12" s="391"/>
      <c r="F12" s="391"/>
      <c r="G12" s="390"/>
      <c r="H12" s="390"/>
      <c r="K12" s="390"/>
    </row>
    <row r="13" spans="1:11">
      <c r="B13" s="392">
        <v>1980</v>
      </c>
      <c r="C13" s="393">
        <f>(SUMIF($G$13:$G$356,B13,$F$13:$F$356))/12/100</f>
        <v>0.11298333333333334</v>
      </c>
      <c r="D13" s="390"/>
      <c r="E13" s="394">
        <v>29221</v>
      </c>
      <c r="F13" s="395">
        <v>10.6</v>
      </c>
      <c r="G13" s="390">
        <f t="shared" ref="G13:G76" si="0">YEAR(E13)</f>
        <v>1980</v>
      </c>
      <c r="H13" s="390"/>
      <c r="I13" s="396">
        <v>37257</v>
      </c>
      <c r="J13" s="397">
        <v>5.69</v>
      </c>
      <c r="K13" s="390">
        <f t="shared" ref="K13:K60" si="1">YEAR(I13)</f>
        <v>2002</v>
      </c>
    </row>
    <row r="14" spans="1:11">
      <c r="B14" s="392">
        <v>1981</v>
      </c>
      <c r="C14" s="393">
        <f t="shared" ref="C14:C34" si="2">(SUMIF($G$13:$G$356,B14,$F$13:$F$356))/12/100</f>
        <v>0.13441666666666666</v>
      </c>
      <c r="D14" s="390"/>
      <c r="E14" s="394">
        <v>29252</v>
      </c>
      <c r="F14" s="395">
        <v>12.13</v>
      </c>
      <c r="G14" s="390">
        <f t="shared" si="0"/>
        <v>1980</v>
      </c>
      <c r="H14" s="390"/>
      <c r="I14" s="396">
        <v>37288</v>
      </c>
      <c r="J14" s="397">
        <v>5.61</v>
      </c>
      <c r="K14" s="390">
        <f t="shared" si="1"/>
        <v>2002</v>
      </c>
    </row>
    <row r="15" spans="1:11">
      <c r="B15" s="392">
        <v>1982</v>
      </c>
      <c r="C15" s="393">
        <f t="shared" si="2"/>
        <v>0.12761666666666663</v>
      </c>
      <c r="D15" s="390"/>
      <c r="E15" s="394">
        <v>29281</v>
      </c>
      <c r="F15" s="395">
        <v>12.34</v>
      </c>
      <c r="G15" s="390">
        <f t="shared" si="0"/>
        <v>1980</v>
      </c>
      <c r="H15" s="390"/>
      <c r="I15" s="396">
        <v>37316</v>
      </c>
      <c r="J15" s="397">
        <v>5.93</v>
      </c>
      <c r="K15" s="390">
        <f t="shared" si="1"/>
        <v>2002</v>
      </c>
    </row>
    <row r="16" spans="1:11">
      <c r="B16" s="392">
        <v>1983</v>
      </c>
      <c r="C16" s="393">
        <f t="shared" si="2"/>
        <v>0.11178333333333335</v>
      </c>
      <c r="D16" s="390"/>
      <c r="E16" s="394">
        <v>29312</v>
      </c>
      <c r="F16" s="395">
        <v>11.4</v>
      </c>
      <c r="G16" s="390">
        <f t="shared" si="0"/>
        <v>1980</v>
      </c>
      <c r="H16" s="390"/>
      <c r="I16" s="396">
        <v>37347</v>
      </c>
      <c r="J16" s="397">
        <v>5.85</v>
      </c>
      <c r="K16" s="390">
        <f t="shared" si="1"/>
        <v>2002</v>
      </c>
    </row>
    <row r="17" spans="2:11">
      <c r="B17" s="392">
        <v>1984</v>
      </c>
      <c r="C17" s="393">
        <f t="shared" si="2"/>
        <v>0.12391666666666666</v>
      </c>
      <c r="D17" s="390"/>
      <c r="E17" s="394">
        <v>29342</v>
      </c>
      <c r="F17" s="395">
        <v>10.36</v>
      </c>
      <c r="G17" s="390">
        <f t="shared" si="0"/>
        <v>1980</v>
      </c>
      <c r="H17" s="390"/>
      <c r="I17" s="396">
        <v>37377</v>
      </c>
      <c r="J17" s="397">
        <v>5.81</v>
      </c>
      <c r="K17" s="390">
        <f t="shared" si="1"/>
        <v>2002</v>
      </c>
    </row>
    <row r="18" spans="2:11">
      <c r="B18" s="392">
        <v>1985</v>
      </c>
      <c r="C18" s="393">
        <f t="shared" si="2"/>
        <v>0.10789166666666666</v>
      </c>
      <c r="D18" s="390"/>
      <c r="E18" s="394">
        <v>29373</v>
      </c>
      <c r="F18" s="395">
        <v>9.81</v>
      </c>
      <c r="G18" s="390">
        <f t="shared" si="0"/>
        <v>1980</v>
      </c>
      <c r="H18" s="390"/>
      <c r="I18" s="396">
        <v>37408</v>
      </c>
      <c r="J18" s="397">
        <v>5.65</v>
      </c>
      <c r="K18" s="390">
        <f t="shared" si="1"/>
        <v>2002</v>
      </c>
    </row>
    <row r="19" spans="2:11">
      <c r="B19" s="392">
        <v>1986</v>
      </c>
      <c r="C19" s="393">
        <f t="shared" si="2"/>
        <v>7.7983333333333349E-2</v>
      </c>
      <c r="D19" s="390"/>
      <c r="E19" s="394">
        <v>29403</v>
      </c>
      <c r="F19" s="395">
        <v>10.24</v>
      </c>
      <c r="G19" s="390">
        <f t="shared" si="0"/>
        <v>1980</v>
      </c>
      <c r="H19" s="390"/>
      <c r="I19" s="396">
        <v>37438</v>
      </c>
      <c r="J19" s="397">
        <v>5.51</v>
      </c>
      <c r="K19" s="390">
        <f t="shared" si="1"/>
        <v>2002</v>
      </c>
    </row>
    <row r="20" spans="2:11">
      <c r="B20" s="392">
        <v>1987</v>
      </c>
      <c r="C20" s="393">
        <f t="shared" si="2"/>
        <v>8.5800000000000001E-2</v>
      </c>
      <c r="D20" s="390"/>
      <c r="E20" s="394">
        <v>29434</v>
      </c>
      <c r="F20" s="395">
        <v>11</v>
      </c>
      <c r="G20" s="390">
        <f t="shared" si="0"/>
        <v>1980</v>
      </c>
      <c r="H20" s="390"/>
      <c r="I20" s="396">
        <v>37469</v>
      </c>
      <c r="J20" s="397">
        <v>5.19</v>
      </c>
      <c r="K20" s="390">
        <f t="shared" si="1"/>
        <v>2002</v>
      </c>
    </row>
    <row r="21" spans="2:11">
      <c r="B21" s="392">
        <v>1988</v>
      </c>
      <c r="C21" s="393">
        <f t="shared" si="2"/>
        <v>8.9591666666666667E-2</v>
      </c>
      <c r="D21" s="390"/>
      <c r="E21" s="394">
        <v>29465</v>
      </c>
      <c r="F21" s="395">
        <v>11.34</v>
      </c>
      <c r="G21" s="390">
        <f t="shared" si="0"/>
        <v>1980</v>
      </c>
      <c r="H21" s="390"/>
      <c r="I21" s="396">
        <v>37500</v>
      </c>
      <c r="J21" s="397">
        <v>4.87</v>
      </c>
      <c r="K21" s="390">
        <f t="shared" si="1"/>
        <v>2002</v>
      </c>
    </row>
    <row r="22" spans="2:11">
      <c r="B22" s="392">
        <v>1989</v>
      </c>
      <c r="C22" s="393">
        <f t="shared" si="2"/>
        <v>8.4491666666666687E-2</v>
      </c>
      <c r="D22" s="390"/>
      <c r="E22" s="394">
        <v>29495</v>
      </c>
      <c r="F22" s="395">
        <v>11.59</v>
      </c>
      <c r="G22" s="390">
        <f t="shared" si="0"/>
        <v>1980</v>
      </c>
      <c r="H22" s="390"/>
      <c r="I22" s="396">
        <v>37530</v>
      </c>
      <c r="J22" s="397">
        <v>5</v>
      </c>
      <c r="K22" s="390">
        <f t="shared" si="1"/>
        <v>2002</v>
      </c>
    </row>
    <row r="23" spans="2:11">
      <c r="B23" s="392">
        <v>1990</v>
      </c>
      <c r="C23" s="393">
        <f t="shared" si="2"/>
        <v>8.6083333333333331E-2</v>
      </c>
      <c r="D23" s="390"/>
      <c r="E23" s="394">
        <v>29526</v>
      </c>
      <c r="F23" s="395">
        <v>12.37</v>
      </c>
      <c r="G23" s="390">
        <f t="shared" si="0"/>
        <v>1980</v>
      </c>
      <c r="H23" s="390"/>
      <c r="I23" s="396">
        <v>37561</v>
      </c>
      <c r="J23" s="397">
        <v>5.04</v>
      </c>
      <c r="K23" s="390">
        <f t="shared" si="1"/>
        <v>2002</v>
      </c>
    </row>
    <row r="24" spans="2:11">
      <c r="B24" s="392">
        <v>1991</v>
      </c>
      <c r="C24" s="393">
        <f t="shared" si="2"/>
        <v>8.1358333333333324E-2</v>
      </c>
      <c r="D24" s="390"/>
      <c r="E24" s="394">
        <v>29556</v>
      </c>
      <c r="F24" s="395">
        <v>12.4</v>
      </c>
      <c r="G24" s="390">
        <f t="shared" si="0"/>
        <v>1980</v>
      </c>
      <c r="H24" s="390"/>
      <c r="I24" s="396">
        <v>37591</v>
      </c>
      <c r="J24" s="397">
        <v>5.01</v>
      </c>
      <c r="K24" s="390">
        <f t="shared" si="1"/>
        <v>2002</v>
      </c>
    </row>
    <row r="25" spans="2:11">
      <c r="B25" s="392">
        <v>1992</v>
      </c>
      <c r="C25" s="393">
        <f t="shared" si="2"/>
        <v>7.6666666666666675E-2</v>
      </c>
      <c r="D25" s="390"/>
      <c r="E25" s="394">
        <v>29587</v>
      </c>
      <c r="F25" s="395">
        <v>12.14</v>
      </c>
      <c r="G25" s="390">
        <f t="shared" si="0"/>
        <v>1981</v>
      </c>
      <c r="H25" s="390"/>
      <c r="I25" s="396">
        <v>37622</v>
      </c>
      <c r="J25" s="397">
        <v>5.0199999999999996</v>
      </c>
      <c r="K25" s="390">
        <f t="shared" si="1"/>
        <v>2003</v>
      </c>
    </row>
    <row r="26" spans="2:11">
      <c r="B26" s="392">
        <v>1993</v>
      </c>
      <c r="C26" s="393">
        <f t="shared" si="2"/>
        <v>6.5983333333333338E-2</v>
      </c>
      <c r="D26" s="390"/>
      <c r="E26" s="394">
        <v>29618</v>
      </c>
      <c r="F26" s="395">
        <v>12.8</v>
      </c>
      <c r="G26" s="390">
        <f t="shared" si="0"/>
        <v>1981</v>
      </c>
      <c r="H26" s="390"/>
      <c r="I26" s="396">
        <v>37653</v>
      </c>
      <c r="J26" s="397">
        <v>4.87</v>
      </c>
      <c r="K26" s="390">
        <f t="shared" si="1"/>
        <v>2003</v>
      </c>
    </row>
    <row r="27" spans="2:11">
      <c r="B27" s="392">
        <v>1994</v>
      </c>
      <c r="C27" s="393">
        <f t="shared" si="2"/>
        <v>7.3700000000000002E-2</v>
      </c>
      <c r="D27" s="390"/>
      <c r="E27" s="394">
        <v>29646</v>
      </c>
      <c r="F27" s="395">
        <v>12.69</v>
      </c>
      <c r="G27" s="390">
        <f t="shared" si="0"/>
        <v>1981</v>
      </c>
      <c r="H27" s="390"/>
      <c r="I27" s="396">
        <v>37681</v>
      </c>
      <c r="J27" s="397">
        <v>4.82</v>
      </c>
      <c r="K27" s="390">
        <f t="shared" si="1"/>
        <v>2003</v>
      </c>
    </row>
    <row r="28" spans="2:11">
      <c r="B28" s="392">
        <v>1995</v>
      </c>
      <c r="C28" s="393">
        <f t="shared" si="2"/>
        <v>6.8841666666666662E-2</v>
      </c>
      <c r="D28" s="390"/>
      <c r="E28" s="394">
        <v>29677</v>
      </c>
      <c r="F28" s="395">
        <v>13.2</v>
      </c>
      <c r="G28" s="390">
        <f t="shared" si="0"/>
        <v>1981</v>
      </c>
      <c r="H28" s="390"/>
      <c r="I28" s="396">
        <v>37712</v>
      </c>
      <c r="J28" s="397">
        <v>4.91</v>
      </c>
      <c r="K28" s="390">
        <f t="shared" si="1"/>
        <v>2003</v>
      </c>
    </row>
    <row r="29" spans="2:11">
      <c r="B29" s="392">
        <v>1996</v>
      </c>
      <c r="C29" s="393">
        <f t="shared" si="2"/>
        <v>6.700833333333335E-2</v>
      </c>
      <c r="D29" s="390"/>
      <c r="E29" s="394">
        <v>29707</v>
      </c>
      <c r="F29" s="395">
        <v>13.6</v>
      </c>
      <c r="G29" s="390">
        <f t="shared" si="0"/>
        <v>1981</v>
      </c>
      <c r="H29" s="390"/>
      <c r="I29" s="396">
        <v>37742</v>
      </c>
      <c r="J29" s="397">
        <v>4.5199999999999996</v>
      </c>
      <c r="K29" s="390">
        <f t="shared" si="1"/>
        <v>2003</v>
      </c>
    </row>
    <row r="30" spans="2:11">
      <c r="B30" s="392">
        <v>1997</v>
      </c>
      <c r="C30" s="393">
        <f t="shared" si="2"/>
        <v>6.605833333333333E-2</v>
      </c>
      <c r="D30" s="390"/>
      <c r="E30" s="394">
        <v>29738</v>
      </c>
      <c r="F30" s="395">
        <v>12.96</v>
      </c>
      <c r="G30" s="390">
        <f t="shared" si="0"/>
        <v>1981</v>
      </c>
      <c r="H30" s="390"/>
      <c r="I30" s="396">
        <v>37773</v>
      </c>
      <c r="J30" s="397">
        <v>4.34</v>
      </c>
      <c r="K30" s="390">
        <f t="shared" si="1"/>
        <v>2003</v>
      </c>
    </row>
    <row r="31" spans="2:11">
      <c r="B31" s="392">
        <v>1998</v>
      </c>
      <c r="C31" s="393">
        <f t="shared" si="2"/>
        <v>5.5783333333333331E-2</v>
      </c>
      <c r="D31" s="390"/>
      <c r="E31" s="394">
        <v>29768</v>
      </c>
      <c r="F31" s="395">
        <v>13.59</v>
      </c>
      <c r="G31" s="390">
        <f t="shared" si="0"/>
        <v>1981</v>
      </c>
      <c r="H31" s="390"/>
      <c r="I31" s="396">
        <v>37803</v>
      </c>
      <c r="J31" s="397">
        <v>4.92</v>
      </c>
      <c r="K31" s="390">
        <f t="shared" si="1"/>
        <v>2003</v>
      </c>
    </row>
    <row r="32" spans="2:11">
      <c r="B32" s="392">
        <v>1999</v>
      </c>
      <c r="C32" s="393">
        <f t="shared" si="2"/>
        <v>5.8658333333333319E-2</v>
      </c>
      <c r="D32" s="390"/>
      <c r="E32" s="394">
        <v>29799</v>
      </c>
      <c r="F32" s="395">
        <v>14.17</v>
      </c>
      <c r="G32" s="390">
        <f t="shared" si="0"/>
        <v>1981</v>
      </c>
      <c r="H32" s="390"/>
      <c r="I32" s="396">
        <v>37834</v>
      </c>
      <c r="J32" s="397">
        <v>5.39</v>
      </c>
      <c r="K32" s="390">
        <f t="shared" si="1"/>
        <v>2003</v>
      </c>
    </row>
    <row r="33" spans="2:11">
      <c r="B33" s="392">
        <v>2000</v>
      </c>
      <c r="C33" s="393">
        <f t="shared" si="2"/>
        <v>5.9424999999999992E-2</v>
      </c>
      <c r="D33" s="390"/>
      <c r="E33" s="394">
        <v>29830</v>
      </c>
      <c r="F33" s="395">
        <v>14.67</v>
      </c>
      <c r="G33" s="390">
        <f t="shared" si="0"/>
        <v>1981</v>
      </c>
      <c r="H33" s="390"/>
      <c r="I33" s="396">
        <v>37865</v>
      </c>
      <c r="J33" s="397">
        <v>5.21</v>
      </c>
      <c r="K33" s="390">
        <f t="shared" si="1"/>
        <v>2003</v>
      </c>
    </row>
    <row r="34" spans="2:11">
      <c r="B34" s="392">
        <v>2001</v>
      </c>
      <c r="C34" s="393">
        <f t="shared" si="2"/>
        <v>5.4933333333333334E-2</v>
      </c>
      <c r="D34" s="390"/>
      <c r="E34" s="394">
        <v>29860</v>
      </c>
      <c r="F34" s="395">
        <v>14.68</v>
      </c>
      <c r="G34" s="390">
        <f t="shared" si="0"/>
        <v>1981</v>
      </c>
      <c r="H34" s="390"/>
      <c r="I34" s="396">
        <v>37895</v>
      </c>
      <c r="J34" s="397">
        <v>5.21</v>
      </c>
      <c r="K34" s="390">
        <f t="shared" si="1"/>
        <v>2003</v>
      </c>
    </row>
    <row r="35" spans="2:11">
      <c r="B35" s="392">
        <v>2002</v>
      </c>
      <c r="C35" s="398">
        <f>(SUMIF($K$13:$K$320,B35,$J$13:$J$320))/12/100</f>
        <v>5.4299999999999994E-2</v>
      </c>
      <c r="D35" s="390"/>
      <c r="E35" s="394">
        <v>29891</v>
      </c>
      <c r="F35" s="395">
        <v>13.35</v>
      </c>
      <c r="G35" s="390">
        <f t="shared" si="0"/>
        <v>1981</v>
      </c>
      <c r="H35" s="390"/>
      <c r="I35" s="396">
        <v>37926</v>
      </c>
      <c r="J35" s="397">
        <v>5.17</v>
      </c>
      <c r="K35" s="390">
        <f t="shared" si="1"/>
        <v>2003</v>
      </c>
    </row>
    <row r="36" spans="2:11">
      <c r="B36" s="392">
        <v>2003</v>
      </c>
      <c r="C36" s="398">
        <f>(SUMIF($K$13:$K$320,B36,$J$13:$J$320))/12/100</f>
        <v>4.9575000000000008E-2</v>
      </c>
      <c r="D36" s="390"/>
      <c r="E36" s="394">
        <v>29921</v>
      </c>
      <c r="F36" s="395">
        <v>13.45</v>
      </c>
      <c r="G36" s="390">
        <f t="shared" si="0"/>
        <v>1981</v>
      </c>
      <c r="H36" s="390"/>
      <c r="I36" s="396">
        <v>37956</v>
      </c>
      <c r="J36" s="397">
        <v>5.1100000000000003</v>
      </c>
      <c r="K36" s="390">
        <f t="shared" si="1"/>
        <v>2003</v>
      </c>
    </row>
    <row r="37" spans="2:11">
      <c r="B37" s="392">
        <v>2004</v>
      </c>
      <c r="C37" s="398">
        <f>(SUMIF($K$13:$K$320,B37,$J$13:$J$320))/12/100</f>
        <v>5.0466666666666667E-2</v>
      </c>
      <c r="D37" s="390"/>
      <c r="E37" s="394">
        <v>29952</v>
      </c>
      <c r="F37" s="395">
        <v>14.22</v>
      </c>
      <c r="G37" s="390">
        <f t="shared" si="0"/>
        <v>1982</v>
      </c>
      <c r="H37" s="390"/>
      <c r="I37" s="396">
        <v>37987</v>
      </c>
      <c r="J37" s="397">
        <v>5.01</v>
      </c>
      <c r="K37" s="390">
        <f t="shared" si="1"/>
        <v>2004</v>
      </c>
    </row>
    <row r="38" spans="2:11">
      <c r="B38" s="392">
        <v>2005</v>
      </c>
      <c r="C38" s="398">
        <f>(SUMIF($K$13:$K$320,B38,$J$13:$J$320))/12/100</f>
        <v>4.6458333333333331E-2</v>
      </c>
      <c r="D38" s="390"/>
      <c r="E38" s="394">
        <v>29983</v>
      </c>
      <c r="F38" s="395">
        <v>14.22</v>
      </c>
      <c r="G38" s="390">
        <f t="shared" si="0"/>
        <v>1982</v>
      </c>
      <c r="H38" s="390"/>
      <c r="I38" s="396">
        <v>38018</v>
      </c>
      <c r="J38" s="397">
        <v>4.9400000000000004</v>
      </c>
      <c r="K38" s="390">
        <f t="shared" si="1"/>
        <v>2004</v>
      </c>
    </row>
    <row r="39" spans="2:11">
      <c r="B39" s="392">
        <v>2006</v>
      </c>
      <c r="C39" s="393">
        <f>(SUMIF($G$13:$G$356,B39,$F$13:$F$356))/12/100</f>
        <v>4.4900000000000002E-2</v>
      </c>
      <c r="D39" s="390"/>
      <c r="E39" s="394">
        <v>30011</v>
      </c>
      <c r="F39" s="395">
        <v>13.53</v>
      </c>
      <c r="G39" s="390">
        <f t="shared" si="0"/>
        <v>1982</v>
      </c>
      <c r="H39" s="390"/>
      <c r="I39" s="396">
        <v>38047</v>
      </c>
      <c r="J39" s="397">
        <v>4.72</v>
      </c>
      <c r="K39" s="390">
        <f t="shared" si="1"/>
        <v>2004</v>
      </c>
    </row>
    <row r="40" spans="2:11">
      <c r="B40" s="392">
        <v>2007</v>
      </c>
      <c r="C40" s="393">
        <f>(SUMIF($G$13:$G$356,B40,$F$13:$F$356))/12/100</f>
        <v>4.8341666666666672E-2</v>
      </c>
      <c r="D40" s="390"/>
      <c r="E40" s="394">
        <v>30042</v>
      </c>
      <c r="F40" s="395">
        <v>13.37</v>
      </c>
      <c r="G40" s="390">
        <f t="shared" si="0"/>
        <v>1982</v>
      </c>
      <c r="H40" s="390"/>
      <c r="I40" s="396">
        <v>38078</v>
      </c>
      <c r="J40" s="397">
        <v>5.16</v>
      </c>
      <c r="K40" s="390">
        <f t="shared" si="1"/>
        <v>2004</v>
      </c>
    </row>
    <row r="41" spans="2:11">
      <c r="B41" s="392">
        <v>2008</v>
      </c>
      <c r="C41" s="393">
        <f>(SUMIF($G$13:$G$356,B41,$F$13:$F$356))/12/100</f>
        <v>4.2791666666666665E-2</v>
      </c>
      <c r="D41" s="390"/>
      <c r="E41" s="394">
        <v>30072</v>
      </c>
      <c r="F41" s="395">
        <v>13.24</v>
      </c>
      <c r="G41" s="390">
        <f t="shared" si="0"/>
        <v>1982</v>
      </c>
      <c r="H41" s="390"/>
      <c r="I41" s="396">
        <v>38108</v>
      </c>
      <c r="J41" s="397">
        <v>5.46</v>
      </c>
      <c r="K41" s="390">
        <f t="shared" si="1"/>
        <v>2004</v>
      </c>
    </row>
    <row r="42" spans="2:11">
      <c r="B42" s="392">
        <v>2009</v>
      </c>
      <c r="C42" s="393">
        <f>(SUMIF($G$13:$G$356,B42,$F$13:$F$356))/12/100</f>
        <v>4.0691666666666668E-2</v>
      </c>
      <c r="D42" s="390"/>
      <c r="E42" s="394">
        <v>30103</v>
      </c>
      <c r="F42" s="395">
        <v>13.92</v>
      </c>
      <c r="G42" s="390">
        <f t="shared" si="0"/>
        <v>1982</v>
      </c>
      <c r="H42" s="390"/>
      <c r="I42" s="396">
        <v>38139</v>
      </c>
      <c r="J42" s="397">
        <v>5.45</v>
      </c>
      <c r="K42" s="390">
        <f t="shared" si="1"/>
        <v>2004</v>
      </c>
    </row>
    <row r="43" spans="2:11">
      <c r="B43" s="399">
        <v>2010</v>
      </c>
      <c r="C43" s="393">
        <f>(SUMIF($G$13:$G$356,B43,$F$13:$F$356))/12/100</f>
        <v>4.2508333333333335E-2</v>
      </c>
      <c r="D43" s="390"/>
      <c r="E43" s="394">
        <v>30133</v>
      </c>
      <c r="F43" s="395">
        <v>13.55</v>
      </c>
      <c r="G43" s="390">
        <f t="shared" si="0"/>
        <v>1982</v>
      </c>
      <c r="H43" s="390"/>
      <c r="I43" s="396">
        <v>38169</v>
      </c>
      <c r="J43" s="397">
        <v>5.24</v>
      </c>
      <c r="K43" s="390">
        <f t="shared" si="1"/>
        <v>2004</v>
      </c>
    </row>
    <row r="44" spans="2:11">
      <c r="B44" s="400" t="s">
        <v>611</v>
      </c>
      <c r="C44" s="401">
        <f>AVERAGE(F336:F344)/100</f>
        <v>4.1999999999999996E-2</v>
      </c>
      <c r="D44" s="390"/>
      <c r="E44" s="394">
        <v>30164</v>
      </c>
      <c r="F44" s="395">
        <v>12.77</v>
      </c>
      <c r="G44" s="390">
        <f t="shared" si="0"/>
        <v>1982</v>
      </c>
      <c r="H44" s="390"/>
      <c r="I44" s="396">
        <v>38200</v>
      </c>
      <c r="J44" s="397">
        <v>5.07</v>
      </c>
      <c r="K44" s="390">
        <f t="shared" si="1"/>
        <v>2004</v>
      </c>
    </row>
    <row r="45" spans="2:11">
      <c r="B45" s="390"/>
      <c r="C45" s="390"/>
      <c r="D45" s="390"/>
      <c r="E45" s="394">
        <v>30195</v>
      </c>
      <c r="F45" s="395">
        <v>12.07</v>
      </c>
      <c r="G45" s="390">
        <f t="shared" si="0"/>
        <v>1982</v>
      </c>
      <c r="H45" s="390"/>
      <c r="I45" s="396">
        <v>38231</v>
      </c>
      <c r="J45" s="397">
        <v>4.8899999999999997</v>
      </c>
      <c r="K45" s="390">
        <f t="shared" si="1"/>
        <v>2004</v>
      </c>
    </row>
    <row r="46" spans="2:11">
      <c r="B46" s="390"/>
      <c r="C46" s="390"/>
      <c r="D46" s="390"/>
      <c r="E46" s="394">
        <v>30225</v>
      </c>
      <c r="F46" s="395">
        <v>11.17</v>
      </c>
      <c r="G46" s="390">
        <f t="shared" si="0"/>
        <v>1982</v>
      </c>
      <c r="H46" s="390"/>
      <c r="I46" s="396">
        <v>38261</v>
      </c>
      <c r="J46" s="397">
        <v>4.8499999999999996</v>
      </c>
      <c r="K46" s="390">
        <f t="shared" si="1"/>
        <v>2004</v>
      </c>
    </row>
    <row r="47" spans="2:11">
      <c r="B47" s="390"/>
      <c r="C47" s="390"/>
      <c r="D47" s="390"/>
      <c r="E47" s="394">
        <v>30256</v>
      </c>
      <c r="F47" s="395">
        <v>10.54</v>
      </c>
      <c r="G47" s="390">
        <f t="shared" si="0"/>
        <v>1982</v>
      </c>
      <c r="H47" s="390"/>
      <c r="I47" s="396">
        <v>38292</v>
      </c>
      <c r="J47" s="397">
        <v>4.8899999999999997</v>
      </c>
      <c r="K47" s="390">
        <f t="shared" si="1"/>
        <v>2004</v>
      </c>
    </row>
    <row r="48" spans="2:11">
      <c r="B48" s="390"/>
      <c r="C48" s="390"/>
      <c r="D48" s="390"/>
      <c r="E48" s="394">
        <v>30286</v>
      </c>
      <c r="F48" s="395">
        <v>10.54</v>
      </c>
      <c r="G48" s="390">
        <f t="shared" si="0"/>
        <v>1982</v>
      </c>
      <c r="H48" s="390"/>
      <c r="I48" s="396">
        <v>38322</v>
      </c>
      <c r="J48" s="397">
        <v>4.88</v>
      </c>
      <c r="K48" s="390">
        <f t="shared" si="1"/>
        <v>2004</v>
      </c>
    </row>
    <row r="49" spans="2:11">
      <c r="B49" s="390"/>
      <c r="C49" s="390"/>
      <c r="D49" s="390"/>
      <c r="E49" s="394">
        <v>30317</v>
      </c>
      <c r="F49" s="395">
        <v>10.63</v>
      </c>
      <c r="G49" s="390">
        <f t="shared" si="0"/>
        <v>1983</v>
      </c>
      <c r="H49" s="390"/>
      <c r="I49" s="396">
        <v>38353</v>
      </c>
      <c r="J49" s="397">
        <v>4.7699999999999996</v>
      </c>
      <c r="K49" s="390">
        <f t="shared" si="1"/>
        <v>2005</v>
      </c>
    </row>
    <row r="50" spans="2:11">
      <c r="B50" s="390"/>
      <c r="C50" s="390"/>
      <c r="D50" s="390"/>
      <c r="E50" s="394">
        <v>30348</v>
      </c>
      <c r="F50" s="395">
        <v>10.88</v>
      </c>
      <c r="G50" s="390">
        <f t="shared" si="0"/>
        <v>1983</v>
      </c>
      <c r="H50" s="390"/>
      <c r="I50" s="396">
        <v>38384</v>
      </c>
      <c r="J50" s="397">
        <v>4.6100000000000003</v>
      </c>
      <c r="K50" s="390">
        <f t="shared" si="1"/>
        <v>2005</v>
      </c>
    </row>
    <row r="51" spans="2:11">
      <c r="B51" s="390"/>
      <c r="C51" s="390"/>
      <c r="D51" s="390"/>
      <c r="E51" s="394">
        <v>30376</v>
      </c>
      <c r="F51" s="395">
        <v>10.63</v>
      </c>
      <c r="G51" s="390">
        <f t="shared" si="0"/>
        <v>1983</v>
      </c>
      <c r="H51" s="390"/>
      <c r="I51" s="396">
        <v>38412</v>
      </c>
      <c r="J51" s="397">
        <v>4.8899999999999997</v>
      </c>
      <c r="K51" s="390">
        <f t="shared" si="1"/>
        <v>2005</v>
      </c>
    </row>
    <row r="52" spans="2:11">
      <c r="B52" s="390"/>
      <c r="C52" s="390"/>
      <c r="D52" s="390"/>
      <c r="E52" s="394">
        <v>30407</v>
      </c>
      <c r="F52" s="395">
        <v>10.48</v>
      </c>
      <c r="G52" s="390">
        <f t="shared" si="0"/>
        <v>1983</v>
      </c>
      <c r="H52" s="390"/>
      <c r="I52" s="396">
        <v>38443</v>
      </c>
      <c r="J52" s="397">
        <v>4.75</v>
      </c>
      <c r="K52" s="390">
        <f t="shared" si="1"/>
        <v>2005</v>
      </c>
    </row>
    <row r="53" spans="2:11">
      <c r="B53" s="390"/>
      <c r="C53" s="390"/>
      <c r="D53" s="390"/>
      <c r="E53" s="394">
        <v>30437</v>
      </c>
      <c r="F53" s="395">
        <v>10.53</v>
      </c>
      <c r="G53" s="390">
        <f t="shared" si="0"/>
        <v>1983</v>
      </c>
      <c r="H53" s="390"/>
      <c r="I53" s="396">
        <v>38473</v>
      </c>
      <c r="J53" s="397">
        <v>4.5599999999999996</v>
      </c>
      <c r="K53" s="390">
        <f t="shared" si="1"/>
        <v>2005</v>
      </c>
    </row>
    <row r="54" spans="2:11">
      <c r="B54" s="390"/>
      <c r="C54" s="390"/>
      <c r="D54" s="390"/>
      <c r="E54" s="394">
        <v>30468</v>
      </c>
      <c r="F54" s="395">
        <v>10.93</v>
      </c>
      <c r="G54" s="390">
        <f t="shared" si="0"/>
        <v>1983</v>
      </c>
      <c r="H54" s="390"/>
      <c r="I54" s="396">
        <v>38504</v>
      </c>
      <c r="J54" s="397">
        <v>4.3499999999999996</v>
      </c>
      <c r="K54" s="390">
        <f t="shared" si="1"/>
        <v>2005</v>
      </c>
    </row>
    <row r="55" spans="2:11">
      <c r="B55" s="390"/>
      <c r="C55" s="390"/>
      <c r="D55" s="390"/>
      <c r="E55" s="394">
        <v>30498</v>
      </c>
      <c r="F55" s="395">
        <v>11.4</v>
      </c>
      <c r="G55" s="390">
        <f t="shared" si="0"/>
        <v>1983</v>
      </c>
      <c r="H55" s="390"/>
      <c r="I55" s="396">
        <v>38534</v>
      </c>
      <c r="J55" s="397">
        <v>4.4800000000000004</v>
      </c>
      <c r="K55" s="390">
        <f t="shared" si="1"/>
        <v>2005</v>
      </c>
    </row>
    <row r="56" spans="2:11">
      <c r="B56" s="390"/>
      <c r="C56" s="390"/>
      <c r="D56" s="390"/>
      <c r="E56" s="394">
        <v>30529</v>
      </c>
      <c r="F56" s="395">
        <v>11.82</v>
      </c>
      <c r="G56" s="390">
        <f t="shared" si="0"/>
        <v>1983</v>
      </c>
      <c r="H56" s="390"/>
      <c r="I56" s="396">
        <v>38565</v>
      </c>
      <c r="J56" s="397">
        <v>4.53</v>
      </c>
      <c r="K56" s="390">
        <f t="shared" si="1"/>
        <v>2005</v>
      </c>
    </row>
    <row r="57" spans="2:11">
      <c r="B57" s="390"/>
      <c r="C57" s="390"/>
      <c r="D57" s="390"/>
      <c r="E57" s="394">
        <v>30560</v>
      </c>
      <c r="F57" s="395">
        <v>11.63</v>
      </c>
      <c r="G57" s="390">
        <f t="shared" si="0"/>
        <v>1983</v>
      </c>
      <c r="H57" s="390"/>
      <c r="I57" s="396">
        <v>38596</v>
      </c>
      <c r="J57" s="397">
        <v>4.51</v>
      </c>
      <c r="K57" s="390">
        <f t="shared" si="1"/>
        <v>2005</v>
      </c>
    </row>
    <row r="58" spans="2:11">
      <c r="B58" s="390"/>
      <c r="C58" s="390"/>
      <c r="D58" s="390"/>
      <c r="E58" s="394">
        <v>30590</v>
      </c>
      <c r="F58" s="395">
        <v>11.58</v>
      </c>
      <c r="G58" s="390">
        <f t="shared" si="0"/>
        <v>1983</v>
      </c>
      <c r="H58" s="390"/>
      <c r="I58" s="396">
        <v>38626</v>
      </c>
      <c r="J58" s="397">
        <v>4.74</v>
      </c>
      <c r="K58" s="390">
        <f t="shared" si="1"/>
        <v>2005</v>
      </c>
    </row>
    <row r="59" spans="2:11">
      <c r="B59" s="390"/>
      <c r="C59" s="390"/>
      <c r="D59" s="390"/>
      <c r="E59" s="394">
        <v>30621</v>
      </c>
      <c r="F59" s="395">
        <v>11.75</v>
      </c>
      <c r="G59" s="390">
        <f t="shared" si="0"/>
        <v>1983</v>
      </c>
      <c r="H59" s="390"/>
      <c r="I59" s="396">
        <v>38657</v>
      </c>
      <c r="J59" s="397">
        <v>4.83</v>
      </c>
      <c r="K59" s="390">
        <f t="shared" si="1"/>
        <v>2005</v>
      </c>
    </row>
    <row r="60" spans="2:11">
      <c r="B60" s="390"/>
      <c r="C60" s="390"/>
      <c r="D60" s="390"/>
      <c r="E60" s="394">
        <v>30651</v>
      </c>
      <c r="F60" s="395">
        <v>11.88</v>
      </c>
      <c r="G60" s="390">
        <f t="shared" si="0"/>
        <v>1983</v>
      </c>
      <c r="H60" s="390"/>
      <c r="I60" s="396">
        <v>38687</v>
      </c>
      <c r="J60" s="397">
        <v>4.7300000000000004</v>
      </c>
      <c r="K60" s="390">
        <f t="shared" si="1"/>
        <v>2005</v>
      </c>
    </row>
    <row r="61" spans="2:11">
      <c r="B61" s="390"/>
      <c r="C61" s="390"/>
      <c r="D61" s="390"/>
      <c r="E61" s="394">
        <v>30682</v>
      </c>
      <c r="F61" s="395">
        <v>11.75</v>
      </c>
      <c r="G61" s="390">
        <f t="shared" si="0"/>
        <v>1984</v>
      </c>
      <c r="H61" s="390"/>
      <c r="I61" s="390"/>
      <c r="J61" s="390"/>
      <c r="K61" s="390"/>
    </row>
    <row r="62" spans="2:11">
      <c r="B62" s="390"/>
      <c r="C62" s="390"/>
      <c r="D62" s="390"/>
      <c r="E62" s="394">
        <v>30713</v>
      </c>
      <c r="F62" s="395">
        <v>11.95</v>
      </c>
      <c r="G62" s="390">
        <f t="shared" si="0"/>
        <v>1984</v>
      </c>
      <c r="H62" s="390"/>
      <c r="I62" s="390"/>
      <c r="J62" s="390"/>
      <c r="K62" s="390"/>
    </row>
    <row r="63" spans="2:11">
      <c r="B63" s="390"/>
      <c r="C63" s="390"/>
      <c r="D63" s="390"/>
      <c r="E63" s="394">
        <v>30742</v>
      </c>
      <c r="F63" s="395">
        <v>12.38</v>
      </c>
      <c r="G63" s="390">
        <f t="shared" si="0"/>
        <v>1984</v>
      </c>
      <c r="H63" s="390"/>
      <c r="I63" s="390"/>
      <c r="J63" s="390"/>
      <c r="K63" s="390"/>
    </row>
    <row r="64" spans="2:11">
      <c r="B64" s="390"/>
      <c r="C64" s="390"/>
      <c r="D64" s="390"/>
      <c r="E64" s="394">
        <v>30773</v>
      </c>
      <c r="F64" s="395">
        <v>12.65</v>
      </c>
      <c r="G64" s="390">
        <f t="shared" si="0"/>
        <v>1984</v>
      </c>
      <c r="H64" s="390"/>
      <c r="I64" s="390"/>
      <c r="J64" s="390"/>
      <c r="K64" s="390"/>
    </row>
    <row r="65" spans="2:11">
      <c r="B65" s="390"/>
      <c r="C65" s="390"/>
      <c r="D65" s="390"/>
      <c r="E65" s="394">
        <v>30803</v>
      </c>
      <c r="F65" s="395">
        <v>13.43</v>
      </c>
      <c r="G65" s="390">
        <f t="shared" si="0"/>
        <v>1984</v>
      </c>
      <c r="H65" s="390"/>
      <c r="I65" s="390"/>
      <c r="J65" s="390"/>
      <c r="K65" s="390"/>
    </row>
    <row r="66" spans="2:11">
      <c r="B66" s="390"/>
      <c r="C66" s="390"/>
      <c r="D66" s="390"/>
      <c r="E66" s="394">
        <v>30834</v>
      </c>
      <c r="F66" s="395">
        <v>13.44</v>
      </c>
      <c r="G66" s="390">
        <f t="shared" si="0"/>
        <v>1984</v>
      </c>
      <c r="H66" s="390"/>
      <c r="I66" s="390"/>
      <c r="J66" s="390"/>
      <c r="K66" s="390"/>
    </row>
    <row r="67" spans="2:11">
      <c r="B67" s="390"/>
      <c r="C67" s="390"/>
      <c r="D67" s="390"/>
      <c r="E67" s="394">
        <v>30864</v>
      </c>
      <c r="F67" s="395">
        <v>13.21</v>
      </c>
      <c r="G67" s="390">
        <f t="shared" si="0"/>
        <v>1984</v>
      </c>
      <c r="H67" s="390"/>
      <c r="I67" s="390"/>
      <c r="J67" s="390"/>
      <c r="K67" s="390"/>
    </row>
    <row r="68" spans="2:11">
      <c r="B68" s="390"/>
      <c r="C68" s="390"/>
      <c r="D68" s="390"/>
      <c r="E68" s="394">
        <v>30895</v>
      </c>
      <c r="F68" s="395">
        <v>12.54</v>
      </c>
      <c r="G68" s="390">
        <f t="shared" si="0"/>
        <v>1984</v>
      </c>
      <c r="H68" s="390"/>
      <c r="I68" s="390"/>
      <c r="J68" s="390"/>
      <c r="K68" s="390"/>
    </row>
    <row r="69" spans="2:11">
      <c r="B69" s="390"/>
      <c r="C69" s="390"/>
      <c r="D69" s="390"/>
      <c r="E69" s="394">
        <v>30926</v>
      </c>
      <c r="F69" s="395">
        <v>12.29</v>
      </c>
      <c r="G69" s="390">
        <f t="shared" si="0"/>
        <v>1984</v>
      </c>
      <c r="H69" s="390"/>
      <c r="I69" s="390"/>
      <c r="J69" s="390"/>
      <c r="K69" s="390"/>
    </row>
    <row r="70" spans="2:11">
      <c r="B70" s="390"/>
      <c r="C70" s="390"/>
      <c r="D70" s="390"/>
      <c r="E70" s="394">
        <v>30956</v>
      </c>
      <c r="F70" s="395">
        <v>11.98</v>
      </c>
      <c r="G70" s="390">
        <f t="shared" si="0"/>
        <v>1984</v>
      </c>
      <c r="H70" s="390"/>
      <c r="I70" s="390"/>
      <c r="J70" s="390"/>
      <c r="K70" s="390"/>
    </row>
    <row r="71" spans="2:11">
      <c r="B71" s="390"/>
      <c r="C71" s="390"/>
      <c r="D71" s="390"/>
      <c r="E71" s="394">
        <v>30987</v>
      </c>
      <c r="F71" s="395">
        <v>11.56</v>
      </c>
      <c r="G71" s="390">
        <f t="shared" si="0"/>
        <v>1984</v>
      </c>
      <c r="H71" s="390"/>
      <c r="I71" s="390"/>
      <c r="J71" s="390"/>
      <c r="K71" s="390"/>
    </row>
    <row r="72" spans="2:11">
      <c r="B72" s="390"/>
      <c r="C72" s="390"/>
      <c r="D72" s="390"/>
      <c r="E72" s="394">
        <v>31017</v>
      </c>
      <c r="F72" s="395">
        <v>11.52</v>
      </c>
      <c r="G72" s="390">
        <f t="shared" si="0"/>
        <v>1984</v>
      </c>
      <c r="H72" s="390"/>
      <c r="I72" s="390"/>
      <c r="J72" s="390"/>
      <c r="K72" s="390"/>
    </row>
    <row r="73" spans="2:11">
      <c r="B73" s="390"/>
      <c r="C73" s="390"/>
      <c r="D73" s="390"/>
      <c r="E73" s="394">
        <v>31048</v>
      </c>
      <c r="F73" s="395">
        <v>11.45</v>
      </c>
      <c r="G73" s="390">
        <f t="shared" si="0"/>
        <v>1985</v>
      </c>
      <c r="H73" s="390"/>
      <c r="I73" s="390"/>
      <c r="J73" s="390"/>
      <c r="K73" s="390"/>
    </row>
    <row r="74" spans="2:11">
      <c r="B74" s="390"/>
      <c r="C74" s="390"/>
      <c r="D74" s="390"/>
      <c r="E74" s="394">
        <v>31079</v>
      </c>
      <c r="F74" s="395">
        <v>11.47</v>
      </c>
      <c r="G74" s="390">
        <f t="shared" si="0"/>
        <v>1985</v>
      </c>
      <c r="H74" s="390"/>
      <c r="I74" s="390"/>
      <c r="J74" s="390"/>
      <c r="K74" s="390"/>
    </row>
    <row r="75" spans="2:11">
      <c r="B75" s="390"/>
      <c r="C75" s="390"/>
      <c r="D75" s="390"/>
      <c r="E75" s="394">
        <v>31107</v>
      </c>
      <c r="F75" s="395">
        <v>11.81</v>
      </c>
      <c r="G75" s="390">
        <f t="shared" si="0"/>
        <v>1985</v>
      </c>
      <c r="H75" s="390"/>
      <c r="I75" s="390"/>
      <c r="J75" s="390"/>
      <c r="K75" s="390"/>
    </row>
    <row r="76" spans="2:11">
      <c r="B76" s="390"/>
      <c r="C76" s="390"/>
      <c r="D76" s="390"/>
      <c r="E76" s="394">
        <v>31138</v>
      </c>
      <c r="F76" s="395">
        <v>11.47</v>
      </c>
      <c r="G76" s="390">
        <f t="shared" si="0"/>
        <v>1985</v>
      </c>
      <c r="H76" s="390"/>
      <c r="I76" s="390"/>
      <c r="J76" s="390"/>
      <c r="K76" s="390"/>
    </row>
    <row r="77" spans="2:11">
      <c r="B77" s="390"/>
      <c r="C77" s="390"/>
      <c r="D77" s="390"/>
      <c r="E77" s="394">
        <v>31168</v>
      </c>
      <c r="F77" s="395">
        <v>11.05</v>
      </c>
      <c r="G77" s="390">
        <f t="shared" ref="G77:G140" si="3">YEAR(E77)</f>
        <v>1985</v>
      </c>
      <c r="H77" s="390"/>
      <c r="I77" s="390"/>
      <c r="J77" s="390"/>
      <c r="K77" s="390"/>
    </row>
    <row r="78" spans="2:11">
      <c r="B78" s="390"/>
      <c r="C78" s="390"/>
      <c r="D78" s="390"/>
      <c r="E78" s="394">
        <v>31199</v>
      </c>
      <c r="F78" s="395">
        <v>10.45</v>
      </c>
      <c r="G78" s="390">
        <f t="shared" si="3"/>
        <v>1985</v>
      </c>
      <c r="H78" s="390"/>
      <c r="I78" s="390"/>
      <c r="J78" s="390"/>
      <c r="K78" s="390"/>
    </row>
    <row r="79" spans="2:11">
      <c r="B79" s="390"/>
      <c r="C79" s="390"/>
      <c r="D79" s="390"/>
      <c r="E79" s="394">
        <v>31229</v>
      </c>
      <c r="F79" s="395">
        <v>10.5</v>
      </c>
      <c r="G79" s="390">
        <f t="shared" si="3"/>
        <v>1985</v>
      </c>
      <c r="H79" s="390"/>
      <c r="I79" s="390"/>
      <c r="J79" s="390"/>
      <c r="K79" s="390"/>
    </row>
    <row r="80" spans="2:11">
      <c r="B80" s="390"/>
      <c r="C80" s="390"/>
      <c r="D80" s="390"/>
      <c r="E80" s="394">
        <v>31260</v>
      </c>
      <c r="F80" s="395">
        <v>10.56</v>
      </c>
      <c r="G80" s="390">
        <f t="shared" si="3"/>
        <v>1985</v>
      </c>
      <c r="H80" s="390"/>
      <c r="I80" s="390"/>
      <c r="J80" s="390"/>
      <c r="K80" s="390"/>
    </row>
    <row r="81" spans="2:11">
      <c r="B81" s="390"/>
      <c r="C81" s="390"/>
      <c r="D81" s="390"/>
      <c r="E81" s="394">
        <v>31291</v>
      </c>
      <c r="F81" s="395">
        <v>10.61</v>
      </c>
      <c r="G81" s="390">
        <f t="shared" si="3"/>
        <v>1985</v>
      </c>
      <c r="H81" s="390"/>
      <c r="I81" s="390"/>
      <c r="J81" s="390"/>
      <c r="K81" s="390"/>
    </row>
    <row r="82" spans="2:11">
      <c r="B82" s="390"/>
      <c r="C82" s="390"/>
      <c r="D82" s="390"/>
      <c r="E82" s="394">
        <v>31321</v>
      </c>
      <c r="F82" s="395">
        <v>10.5</v>
      </c>
      <c r="G82" s="390">
        <f t="shared" si="3"/>
        <v>1985</v>
      </c>
      <c r="H82" s="390"/>
      <c r="I82" s="390"/>
      <c r="J82" s="390"/>
      <c r="K82" s="390"/>
    </row>
    <row r="83" spans="2:11">
      <c r="B83" s="390"/>
      <c r="C83" s="390"/>
      <c r="D83" s="390"/>
      <c r="E83" s="394">
        <v>31352</v>
      </c>
      <c r="F83" s="395">
        <v>10.06</v>
      </c>
      <c r="G83" s="390">
        <f t="shared" si="3"/>
        <v>1985</v>
      </c>
      <c r="H83" s="390"/>
      <c r="I83" s="390"/>
      <c r="J83" s="390"/>
      <c r="K83" s="390"/>
    </row>
    <row r="84" spans="2:11">
      <c r="B84" s="390"/>
      <c r="C84" s="390"/>
      <c r="D84" s="390"/>
      <c r="E84" s="394">
        <v>31382</v>
      </c>
      <c r="F84" s="395">
        <v>9.5399999999999991</v>
      </c>
      <c r="G84" s="390">
        <f t="shared" si="3"/>
        <v>1985</v>
      </c>
      <c r="H84" s="390"/>
      <c r="I84" s="390"/>
      <c r="J84" s="390"/>
      <c r="K84" s="390"/>
    </row>
    <row r="85" spans="2:11">
      <c r="B85" s="390"/>
      <c r="C85" s="390"/>
      <c r="D85" s="390"/>
      <c r="E85" s="394">
        <v>31413</v>
      </c>
      <c r="F85" s="395">
        <v>9.4</v>
      </c>
      <c r="G85" s="390">
        <f t="shared" si="3"/>
        <v>1986</v>
      </c>
      <c r="H85" s="390"/>
      <c r="I85" s="390"/>
      <c r="J85" s="390"/>
      <c r="K85" s="390"/>
    </row>
    <row r="86" spans="2:11">
      <c r="B86" s="390"/>
      <c r="C86" s="390"/>
      <c r="D86" s="390"/>
      <c r="E86" s="394">
        <v>31444</v>
      </c>
      <c r="F86" s="395">
        <v>8.93</v>
      </c>
      <c r="G86" s="390">
        <f t="shared" si="3"/>
        <v>1986</v>
      </c>
      <c r="H86" s="390"/>
      <c r="I86" s="390"/>
      <c r="J86" s="390"/>
      <c r="K86" s="390"/>
    </row>
    <row r="87" spans="2:11">
      <c r="B87" s="390"/>
      <c r="C87" s="390"/>
      <c r="D87" s="390"/>
      <c r="E87" s="394">
        <v>31472</v>
      </c>
      <c r="F87" s="395">
        <v>7.96</v>
      </c>
      <c r="G87" s="390">
        <f t="shared" si="3"/>
        <v>1986</v>
      </c>
      <c r="H87" s="390"/>
      <c r="I87" s="390"/>
      <c r="J87" s="390"/>
      <c r="K87" s="390"/>
    </row>
    <row r="88" spans="2:11">
      <c r="B88" s="390"/>
      <c r="C88" s="390"/>
      <c r="D88" s="390"/>
      <c r="E88" s="394">
        <v>31503</v>
      </c>
      <c r="F88" s="395">
        <v>7.39</v>
      </c>
      <c r="G88" s="390">
        <f t="shared" si="3"/>
        <v>1986</v>
      </c>
      <c r="H88" s="390"/>
      <c r="I88" s="390"/>
      <c r="J88" s="390"/>
      <c r="K88" s="390"/>
    </row>
    <row r="89" spans="2:11">
      <c r="B89" s="390"/>
      <c r="C89" s="390"/>
      <c r="D89" s="390"/>
      <c r="E89" s="394">
        <v>31533</v>
      </c>
      <c r="F89" s="395">
        <v>7.52</v>
      </c>
      <c r="G89" s="390">
        <f t="shared" si="3"/>
        <v>1986</v>
      </c>
      <c r="H89" s="390"/>
      <c r="I89" s="390"/>
      <c r="J89" s="390"/>
      <c r="K89" s="390"/>
    </row>
    <row r="90" spans="2:11">
      <c r="B90" s="390"/>
      <c r="C90" s="390"/>
      <c r="D90" s="390"/>
      <c r="E90" s="394">
        <v>31564</v>
      </c>
      <c r="F90" s="395">
        <v>7.57</v>
      </c>
      <c r="G90" s="390">
        <f t="shared" si="3"/>
        <v>1986</v>
      </c>
      <c r="H90" s="390"/>
      <c r="I90" s="390"/>
      <c r="J90" s="390"/>
      <c r="K90" s="390"/>
    </row>
    <row r="91" spans="2:11">
      <c r="B91" s="390"/>
      <c r="C91" s="390"/>
      <c r="D91" s="390"/>
      <c r="E91" s="394">
        <v>31594</v>
      </c>
      <c r="F91" s="395">
        <v>7.27</v>
      </c>
      <c r="G91" s="390">
        <f t="shared" si="3"/>
        <v>1986</v>
      </c>
      <c r="H91" s="390"/>
      <c r="I91" s="390"/>
      <c r="J91" s="390"/>
      <c r="K91" s="390"/>
    </row>
    <row r="92" spans="2:11">
      <c r="B92" s="390"/>
      <c r="C92" s="390"/>
      <c r="D92" s="390"/>
      <c r="E92" s="394">
        <v>31625</v>
      </c>
      <c r="F92" s="395">
        <v>7.33</v>
      </c>
      <c r="G92" s="390">
        <f t="shared" si="3"/>
        <v>1986</v>
      </c>
      <c r="H92" s="390"/>
      <c r="I92" s="390"/>
      <c r="J92" s="390"/>
      <c r="K92" s="390"/>
    </row>
    <row r="93" spans="2:11">
      <c r="B93" s="390"/>
      <c r="C93" s="390"/>
      <c r="D93" s="390"/>
      <c r="E93" s="394">
        <v>31656</v>
      </c>
      <c r="F93" s="395">
        <v>7.62</v>
      </c>
      <c r="G93" s="390">
        <f t="shared" si="3"/>
        <v>1986</v>
      </c>
      <c r="H93" s="390"/>
      <c r="I93" s="390"/>
      <c r="J93" s="390"/>
      <c r="K93" s="390"/>
    </row>
    <row r="94" spans="2:11">
      <c r="B94" s="390"/>
      <c r="C94" s="390"/>
      <c r="D94" s="390"/>
      <c r="E94" s="394">
        <v>31686</v>
      </c>
      <c r="F94" s="395">
        <v>7.7</v>
      </c>
      <c r="G94" s="390">
        <f t="shared" si="3"/>
        <v>1986</v>
      </c>
      <c r="H94" s="390"/>
      <c r="I94" s="390"/>
      <c r="J94" s="390"/>
      <c r="K94" s="390"/>
    </row>
    <row r="95" spans="2:11">
      <c r="B95" s="390"/>
      <c r="C95" s="390"/>
      <c r="D95" s="390"/>
      <c r="E95" s="394">
        <v>31717</v>
      </c>
      <c r="F95" s="395">
        <v>7.52</v>
      </c>
      <c r="G95" s="390">
        <f t="shared" si="3"/>
        <v>1986</v>
      </c>
      <c r="H95" s="390"/>
      <c r="I95" s="390"/>
      <c r="J95" s="390"/>
      <c r="K95" s="390"/>
    </row>
    <row r="96" spans="2:11">
      <c r="B96" s="390"/>
      <c r="C96" s="390"/>
      <c r="D96" s="390"/>
      <c r="E96" s="394">
        <v>31747</v>
      </c>
      <c r="F96" s="395">
        <v>7.37</v>
      </c>
      <c r="G96" s="390">
        <f t="shared" si="3"/>
        <v>1986</v>
      </c>
      <c r="H96" s="390"/>
      <c r="I96" s="390"/>
      <c r="J96" s="390"/>
      <c r="K96" s="390"/>
    </row>
    <row r="97" spans="2:11">
      <c r="B97" s="390"/>
      <c r="C97" s="390"/>
      <c r="D97" s="390"/>
      <c r="E97" s="394">
        <v>31778</v>
      </c>
      <c r="F97" s="395">
        <v>7.39</v>
      </c>
      <c r="G97" s="390">
        <f t="shared" si="3"/>
        <v>1987</v>
      </c>
      <c r="H97" s="390"/>
      <c r="I97" s="390"/>
      <c r="J97" s="390"/>
      <c r="K97" s="390"/>
    </row>
    <row r="98" spans="2:11">
      <c r="B98" s="390"/>
      <c r="C98" s="390"/>
      <c r="D98" s="390"/>
      <c r="E98" s="394">
        <v>31809</v>
      </c>
      <c r="F98" s="395">
        <v>7.54</v>
      </c>
      <c r="G98" s="390">
        <f t="shared" si="3"/>
        <v>1987</v>
      </c>
      <c r="H98" s="390"/>
      <c r="I98" s="390"/>
      <c r="J98" s="390"/>
      <c r="K98" s="390"/>
    </row>
    <row r="99" spans="2:11">
      <c r="B99" s="390"/>
      <c r="C99" s="390"/>
      <c r="D99" s="390"/>
      <c r="E99" s="394">
        <v>31837</v>
      </c>
      <c r="F99" s="395">
        <v>7.55</v>
      </c>
      <c r="G99" s="390">
        <f t="shared" si="3"/>
        <v>1987</v>
      </c>
      <c r="H99" s="390"/>
      <c r="I99" s="390"/>
      <c r="J99" s="390"/>
      <c r="K99" s="390"/>
    </row>
    <row r="100" spans="2:11">
      <c r="B100" s="390"/>
      <c r="C100" s="390"/>
      <c r="D100" s="390"/>
      <c r="E100" s="394">
        <v>31868</v>
      </c>
      <c r="F100" s="395">
        <v>8.25</v>
      </c>
      <c r="G100" s="390">
        <f t="shared" si="3"/>
        <v>1987</v>
      </c>
      <c r="H100" s="390"/>
      <c r="I100" s="390"/>
      <c r="J100" s="390"/>
      <c r="K100" s="390"/>
    </row>
    <row r="101" spans="2:11">
      <c r="B101" s="390"/>
      <c r="C101" s="390"/>
      <c r="D101" s="390"/>
      <c r="E101" s="394">
        <v>31898</v>
      </c>
      <c r="F101" s="395">
        <v>8.7799999999999994</v>
      </c>
      <c r="G101" s="390">
        <f t="shared" si="3"/>
        <v>1987</v>
      </c>
      <c r="H101" s="390"/>
      <c r="I101" s="390"/>
      <c r="J101" s="390"/>
      <c r="K101" s="390"/>
    </row>
    <row r="102" spans="2:11">
      <c r="B102" s="390"/>
      <c r="C102" s="390"/>
      <c r="D102" s="390"/>
      <c r="E102" s="394">
        <v>31929</v>
      </c>
      <c r="F102" s="395">
        <v>8.57</v>
      </c>
      <c r="G102" s="390">
        <f t="shared" si="3"/>
        <v>1987</v>
      </c>
      <c r="H102" s="390"/>
      <c r="I102" s="390"/>
      <c r="J102" s="390"/>
      <c r="K102" s="390"/>
    </row>
    <row r="103" spans="2:11">
      <c r="B103" s="390"/>
      <c r="C103" s="390"/>
      <c r="D103" s="390"/>
      <c r="E103" s="394">
        <v>31959</v>
      </c>
      <c r="F103" s="395">
        <v>8.64</v>
      </c>
      <c r="G103" s="390">
        <f t="shared" si="3"/>
        <v>1987</v>
      </c>
      <c r="H103" s="390"/>
      <c r="I103" s="390"/>
      <c r="J103" s="390"/>
      <c r="K103" s="390"/>
    </row>
    <row r="104" spans="2:11">
      <c r="B104" s="390"/>
      <c r="C104" s="390"/>
      <c r="D104" s="390"/>
      <c r="E104" s="394">
        <v>31990</v>
      </c>
      <c r="F104" s="395">
        <v>8.9700000000000006</v>
      </c>
      <c r="G104" s="390">
        <f t="shared" si="3"/>
        <v>1987</v>
      </c>
      <c r="H104" s="390"/>
      <c r="I104" s="390"/>
      <c r="J104" s="390"/>
      <c r="K104" s="390"/>
    </row>
    <row r="105" spans="2:11">
      <c r="B105" s="390"/>
      <c r="C105" s="390"/>
      <c r="D105" s="390"/>
      <c r="E105" s="394">
        <v>32021</v>
      </c>
      <c r="F105" s="395">
        <v>9.59</v>
      </c>
      <c r="G105" s="390">
        <f t="shared" si="3"/>
        <v>1987</v>
      </c>
      <c r="H105" s="390"/>
      <c r="I105" s="390"/>
      <c r="J105" s="390"/>
      <c r="K105" s="390"/>
    </row>
    <row r="106" spans="2:11">
      <c r="B106" s="390"/>
      <c r="C106" s="390"/>
      <c r="D106" s="390"/>
      <c r="E106" s="394">
        <v>32051</v>
      </c>
      <c r="F106" s="395">
        <v>9.61</v>
      </c>
      <c r="G106" s="390">
        <f t="shared" si="3"/>
        <v>1987</v>
      </c>
      <c r="H106" s="390"/>
      <c r="I106" s="390"/>
      <c r="J106" s="390"/>
      <c r="K106" s="390"/>
    </row>
    <row r="107" spans="2:11">
      <c r="B107" s="390"/>
      <c r="C107" s="390"/>
      <c r="D107" s="390"/>
      <c r="E107" s="394">
        <v>32082</v>
      </c>
      <c r="F107" s="395">
        <v>8.9499999999999993</v>
      </c>
      <c r="G107" s="390">
        <f t="shared" si="3"/>
        <v>1987</v>
      </c>
      <c r="H107" s="390"/>
      <c r="I107" s="390"/>
      <c r="J107" s="390"/>
      <c r="K107" s="390"/>
    </row>
    <row r="108" spans="2:11">
      <c r="B108" s="390"/>
      <c r="C108" s="390"/>
      <c r="D108" s="390"/>
      <c r="E108" s="394">
        <v>32112</v>
      </c>
      <c r="F108" s="395">
        <v>9.1199999999999992</v>
      </c>
      <c r="G108" s="390">
        <f t="shared" si="3"/>
        <v>1987</v>
      </c>
      <c r="H108" s="390"/>
      <c r="I108" s="390"/>
      <c r="J108" s="390"/>
      <c r="K108" s="390"/>
    </row>
    <row r="109" spans="2:11">
      <c r="B109" s="390"/>
      <c r="C109" s="390"/>
      <c r="D109" s="390"/>
      <c r="E109" s="394">
        <v>32143</v>
      </c>
      <c r="F109" s="395">
        <v>8.83</v>
      </c>
      <c r="G109" s="390">
        <f t="shared" si="3"/>
        <v>1988</v>
      </c>
      <c r="H109" s="390"/>
      <c r="I109" s="390"/>
      <c r="J109" s="390"/>
      <c r="K109" s="390"/>
    </row>
    <row r="110" spans="2:11">
      <c r="B110" s="390"/>
      <c r="C110" s="390"/>
      <c r="D110" s="390"/>
      <c r="E110" s="394">
        <v>32174</v>
      </c>
      <c r="F110" s="395">
        <v>8.43</v>
      </c>
      <c r="G110" s="390">
        <f t="shared" si="3"/>
        <v>1988</v>
      </c>
      <c r="H110" s="390"/>
      <c r="I110" s="390"/>
      <c r="J110" s="390"/>
      <c r="K110" s="390"/>
    </row>
    <row r="111" spans="2:11">
      <c r="B111" s="390"/>
      <c r="C111" s="390"/>
      <c r="D111" s="390"/>
      <c r="E111" s="394">
        <v>32203</v>
      </c>
      <c r="F111" s="395">
        <v>8.6300000000000008</v>
      </c>
      <c r="G111" s="390">
        <f t="shared" si="3"/>
        <v>1988</v>
      </c>
      <c r="H111" s="390"/>
      <c r="I111" s="390"/>
      <c r="J111" s="390"/>
      <c r="K111" s="390"/>
    </row>
    <row r="112" spans="2:11">
      <c r="B112" s="390"/>
      <c r="C112" s="390"/>
      <c r="D112" s="390"/>
      <c r="E112" s="394">
        <v>32234</v>
      </c>
      <c r="F112" s="395">
        <v>8.9499999999999993</v>
      </c>
      <c r="G112" s="390">
        <f t="shared" si="3"/>
        <v>1988</v>
      </c>
      <c r="H112" s="390"/>
      <c r="I112" s="390"/>
      <c r="J112" s="390"/>
      <c r="K112" s="390"/>
    </row>
    <row r="113" spans="2:11">
      <c r="B113" s="390"/>
      <c r="C113" s="390"/>
      <c r="D113" s="390"/>
      <c r="E113" s="394">
        <v>32264</v>
      </c>
      <c r="F113" s="395">
        <v>9.23</v>
      </c>
      <c r="G113" s="390">
        <f t="shared" si="3"/>
        <v>1988</v>
      </c>
      <c r="H113" s="390"/>
      <c r="I113" s="390"/>
      <c r="J113" s="390"/>
      <c r="K113" s="390"/>
    </row>
    <row r="114" spans="2:11">
      <c r="B114" s="390"/>
      <c r="C114" s="390"/>
      <c r="D114" s="390"/>
      <c r="E114" s="394">
        <v>32295</v>
      </c>
      <c r="F114" s="395">
        <v>9</v>
      </c>
      <c r="G114" s="390">
        <f t="shared" si="3"/>
        <v>1988</v>
      </c>
      <c r="H114" s="390"/>
      <c r="I114" s="390"/>
      <c r="J114" s="390"/>
      <c r="K114" s="390"/>
    </row>
    <row r="115" spans="2:11">
      <c r="B115" s="390"/>
      <c r="C115" s="390"/>
      <c r="D115" s="390"/>
      <c r="E115" s="394">
        <v>32325</v>
      </c>
      <c r="F115" s="395">
        <v>9.14</v>
      </c>
      <c r="G115" s="390">
        <f t="shared" si="3"/>
        <v>1988</v>
      </c>
      <c r="H115" s="390"/>
      <c r="I115" s="390"/>
      <c r="J115" s="390"/>
      <c r="K115" s="390"/>
    </row>
    <row r="116" spans="2:11">
      <c r="B116" s="390"/>
      <c r="C116" s="390"/>
      <c r="D116" s="390"/>
      <c r="E116" s="394">
        <v>32356</v>
      </c>
      <c r="F116" s="395">
        <v>9.32</v>
      </c>
      <c r="G116" s="390">
        <f t="shared" si="3"/>
        <v>1988</v>
      </c>
      <c r="H116" s="390"/>
      <c r="I116" s="390"/>
      <c r="J116" s="390"/>
      <c r="K116" s="390"/>
    </row>
    <row r="117" spans="2:11">
      <c r="B117" s="390"/>
      <c r="C117" s="390"/>
      <c r="D117" s="390"/>
      <c r="E117" s="394">
        <v>32387</v>
      </c>
      <c r="F117" s="395">
        <v>9.06</v>
      </c>
      <c r="G117" s="390">
        <f t="shared" si="3"/>
        <v>1988</v>
      </c>
      <c r="H117" s="390"/>
      <c r="I117" s="390"/>
      <c r="J117" s="390"/>
      <c r="K117" s="390"/>
    </row>
    <row r="118" spans="2:11">
      <c r="B118" s="390"/>
      <c r="C118" s="390"/>
      <c r="D118" s="390"/>
      <c r="E118" s="394">
        <v>32417</v>
      </c>
      <c r="F118" s="395">
        <v>8.89</v>
      </c>
      <c r="G118" s="390">
        <f t="shared" si="3"/>
        <v>1988</v>
      </c>
      <c r="H118" s="390"/>
      <c r="I118" s="390"/>
      <c r="J118" s="390"/>
      <c r="K118" s="390"/>
    </row>
    <row r="119" spans="2:11">
      <c r="B119" s="390"/>
      <c r="C119" s="390"/>
      <c r="D119" s="390"/>
      <c r="E119" s="394">
        <v>32448</v>
      </c>
      <c r="F119" s="395">
        <v>9.02</v>
      </c>
      <c r="G119" s="390">
        <f t="shared" si="3"/>
        <v>1988</v>
      </c>
      <c r="H119" s="390"/>
      <c r="I119" s="390"/>
      <c r="J119" s="390"/>
      <c r="K119" s="390"/>
    </row>
    <row r="120" spans="2:11">
      <c r="B120" s="390"/>
      <c r="C120" s="390"/>
      <c r="D120" s="390"/>
      <c r="E120" s="394">
        <v>32478</v>
      </c>
      <c r="F120" s="395">
        <v>9.01</v>
      </c>
      <c r="G120" s="390">
        <f t="shared" si="3"/>
        <v>1988</v>
      </c>
      <c r="H120" s="390"/>
      <c r="I120" s="390"/>
      <c r="J120" s="390"/>
      <c r="K120" s="390"/>
    </row>
    <row r="121" spans="2:11">
      <c r="B121" s="390"/>
      <c r="C121" s="390"/>
      <c r="D121" s="390"/>
      <c r="E121" s="394">
        <v>32509</v>
      </c>
      <c r="F121" s="395">
        <v>8.93</v>
      </c>
      <c r="G121" s="390">
        <f t="shared" si="3"/>
        <v>1989</v>
      </c>
      <c r="H121" s="390"/>
      <c r="I121" s="390"/>
      <c r="J121" s="390"/>
      <c r="K121" s="390"/>
    </row>
    <row r="122" spans="2:11">
      <c r="B122" s="390"/>
      <c r="C122" s="390"/>
      <c r="D122" s="390"/>
      <c r="E122" s="394">
        <v>32540</v>
      </c>
      <c r="F122" s="395">
        <v>9.01</v>
      </c>
      <c r="G122" s="390">
        <f t="shared" si="3"/>
        <v>1989</v>
      </c>
      <c r="H122" s="390"/>
      <c r="I122" s="390"/>
      <c r="J122" s="390"/>
      <c r="K122" s="390"/>
    </row>
    <row r="123" spans="2:11">
      <c r="B123" s="390"/>
      <c r="C123" s="390"/>
      <c r="D123" s="390"/>
      <c r="E123" s="394">
        <v>32568</v>
      </c>
      <c r="F123" s="395">
        <v>9.17</v>
      </c>
      <c r="G123" s="390">
        <f t="shared" si="3"/>
        <v>1989</v>
      </c>
      <c r="H123" s="390"/>
      <c r="I123" s="390"/>
      <c r="J123" s="390"/>
      <c r="K123" s="390"/>
    </row>
    <row r="124" spans="2:11">
      <c r="B124" s="390"/>
      <c r="C124" s="390"/>
      <c r="D124" s="390"/>
      <c r="E124" s="394">
        <v>32599</v>
      </c>
      <c r="F124" s="395">
        <v>9.0299999999999994</v>
      </c>
      <c r="G124" s="390">
        <f t="shared" si="3"/>
        <v>1989</v>
      </c>
      <c r="H124" s="390"/>
      <c r="I124" s="390"/>
      <c r="J124" s="390"/>
      <c r="K124" s="390"/>
    </row>
    <row r="125" spans="2:11">
      <c r="B125" s="390"/>
      <c r="C125" s="390"/>
      <c r="D125" s="390"/>
      <c r="E125" s="394">
        <v>32629</v>
      </c>
      <c r="F125" s="395">
        <v>8.83</v>
      </c>
      <c r="G125" s="390">
        <f t="shared" si="3"/>
        <v>1989</v>
      </c>
      <c r="H125" s="390"/>
      <c r="I125" s="390"/>
      <c r="J125" s="390"/>
      <c r="K125" s="390"/>
    </row>
    <row r="126" spans="2:11">
      <c r="B126" s="390"/>
      <c r="C126" s="390"/>
      <c r="D126" s="390"/>
      <c r="E126" s="394">
        <v>32660</v>
      </c>
      <c r="F126" s="395">
        <v>8.27</v>
      </c>
      <c r="G126" s="390">
        <f t="shared" si="3"/>
        <v>1989</v>
      </c>
      <c r="H126" s="390"/>
      <c r="I126" s="390"/>
      <c r="J126" s="390"/>
      <c r="K126" s="390"/>
    </row>
    <row r="127" spans="2:11">
      <c r="B127" s="390"/>
      <c r="C127" s="390"/>
      <c r="D127" s="390"/>
      <c r="E127" s="394">
        <v>32690</v>
      </c>
      <c r="F127" s="395">
        <v>8.08</v>
      </c>
      <c r="G127" s="390">
        <f t="shared" si="3"/>
        <v>1989</v>
      </c>
      <c r="H127" s="390"/>
      <c r="I127" s="390"/>
      <c r="J127" s="390"/>
      <c r="K127" s="390"/>
    </row>
    <row r="128" spans="2:11">
      <c r="B128" s="390"/>
      <c r="C128" s="390"/>
      <c r="D128" s="390"/>
      <c r="E128" s="394">
        <v>32721</v>
      </c>
      <c r="F128" s="395">
        <v>8.1199999999999992</v>
      </c>
      <c r="G128" s="390">
        <f t="shared" si="3"/>
        <v>1989</v>
      </c>
      <c r="H128" s="390"/>
      <c r="I128" s="390"/>
      <c r="J128" s="390"/>
      <c r="K128" s="390"/>
    </row>
    <row r="129" spans="2:11">
      <c r="B129" s="390"/>
      <c r="C129" s="390"/>
      <c r="D129" s="390"/>
      <c r="E129" s="394">
        <v>32752</v>
      </c>
      <c r="F129" s="395">
        <v>8.15</v>
      </c>
      <c r="G129" s="390">
        <f t="shared" si="3"/>
        <v>1989</v>
      </c>
      <c r="H129" s="390"/>
      <c r="I129" s="390"/>
      <c r="J129" s="390"/>
      <c r="K129" s="390"/>
    </row>
    <row r="130" spans="2:11">
      <c r="B130" s="390"/>
      <c r="C130" s="390"/>
      <c r="D130" s="390"/>
      <c r="E130" s="394">
        <v>32782</v>
      </c>
      <c r="F130" s="395">
        <v>8</v>
      </c>
      <c r="G130" s="390">
        <f t="shared" si="3"/>
        <v>1989</v>
      </c>
      <c r="H130" s="390"/>
      <c r="I130" s="390"/>
      <c r="J130" s="390"/>
      <c r="K130" s="390"/>
    </row>
    <row r="131" spans="2:11">
      <c r="B131" s="390"/>
      <c r="C131" s="390"/>
      <c r="D131" s="390"/>
      <c r="E131" s="394">
        <v>32813</v>
      </c>
      <c r="F131" s="395">
        <v>7.9</v>
      </c>
      <c r="G131" s="390">
        <f t="shared" si="3"/>
        <v>1989</v>
      </c>
      <c r="H131" s="390"/>
      <c r="I131" s="390"/>
      <c r="J131" s="390"/>
      <c r="K131" s="390"/>
    </row>
    <row r="132" spans="2:11">
      <c r="B132" s="390"/>
      <c r="C132" s="390"/>
      <c r="D132" s="390"/>
      <c r="E132" s="394">
        <v>32843</v>
      </c>
      <c r="F132" s="395">
        <v>7.9</v>
      </c>
      <c r="G132" s="390">
        <f t="shared" si="3"/>
        <v>1989</v>
      </c>
      <c r="H132" s="390"/>
      <c r="I132" s="390"/>
      <c r="J132" s="390"/>
      <c r="K132" s="390"/>
    </row>
    <row r="133" spans="2:11">
      <c r="B133" s="390"/>
      <c r="C133" s="390"/>
      <c r="D133" s="390"/>
      <c r="E133" s="394">
        <v>32874</v>
      </c>
      <c r="F133" s="395">
        <v>8.26</v>
      </c>
      <c r="G133" s="390">
        <f t="shared" si="3"/>
        <v>1990</v>
      </c>
      <c r="H133" s="390"/>
      <c r="I133" s="390"/>
      <c r="J133" s="390"/>
      <c r="K133" s="390"/>
    </row>
    <row r="134" spans="2:11">
      <c r="B134" s="390"/>
      <c r="C134" s="390"/>
      <c r="D134" s="390"/>
      <c r="E134" s="394">
        <v>32905</v>
      </c>
      <c r="F134" s="395">
        <v>8.5</v>
      </c>
      <c r="G134" s="390">
        <f t="shared" si="3"/>
        <v>1990</v>
      </c>
      <c r="H134" s="390"/>
      <c r="I134" s="390"/>
      <c r="J134" s="390"/>
      <c r="K134" s="390"/>
    </row>
    <row r="135" spans="2:11">
      <c r="B135" s="390"/>
      <c r="C135" s="390"/>
      <c r="D135" s="390"/>
      <c r="E135" s="394">
        <v>32933</v>
      </c>
      <c r="F135" s="395">
        <v>8.56</v>
      </c>
      <c r="G135" s="390">
        <f t="shared" si="3"/>
        <v>1990</v>
      </c>
      <c r="H135" s="390"/>
      <c r="I135" s="390"/>
      <c r="J135" s="390"/>
      <c r="K135" s="390"/>
    </row>
    <row r="136" spans="2:11">
      <c r="B136" s="390"/>
      <c r="C136" s="390"/>
      <c r="D136" s="390"/>
      <c r="E136" s="394">
        <v>32964</v>
      </c>
      <c r="F136" s="395">
        <v>8.76</v>
      </c>
      <c r="G136" s="390">
        <f t="shared" si="3"/>
        <v>1990</v>
      </c>
      <c r="H136" s="390"/>
      <c r="I136" s="390"/>
      <c r="J136" s="390"/>
      <c r="K136" s="390"/>
    </row>
    <row r="137" spans="2:11">
      <c r="B137" s="390"/>
      <c r="C137" s="390"/>
      <c r="D137" s="390"/>
      <c r="E137" s="394">
        <v>32994</v>
      </c>
      <c r="F137" s="395">
        <v>8.73</v>
      </c>
      <c r="G137" s="390">
        <f t="shared" si="3"/>
        <v>1990</v>
      </c>
      <c r="H137" s="390"/>
      <c r="I137" s="390"/>
      <c r="J137" s="390"/>
      <c r="K137" s="390"/>
    </row>
    <row r="138" spans="2:11">
      <c r="B138" s="390"/>
      <c r="C138" s="390"/>
      <c r="D138" s="390"/>
      <c r="E138" s="394">
        <v>33025</v>
      </c>
      <c r="F138" s="395">
        <v>8.4600000000000009</v>
      </c>
      <c r="G138" s="390">
        <f t="shared" si="3"/>
        <v>1990</v>
      </c>
      <c r="H138" s="390"/>
      <c r="I138" s="390"/>
      <c r="J138" s="390"/>
      <c r="K138" s="390"/>
    </row>
    <row r="139" spans="2:11">
      <c r="B139" s="390"/>
      <c r="C139" s="390"/>
      <c r="D139" s="390"/>
      <c r="E139" s="394">
        <v>33055</v>
      </c>
      <c r="F139" s="395">
        <v>8.5</v>
      </c>
      <c r="G139" s="390">
        <f t="shared" si="3"/>
        <v>1990</v>
      </c>
      <c r="H139" s="390"/>
      <c r="I139" s="390"/>
      <c r="J139" s="390"/>
      <c r="K139" s="390"/>
    </row>
    <row r="140" spans="2:11">
      <c r="B140" s="390"/>
      <c r="C140" s="390"/>
      <c r="D140" s="390"/>
      <c r="E140" s="394">
        <v>33086</v>
      </c>
      <c r="F140" s="395">
        <v>8.86</v>
      </c>
      <c r="G140" s="390">
        <f t="shared" si="3"/>
        <v>1990</v>
      </c>
      <c r="H140" s="390"/>
      <c r="I140" s="390"/>
      <c r="J140" s="390"/>
      <c r="K140" s="390"/>
    </row>
    <row r="141" spans="2:11">
      <c r="B141" s="390"/>
      <c r="C141" s="390"/>
      <c r="D141" s="390"/>
      <c r="E141" s="394">
        <v>33117</v>
      </c>
      <c r="F141" s="395">
        <v>9.0299999999999994</v>
      </c>
      <c r="G141" s="390">
        <f t="shared" ref="G141:G204" si="4">YEAR(E141)</f>
        <v>1990</v>
      </c>
      <c r="H141" s="390"/>
      <c r="I141" s="390"/>
      <c r="J141" s="390"/>
      <c r="K141" s="390"/>
    </row>
    <row r="142" spans="2:11">
      <c r="B142" s="390"/>
      <c r="C142" s="390"/>
      <c r="D142" s="390"/>
      <c r="E142" s="394">
        <v>33147</v>
      </c>
      <c r="F142" s="395">
        <v>8.86</v>
      </c>
      <c r="G142" s="390">
        <f t="shared" si="4"/>
        <v>1990</v>
      </c>
      <c r="H142" s="390"/>
      <c r="I142" s="390"/>
      <c r="J142" s="390"/>
      <c r="K142" s="390"/>
    </row>
    <row r="143" spans="2:11">
      <c r="B143" s="390"/>
      <c r="C143" s="390"/>
      <c r="D143" s="390"/>
      <c r="E143" s="394">
        <v>33178</v>
      </c>
      <c r="F143" s="395">
        <v>8.5399999999999991</v>
      </c>
      <c r="G143" s="390">
        <f t="shared" si="4"/>
        <v>1990</v>
      </c>
      <c r="H143" s="390"/>
      <c r="I143" s="390"/>
      <c r="J143" s="390"/>
      <c r="K143" s="390"/>
    </row>
    <row r="144" spans="2:11">
      <c r="B144" s="390"/>
      <c r="C144" s="390"/>
      <c r="D144" s="390"/>
      <c r="E144" s="394">
        <v>33208</v>
      </c>
      <c r="F144" s="395">
        <v>8.24</v>
      </c>
      <c r="G144" s="390">
        <f t="shared" si="4"/>
        <v>1990</v>
      </c>
      <c r="H144" s="390"/>
      <c r="I144" s="390"/>
      <c r="J144" s="390"/>
      <c r="K144" s="390"/>
    </row>
    <row r="145" spans="2:11">
      <c r="B145" s="390"/>
      <c r="C145" s="390"/>
      <c r="D145" s="390"/>
      <c r="E145" s="394">
        <v>33239</v>
      </c>
      <c r="F145" s="395">
        <v>8.27</v>
      </c>
      <c r="G145" s="390">
        <f t="shared" si="4"/>
        <v>1991</v>
      </c>
      <c r="H145" s="390"/>
      <c r="I145" s="390"/>
      <c r="J145" s="390"/>
      <c r="K145" s="390"/>
    </row>
    <row r="146" spans="2:11">
      <c r="B146" s="390"/>
      <c r="C146" s="390"/>
      <c r="D146" s="390"/>
      <c r="E146" s="394">
        <v>33270</v>
      </c>
      <c r="F146" s="395">
        <v>8.0299999999999994</v>
      </c>
      <c r="G146" s="390">
        <f t="shared" si="4"/>
        <v>1991</v>
      </c>
      <c r="H146" s="390"/>
      <c r="I146" s="390"/>
      <c r="J146" s="390"/>
      <c r="K146" s="390"/>
    </row>
    <row r="147" spans="2:11">
      <c r="B147" s="390"/>
      <c r="C147" s="390"/>
      <c r="D147" s="390"/>
      <c r="E147" s="394">
        <v>33298</v>
      </c>
      <c r="F147" s="395">
        <v>8.2899999999999991</v>
      </c>
      <c r="G147" s="390">
        <f t="shared" si="4"/>
        <v>1991</v>
      </c>
      <c r="H147" s="390"/>
      <c r="I147" s="390"/>
      <c r="J147" s="390"/>
      <c r="K147" s="390"/>
    </row>
    <row r="148" spans="2:11">
      <c r="B148" s="390"/>
      <c r="C148" s="390"/>
      <c r="D148" s="390"/>
      <c r="E148" s="394">
        <v>33329</v>
      </c>
      <c r="F148" s="395">
        <v>8.2100000000000009</v>
      </c>
      <c r="G148" s="390">
        <f t="shared" si="4"/>
        <v>1991</v>
      </c>
      <c r="H148" s="390"/>
      <c r="I148" s="390"/>
      <c r="J148" s="390"/>
      <c r="K148" s="390"/>
    </row>
    <row r="149" spans="2:11">
      <c r="B149" s="390"/>
      <c r="C149" s="390"/>
      <c r="D149" s="390"/>
      <c r="E149" s="394">
        <v>33359</v>
      </c>
      <c r="F149" s="395">
        <v>8.27</v>
      </c>
      <c r="G149" s="390">
        <f t="shared" si="4"/>
        <v>1991</v>
      </c>
      <c r="H149" s="390"/>
      <c r="I149" s="390"/>
      <c r="J149" s="390"/>
      <c r="K149" s="390"/>
    </row>
    <row r="150" spans="2:11">
      <c r="B150" s="390"/>
      <c r="C150" s="390"/>
      <c r="D150" s="390"/>
      <c r="E150" s="394">
        <v>33390</v>
      </c>
      <c r="F150" s="395">
        <v>8.4700000000000006</v>
      </c>
      <c r="G150" s="390">
        <f t="shared" si="4"/>
        <v>1991</v>
      </c>
      <c r="H150" s="390"/>
      <c r="I150" s="390"/>
      <c r="J150" s="390"/>
      <c r="K150" s="390"/>
    </row>
    <row r="151" spans="2:11">
      <c r="B151" s="390"/>
      <c r="C151" s="390"/>
      <c r="D151" s="390"/>
      <c r="E151" s="394">
        <v>33420</v>
      </c>
      <c r="F151" s="395">
        <v>8.4499999999999993</v>
      </c>
      <c r="G151" s="390">
        <f t="shared" si="4"/>
        <v>1991</v>
      </c>
      <c r="H151" s="390"/>
      <c r="I151" s="390"/>
      <c r="J151" s="390"/>
      <c r="K151" s="390"/>
    </row>
    <row r="152" spans="2:11">
      <c r="B152" s="390"/>
      <c r="C152" s="390"/>
      <c r="D152" s="390"/>
      <c r="E152" s="394">
        <v>33451</v>
      </c>
      <c r="F152" s="395">
        <v>8.14</v>
      </c>
      <c r="G152" s="390">
        <f t="shared" si="4"/>
        <v>1991</v>
      </c>
      <c r="H152" s="390"/>
      <c r="I152" s="390"/>
      <c r="J152" s="390"/>
      <c r="K152" s="390"/>
    </row>
    <row r="153" spans="2:11">
      <c r="B153" s="390"/>
      <c r="C153" s="390"/>
      <c r="D153" s="390"/>
      <c r="E153" s="394">
        <v>33482</v>
      </c>
      <c r="F153" s="395">
        <v>7.95</v>
      </c>
      <c r="G153" s="390">
        <f t="shared" si="4"/>
        <v>1991</v>
      </c>
      <c r="H153" s="390"/>
      <c r="I153" s="390"/>
      <c r="J153" s="390"/>
      <c r="K153" s="390"/>
    </row>
    <row r="154" spans="2:11">
      <c r="B154" s="390"/>
      <c r="C154" s="390"/>
      <c r="D154" s="390"/>
      <c r="E154" s="394">
        <v>33512</v>
      </c>
      <c r="F154" s="395">
        <v>7.93</v>
      </c>
      <c r="G154" s="390">
        <f t="shared" si="4"/>
        <v>1991</v>
      </c>
      <c r="H154" s="390"/>
      <c r="I154" s="390"/>
      <c r="J154" s="390"/>
      <c r="K154" s="390"/>
    </row>
    <row r="155" spans="2:11">
      <c r="B155" s="390"/>
      <c r="C155" s="390"/>
      <c r="D155" s="390"/>
      <c r="E155" s="394">
        <v>33543</v>
      </c>
      <c r="F155" s="395">
        <v>7.92</v>
      </c>
      <c r="G155" s="390">
        <f t="shared" si="4"/>
        <v>1991</v>
      </c>
      <c r="H155" s="390"/>
      <c r="I155" s="390"/>
      <c r="J155" s="390"/>
      <c r="K155" s="390"/>
    </row>
    <row r="156" spans="2:11">
      <c r="B156" s="390"/>
      <c r="C156" s="390"/>
      <c r="D156" s="390"/>
      <c r="E156" s="394">
        <v>33573</v>
      </c>
      <c r="F156" s="395">
        <v>7.7</v>
      </c>
      <c r="G156" s="390">
        <f t="shared" si="4"/>
        <v>1991</v>
      </c>
      <c r="H156" s="390"/>
      <c r="I156" s="390"/>
      <c r="J156" s="390"/>
      <c r="K156" s="390"/>
    </row>
    <row r="157" spans="2:11">
      <c r="B157" s="390"/>
      <c r="C157" s="390"/>
      <c r="D157" s="390"/>
      <c r="E157" s="394">
        <v>33604</v>
      </c>
      <c r="F157" s="395">
        <v>7.58</v>
      </c>
      <c r="G157" s="390">
        <f t="shared" si="4"/>
        <v>1992</v>
      </c>
      <c r="H157" s="390"/>
      <c r="I157" s="390"/>
      <c r="J157" s="390"/>
      <c r="K157" s="390"/>
    </row>
    <row r="158" spans="2:11">
      <c r="B158" s="390"/>
      <c r="C158" s="390"/>
      <c r="D158" s="390"/>
      <c r="E158" s="394">
        <v>33635</v>
      </c>
      <c r="F158" s="395">
        <v>7.85</v>
      </c>
      <c r="G158" s="390">
        <f t="shared" si="4"/>
        <v>1992</v>
      </c>
      <c r="H158" s="390"/>
      <c r="I158" s="390"/>
      <c r="J158" s="390"/>
      <c r="K158" s="390"/>
    </row>
    <row r="159" spans="2:11">
      <c r="B159" s="390"/>
      <c r="C159" s="390"/>
      <c r="D159" s="390"/>
      <c r="E159" s="394">
        <v>33664</v>
      </c>
      <c r="F159" s="395">
        <v>7.97</v>
      </c>
      <c r="G159" s="390">
        <f t="shared" si="4"/>
        <v>1992</v>
      </c>
      <c r="H159" s="390"/>
      <c r="I159" s="390"/>
      <c r="J159" s="390"/>
      <c r="K159" s="390"/>
    </row>
    <row r="160" spans="2:11">
      <c r="B160" s="390"/>
      <c r="C160" s="390"/>
      <c r="D160" s="390"/>
      <c r="E160" s="394">
        <v>33695</v>
      </c>
      <c r="F160" s="395">
        <v>7.96</v>
      </c>
      <c r="G160" s="390">
        <f t="shared" si="4"/>
        <v>1992</v>
      </c>
      <c r="H160" s="390"/>
      <c r="I160" s="390"/>
      <c r="J160" s="390"/>
      <c r="K160" s="390"/>
    </row>
    <row r="161" spans="2:11">
      <c r="B161" s="390"/>
      <c r="C161" s="390"/>
      <c r="D161" s="390"/>
      <c r="E161" s="394">
        <v>33725</v>
      </c>
      <c r="F161" s="395">
        <v>7.89</v>
      </c>
      <c r="G161" s="390">
        <f t="shared" si="4"/>
        <v>1992</v>
      </c>
      <c r="H161" s="390"/>
      <c r="I161" s="390"/>
      <c r="J161" s="390"/>
      <c r="K161" s="390"/>
    </row>
    <row r="162" spans="2:11">
      <c r="B162" s="390"/>
      <c r="C162" s="390"/>
      <c r="D162" s="390"/>
      <c r="E162" s="394">
        <v>33756</v>
      </c>
      <c r="F162" s="395">
        <v>7.84</v>
      </c>
      <c r="G162" s="390">
        <f t="shared" si="4"/>
        <v>1992</v>
      </c>
      <c r="H162" s="390"/>
      <c r="I162" s="390"/>
      <c r="J162" s="390"/>
      <c r="K162" s="390"/>
    </row>
    <row r="163" spans="2:11">
      <c r="B163" s="390"/>
      <c r="C163" s="390"/>
      <c r="D163" s="390"/>
      <c r="E163" s="394">
        <v>33786</v>
      </c>
      <c r="F163" s="395">
        <v>7.6</v>
      </c>
      <c r="G163" s="390">
        <f t="shared" si="4"/>
        <v>1992</v>
      </c>
      <c r="H163" s="390"/>
      <c r="I163" s="390"/>
      <c r="J163" s="390"/>
      <c r="K163" s="390"/>
    </row>
    <row r="164" spans="2:11">
      <c r="B164" s="390"/>
      <c r="C164" s="390"/>
      <c r="D164" s="390"/>
      <c r="E164" s="394">
        <v>33817</v>
      </c>
      <c r="F164" s="395">
        <v>7.39</v>
      </c>
      <c r="G164" s="390">
        <f t="shared" si="4"/>
        <v>1992</v>
      </c>
      <c r="H164" s="390"/>
      <c r="I164" s="390"/>
      <c r="J164" s="390"/>
      <c r="K164" s="390"/>
    </row>
    <row r="165" spans="2:11">
      <c r="B165" s="390"/>
      <c r="C165" s="390"/>
      <c r="D165" s="390"/>
      <c r="E165" s="394">
        <v>33848</v>
      </c>
      <c r="F165" s="395">
        <v>7.34</v>
      </c>
      <c r="G165" s="390">
        <f t="shared" si="4"/>
        <v>1992</v>
      </c>
      <c r="H165" s="390"/>
      <c r="I165" s="390"/>
      <c r="J165" s="390"/>
      <c r="K165" s="390"/>
    </row>
    <row r="166" spans="2:11">
      <c r="B166" s="390"/>
      <c r="C166" s="390"/>
      <c r="D166" s="390"/>
      <c r="E166" s="394">
        <v>33878</v>
      </c>
      <c r="F166" s="395">
        <v>7.53</v>
      </c>
      <c r="G166" s="390">
        <f t="shared" si="4"/>
        <v>1992</v>
      </c>
      <c r="H166" s="390"/>
      <c r="I166" s="390"/>
      <c r="J166" s="390"/>
      <c r="K166" s="390"/>
    </row>
    <row r="167" spans="2:11">
      <c r="B167" s="390"/>
      <c r="C167" s="390"/>
      <c r="D167" s="390"/>
      <c r="E167" s="394">
        <v>33909</v>
      </c>
      <c r="F167" s="395">
        <v>7.61</v>
      </c>
      <c r="G167" s="390">
        <f t="shared" si="4"/>
        <v>1992</v>
      </c>
      <c r="H167" s="390"/>
      <c r="I167" s="390"/>
      <c r="J167" s="390"/>
      <c r="K167" s="390"/>
    </row>
    <row r="168" spans="2:11">
      <c r="B168" s="390"/>
      <c r="C168" s="390"/>
      <c r="D168" s="390"/>
      <c r="E168" s="394">
        <v>33939</v>
      </c>
      <c r="F168" s="395">
        <v>7.44</v>
      </c>
      <c r="G168" s="390">
        <f t="shared" si="4"/>
        <v>1992</v>
      </c>
      <c r="H168" s="390"/>
      <c r="I168" s="390"/>
      <c r="J168" s="390"/>
      <c r="K168" s="390"/>
    </row>
    <row r="169" spans="2:11">
      <c r="B169" s="390"/>
      <c r="C169" s="390"/>
      <c r="D169" s="390"/>
      <c r="E169" s="394">
        <v>33970</v>
      </c>
      <c r="F169" s="395">
        <v>7.34</v>
      </c>
      <c r="G169" s="390">
        <f t="shared" si="4"/>
        <v>1993</v>
      </c>
      <c r="H169" s="390"/>
      <c r="I169" s="390"/>
      <c r="J169" s="390"/>
      <c r="K169" s="390"/>
    </row>
    <row r="170" spans="2:11">
      <c r="B170" s="390"/>
      <c r="C170" s="390"/>
      <c r="D170" s="390"/>
      <c r="E170" s="394">
        <v>34001</v>
      </c>
      <c r="F170" s="395">
        <v>7.09</v>
      </c>
      <c r="G170" s="390">
        <f t="shared" si="4"/>
        <v>1993</v>
      </c>
      <c r="H170" s="390"/>
      <c r="I170" s="390"/>
      <c r="J170" s="390"/>
      <c r="K170" s="390"/>
    </row>
    <row r="171" spans="2:11">
      <c r="B171" s="390"/>
      <c r="C171" s="390"/>
      <c r="D171" s="390"/>
      <c r="E171" s="394">
        <v>34029</v>
      </c>
      <c r="F171" s="395">
        <v>6.82</v>
      </c>
      <c r="G171" s="390">
        <f t="shared" si="4"/>
        <v>1993</v>
      </c>
      <c r="H171" s="390"/>
      <c r="I171" s="390"/>
      <c r="J171" s="390"/>
      <c r="K171" s="390"/>
    </row>
    <row r="172" spans="2:11">
      <c r="B172" s="390"/>
      <c r="C172" s="390"/>
      <c r="D172" s="390"/>
      <c r="E172" s="394">
        <v>34060</v>
      </c>
      <c r="F172" s="395">
        <v>6.85</v>
      </c>
      <c r="G172" s="390">
        <f t="shared" si="4"/>
        <v>1993</v>
      </c>
      <c r="H172" s="390"/>
      <c r="I172" s="390"/>
      <c r="J172" s="390"/>
      <c r="K172" s="390"/>
    </row>
    <row r="173" spans="2:11">
      <c r="B173" s="390"/>
      <c r="C173" s="390"/>
      <c r="D173" s="390"/>
      <c r="E173" s="394">
        <v>34090</v>
      </c>
      <c r="F173" s="395">
        <v>6.92</v>
      </c>
      <c r="G173" s="390">
        <f t="shared" si="4"/>
        <v>1993</v>
      </c>
      <c r="H173" s="390"/>
      <c r="I173" s="390"/>
      <c r="J173" s="390"/>
      <c r="K173" s="390"/>
    </row>
    <row r="174" spans="2:11">
      <c r="B174" s="390"/>
      <c r="C174" s="390"/>
      <c r="D174" s="390"/>
      <c r="E174" s="394">
        <v>34121</v>
      </c>
      <c r="F174" s="395">
        <v>6.81</v>
      </c>
      <c r="G174" s="390">
        <f t="shared" si="4"/>
        <v>1993</v>
      </c>
      <c r="H174" s="390"/>
      <c r="I174" s="390"/>
      <c r="J174" s="390"/>
      <c r="K174" s="390"/>
    </row>
    <row r="175" spans="2:11">
      <c r="B175" s="390"/>
      <c r="C175" s="390"/>
      <c r="D175" s="390"/>
      <c r="E175" s="394">
        <v>34151</v>
      </c>
      <c r="F175" s="395">
        <v>6.63</v>
      </c>
      <c r="G175" s="390">
        <f t="shared" si="4"/>
        <v>1993</v>
      </c>
      <c r="H175" s="390"/>
      <c r="I175" s="390"/>
      <c r="J175" s="390"/>
      <c r="K175" s="390"/>
    </row>
    <row r="176" spans="2:11">
      <c r="B176" s="390"/>
      <c r="C176" s="390"/>
      <c r="D176" s="390"/>
      <c r="E176" s="394">
        <v>34182</v>
      </c>
      <c r="F176" s="395">
        <v>6.32</v>
      </c>
      <c r="G176" s="390">
        <f t="shared" si="4"/>
        <v>1993</v>
      </c>
      <c r="H176" s="390"/>
      <c r="I176" s="390"/>
      <c r="J176" s="390"/>
      <c r="K176" s="390"/>
    </row>
    <row r="177" spans="2:11">
      <c r="B177" s="390"/>
      <c r="C177" s="390"/>
      <c r="D177" s="390"/>
      <c r="E177" s="394">
        <v>34213</v>
      </c>
      <c r="F177" s="395">
        <v>6</v>
      </c>
      <c r="G177" s="390">
        <f t="shared" si="4"/>
        <v>1993</v>
      </c>
      <c r="H177" s="390"/>
      <c r="I177" s="390"/>
      <c r="J177" s="390"/>
      <c r="K177" s="390"/>
    </row>
    <row r="178" spans="2:11">
      <c r="B178" s="390"/>
      <c r="C178" s="390"/>
      <c r="D178" s="390"/>
      <c r="E178" s="394">
        <v>34243</v>
      </c>
      <c r="F178" s="395">
        <v>5.94</v>
      </c>
      <c r="G178" s="390">
        <f t="shared" si="4"/>
        <v>1993</v>
      </c>
      <c r="H178" s="390"/>
      <c r="I178" s="390"/>
      <c r="J178" s="390"/>
      <c r="K178" s="390"/>
    </row>
    <row r="179" spans="2:11">
      <c r="B179" s="390"/>
      <c r="C179" s="390"/>
      <c r="D179" s="390"/>
      <c r="E179" s="394">
        <v>34274</v>
      </c>
      <c r="F179" s="395">
        <v>6.21</v>
      </c>
      <c r="G179" s="390">
        <f t="shared" si="4"/>
        <v>1993</v>
      </c>
      <c r="H179" s="390"/>
      <c r="I179" s="390"/>
      <c r="J179" s="390"/>
      <c r="K179" s="390"/>
    </row>
    <row r="180" spans="2:11">
      <c r="B180" s="390"/>
      <c r="C180" s="390"/>
      <c r="D180" s="390"/>
      <c r="E180" s="394">
        <v>34304</v>
      </c>
      <c r="F180" s="395">
        <v>6.25</v>
      </c>
      <c r="G180" s="390">
        <f t="shared" si="4"/>
        <v>1993</v>
      </c>
      <c r="H180" s="390"/>
      <c r="I180" s="390"/>
      <c r="J180" s="390"/>
      <c r="K180" s="390"/>
    </row>
    <row r="181" spans="2:11">
      <c r="B181" s="390"/>
      <c r="C181" s="390"/>
      <c r="D181" s="390"/>
      <c r="E181" s="394">
        <v>34335</v>
      </c>
      <c r="F181" s="395">
        <v>6.29</v>
      </c>
      <c r="G181" s="390">
        <f t="shared" si="4"/>
        <v>1994</v>
      </c>
      <c r="H181" s="390"/>
      <c r="I181" s="390"/>
      <c r="J181" s="390"/>
      <c r="K181" s="390"/>
    </row>
    <row r="182" spans="2:11">
      <c r="B182" s="390"/>
      <c r="C182" s="390"/>
      <c r="D182" s="390"/>
      <c r="E182" s="394">
        <v>34366</v>
      </c>
      <c r="F182" s="395">
        <v>6.49</v>
      </c>
      <c r="G182" s="390">
        <f t="shared" si="4"/>
        <v>1994</v>
      </c>
      <c r="H182" s="390"/>
      <c r="I182" s="390"/>
      <c r="J182" s="390"/>
      <c r="K182" s="390"/>
    </row>
    <row r="183" spans="2:11">
      <c r="B183" s="390"/>
      <c r="C183" s="390"/>
      <c r="D183" s="390"/>
      <c r="E183" s="394">
        <v>34394</v>
      </c>
      <c r="F183" s="395">
        <v>6.91</v>
      </c>
      <c r="G183" s="390">
        <f t="shared" si="4"/>
        <v>1994</v>
      </c>
      <c r="H183" s="390"/>
      <c r="I183" s="390"/>
      <c r="J183" s="390"/>
      <c r="K183" s="390"/>
    </row>
    <row r="184" spans="2:11">
      <c r="B184" s="390"/>
      <c r="C184" s="390"/>
      <c r="D184" s="390"/>
      <c r="E184" s="394">
        <v>34425</v>
      </c>
      <c r="F184" s="395">
        <v>7.27</v>
      </c>
      <c r="G184" s="390">
        <f t="shared" si="4"/>
        <v>1994</v>
      </c>
      <c r="H184" s="390"/>
      <c r="I184" s="390"/>
      <c r="J184" s="390"/>
      <c r="K184" s="390"/>
    </row>
    <row r="185" spans="2:11">
      <c r="B185" s="390"/>
      <c r="C185" s="390"/>
      <c r="D185" s="390"/>
      <c r="E185" s="394">
        <v>34455</v>
      </c>
      <c r="F185" s="395">
        <v>7.41</v>
      </c>
      <c r="G185" s="390">
        <f t="shared" si="4"/>
        <v>1994</v>
      </c>
      <c r="H185" s="390"/>
      <c r="I185" s="390"/>
      <c r="J185" s="390"/>
      <c r="K185" s="390"/>
    </row>
    <row r="186" spans="2:11">
      <c r="B186" s="390"/>
      <c r="C186" s="390"/>
      <c r="D186" s="390"/>
      <c r="E186" s="394">
        <v>34486</v>
      </c>
      <c r="F186" s="395">
        <v>7.4</v>
      </c>
      <c r="G186" s="390">
        <f t="shared" si="4"/>
        <v>1994</v>
      </c>
      <c r="H186" s="390"/>
      <c r="I186" s="390"/>
      <c r="J186" s="390"/>
      <c r="K186" s="390"/>
    </row>
    <row r="187" spans="2:11">
      <c r="B187" s="390"/>
      <c r="C187" s="390"/>
      <c r="D187" s="390"/>
      <c r="E187" s="394">
        <v>34516</v>
      </c>
      <c r="F187" s="395">
        <v>7.58</v>
      </c>
      <c r="G187" s="390">
        <f t="shared" si="4"/>
        <v>1994</v>
      </c>
      <c r="H187" s="390"/>
      <c r="I187" s="390"/>
      <c r="J187" s="390"/>
      <c r="K187" s="390"/>
    </row>
    <row r="188" spans="2:11">
      <c r="B188" s="390"/>
      <c r="C188" s="390"/>
      <c r="D188" s="390"/>
      <c r="E188" s="394">
        <v>34547</v>
      </c>
      <c r="F188" s="395">
        <v>7.49</v>
      </c>
      <c r="G188" s="390">
        <f t="shared" si="4"/>
        <v>1994</v>
      </c>
      <c r="H188" s="390"/>
      <c r="I188" s="390"/>
      <c r="J188" s="390"/>
      <c r="K188" s="390"/>
    </row>
    <row r="189" spans="2:11">
      <c r="B189" s="390"/>
      <c r="C189" s="390"/>
      <c r="D189" s="390"/>
      <c r="E189" s="394">
        <v>34578</v>
      </c>
      <c r="F189" s="395">
        <v>7.71</v>
      </c>
      <c r="G189" s="390">
        <f t="shared" si="4"/>
        <v>1994</v>
      </c>
      <c r="H189" s="390"/>
      <c r="I189" s="390"/>
      <c r="J189" s="390"/>
      <c r="K189" s="390"/>
    </row>
    <row r="190" spans="2:11">
      <c r="B190" s="390"/>
      <c r="C190" s="390"/>
      <c r="D190" s="390"/>
      <c r="E190" s="394">
        <v>34608</v>
      </c>
      <c r="F190" s="395">
        <v>7.94</v>
      </c>
      <c r="G190" s="390">
        <f t="shared" si="4"/>
        <v>1994</v>
      </c>
      <c r="H190" s="390"/>
      <c r="I190" s="390"/>
      <c r="J190" s="390"/>
      <c r="K190" s="390"/>
    </row>
    <row r="191" spans="2:11">
      <c r="B191" s="390"/>
      <c r="C191" s="390"/>
      <c r="D191" s="390"/>
      <c r="E191" s="394">
        <v>34639</v>
      </c>
      <c r="F191" s="395">
        <v>8.08</v>
      </c>
      <c r="G191" s="390">
        <f t="shared" si="4"/>
        <v>1994</v>
      </c>
      <c r="H191" s="390"/>
      <c r="I191" s="390"/>
      <c r="J191" s="390"/>
      <c r="K191" s="390"/>
    </row>
    <row r="192" spans="2:11">
      <c r="B192" s="390"/>
      <c r="C192" s="390"/>
      <c r="D192" s="390"/>
      <c r="E192" s="394">
        <v>34669</v>
      </c>
      <c r="F192" s="395">
        <v>7.87</v>
      </c>
      <c r="G192" s="390">
        <f t="shared" si="4"/>
        <v>1994</v>
      </c>
      <c r="H192" s="390"/>
      <c r="I192" s="390"/>
      <c r="J192" s="390"/>
      <c r="K192" s="390"/>
    </row>
    <row r="193" spans="2:11">
      <c r="B193" s="390"/>
      <c r="C193" s="390"/>
      <c r="D193" s="390"/>
      <c r="E193" s="394">
        <v>34700</v>
      </c>
      <c r="F193" s="395">
        <v>7.85</v>
      </c>
      <c r="G193" s="390">
        <f t="shared" si="4"/>
        <v>1995</v>
      </c>
      <c r="H193" s="390"/>
      <c r="I193" s="390"/>
      <c r="J193" s="390"/>
      <c r="K193" s="390"/>
    </row>
    <row r="194" spans="2:11">
      <c r="B194" s="390"/>
      <c r="C194" s="390"/>
      <c r="D194" s="390"/>
      <c r="E194" s="394">
        <v>34731</v>
      </c>
      <c r="F194" s="395">
        <v>7.61</v>
      </c>
      <c r="G194" s="390">
        <f t="shared" si="4"/>
        <v>1995</v>
      </c>
      <c r="H194" s="390"/>
      <c r="I194" s="390"/>
      <c r="J194" s="390"/>
      <c r="K194" s="390"/>
    </row>
    <row r="195" spans="2:11">
      <c r="B195" s="390"/>
      <c r="C195" s="390"/>
      <c r="D195" s="390"/>
      <c r="E195" s="394">
        <v>34759</v>
      </c>
      <c r="F195" s="395">
        <v>7.45</v>
      </c>
      <c r="G195" s="390">
        <f t="shared" si="4"/>
        <v>1995</v>
      </c>
      <c r="H195" s="390"/>
      <c r="I195" s="390"/>
      <c r="J195" s="390"/>
      <c r="K195" s="390"/>
    </row>
    <row r="196" spans="2:11">
      <c r="B196" s="390"/>
      <c r="C196" s="390"/>
      <c r="D196" s="390"/>
      <c r="E196" s="394">
        <v>34790</v>
      </c>
      <c r="F196" s="395">
        <v>7.36</v>
      </c>
      <c r="G196" s="390">
        <f t="shared" si="4"/>
        <v>1995</v>
      </c>
      <c r="H196" s="390"/>
      <c r="I196" s="390"/>
      <c r="J196" s="390"/>
      <c r="K196" s="390"/>
    </row>
    <row r="197" spans="2:11">
      <c r="B197" s="390"/>
      <c r="C197" s="390"/>
      <c r="D197" s="390"/>
      <c r="E197" s="394">
        <v>34820</v>
      </c>
      <c r="F197" s="395">
        <v>6.95</v>
      </c>
      <c r="G197" s="390">
        <f t="shared" si="4"/>
        <v>1995</v>
      </c>
      <c r="H197" s="390"/>
      <c r="I197" s="390"/>
      <c r="J197" s="390"/>
      <c r="K197" s="390"/>
    </row>
    <row r="198" spans="2:11">
      <c r="B198" s="390"/>
      <c r="C198" s="390"/>
      <c r="D198" s="390"/>
      <c r="E198" s="394">
        <v>34851</v>
      </c>
      <c r="F198" s="395">
        <v>6.57</v>
      </c>
      <c r="G198" s="390">
        <f t="shared" si="4"/>
        <v>1995</v>
      </c>
      <c r="H198" s="390"/>
      <c r="I198" s="390"/>
      <c r="J198" s="390"/>
      <c r="K198" s="390"/>
    </row>
    <row r="199" spans="2:11">
      <c r="B199" s="390"/>
      <c r="C199" s="390"/>
      <c r="D199" s="390"/>
      <c r="E199" s="394">
        <v>34881</v>
      </c>
      <c r="F199" s="395">
        <v>6.72</v>
      </c>
      <c r="G199" s="390">
        <f t="shared" si="4"/>
        <v>1995</v>
      </c>
      <c r="H199" s="390"/>
      <c r="I199" s="390"/>
      <c r="J199" s="390"/>
      <c r="K199" s="390"/>
    </row>
    <row r="200" spans="2:11">
      <c r="B200" s="390"/>
      <c r="C200" s="390"/>
      <c r="D200" s="390"/>
      <c r="E200" s="394">
        <v>34912</v>
      </c>
      <c r="F200" s="395">
        <v>6.86</v>
      </c>
      <c r="G200" s="390">
        <f t="shared" si="4"/>
        <v>1995</v>
      </c>
      <c r="H200" s="390"/>
      <c r="I200" s="390"/>
      <c r="J200" s="390"/>
      <c r="K200" s="390"/>
    </row>
    <row r="201" spans="2:11">
      <c r="B201" s="390"/>
      <c r="C201" s="390"/>
      <c r="D201" s="390"/>
      <c r="E201" s="394">
        <v>34943</v>
      </c>
      <c r="F201" s="395">
        <v>6.55</v>
      </c>
      <c r="G201" s="390">
        <f t="shared" si="4"/>
        <v>1995</v>
      </c>
      <c r="H201" s="390"/>
      <c r="I201" s="390"/>
      <c r="J201" s="390"/>
      <c r="K201" s="390"/>
    </row>
    <row r="202" spans="2:11">
      <c r="B202" s="390"/>
      <c r="C202" s="390"/>
      <c r="D202" s="390"/>
      <c r="E202" s="394">
        <v>34973</v>
      </c>
      <c r="F202" s="395">
        <v>6.37</v>
      </c>
      <c r="G202" s="390">
        <f t="shared" si="4"/>
        <v>1995</v>
      </c>
      <c r="H202" s="390"/>
      <c r="I202" s="390"/>
      <c r="J202" s="390"/>
      <c r="K202" s="390"/>
    </row>
    <row r="203" spans="2:11">
      <c r="B203" s="390"/>
      <c r="C203" s="390"/>
      <c r="D203" s="390"/>
      <c r="E203" s="394">
        <v>35004</v>
      </c>
      <c r="F203" s="395">
        <v>6.26</v>
      </c>
      <c r="G203" s="390">
        <f t="shared" si="4"/>
        <v>1995</v>
      </c>
      <c r="H203" s="390"/>
      <c r="I203" s="390"/>
      <c r="J203" s="390"/>
      <c r="K203" s="390"/>
    </row>
    <row r="204" spans="2:11">
      <c r="B204" s="390"/>
      <c r="C204" s="390"/>
      <c r="D204" s="390"/>
      <c r="E204" s="394">
        <v>35034</v>
      </c>
      <c r="F204" s="395">
        <v>6.06</v>
      </c>
      <c r="G204" s="390">
        <f t="shared" si="4"/>
        <v>1995</v>
      </c>
      <c r="H204" s="390"/>
      <c r="I204" s="390"/>
      <c r="J204" s="390"/>
      <c r="K204" s="390"/>
    </row>
    <row r="205" spans="2:11">
      <c r="B205" s="390"/>
      <c r="C205" s="390"/>
      <c r="D205" s="390"/>
      <c r="E205" s="394">
        <v>35065</v>
      </c>
      <c r="F205" s="395">
        <v>6.05</v>
      </c>
      <c r="G205" s="390">
        <f t="shared" ref="G205:G268" si="5">YEAR(E205)</f>
        <v>1996</v>
      </c>
      <c r="H205" s="390"/>
      <c r="I205" s="390"/>
      <c r="J205" s="390"/>
      <c r="K205" s="390"/>
    </row>
    <row r="206" spans="2:11">
      <c r="B206" s="390"/>
      <c r="C206" s="390"/>
      <c r="D206" s="390"/>
      <c r="E206" s="394">
        <v>35096</v>
      </c>
      <c r="F206" s="395">
        <v>6.24</v>
      </c>
      <c r="G206" s="390">
        <f t="shared" si="5"/>
        <v>1996</v>
      </c>
      <c r="H206" s="390"/>
      <c r="I206" s="390"/>
      <c r="J206" s="390"/>
      <c r="K206" s="390"/>
    </row>
    <row r="207" spans="2:11">
      <c r="B207" s="390"/>
      <c r="C207" s="390"/>
      <c r="D207" s="390"/>
      <c r="E207" s="394">
        <v>35125</v>
      </c>
      <c r="F207" s="395">
        <v>6.6</v>
      </c>
      <c r="G207" s="390">
        <f t="shared" si="5"/>
        <v>1996</v>
      </c>
      <c r="H207" s="390"/>
      <c r="I207" s="390"/>
      <c r="J207" s="390"/>
      <c r="K207" s="390"/>
    </row>
    <row r="208" spans="2:11">
      <c r="B208" s="390"/>
      <c r="C208" s="390"/>
      <c r="D208" s="390"/>
      <c r="E208" s="394">
        <v>35156</v>
      </c>
      <c r="F208" s="395">
        <v>6.79</v>
      </c>
      <c r="G208" s="390">
        <f t="shared" si="5"/>
        <v>1996</v>
      </c>
      <c r="H208" s="390"/>
      <c r="I208" s="390"/>
      <c r="J208" s="390"/>
      <c r="K208" s="390"/>
    </row>
    <row r="209" spans="2:11">
      <c r="B209" s="390"/>
      <c r="C209" s="390"/>
      <c r="D209" s="390"/>
      <c r="E209" s="394">
        <v>35186</v>
      </c>
      <c r="F209" s="395">
        <v>6.93</v>
      </c>
      <c r="G209" s="390">
        <f t="shared" si="5"/>
        <v>1996</v>
      </c>
      <c r="H209" s="390"/>
      <c r="I209" s="390"/>
      <c r="J209" s="390"/>
      <c r="K209" s="390"/>
    </row>
    <row r="210" spans="2:11">
      <c r="B210" s="390"/>
      <c r="C210" s="390"/>
      <c r="D210" s="390"/>
      <c r="E210" s="394">
        <v>35217</v>
      </c>
      <c r="F210" s="395">
        <v>7.06</v>
      </c>
      <c r="G210" s="390">
        <f t="shared" si="5"/>
        <v>1996</v>
      </c>
      <c r="H210" s="390"/>
      <c r="I210" s="390"/>
      <c r="J210" s="390"/>
      <c r="K210" s="390"/>
    </row>
    <row r="211" spans="2:11">
      <c r="B211" s="390"/>
      <c r="C211" s="390"/>
      <c r="D211" s="390"/>
      <c r="E211" s="394">
        <v>35247</v>
      </c>
      <c r="F211" s="395">
        <v>7.03</v>
      </c>
      <c r="G211" s="390">
        <f t="shared" si="5"/>
        <v>1996</v>
      </c>
      <c r="H211" s="390"/>
      <c r="I211" s="390"/>
      <c r="J211" s="390"/>
      <c r="K211" s="390"/>
    </row>
    <row r="212" spans="2:11">
      <c r="B212" s="390"/>
      <c r="C212" s="390"/>
      <c r="D212" s="390"/>
      <c r="E212" s="394">
        <v>35278</v>
      </c>
      <c r="F212" s="395">
        <v>6.84</v>
      </c>
      <c r="G212" s="390">
        <f t="shared" si="5"/>
        <v>1996</v>
      </c>
      <c r="H212" s="390"/>
      <c r="I212" s="390"/>
      <c r="J212" s="390"/>
      <c r="K212" s="390"/>
    </row>
    <row r="213" spans="2:11">
      <c r="B213" s="390"/>
      <c r="C213" s="390"/>
      <c r="D213" s="390"/>
      <c r="E213" s="394">
        <v>35309</v>
      </c>
      <c r="F213" s="395">
        <v>7.03</v>
      </c>
      <c r="G213" s="390">
        <f t="shared" si="5"/>
        <v>1996</v>
      </c>
      <c r="H213" s="390"/>
      <c r="I213" s="390"/>
      <c r="J213" s="390"/>
      <c r="K213" s="390"/>
    </row>
    <row r="214" spans="2:11">
      <c r="B214" s="390"/>
      <c r="C214" s="390"/>
      <c r="D214" s="390"/>
      <c r="E214" s="394">
        <v>35339</v>
      </c>
      <c r="F214" s="395">
        <v>6.81</v>
      </c>
      <c r="G214" s="390">
        <f t="shared" si="5"/>
        <v>1996</v>
      </c>
      <c r="H214" s="390"/>
      <c r="I214" s="390"/>
      <c r="J214" s="390"/>
      <c r="K214" s="390"/>
    </row>
    <row r="215" spans="2:11">
      <c r="B215" s="390"/>
      <c r="C215" s="390"/>
      <c r="D215" s="390"/>
      <c r="E215" s="394">
        <v>35370</v>
      </c>
      <c r="F215" s="395">
        <v>6.48</v>
      </c>
      <c r="G215" s="390">
        <f t="shared" si="5"/>
        <v>1996</v>
      </c>
      <c r="H215" s="390"/>
      <c r="I215" s="390"/>
      <c r="J215" s="390"/>
      <c r="K215" s="390"/>
    </row>
    <row r="216" spans="2:11">
      <c r="B216" s="390"/>
      <c r="C216" s="390"/>
      <c r="D216" s="390"/>
      <c r="E216" s="394">
        <v>35400</v>
      </c>
      <c r="F216" s="395">
        <v>6.55</v>
      </c>
      <c r="G216" s="390">
        <f t="shared" si="5"/>
        <v>1996</v>
      </c>
      <c r="H216" s="390"/>
      <c r="I216" s="390"/>
      <c r="J216" s="390"/>
      <c r="K216" s="390"/>
    </row>
    <row r="217" spans="2:11">
      <c r="B217" s="390"/>
      <c r="C217" s="390"/>
      <c r="D217" s="390"/>
      <c r="E217" s="394">
        <v>35431</v>
      </c>
      <c r="F217" s="395">
        <v>6.83</v>
      </c>
      <c r="G217" s="390">
        <f t="shared" si="5"/>
        <v>1997</v>
      </c>
      <c r="H217" s="390"/>
      <c r="I217" s="390"/>
      <c r="J217" s="390"/>
      <c r="K217" s="390"/>
    </row>
    <row r="218" spans="2:11">
      <c r="B218" s="390"/>
      <c r="C218" s="390"/>
      <c r="D218" s="390"/>
      <c r="E218" s="394">
        <v>35462</v>
      </c>
      <c r="F218" s="395">
        <v>6.69</v>
      </c>
      <c r="G218" s="390">
        <f t="shared" si="5"/>
        <v>1997</v>
      </c>
      <c r="H218" s="390"/>
      <c r="I218" s="390"/>
      <c r="J218" s="390"/>
      <c r="K218" s="390"/>
    </row>
    <row r="219" spans="2:11">
      <c r="B219" s="390"/>
      <c r="C219" s="390"/>
      <c r="D219" s="390"/>
      <c r="E219" s="394">
        <v>35490</v>
      </c>
      <c r="F219" s="395">
        <v>6.93</v>
      </c>
      <c r="G219" s="390">
        <f t="shared" si="5"/>
        <v>1997</v>
      </c>
      <c r="H219" s="390"/>
      <c r="I219" s="390"/>
      <c r="J219" s="390"/>
      <c r="K219" s="390"/>
    </row>
    <row r="220" spans="2:11">
      <c r="B220" s="390"/>
      <c r="C220" s="390"/>
      <c r="D220" s="390"/>
      <c r="E220" s="394">
        <v>35521</v>
      </c>
      <c r="F220" s="395">
        <v>7.09</v>
      </c>
      <c r="G220" s="390">
        <f t="shared" si="5"/>
        <v>1997</v>
      </c>
      <c r="H220" s="390"/>
      <c r="I220" s="390"/>
      <c r="J220" s="390"/>
      <c r="K220" s="390"/>
    </row>
    <row r="221" spans="2:11">
      <c r="B221" s="390"/>
      <c r="C221" s="390"/>
      <c r="D221" s="390"/>
      <c r="E221" s="394">
        <v>35551</v>
      </c>
      <c r="F221" s="395">
        <v>6.94</v>
      </c>
      <c r="G221" s="390">
        <f t="shared" si="5"/>
        <v>1997</v>
      </c>
      <c r="H221" s="390"/>
      <c r="I221" s="390"/>
      <c r="J221" s="390"/>
      <c r="K221" s="390"/>
    </row>
    <row r="222" spans="2:11">
      <c r="B222" s="390"/>
      <c r="C222" s="390"/>
      <c r="D222" s="390"/>
      <c r="E222" s="394">
        <v>35582</v>
      </c>
      <c r="F222" s="395">
        <v>6.77</v>
      </c>
      <c r="G222" s="390">
        <f t="shared" si="5"/>
        <v>1997</v>
      </c>
      <c r="H222" s="390"/>
      <c r="I222" s="390"/>
      <c r="J222" s="390"/>
      <c r="K222" s="390"/>
    </row>
    <row r="223" spans="2:11">
      <c r="B223" s="390"/>
      <c r="C223" s="390"/>
      <c r="D223" s="390"/>
      <c r="E223" s="394">
        <v>35612</v>
      </c>
      <c r="F223" s="395">
        <v>6.51</v>
      </c>
      <c r="G223" s="390">
        <f t="shared" si="5"/>
        <v>1997</v>
      </c>
      <c r="H223" s="390"/>
      <c r="I223" s="390"/>
      <c r="J223" s="390"/>
      <c r="K223" s="390"/>
    </row>
    <row r="224" spans="2:11">
      <c r="B224" s="390"/>
      <c r="C224" s="390"/>
      <c r="D224" s="390"/>
      <c r="E224" s="394">
        <v>35643</v>
      </c>
      <c r="F224" s="395">
        <v>6.58</v>
      </c>
      <c r="G224" s="390">
        <f t="shared" si="5"/>
        <v>1997</v>
      </c>
      <c r="H224" s="390"/>
      <c r="I224" s="390"/>
      <c r="J224" s="390"/>
      <c r="K224" s="390"/>
    </row>
    <row r="225" spans="2:11">
      <c r="B225" s="390"/>
      <c r="C225" s="390"/>
      <c r="D225" s="390"/>
      <c r="E225" s="394">
        <v>35674</v>
      </c>
      <c r="F225" s="395">
        <v>6.5</v>
      </c>
      <c r="G225" s="390">
        <f t="shared" si="5"/>
        <v>1997</v>
      </c>
      <c r="H225" s="390"/>
      <c r="I225" s="390"/>
      <c r="J225" s="390"/>
      <c r="K225" s="390"/>
    </row>
    <row r="226" spans="2:11">
      <c r="B226" s="390"/>
      <c r="C226" s="390"/>
      <c r="D226" s="390"/>
      <c r="E226" s="394">
        <v>35704</v>
      </c>
      <c r="F226" s="395">
        <v>6.33</v>
      </c>
      <c r="G226" s="390">
        <f t="shared" si="5"/>
        <v>1997</v>
      </c>
      <c r="H226" s="390"/>
      <c r="I226" s="390"/>
      <c r="J226" s="390"/>
      <c r="K226" s="390"/>
    </row>
    <row r="227" spans="2:11">
      <c r="B227" s="390"/>
      <c r="C227" s="390"/>
      <c r="D227" s="390"/>
      <c r="E227" s="394">
        <v>35735</v>
      </c>
      <c r="F227" s="395">
        <v>6.11</v>
      </c>
      <c r="G227" s="390">
        <f t="shared" si="5"/>
        <v>1997</v>
      </c>
      <c r="H227" s="390"/>
      <c r="I227" s="390"/>
      <c r="J227" s="390"/>
      <c r="K227" s="390"/>
    </row>
    <row r="228" spans="2:11">
      <c r="B228" s="390"/>
      <c r="C228" s="390"/>
      <c r="D228" s="390"/>
      <c r="E228" s="394">
        <v>35765</v>
      </c>
      <c r="F228" s="395">
        <v>5.99</v>
      </c>
      <c r="G228" s="390">
        <f t="shared" si="5"/>
        <v>1997</v>
      </c>
      <c r="H228" s="390"/>
      <c r="I228" s="390"/>
      <c r="J228" s="390"/>
      <c r="K228" s="390"/>
    </row>
    <row r="229" spans="2:11">
      <c r="B229" s="390"/>
      <c r="C229" s="390"/>
      <c r="D229" s="390"/>
      <c r="E229" s="394">
        <v>35796</v>
      </c>
      <c r="F229" s="395">
        <v>5.81</v>
      </c>
      <c r="G229" s="390">
        <f t="shared" si="5"/>
        <v>1998</v>
      </c>
      <c r="H229" s="390"/>
      <c r="I229" s="390"/>
      <c r="J229" s="390"/>
      <c r="K229" s="390"/>
    </row>
    <row r="230" spans="2:11">
      <c r="B230" s="390"/>
      <c r="C230" s="390"/>
      <c r="D230" s="390"/>
      <c r="E230" s="394">
        <v>35827</v>
      </c>
      <c r="F230" s="395">
        <v>5.89</v>
      </c>
      <c r="G230" s="390">
        <f t="shared" si="5"/>
        <v>1998</v>
      </c>
      <c r="H230" s="390"/>
      <c r="I230" s="390"/>
      <c r="J230" s="390"/>
      <c r="K230" s="390"/>
    </row>
    <row r="231" spans="2:11">
      <c r="B231" s="390"/>
      <c r="C231" s="390"/>
      <c r="D231" s="390"/>
      <c r="E231" s="394">
        <v>35855</v>
      </c>
      <c r="F231" s="395">
        <v>5.95</v>
      </c>
      <c r="G231" s="390">
        <f t="shared" si="5"/>
        <v>1998</v>
      </c>
      <c r="H231" s="390"/>
      <c r="I231" s="390"/>
      <c r="J231" s="390"/>
      <c r="K231" s="390"/>
    </row>
    <row r="232" spans="2:11">
      <c r="B232" s="390"/>
      <c r="C232" s="390"/>
      <c r="D232" s="390"/>
      <c r="E232" s="394">
        <v>35886</v>
      </c>
      <c r="F232" s="395">
        <v>5.92</v>
      </c>
      <c r="G232" s="390">
        <f t="shared" si="5"/>
        <v>1998</v>
      </c>
      <c r="H232" s="390"/>
      <c r="I232" s="390"/>
      <c r="J232" s="390"/>
      <c r="K232" s="390"/>
    </row>
    <row r="233" spans="2:11">
      <c r="B233" s="390"/>
      <c r="C233" s="390"/>
      <c r="D233" s="390"/>
      <c r="E233" s="394">
        <v>35916</v>
      </c>
      <c r="F233" s="395">
        <v>5.93</v>
      </c>
      <c r="G233" s="390">
        <f t="shared" si="5"/>
        <v>1998</v>
      </c>
      <c r="H233" s="390"/>
      <c r="I233" s="390"/>
      <c r="J233" s="390"/>
      <c r="K233" s="390"/>
    </row>
    <row r="234" spans="2:11">
      <c r="B234" s="390"/>
      <c r="C234" s="390"/>
      <c r="D234" s="390"/>
      <c r="E234" s="394">
        <v>35947</v>
      </c>
      <c r="F234" s="395">
        <v>5.7</v>
      </c>
      <c r="G234" s="390">
        <f t="shared" si="5"/>
        <v>1998</v>
      </c>
      <c r="H234" s="390"/>
      <c r="I234" s="390"/>
      <c r="J234" s="390"/>
      <c r="K234" s="390"/>
    </row>
    <row r="235" spans="2:11">
      <c r="B235" s="390"/>
      <c r="C235" s="390"/>
      <c r="D235" s="390"/>
      <c r="E235" s="394">
        <v>35977</v>
      </c>
      <c r="F235" s="395">
        <v>5.68</v>
      </c>
      <c r="G235" s="390">
        <f t="shared" si="5"/>
        <v>1998</v>
      </c>
      <c r="H235" s="390"/>
      <c r="I235" s="390"/>
      <c r="J235" s="390"/>
      <c r="K235" s="390"/>
    </row>
    <row r="236" spans="2:11">
      <c r="B236" s="390"/>
      <c r="C236" s="390"/>
      <c r="D236" s="390"/>
      <c r="E236" s="394">
        <v>36008</v>
      </c>
      <c r="F236" s="395">
        <v>5.54</v>
      </c>
      <c r="G236" s="390">
        <f t="shared" si="5"/>
        <v>1998</v>
      </c>
      <c r="H236" s="390"/>
      <c r="I236" s="390"/>
      <c r="J236" s="390"/>
      <c r="K236" s="390"/>
    </row>
    <row r="237" spans="2:11">
      <c r="B237" s="390"/>
      <c r="C237" s="390"/>
      <c r="D237" s="390"/>
      <c r="E237" s="394">
        <v>36039</v>
      </c>
      <c r="F237" s="395">
        <v>5.2</v>
      </c>
      <c r="G237" s="390">
        <f t="shared" si="5"/>
        <v>1998</v>
      </c>
      <c r="H237" s="390"/>
      <c r="I237" s="390"/>
      <c r="J237" s="390"/>
      <c r="K237" s="390"/>
    </row>
    <row r="238" spans="2:11">
      <c r="B238" s="390"/>
      <c r="C238" s="390"/>
      <c r="D238" s="390"/>
      <c r="E238" s="394">
        <v>36069</v>
      </c>
      <c r="F238" s="395">
        <v>5.01</v>
      </c>
      <c r="G238" s="390">
        <f t="shared" si="5"/>
        <v>1998</v>
      </c>
      <c r="H238" s="390"/>
      <c r="I238" s="390"/>
      <c r="J238" s="390"/>
      <c r="K238" s="390"/>
    </row>
    <row r="239" spans="2:11">
      <c r="B239" s="390"/>
      <c r="C239" s="390"/>
      <c r="D239" s="390"/>
      <c r="E239" s="394">
        <v>36100</v>
      </c>
      <c r="F239" s="395">
        <v>5.25</v>
      </c>
      <c r="G239" s="390">
        <f t="shared" si="5"/>
        <v>1998</v>
      </c>
      <c r="H239" s="390"/>
      <c r="I239" s="390"/>
      <c r="J239" s="390"/>
      <c r="K239" s="390"/>
    </row>
    <row r="240" spans="2:11">
      <c r="B240" s="390"/>
      <c r="C240" s="390"/>
      <c r="D240" s="390"/>
      <c r="E240" s="394">
        <v>36130</v>
      </c>
      <c r="F240" s="395">
        <v>5.0599999999999996</v>
      </c>
      <c r="G240" s="390">
        <f t="shared" si="5"/>
        <v>1998</v>
      </c>
      <c r="H240" s="390"/>
      <c r="I240" s="390"/>
      <c r="J240" s="390"/>
      <c r="K240" s="390"/>
    </row>
    <row r="241" spans="2:11">
      <c r="B241" s="390"/>
      <c r="C241" s="390"/>
      <c r="D241" s="390"/>
      <c r="E241" s="394">
        <v>36161</v>
      </c>
      <c r="F241" s="395">
        <v>5.16</v>
      </c>
      <c r="G241" s="390">
        <f t="shared" si="5"/>
        <v>1999</v>
      </c>
      <c r="H241" s="390"/>
      <c r="I241" s="390"/>
      <c r="J241" s="390"/>
      <c r="K241" s="390"/>
    </row>
    <row r="242" spans="2:11">
      <c r="B242" s="390"/>
      <c r="C242" s="390"/>
      <c r="D242" s="390"/>
      <c r="E242" s="394">
        <v>36192</v>
      </c>
      <c r="F242" s="395">
        <v>5.37</v>
      </c>
      <c r="G242" s="390">
        <f t="shared" si="5"/>
        <v>1999</v>
      </c>
      <c r="H242" s="390"/>
      <c r="I242" s="390"/>
      <c r="J242" s="390"/>
      <c r="K242" s="390"/>
    </row>
    <row r="243" spans="2:11">
      <c r="B243" s="390"/>
      <c r="C243" s="390"/>
      <c r="D243" s="390"/>
      <c r="E243" s="394">
        <v>36220</v>
      </c>
      <c r="F243" s="395">
        <v>5.58</v>
      </c>
      <c r="G243" s="390">
        <f t="shared" si="5"/>
        <v>1999</v>
      </c>
      <c r="H243" s="390"/>
      <c r="I243" s="390"/>
      <c r="J243" s="390"/>
      <c r="K243" s="390"/>
    </row>
    <row r="244" spans="2:11">
      <c r="B244" s="390"/>
      <c r="C244" s="390"/>
      <c r="D244" s="390"/>
      <c r="E244" s="394">
        <v>36251</v>
      </c>
      <c r="F244" s="395">
        <v>5.55</v>
      </c>
      <c r="G244" s="390">
        <f t="shared" si="5"/>
        <v>1999</v>
      </c>
      <c r="H244" s="390"/>
      <c r="I244" s="390"/>
      <c r="J244" s="390"/>
      <c r="K244" s="390"/>
    </row>
    <row r="245" spans="2:11">
      <c r="B245" s="390"/>
      <c r="C245" s="390"/>
      <c r="D245" s="390"/>
      <c r="E245" s="394">
        <v>36281</v>
      </c>
      <c r="F245" s="395">
        <v>5.81</v>
      </c>
      <c r="G245" s="390">
        <f t="shared" si="5"/>
        <v>1999</v>
      </c>
      <c r="H245" s="390"/>
      <c r="I245" s="390"/>
      <c r="J245" s="390"/>
      <c r="K245" s="390"/>
    </row>
    <row r="246" spans="2:11">
      <c r="B246" s="390"/>
      <c r="C246" s="390"/>
      <c r="D246" s="390"/>
      <c r="E246" s="394">
        <v>36312</v>
      </c>
      <c r="F246" s="395">
        <v>6.04</v>
      </c>
      <c r="G246" s="390">
        <f t="shared" si="5"/>
        <v>1999</v>
      </c>
      <c r="H246" s="390"/>
      <c r="I246" s="390"/>
      <c r="J246" s="390"/>
      <c r="K246" s="390"/>
    </row>
    <row r="247" spans="2:11">
      <c r="B247" s="390"/>
      <c r="C247" s="390"/>
      <c r="D247" s="390"/>
      <c r="E247" s="394">
        <v>36342</v>
      </c>
      <c r="F247" s="395">
        <v>5.98</v>
      </c>
      <c r="G247" s="390">
        <f t="shared" si="5"/>
        <v>1999</v>
      </c>
      <c r="H247" s="390"/>
      <c r="I247" s="390"/>
      <c r="J247" s="390"/>
      <c r="K247" s="390"/>
    </row>
    <row r="248" spans="2:11">
      <c r="B248" s="390"/>
      <c r="C248" s="390"/>
      <c r="D248" s="390"/>
      <c r="E248" s="394">
        <v>36373</v>
      </c>
      <c r="F248" s="395">
        <v>6.07</v>
      </c>
      <c r="G248" s="390">
        <f t="shared" si="5"/>
        <v>1999</v>
      </c>
      <c r="H248" s="390"/>
      <c r="I248" s="390"/>
      <c r="J248" s="390"/>
      <c r="K248" s="390"/>
    </row>
    <row r="249" spans="2:11">
      <c r="B249" s="390"/>
      <c r="C249" s="390"/>
      <c r="D249" s="390"/>
      <c r="E249" s="394">
        <v>36404</v>
      </c>
      <c r="F249" s="395">
        <v>6.07</v>
      </c>
      <c r="G249" s="390">
        <f t="shared" si="5"/>
        <v>1999</v>
      </c>
      <c r="H249" s="390"/>
      <c r="I249" s="390"/>
      <c r="J249" s="390"/>
      <c r="K249" s="390"/>
    </row>
    <row r="250" spans="2:11">
      <c r="B250" s="390"/>
      <c r="C250" s="390"/>
      <c r="D250" s="390"/>
      <c r="E250" s="394">
        <v>36434</v>
      </c>
      <c r="F250" s="395">
        <v>6.26</v>
      </c>
      <c r="G250" s="390">
        <f t="shared" si="5"/>
        <v>1999</v>
      </c>
      <c r="H250" s="390"/>
      <c r="I250" s="390"/>
      <c r="J250" s="390"/>
      <c r="K250" s="390"/>
    </row>
    <row r="251" spans="2:11">
      <c r="B251" s="390"/>
      <c r="C251" s="390"/>
      <c r="D251" s="390"/>
      <c r="E251" s="394">
        <v>36465</v>
      </c>
      <c r="F251" s="395">
        <v>6.15</v>
      </c>
      <c r="G251" s="390">
        <f t="shared" si="5"/>
        <v>1999</v>
      </c>
      <c r="H251" s="390"/>
      <c r="I251" s="390"/>
      <c r="J251" s="390"/>
      <c r="K251" s="390"/>
    </row>
    <row r="252" spans="2:11">
      <c r="B252" s="390"/>
      <c r="C252" s="390"/>
      <c r="D252" s="390"/>
      <c r="E252" s="394">
        <v>36495</v>
      </c>
      <c r="F252" s="395">
        <v>6.35</v>
      </c>
      <c r="G252" s="390">
        <f t="shared" si="5"/>
        <v>1999</v>
      </c>
      <c r="H252" s="390"/>
      <c r="I252" s="390"/>
      <c r="J252" s="390"/>
      <c r="K252" s="390"/>
    </row>
    <row r="253" spans="2:11">
      <c r="B253" s="390"/>
      <c r="C253" s="390"/>
      <c r="D253" s="390"/>
      <c r="E253" s="394">
        <v>36526</v>
      </c>
      <c r="F253" s="395">
        <v>6.63</v>
      </c>
      <c r="G253" s="390">
        <f t="shared" si="5"/>
        <v>2000</v>
      </c>
      <c r="H253" s="390"/>
      <c r="I253" s="390"/>
      <c r="J253" s="390"/>
      <c r="K253" s="390"/>
    </row>
    <row r="254" spans="2:11">
      <c r="B254" s="390"/>
      <c r="C254" s="390"/>
      <c r="D254" s="390"/>
      <c r="E254" s="394">
        <v>36557</v>
      </c>
      <c r="F254" s="395">
        <v>6.23</v>
      </c>
      <c r="G254" s="390">
        <f t="shared" si="5"/>
        <v>2000</v>
      </c>
      <c r="H254" s="390"/>
      <c r="I254" s="390"/>
      <c r="J254" s="390"/>
      <c r="K254" s="390"/>
    </row>
    <row r="255" spans="2:11">
      <c r="B255" s="390"/>
      <c r="C255" s="390"/>
      <c r="D255" s="390"/>
      <c r="E255" s="394">
        <v>36586</v>
      </c>
      <c r="F255" s="395">
        <v>6.05</v>
      </c>
      <c r="G255" s="390">
        <f t="shared" si="5"/>
        <v>2000</v>
      </c>
      <c r="H255" s="390"/>
      <c r="I255" s="390"/>
      <c r="J255" s="390"/>
      <c r="K255" s="390"/>
    </row>
    <row r="256" spans="2:11">
      <c r="B256" s="390"/>
      <c r="C256" s="390"/>
      <c r="D256" s="390"/>
      <c r="E256" s="394">
        <v>36617</v>
      </c>
      <c r="F256" s="395">
        <v>5.85</v>
      </c>
      <c r="G256" s="390">
        <f t="shared" si="5"/>
        <v>2000</v>
      </c>
      <c r="H256" s="390"/>
      <c r="I256" s="390"/>
      <c r="J256" s="390"/>
      <c r="K256" s="390"/>
    </row>
    <row r="257" spans="2:11">
      <c r="B257" s="390"/>
      <c r="C257" s="390"/>
      <c r="D257" s="390"/>
      <c r="E257" s="394">
        <v>36647</v>
      </c>
      <c r="F257" s="395">
        <v>6.15</v>
      </c>
      <c r="G257" s="390">
        <f t="shared" si="5"/>
        <v>2000</v>
      </c>
      <c r="H257" s="390"/>
      <c r="I257" s="390"/>
      <c r="J257" s="390"/>
      <c r="K257" s="390"/>
    </row>
    <row r="258" spans="2:11">
      <c r="B258" s="390"/>
      <c r="C258" s="390"/>
      <c r="D258" s="390"/>
      <c r="E258" s="394">
        <v>36678</v>
      </c>
      <c r="F258" s="395">
        <v>5.93</v>
      </c>
      <c r="G258" s="390">
        <f t="shared" si="5"/>
        <v>2000</v>
      </c>
      <c r="H258" s="390"/>
      <c r="I258" s="390"/>
      <c r="J258" s="390"/>
      <c r="K258" s="390"/>
    </row>
    <row r="259" spans="2:11">
      <c r="B259" s="390"/>
      <c r="C259" s="390"/>
      <c r="D259" s="390"/>
      <c r="E259" s="394">
        <v>36708</v>
      </c>
      <c r="F259" s="395">
        <v>5.85</v>
      </c>
      <c r="G259" s="390">
        <f t="shared" si="5"/>
        <v>2000</v>
      </c>
      <c r="H259" s="390"/>
      <c r="I259" s="390"/>
      <c r="J259" s="390"/>
      <c r="K259" s="390"/>
    </row>
    <row r="260" spans="2:11">
      <c r="B260" s="390"/>
      <c r="C260" s="390"/>
      <c r="D260" s="390"/>
      <c r="E260" s="394">
        <v>36739</v>
      </c>
      <c r="F260" s="395">
        <v>5.72</v>
      </c>
      <c r="G260" s="390">
        <f t="shared" si="5"/>
        <v>2000</v>
      </c>
      <c r="H260" s="390"/>
      <c r="I260" s="390"/>
      <c r="J260" s="390"/>
      <c r="K260" s="390"/>
    </row>
    <row r="261" spans="2:11">
      <c r="B261" s="390"/>
      <c r="C261" s="390"/>
      <c r="D261" s="390"/>
      <c r="E261" s="394">
        <v>36770</v>
      </c>
      <c r="F261" s="395">
        <v>5.83</v>
      </c>
      <c r="G261" s="390">
        <f t="shared" si="5"/>
        <v>2000</v>
      </c>
      <c r="H261" s="390"/>
      <c r="I261" s="390"/>
      <c r="J261" s="390"/>
      <c r="K261" s="390"/>
    </row>
    <row r="262" spans="2:11">
      <c r="B262" s="390"/>
      <c r="C262" s="390"/>
      <c r="D262" s="390"/>
      <c r="E262" s="394">
        <v>36800</v>
      </c>
      <c r="F262" s="395">
        <v>5.8</v>
      </c>
      <c r="G262" s="390">
        <f t="shared" si="5"/>
        <v>2000</v>
      </c>
      <c r="H262" s="390"/>
      <c r="I262" s="390"/>
      <c r="J262" s="390"/>
      <c r="K262" s="390"/>
    </row>
    <row r="263" spans="2:11">
      <c r="B263" s="390"/>
      <c r="C263" s="390"/>
      <c r="D263" s="390"/>
      <c r="E263" s="394">
        <v>36831</v>
      </c>
      <c r="F263" s="395">
        <v>5.78</v>
      </c>
      <c r="G263" s="390">
        <f t="shared" si="5"/>
        <v>2000</v>
      </c>
      <c r="H263" s="390"/>
      <c r="I263" s="390"/>
      <c r="J263" s="390"/>
      <c r="K263" s="390"/>
    </row>
    <row r="264" spans="2:11">
      <c r="B264" s="390"/>
      <c r="C264" s="390"/>
      <c r="D264" s="390"/>
      <c r="E264" s="394">
        <v>36861</v>
      </c>
      <c r="F264" s="395">
        <v>5.49</v>
      </c>
      <c r="G264" s="390">
        <f t="shared" si="5"/>
        <v>2000</v>
      </c>
      <c r="H264" s="390"/>
      <c r="I264" s="390"/>
      <c r="J264" s="390"/>
      <c r="K264" s="390"/>
    </row>
    <row r="265" spans="2:11">
      <c r="B265" s="390"/>
      <c r="C265" s="390"/>
      <c r="D265" s="390"/>
      <c r="E265" s="394">
        <v>36892</v>
      </c>
      <c r="F265" s="395">
        <v>5.54</v>
      </c>
      <c r="G265" s="390">
        <f t="shared" si="5"/>
        <v>2001</v>
      </c>
      <c r="H265" s="390"/>
      <c r="I265" s="390"/>
      <c r="J265" s="390"/>
      <c r="K265" s="390"/>
    </row>
    <row r="266" spans="2:11">
      <c r="B266" s="390"/>
      <c r="C266" s="390"/>
      <c r="D266" s="390"/>
      <c r="E266" s="394">
        <v>36923</v>
      </c>
      <c r="F266" s="395">
        <v>5.45</v>
      </c>
      <c r="G266" s="390">
        <f t="shared" si="5"/>
        <v>2001</v>
      </c>
      <c r="H266" s="390"/>
      <c r="I266" s="390"/>
      <c r="J266" s="390"/>
      <c r="K266" s="390"/>
    </row>
    <row r="267" spans="2:11">
      <c r="B267" s="390"/>
      <c r="C267" s="390"/>
      <c r="D267" s="390"/>
      <c r="E267" s="394">
        <v>36951</v>
      </c>
      <c r="F267" s="395">
        <v>5.34</v>
      </c>
      <c r="G267" s="390">
        <f t="shared" si="5"/>
        <v>2001</v>
      </c>
      <c r="H267" s="390"/>
      <c r="I267" s="390"/>
      <c r="J267" s="390"/>
      <c r="K267" s="390"/>
    </row>
    <row r="268" spans="2:11">
      <c r="B268" s="390"/>
      <c r="C268" s="390"/>
      <c r="D268" s="390"/>
      <c r="E268" s="394">
        <v>36982</v>
      </c>
      <c r="F268" s="395">
        <v>5.65</v>
      </c>
      <c r="G268" s="390">
        <f t="shared" si="5"/>
        <v>2001</v>
      </c>
      <c r="H268" s="390"/>
      <c r="I268" s="390"/>
      <c r="J268" s="390"/>
      <c r="K268" s="390"/>
    </row>
    <row r="269" spans="2:11">
      <c r="B269" s="390"/>
      <c r="C269" s="390"/>
      <c r="D269" s="390"/>
      <c r="E269" s="394">
        <v>37012</v>
      </c>
      <c r="F269" s="395">
        <v>5.78</v>
      </c>
      <c r="G269" s="390">
        <f t="shared" ref="G269:G320" si="6">YEAR(E269)</f>
        <v>2001</v>
      </c>
      <c r="H269" s="390"/>
      <c r="I269" s="390"/>
      <c r="J269" s="390"/>
      <c r="K269" s="390"/>
    </row>
    <row r="270" spans="2:11">
      <c r="B270" s="390"/>
      <c r="C270" s="390"/>
      <c r="D270" s="390"/>
      <c r="E270" s="394">
        <v>37043</v>
      </c>
      <c r="F270" s="395">
        <v>5.67</v>
      </c>
      <c r="G270" s="390">
        <f t="shared" si="6"/>
        <v>2001</v>
      </c>
      <c r="H270" s="390"/>
      <c r="I270" s="390"/>
      <c r="J270" s="390"/>
      <c r="K270" s="390"/>
    </row>
    <row r="271" spans="2:11">
      <c r="B271" s="390"/>
      <c r="C271" s="390"/>
      <c r="D271" s="390"/>
      <c r="E271" s="394">
        <v>37073</v>
      </c>
      <c r="F271" s="395">
        <v>5.61</v>
      </c>
      <c r="G271" s="390">
        <f t="shared" si="6"/>
        <v>2001</v>
      </c>
      <c r="H271" s="390"/>
      <c r="I271" s="390"/>
      <c r="J271" s="390"/>
      <c r="K271" s="390"/>
    </row>
    <row r="272" spans="2:11">
      <c r="B272" s="390"/>
      <c r="C272" s="390"/>
      <c r="D272" s="390"/>
      <c r="E272" s="394">
        <v>37104</v>
      </c>
      <c r="F272" s="395">
        <v>5.48</v>
      </c>
      <c r="G272" s="390">
        <f t="shared" si="6"/>
        <v>2001</v>
      </c>
      <c r="H272" s="390"/>
      <c r="I272" s="390"/>
      <c r="J272" s="390"/>
      <c r="K272" s="390"/>
    </row>
    <row r="273" spans="2:11">
      <c r="B273" s="390"/>
      <c r="C273" s="390"/>
      <c r="D273" s="390"/>
      <c r="E273" s="394">
        <v>37135</v>
      </c>
      <c r="F273" s="395">
        <v>5.48</v>
      </c>
      <c r="G273" s="390">
        <f t="shared" si="6"/>
        <v>2001</v>
      </c>
      <c r="H273" s="390"/>
      <c r="I273" s="390"/>
      <c r="J273" s="390"/>
      <c r="K273" s="390"/>
    </row>
    <row r="274" spans="2:11">
      <c r="B274" s="390"/>
      <c r="C274" s="390"/>
      <c r="D274" s="390"/>
      <c r="E274" s="394">
        <v>37165</v>
      </c>
      <c r="F274" s="395">
        <v>5.32</v>
      </c>
      <c r="G274" s="390">
        <f t="shared" si="6"/>
        <v>2001</v>
      </c>
      <c r="H274" s="390"/>
      <c r="I274" s="390"/>
      <c r="J274" s="390"/>
      <c r="K274" s="390"/>
    </row>
    <row r="275" spans="2:11">
      <c r="B275" s="390"/>
      <c r="C275" s="390"/>
      <c r="D275" s="390"/>
      <c r="E275" s="394">
        <v>37196</v>
      </c>
      <c r="F275" s="395">
        <v>5.12</v>
      </c>
      <c r="G275" s="390">
        <f t="shared" si="6"/>
        <v>2001</v>
      </c>
      <c r="H275" s="390"/>
      <c r="I275" s="390"/>
      <c r="J275" s="390"/>
      <c r="K275" s="390"/>
    </row>
    <row r="276" spans="2:11">
      <c r="B276" s="390"/>
      <c r="C276" s="390"/>
      <c r="D276" s="390"/>
      <c r="E276" s="394">
        <v>37226</v>
      </c>
      <c r="F276" s="395">
        <v>5.48</v>
      </c>
      <c r="G276" s="390">
        <f t="shared" si="6"/>
        <v>2001</v>
      </c>
      <c r="H276" s="390"/>
      <c r="I276" s="390"/>
      <c r="J276" s="390"/>
      <c r="K276" s="390"/>
    </row>
    <row r="277" spans="2:11">
      <c r="B277" s="390"/>
      <c r="C277" s="390"/>
      <c r="D277" s="390"/>
      <c r="E277" s="394">
        <v>38749</v>
      </c>
      <c r="F277" s="395">
        <v>4.54</v>
      </c>
      <c r="G277" s="390">
        <f t="shared" si="6"/>
        <v>2006</v>
      </c>
      <c r="H277" s="390"/>
      <c r="I277" s="390"/>
      <c r="J277" s="390"/>
      <c r="K277" s="390"/>
    </row>
    <row r="278" spans="2:11">
      <c r="B278" s="390"/>
      <c r="C278" s="390"/>
      <c r="D278" s="390"/>
      <c r="E278" s="394">
        <v>38777</v>
      </c>
      <c r="F278" s="395">
        <v>4.7300000000000004</v>
      </c>
      <c r="G278" s="390">
        <f t="shared" si="6"/>
        <v>2006</v>
      </c>
      <c r="H278" s="390"/>
      <c r="I278" s="390"/>
      <c r="J278" s="390"/>
      <c r="K278" s="390"/>
    </row>
    <row r="279" spans="2:11">
      <c r="B279" s="390"/>
      <c r="C279" s="390"/>
      <c r="D279" s="390"/>
      <c r="E279" s="394">
        <v>38808</v>
      </c>
      <c r="F279" s="395">
        <v>5.0599999999999996</v>
      </c>
      <c r="G279" s="390">
        <f t="shared" si="6"/>
        <v>2006</v>
      </c>
      <c r="H279" s="390"/>
      <c r="I279" s="390"/>
      <c r="J279" s="390"/>
      <c r="K279" s="390"/>
    </row>
    <row r="280" spans="2:11">
      <c r="B280" s="390"/>
      <c r="C280" s="390"/>
      <c r="D280" s="390"/>
      <c r="E280" s="394">
        <v>38838</v>
      </c>
      <c r="F280" s="395">
        <v>5.2</v>
      </c>
      <c r="G280" s="390">
        <f t="shared" si="6"/>
        <v>2006</v>
      </c>
      <c r="H280" s="390"/>
      <c r="I280" s="390"/>
      <c r="J280" s="390"/>
      <c r="K280" s="390"/>
    </row>
    <row r="281" spans="2:11">
      <c r="B281" s="390"/>
      <c r="C281" s="390"/>
      <c r="D281" s="390"/>
      <c r="E281" s="394">
        <v>38869</v>
      </c>
      <c r="F281" s="395">
        <v>5.15</v>
      </c>
      <c r="G281" s="390">
        <f t="shared" si="6"/>
        <v>2006</v>
      </c>
      <c r="H281" s="390"/>
      <c r="I281" s="390"/>
      <c r="J281" s="390"/>
      <c r="K281" s="390"/>
    </row>
    <row r="282" spans="2:11">
      <c r="B282" s="390"/>
      <c r="C282" s="390"/>
      <c r="D282" s="390"/>
      <c r="E282" s="394">
        <v>38899</v>
      </c>
      <c r="F282" s="395">
        <v>5.13</v>
      </c>
      <c r="G282" s="390">
        <f t="shared" si="6"/>
        <v>2006</v>
      </c>
      <c r="H282" s="390"/>
      <c r="I282" s="390"/>
      <c r="J282" s="390"/>
      <c r="K282" s="390"/>
    </row>
    <row r="283" spans="2:11">
      <c r="B283" s="390"/>
      <c r="C283" s="390"/>
      <c r="D283" s="390"/>
      <c r="E283" s="394">
        <v>38930</v>
      </c>
      <c r="F283" s="395">
        <v>5</v>
      </c>
      <c r="G283" s="390">
        <f t="shared" si="6"/>
        <v>2006</v>
      </c>
      <c r="H283" s="390"/>
      <c r="I283" s="390"/>
      <c r="J283" s="390"/>
      <c r="K283" s="390"/>
    </row>
    <row r="284" spans="2:11">
      <c r="B284" s="390"/>
      <c r="C284" s="390"/>
      <c r="D284" s="390"/>
      <c r="E284" s="394">
        <v>38961</v>
      </c>
      <c r="F284" s="395">
        <v>4.8499999999999996</v>
      </c>
      <c r="G284" s="390">
        <f t="shared" si="6"/>
        <v>2006</v>
      </c>
      <c r="H284" s="390"/>
      <c r="I284" s="390"/>
      <c r="J284" s="390"/>
      <c r="K284" s="390"/>
    </row>
    <row r="285" spans="2:11">
      <c r="B285" s="390"/>
      <c r="C285" s="390"/>
      <c r="D285" s="390"/>
      <c r="E285" s="394">
        <v>38991</v>
      </c>
      <c r="F285" s="395">
        <v>4.8499999999999996</v>
      </c>
      <c r="G285" s="390">
        <f t="shared" si="6"/>
        <v>2006</v>
      </c>
      <c r="H285" s="390"/>
      <c r="I285" s="390"/>
      <c r="J285" s="390"/>
      <c r="K285" s="390"/>
    </row>
    <row r="286" spans="2:11">
      <c r="B286" s="390"/>
      <c r="C286" s="390"/>
      <c r="D286" s="390"/>
      <c r="E286" s="394">
        <v>39022</v>
      </c>
      <c r="F286" s="395">
        <v>4.6900000000000004</v>
      </c>
      <c r="G286" s="390">
        <f t="shared" si="6"/>
        <v>2006</v>
      </c>
      <c r="H286" s="390"/>
      <c r="I286" s="390"/>
      <c r="J286" s="390"/>
      <c r="K286" s="390"/>
    </row>
    <row r="287" spans="2:11">
      <c r="B287" s="390"/>
      <c r="C287" s="390"/>
      <c r="D287" s="390"/>
      <c r="E287" s="394">
        <v>39052</v>
      </c>
      <c r="F287" s="395">
        <v>4.68</v>
      </c>
      <c r="G287" s="390">
        <f t="shared" si="6"/>
        <v>2006</v>
      </c>
      <c r="H287" s="390"/>
      <c r="I287" s="390"/>
      <c r="J287" s="390"/>
      <c r="K287" s="390"/>
    </row>
    <row r="288" spans="2:11">
      <c r="B288" s="390"/>
      <c r="C288" s="390"/>
      <c r="D288" s="390"/>
      <c r="E288" s="394">
        <v>39083</v>
      </c>
      <c r="F288" s="395">
        <v>4.8499999999999996</v>
      </c>
      <c r="G288" s="390">
        <f t="shared" si="6"/>
        <v>2007</v>
      </c>
      <c r="H288" s="390"/>
      <c r="I288" s="390"/>
      <c r="J288" s="390"/>
      <c r="K288" s="390"/>
    </row>
    <row r="289" spans="2:11">
      <c r="B289" s="390"/>
      <c r="C289" s="390"/>
      <c r="D289" s="390"/>
      <c r="E289" s="394">
        <v>39114</v>
      </c>
      <c r="F289" s="395">
        <v>4.82</v>
      </c>
      <c r="G289" s="390">
        <f t="shared" si="6"/>
        <v>2007</v>
      </c>
      <c r="H289" s="390"/>
      <c r="I289" s="390"/>
      <c r="J289" s="390"/>
      <c r="K289" s="390"/>
    </row>
    <row r="290" spans="2:11">
      <c r="B290" s="390"/>
      <c r="C290" s="390"/>
      <c r="D290" s="390"/>
      <c r="E290" s="394">
        <v>39142</v>
      </c>
      <c r="F290" s="395">
        <v>4.72</v>
      </c>
      <c r="G290" s="390">
        <f t="shared" si="6"/>
        <v>2007</v>
      </c>
      <c r="H290" s="390"/>
      <c r="I290" s="390"/>
      <c r="J290" s="390"/>
      <c r="K290" s="390"/>
    </row>
    <row r="291" spans="2:11">
      <c r="B291" s="390"/>
      <c r="C291" s="390"/>
      <c r="D291" s="390"/>
      <c r="E291" s="394">
        <v>39173</v>
      </c>
      <c r="F291" s="395">
        <v>4.87</v>
      </c>
      <c r="G291" s="390">
        <f t="shared" si="6"/>
        <v>2007</v>
      </c>
      <c r="H291" s="390"/>
      <c r="I291" s="390"/>
      <c r="J291" s="390"/>
      <c r="K291" s="390"/>
    </row>
    <row r="292" spans="2:11">
      <c r="B292" s="390"/>
      <c r="C292" s="390"/>
      <c r="D292" s="390"/>
      <c r="E292" s="394">
        <v>39203</v>
      </c>
      <c r="F292" s="395">
        <v>4.9000000000000004</v>
      </c>
      <c r="G292" s="390">
        <f t="shared" si="6"/>
        <v>2007</v>
      </c>
      <c r="H292" s="390"/>
      <c r="I292" s="390"/>
      <c r="J292" s="390"/>
      <c r="K292" s="390"/>
    </row>
    <row r="293" spans="2:11">
      <c r="B293" s="390"/>
      <c r="C293" s="390"/>
      <c r="D293" s="390"/>
      <c r="E293" s="394">
        <v>39234</v>
      </c>
      <c r="F293" s="395">
        <v>5.2</v>
      </c>
      <c r="G293" s="390">
        <f t="shared" si="6"/>
        <v>2007</v>
      </c>
      <c r="H293" s="390"/>
      <c r="I293" s="390"/>
      <c r="J293" s="390"/>
      <c r="K293" s="390"/>
    </row>
    <row r="294" spans="2:11">
      <c r="B294" s="390"/>
      <c r="C294" s="390"/>
      <c r="D294" s="390"/>
      <c r="E294" s="394">
        <v>39264</v>
      </c>
      <c r="F294" s="395">
        <v>5.1100000000000003</v>
      </c>
      <c r="G294" s="390">
        <f t="shared" si="6"/>
        <v>2007</v>
      </c>
      <c r="H294" s="390"/>
      <c r="I294" s="390"/>
      <c r="J294" s="390"/>
      <c r="K294" s="390"/>
    </row>
    <row r="295" spans="2:11">
      <c r="B295" s="390"/>
      <c r="C295" s="390"/>
      <c r="D295" s="390"/>
      <c r="E295" s="394">
        <v>39295</v>
      </c>
      <c r="F295" s="395">
        <v>4.93</v>
      </c>
      <c r="G295" s="390">
        <f t="shared" si="6"/>
        <v>2007</v>
      </c>
      <c r="H295" s="390"/>
      <c r="I295" s="390"/>
      <c r="J295" s="390"/>
      <c r="K295" s="390"/>
    </row>
    <row r="296" spans="2:11">
      <c r="B296" s="390"/>
      <c r="C296" s="390"/>
      <c r="D296" s="390"/>
      <c r="E296" s="394">
        <v>39326</v>
      </c>
      <c r="F296" s="395">
        <v>4.79</v>
      </c>
      <c r="G296" s="390">
        <f t="shared" si="6"/>
        <v>2007</v>
      </c>
      <c r="H296" s="390"/>
      <c r="I296" s="390"/>
      <c r="J296" s="390"/>
      <c r="K296" s="390"/>
    </row>
    <row r="297" spans="2:11">
      <c r="B297" s="390"/>
      <c r="C297" s="390"/>
      <c r="D297" s="390"/>
      <c r="E297" s="394">
        <v>39356</v>
      </c>
      <c r="F297" s="395">
        <v>4.7699999999999996</v>
      </c>
      <c r="G297" s="390">
        <f t="shared" si="6"/>
        <v>2007</v>
      </c>
      <c r="H297" s="390"/>
      <c r="I297" s="390"/>
      <c r="J297" s="390"/>
      <c r="K297" s="390"/>
    </row>
    <row r="298" spans="2:11">
      <c r="B298" s="390"/>
      <c r="C298" s="390"/>
      <c r="D298" s="390"/>
      <c r="E298" s="394">
        <v>39387</v>
      </c>
      <c r="F298" s="395">
        <v>4.5199999999999996</v>
      </c>
      <c r="G298" s="390">
        <f t="shared" si="6"/>
        <v>2007</v>
      </c>
      <c r="H298" s="390"/>
      <c r="I298" s="390"/>
      <c r="J298" s="390"/>
      <c r="K298" s="390"/>
    </row>
    <row r="299" spans="2:11">
      <c r="B299" s="390"/>
      <c r="C299" s="390"/>
      <c r="D299" s="390"/>
      <c r="E299" s="394">
        <v>39417</v>
      </c>
      <c r="F299" s="395">
        <v>4.53</v>
      </c>
      <c r="G299" s="390">
        <f t="shared" si="6"/>
        <v>2007</v>
      </c>
      <c r="H299" s="390"/>
      <c r="I299" s="390"/>
      <c r="J299" s="390"/>
      <c r="K299" s="390"/>
    </row>
    <row r="300" spans="2:11">
      <c r="B300" s="390"/>
      <c r="C300" s="390"/>
      <c r="D300" s="390"/>
      <c r="E300" s="394">
        <v>39448</v>
      </c>
      <c r="F300" s="395">
        <v>4.33</v>
      </c>
      <c r="G300" s="390">
        <f t="shared" si="6"/>
        <v>2008</v>
      </c>
      <c r="H300" s="390"/>
      <c r="I300" s="390"/>
      <c r="J300" s="390"/>
      <c r="K300" s="390"/>
    </row>
    <row r="301" spans="2:11">
      <c r="B301" s="390"/>
      <c r="C301" s="390"/>
      <c r="D301" s="390"/>
      <c r="E301" s="394">
        <v>39479</v>
      </c>
      <c r="F301" s="395">
        <v>4.5199999999999996</v>
      </c>
      <c r="G301" s="390">
        <f t="shared" si="6"/>
        <v>2008</v>
      </c>
      <c r="H301" s="390"/>
      <c r="I301" s="390"/>
      <c r="J301" s="390"/>
      <c r="K301" s="390"/>
    </row>
    <row r="302" spans="2:11">
      <c r="B302" s="390"/>
      <c r="C302" s="390"/>
      <c r="D302" s="390"/>
      <c r="E302" s="394">
        <v>39508</v>
      </c>
      <c r="F302" s="395">
        <v>4.3899999999999997</v>
      </c>
      <c r="G302" s="390">
        <f t="shared" si="6"/>
        <v>2008</v>
      </c>
      <c r="H302" s="390"/>
      <c r="I302" s="390"/>
      <c r="J302" s="390"/>
      <c r="K302" s="390"/>
    </row>
    <row r="303" spans="2:11">
      <c r="B303" s="390"/>
      <c r="C303" s="390"/>
      <c r="D303" s="390"/>
      <c r="E303" s="394">
        <v>39539</v>
      </c>
      <c r="F303" s="395">
        <v>4.4400000000000004</v>
      </c>
      <c r="G303" s="390">
        <f t="shared" si="6"/>
        <v>2008</v>
      </c>
      <c r="H303" s="390"/>
      <c r="I303" s="390"/>
      <c r="J303" s="390"/>
      <c r="K303" s="390"/>
    </row>
    <row r="304" spans="2:11">
      <c r="B304" s="390"/>
      <c r="C304" s="390"/>
      <c r="D304" s="390"/>
      <c r="E304" s="394">
        <v>39569</v>
      </c>
      <c r="F304" s="395">
        <v>4.5999999999999996</v>
      </c>
      <c r="G304" s="390">
        <f t="shared" si="6"/>
        <v>2008</v>
      </c>
      <c r="H304" s="390"/>
      <c r="I304" s="390"/>
      <c r="J304" s="390"/>
      <c r="K304" s="390"/>
    </row>
    <row r="305" spans="2:11">
      <c r="B305" s="390"/>
      <c r="C305" s="390"/>
      <c r="D305" s="390"/>
      <c r="E305" s="394">
        <v>39600</v>
      </c>
      <c r="F305" s="395">
        <v>4.6900000000000004</v>
      </c>
      <c r="G305" s="390">
        <f t="shared" si="6"/>
        <v>2008</v>
      </c>
      <c r="H305" s="390"/>
      <c r="I305" s="390"/>
      <c r="J305" s="390"/>
      <c r="K305" s="390"/>
    </row>
    <row r="306" spans="2:11">
      <c r="B306" s="390"/>
      <c r="C306" s="390"/>
      <c r="D306" s="390"/>
      <c r="E306" s="394">
        <v>39630</v>
      </c>
      <c r="F306" s="395">
        <v>4.57</v>
      </c>
      <c r="G306" s="390">
        <f t="shared" si="6"/>
        <v>2008</v>
      </c>
      <c r="H306" s="390"/>
      <c r="I306" s="390"/>
      <c r="J306" s="390"/>
      <c r="K306" s="390"/>
    </row>
    <row r="307" spans="2:11">
      <c r="B307" s="390"/>
      <c r="C307" s="390"/>
      <c r="D307" s="390"/>
      <c r="E307" s="394">
        <v>39661</v>
      </c>
      <c r="F307" s="395">
        <v>4.5</v>
      </c>
      <c r="G307" s="390">
        <f t="shared" si="6"/>
        <v>2008</v>
      </c>
      <c r="H307" s="390"/>
      <c r="I307" s="390"/>
      <c r="J307" s="390"/>
      <c r="K307" s="390"/>
    </row>
    <row r="308" spans="2:11">
      <c r="B308" s="390"/>
      <c r="C308" s="390"/>
      <c r="D308" s="390"/>
      <c r="E308" s="394">
        <v>39692</v>
      </c>
      <c r="F308" s="395">
        <v>4.2699999999999996</v>
      </c>
      <c r="G308" s="390">
        <f t="shared" si="6"/>
        <v>2008</v>
      </c>
      <c r="H308" s="390"/>
      <c r="I308" s="390"/>
      <c r="J308" s="390"/>
      <c r="K308" s="390"/>
    </row>
    <row r="309" spans="2:11">
      <c r="B309" s="390"/>
      <c r="C309" s="390"/>
      <c r="D309" s="390"/>
      <c r="E309" s="394">
        <v>39722</v>
      </c>
      <c r="F309" s="395">
        <v>4.17</v>
      </c>
      <c r="G309" s="390">
        <f t="shared" si="6"/>
        <v>2008</v>
      </c>
      <c r="H309" s="390"/>
      <c r="I309" s="390"/>
      <c r="J309" s="390"/>
      <c r="K309" s="390"/>
    </row>
    <row r="310" spans="2:11">
      <c r="B310" s="390"/>
      <c r="C310" s="390"/>
      <c r="D310" s="390"/>
      <c r="E310" s="394">
        <v>39753</v>
      </c>
      <c r="F310" s="395">
        <v>4</v>
      </c>
      <c r="G310" s="390">
        <f t="shared" si="6"/>
        <v>2008</v>
      </c>
      <c r="H310" s="390"/>
      <c r="I310" s="390"/>
      <c r="J310" s="390"/>
      <c r="K310" s="390"/>
    </row>
    <row r="311" spans="2:11">
      <c r="B311" s="390"/>
      <c r="C311" s="390"/>
      <c r="D311" s="390"/>
      <c r="E311" s="394">
        <v>39783</v>
      </c>
      <c r="F311" s="395">
        <v>2.87</v>
      </c>
      <c r="G311" s="390">
        <f t="shared" si="6"/>
        <v>2008</v>
      </c>
      <c r="H311" s="390"/>
      <c r="I311" s="390"/>
      <c r="J311" s="390"/>
      <c r="K311" s="390"/>
    </row>
    <row r="312" spans="2:11">
      <c r="B312" s="390"/>
      <c r="C312" s="390"/>
      <c r="D312" s="390"/>
      <c r="E312" s="394">
        <v>39814</v>
      </c>
      <c r="F312" s="395">
        <v>3.13</v>
      </c>
      <c r="G312" s="390">
        <f t="shared" si="6"/>
        <v>2009</v>
      </c>
      <c r="H312" s="390"/>
      <c r="I312" s="390"/>
      <c r="J312" s="390"/>
      <c r="K312" s="390"/>
    </row>
    <row r="313" spans="2:11">
      <c r="B313" s="390"/>
      <c r="C313" s="390"/>
      <c r="D313" s="390"/>
      <c r="E313" s="394">
        <v>39845</v>
      </c>
      <c r="F313" s="395">
        <v>3.59</v>
      </c>
      <c r="G313" s="390">
        <f t="shared" si="6"/>
        <v>2009</v>
      </c>
      <c r="H313" s="390"/>
      <c r="I313" s="390"/>
      <c r="J313" s="390"/>
      <c r="K313" s="390"/>
    </row>
    <row r="314" spans="2:11">
      <c r="B314" s="390"/>
      <c r="C314" s="390"/>
      <c r="D314" s="390"/>
      <c r="E314" s="394">
        <v>39873</v>
      </c>
      <c r="F314" s="395">
        <v>3.64</v>
      </c>
      <c r="G314" s="390">
        <f t="shared" si="6"/>
        <v>2009</v>
      </c>
      <c r="H314" s="390"/>
      <c r="I314" s="390"/>
      <c r="J314" s="390"/>
      <c r="K314" s="390"/>
    </row>
    <row r="315" spans="2:11">
      <c r="B315" s="390"/>
      <c r="C315" s="390"/>
      <c r="D315" s="390"/>
      <c r="E315" s="394">
        <v>39904</v>
      </c>
      <c r="F315" s="395">
        <v>3.76</v>
      </c>
      <c r="G315" s="390">
        <f t="shared" si="6"/>
        <v>2009</v>
      </c>
      <c r="H315" s="390"/>
      <c r="I315" s="390"/>
      <c r="J315" s="390"/>
      <c r="K315" s="390"/>
    </row>
    <row r="316" spans="2:11">
      <c r="B316" s="390"/>
      <c r="C316" s="390"/>
      <c r="D316" s="390"/>
      <c r="E316" s="394">
        <v>39934</v>
      </c>
      <c r="F316" s="395">
        <v>4.2300000000000004</v>
      </c>
      <c r="G316" s="390">
        <f t="shared" si="6"/>
        <v>2009</v>
      </c>
      <c r="H316" s="390"/>
      <c r="I316" s="390"/>
      <c r="J316" s="390"/>
      <c r="K316" s="390"/>
    </row>
    <row r="317" spans="2:11">
      <c r="B317" s="390"/>
      <c r="C317" s="390"/>
      <c r="D317" s="390"/>
      <c r="E317" s="394">
        <v>39965</v>
      </c>
      <c r="F317" s="395">
        <v>4.5199999999999996</v>
      </c>
      <c r="G317" s="390">
        <f t="shared" si="6"/>
        <v>2009</v>
      </c>
      <c r="H317" s="390"/>
      <c r="I317" s="390"/>
      <c r="J317" s="390"/>
      <c r="K317" s="390"/>
    </row>
    <row r="318" spans="2:11">
      <c r="B318" s="390"/>
      <c r="C318" s="390"/>
      <c r="D318" s="390"/>
      <c r="E318" s="394">
        <v>39995</v>
      </c>
      <c r="F318" s="395">
        <v>4.41</v>
      </c>
      <c r="G318" s="390">
        <f t="shared" si="6"/>
        <v>2009</v>
      </c>
      <c r="H318" s="390"/>
      <c r="I318" s="390"/>
      <c r="J318" s="390"/>
      <c r="K318" s="390"/>
    </row>
    <row r="319" spans="2:11">
      <c r="B319" s="390"/>
      <c r="C319" s="390"/>
      <c r="D319" s="390"/>
      <c r="E319" s="394">
        <v>40026</v>
      </c>
      <c r="F319" s="395">
        <v>4.37</v>
      </c>
      <c r="G319" s="390">
        <f t="shared" si="6"/>
        <v>2009</v>
      </c>
      <c r="H319" s="390"/>
      <c r="I319" s="390"/>
      <c r="J319" s="390"/>
      <c r="K319" s="390"/>
    </row>
    <row r="320" spans="2:11">
      <c r="B320" s="390"/>
      <c r="C320" s="390"/>
      <c r="D320" s="390"/>
      <c r="E320" s="394">
        <v>40057</v>
      </c>
      <c r="F320" s="395">
        <v>4.1900000000000004</v>
      </c>
      <c r="G320" s="390">
        <f t="shared" si="6"/>
        <v>2009</v>
      </c>
      <c r="H320" s="390"/>
      <c r="I320" s="390"/>
      <c r="J320" s="390"/>
      <c r="K320" s="390"/>
    </row>
    <row r="321" spans="5:7">
      <c r="E321" s="394">
        <v>40087</v>
      </c>
      <c r="F321" s="395">
        <v>4.1900000000000004</v>
      </c>
      <c r="G321" s="390">
        <f>YEAR(E321)</f>
        <v>2009</v>
      </c>
    </row>
    <row r="322" spans="5:7">
      <c r="E322" s="394">
        <v>40118</v>
      </c>
      <c r="F322" s="402">
        <v>4.3099999999999996</v>
      </c>
      <c r="G322" s="390">
        <f>YEAR(E322)</f>
        <v>2009</v>
      </c>
    </row>
    <row r="323" spans="5:7">
      <c r="E323" s="394">
        <v>40148</v>
      </c>
      <c r="F323" s="402">
        <v>4.49</v>
      </c>
      <c r="G323" s="390">
        <f t="shared" ref="G323:G331" si="7">YEAR(E323)</f>
        <v>2009</v>
      </c>
    </row>
    <row r="324" spans="5:7">
      <c r="E324" s="394">
        <v>40179</v>
      </c>
      <c r="F324" s="402">
        <v>4.5999999999999996</v>
      </c>
      <c r="G324" s="390">
        <f>YEAR(E324)</f>
        <v>2010</v>
      </c>
    </row>
    <row r="325" spans="5:7">
      <c r="E325" s="394">
        <v>40210</v>
      </c>
      <c r="F325" s="402">
        <v>4.62</v>
      </c>
      <c r="G325" s="390">
        <f t="shared" si="7"/>
        <v>2010</v>
      </c>
    </row>
    <row r="326" spans="5:7">
      <c r="E326" s="394">
        <v>40238</v>
      </c>
      <c r="F326" s="402">
        <v>4.6399999999999997</v>
      </c>
      <c r="G326" s="390">
        <f t="shared" si="7"/>
        <v>2010</v>
      </c>
    </row>
    <row r="327" spans="5:7">
      <c r="E327" s="394">
        <v>40269</v>
      </c>
      <c r="F327" s="402">
        <v>4.6900000000000004</v>
      </c>
      <c r="G327" s="390">
        <f t="shared" si="7"/>
        <v>2010</v>
      </c>
    </row>
    <row r="328" spans="5:7">
      <c r="E328" s="394">
        <v>40299</v>
      </c>
      <c r="F328" s="402">
        <v>4.29</v>
      </c>
      <c r="G328" s="390">
        <f t="shared" si="7"/>
        <v>2010</v>
      </c>
    </row>
    <row r="329" spans="5:7">
      <c r="E329" s="394">
        <v>40330</v>
      </c>
      <c r="F329" s="402">
        <v>4.13</v>
      </c>
      <c r="G329" s="390">
        <f t="shared" si="7"/>
        <v>2010</v>
      </c>
    </row>
    <row r="330" spans="5:7">
      <c r="E330" s="394">
        <v>40360</v>
      </c>
      <c r="F330" s="402">
        <v>3.99</v>
      </c>
      <c r="G330" s="390">
        <f t="shared" si="7"/>
        <v>2010</v>
      </c>
    </row>
    <row r="331" spans="5:7">
      <c r="E331" s="394">
        <v>40391</v>
      </c>
      <c r="F331" s="402">
        <v>3.8</v>
      </c>
      <c r="G331" s="390">
        <f t="shared" si="7"/>
        <v>2010</v>
      </c>
    </row>
    <row r="332" spans="5:7">
      <c r="E332" s="394">
        <v>40422</v>
      </c>
      <c r="F332" s="402">
        <v>3.77</v>
      </c>
      <c r="G332" s="390">
        <f>YEAR(E332)</f>
        <v>2010</v>
      </c>
    </row>
    <row r="333" spans="5:7">
      <c r="E333" s="394">
        <v>40452</v>
      </c>
      <c r="F333" s="402">
        <v>3.87</v>
      </c>
      <c r="G333" s="390">
        <f t="shared" ref="G333:G344" si="8">YEAR(E333)</f>
        <v>2010</v>
      </c>
    </row>
    <row r="334" spans="5:7">
      <c r="E334" s="394">
        <v>40483</v>
      </c>
      <c r="F334" s="402">
        <v>4.1900000000000004</v>
      </c>
      <c r="G334" s="390">
        <f t="shared" si="8"/>
        <v>2010</v>
      </c>
    </row>
    <row r="335" spans="5:7">
      <c r="E335" s="394">
        <v>40513</v>
      </c>
      <c r="F335" s="402">
        <v>4.42</v>
      </c>
      <c r="G335" s="390">
        <f t="shared" si="8"/>
        <v>2010</v>
      </c>
    </row>
    <row r="336" spans="5:7">
      <c r="E336" s="394">
        <v>40544</v>
      </c>
      <c r="F336" s="402">
        <v>4.5199999999999996</v>
      </c>
      <c r="G336" s="390">
        <f t="shared" si="8"/>
        <v>2011</v>
      </c>
    </row>
    <row r="337" spans="5:7">
      <c r="E337" s="394">
        <v>40575</v>
      </c>
      <c r="F337" s="402">
        <v>4.6500000000000004</v>
      </c>
      <c r="G337" s="390">
        <f t="shared" si="8"/>
        <v>2011</v>
      </c>
    </row>
    <row r="338" spans="5:7">
      <c r="E338" s="394">
        <v>40603</v>
      </c>
      <c r="F338" s="402">
        <v>4.51</v>
      </c>
      <c r="G338" s="390">
        <f t="shared" si="8"/>
        <v>2011</v>
      </c>
    </row>
    <row r="339" spans="5:7">
      <c r="E339" s="394">
        <v>40634</v>
      </c>
      <c r="F339" s="402">
        <v>4.5</v>
      </c>
      <c r="G339" s="390">
        <f t="shared" si="8"/>
        <v>2011</v>
      </c>
    </row>
    <row r="340" spans="5:7">
      <c r="E340" s="394">
        <v>40664</v>
      </c>
      <c r="F340" s="402">
        <v>4.29</v>
      </c>
      <c r="G340" s="390">
        <f t="shared" si="8"/>
        <v>2011</v>
      </c>
    </row>
    <row r="341" spans="5:7">
      <c r="E341" s="394">
        <v>40695</v>
      </c>
      <c r="F341" s="402">
        <v>4.2300000000000004</v>
      </c>
      <c r="G341" s="390">
        <f t="shared" si="8"/>
        <v>2011</v>
      </c>
    </row>
    <row r="342" spans="5:7">
      <c r="E342" s="394">
        <v>40725</v>
      </c>
      <c r="F342" s="402">
        <v>4.2699999999999996</v>
      </c>
      <c r="G342" s="390">
        <f t="shared" si="8"/>
        <v>2011</v>
      </c>
    </row>
    <row r="343" spans="5:7">
      <c r="E343" s="394">
        <v>40756</v>
      </c>
      <c r="F343" s="402">
        <v>3.65</v>
      </c>
      <c r="G343" s="390">
        <f t="shared" si="8"/>
        <v>2011</v>
      </c>
    </row>
    <row r="344" spans="5:7">
      <c r="E344" s="394">
        <v>40787</v>
      </c>
      <c r="F344" s="402">
        <v>3.18</v>
      </c>
      <c r="G344" s="390">
        <f t="shared" si="8"/>
        <v>2011</v>
      </c>
    </row>
  </sheetData>
  <mergeCells count="2">
    <mergeCell ref="E10:G10"/>
    <mergeCell ref="I10:K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1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3" max="3" width="14.625" customWidth="1"/>
    <col min="4" max="5" width="11.625" customWidth="1"/>
    <col min="6" max="6" width="1.25" customWidth="1"/>
    <col min="7" max="8" width="11.625" customWidth="1"/>
    <col min="9" max="9" width="1.25" customWidth="1"/>
    <col min="10" max="11" width="11.625" customWidth="1"/>
    <col min="12" max="12" width="1.25" customWidth="1"/>
    <col min="13" max="13" width="12" customWidth="1"/>
    <col min="14" max="15" width="12.625" customWidth="1"/>
    <col min="16" max="16" width="1.125" customWidth="1"/>
    <col min="17" max="18" width="11.25" customWidth="1"/>
    <col min="19" max="19" width="10.375" customWidth="1"/>
  </cols>
  <sheetData>
    <row r="1" spans="1:19" ht="27.75">
      <c r="A1" s="479" t="str">
        <f>'MPG-5'!A1:K1</f>
        <v>Puget Sound Energy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68"/>
      <c r="O1" s="68"/>
      <c r="P1" s="68"/>
      <c r="Q1" s="68"/>
      <c r="R1" s="68"/>
      <c r="S1" s="68"/>
    </row>
    <row r="3" spans="1:19">
      <c r="M3" s="20"/>
      <c r="N3" s="20"/>
      <c r="O3" s="20"/>
      <c r="P3" s="20"/>
      <c r="Q3" s="20"/>
      <c r="R3" s="20"/>
      <c r="S3" s="20"/>
    </row>
    <row r="4" spans="1:19" ht="20.25">
      <c r="A4" s="480" t="s">
        <v>126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69"/>
      <c r="O4" s="69"/>
      <c r="P4" s="69"/>
      <c r="Q4" s="69"/>
      <c r="R4" s="69"/>
      <c r="S4" s="69"/>
    </row>
    <row r="5" spans="1:19">
      <c r="M5" s="20"/>
      <c r="N5" s="20"/>
      <c r="O5" s="20"/>
      <c r="P5" s="20"/>
      <c r="Q5" s="20"/>
      <c r="R5" s="20"/>
      <c r="S5" s="20"/>
    </row>
    <row r="6" spans="1:19">
      <c r="M6" s="20"/>
      <c r="N6" s="20"/>
      <c r="O6" s="20"/>
      <c r="P6" s="20"/>
      <c r="Q6" s="20"/>
      <c r="R6" s="20"/>
      <c r="S6" s="20"/>
    </row>
    <row r="7" spans="1:19" ht="15">
      <c r="D7" s="481" t="s">
        <v>127</v>
      </c>
      <c r="E7" s="481"/>
      <c r="F7" s="11"/>
      <c r="G7" s="481" t="s">
        <v>128</v>
      </c>
      <c r="H7" s="481"/>
      <c r="J7" s="481" t="s">
        <v>129</v>
      </c>
      <c r="K7" s="481"/>
      <c r="L7" s="70"/>
      <c r="M7" s="71" t="s">
        <v>130</v>
      </c>
      <c r="N7" s="72"/>
      <c r="O7" s="72"/>
      <c r="P7" s="70"/>
      <c r="Q7" s="72"/>
      <c r="R7" s="72"/>
      <c r="S7" s="70"/>
    </row>
    <row r="8" spans="1:19" ht="15">
      <c r="D8" s="11" t="s">
        <v>131</v>
      </c>
      <c r="E8" s="11" t="s">
        <v>132</v>
      </c>
      <c r="F8" s="11"/>
      <c r="G8" s="11" t="s">
        <v>131</v>
      </c>
      <c r="H8" s="11" t="s">
        <v>132</v>
      </c>
      <c r="J8" s="11" t="s">
        <v>131</v>
      </c>
      <c r="K8" s="11" t="s">
        <v>132</v>
      </c>
      <c r="L8" s="11"/>
      <c r="M8" s="70" t="s">
        <v>133</v>
      </c>
      <c r="N8" s="70"/>
      <c r="O8" s="70"/>
      <c r="P8" s="70"/>
      <c r="Q8" s="70"/>
      <c r="R8" s="70"/>
      <c r="S8" s="70"/>
    </row>
    <row r="9" spans="1:19" ht="17.25">
      <c r="A9" s="73" t="s">
        <v>3</v>
      </c>
      <c r="B9" s="478" t="s">
        <v>4</v>
      </c>
      <c r="C9" s="478"/>
      <c r="D9" s="17" t="s">
        <v>134</v>
      </c>
      <c r="E9" s="17" t="s">
        <v>135</v>
      </c>
      <c r="F9" s="17"/>
      <c r="G9" s="17" t="s">
        <v>136</v>
      </c>
      <c r="H9" s="17" t="s">
        <v>135</v>
      </c>
      <c r="J9" s="17" t="s">
        <v>137</v>
      </c>
      <c r="K9" s="17" t="s">
        <v>135</v>
      </c>
      <c r="L9" s="17"/>
      <c r="M9" s="74" t="s">
        <v>138</v>
      </c>
      <c r="N9" s="75"/>
      <c r="O9" s="75"/>
      <c r="P9" s="75"/>
      <c r="Q9" s="75"/>
      <c r="R9" s="75"/>
      <c r="S9" s="75"/>
    </row>
    <row r="10" spans="1:19" ht="15">
      <c r="D10" s="76" t="s">
        <v>6</v>
      </c>
      <c r="E10" s="77" t="s">
        <v>7</v>
      </c>
      <c r="F10" s="77"/>
      <c r="G10" s="78" t="s">
        <v>8</v>
      </c>
      <c r="H10" s="79" t="s">
        <v>9</v>
      </c>
      <c r="J10" s="79" t="s">
        <v>10</v>
      </c>
      <c r="K10" s="79" t="s">
        <v>139</v>
      </c>
      <c r="L10" s="79"/>
      <c r="M10" s="80" t="s">
        <v>140</v>
      </c>
      <c r="N10" s="81"/>
      <c r="O10" s="82"/>
      <c r="P10" s="82"/>
      <c r="Q10" s="83"/>
      <c r="R10" s="80"/>
      <c r="S10" s="82"/>
    </row>
    <row r="11" spans="1:19">
      <c r="M11" s="20"/>
      <c r="N11" s="20"/>
      <c r="O11" s="20"/>
      <c r="P11" s="20"/>
      <c r="Q11" s="20"/>
      <c r="R11" s="20"/>
      <c r="S11" s="20"/>
    </row>
    <row r="12" spans="1:19" ht="16.5" customHeight="1">
      <c r="A12" s="24">
        <f>IF(B12=0,"N/A",MAX(A8:A11)+1)</f>
        <v>1</v>
      </c>
      <c r="B12" s="25" t="str">
        <f>'MPG-5'!B13</f>
        <v>Alliant Energy</v>
      </c>
      <c r="D12" s="84">
        <v>0.06</v>
      </c>
      <c r="E12" s="84" t="s">
        <v>141</v>
      </c>
      <c r="G12" s="84">
        <v>0.06</v>
      </c>
      <c r="H12" s="24">
        <v>5</v>
      </c>
      <c r="J12" s="84">
        <v>5.3600000000000002E-2</v>
      </c>
      <c r="K12" s="24">
        <v>5</v>
      </c>
      <c r="M12" s="85">
        <f t="shared" ref="M12:M20" si="0">IFERROR(AVERAGE(D12,G12,J12),"N/A")</f>
        <v>5.786666666666667E-2</v>
      </c>
      <c r="N12" s="84"/>
      <c r="O12" s="24"/>
      <c r="P12" s="86"/>
      <c r="Q12" s="87"/>
      <c r="R12" s="88"/>
      <c r="S12" s="85"/>
    </row>
    <row r="13" spans="1:19" ht="16.5" customHeight="1">
      <c r="A13" s="24">
        <f>IF(B13=0,"N/A",MAX(A9:A12)+1)</f>
        <v>2</v>
      </c>
      <c r="B13" s="25" t="str">
        <f>'MPG-5'!B14</f>
        <v>CMS Energy</v>
      </c>
      <c r="D13" s="84">
        <v>5.5E-2</v>
      </c>
      <c r="E13" s="84" t="s">
        <v>141</v>
      </c>
      <c r="G13" s="84">
        <v>0.06</v>
      </c>
      <c r="H13" s="24">
        <v>6</v>
      </c>
      <c r="J13" s="84">
        <v>5.9400000000000001E-2</v>
      </c>
      <c r="K13" s="24">
        <v>7</v>
      </c>
      <c r="M13" s="85">
        <f t="shared" si="0"/>
        <v>5.8133333333333335E-2</v>
      </c>
      <c r="N13" s="84"/>
      <c r="O13" s="24"/>
      <c r="P13" s="86"/>
      <c r="Q13" s="87"/>
      <c r="R13" s="88"/>
      <c r="S13" s="85"/>
    </row>
    <row r="14" spans="1:19" ht="16.5" customHeight="1">
      <c r="A14" s="24">
        <f>IF(B14=0,"N/A",MAX(A10:A13)+1)</f>
        <v>3</v>
      </c>
      <c r="B14" s="25" t="str">
        <f>'MPG-5'!B15</f>
        <v>Great Plains Energy</v>
      </c>
      <c r="D14" s="84">
        <v>6.5000000000000002E-2</v>
      </c>
      <c r="E14" s="84" t="s">
        <v>141</v>
      </c>
      <c r="G14" s="84">
        <v>0.05</v>
      </c>
      <c r="H14" s="24">
        <v>4</v>
      </c>
      <c r="J14" s="84">
        <v>4.4200000000000003E-2</v>
      </c>
      <c r="K14" s="24">
        <v>6</v>
      </c>
      <c r="M14" s="85">
        <f t="shared" si="0"/>
        <v>5.3066666666666672E-2</v>
      </c>
      <c r="N14" s="84"/>
      <c r="O14" s="89"/>
      <c r="P14" s="86"/>
      <c r="Q14" s="87"/>
      <c r="R14" s="88"/>
      <c r="S14" s="85"/>
    </row>
    <row r="15" spans="1:19" ht="16.5" customHeight="1">
      <c r="A15" s="24">
        <f>IF(B15=0,"N/A",MAX(A11:A14)+1)</f>
        <v>4</v>
      </c>
      <c r="B15" s="25" t="str">
        <f>'MPG-5'!B16</f>
        <v>NV Energy</v>
      </c>
      <c r="D15" s="84">
        <v>8.7999999999999995E-2</v>
      </c>
      <c r="E15" s="84" t="s">
        <v>141</v>
      </c>
      <c r="G15" s="84">
        <v>0.121</v>
      </c>
      <c r="H15" s="24">
        <v>3</v>
      </c>
      <c r="J15" s="84">
        <v>0.1048</v>
      </c>
      <c r="K15" s="24">
        <v>5</v>
      </c>
      <c r="M15" s="85">
        <f t="shared" si="0"/>
        <v>0.10459999999999998</v>
      </c>
      <c r="N15" s="84"/>
      <c r="O15" s="24"/>
      <c r="P15" s="86"/>
      <c r="Q15" s="87"/>
      <c r="R15" s="88"/>
      <c r="S15" s="85"/>
    </row>
    <row r="16" spans="1:19" ht="16.5" customHeight="1">
      <c r="A16" s="24">
        <f>IF(B16=0,"N/A",MAX(A13:A15)+1)</f>
        <v>5</v>
      </c>
      <c r="B16" s="25" t="str">
        <f>'MPG-5'!B17</f>
        <v>OGE Energy</v>
      </c>
      <c r="D16" s="84">
        <v>6.8000000000000005E-2</v>
      </c>
      <c r="E16" s="84" t="s">
        <v>141</v>
      </c>
      <c r="G16" s="84">
        <v>7.3999999999999996E-2</v>
      </c>
      <c r="H16" s="24">
        <v>4</v>
      </c>
      <c r="J16" s="84">
        <v>7.17E-2</v>
      </c>
      <c r="K16" s="24">
        <v>3</v>
      </c>
      <c r="M16" s="85">
        <f t="shared" si="0"/>
        <v>7.1233333333333329E-2</v>
      </c>
      <c r="N16" s="84"/>
      <c r="O16" s="24"/>
      <c r="P16" s="86"/>
      <c r="Q16" s="87"/>
      <c r="R16" s="88"/>
      <c r="S16" s="85"/>
    </row>
    <row r="17" spans="1:19" ht="16.5" customHeight="1">
      <c r="A17" s="24">
        <f>IF(B17=0,"N/A",MAX(A14:A16)+1)</f>
        <v>6</v>
      </c>
      <c r="B17" s="25" t="str">
        <f>'MPG-5'!B18</f>
        <v>Pinnacle West Capital</v>
      </c>
      <c r="D17" s="84">
        <v>5.2999999999999999E-2</v>
      </c>
      <c r="E17" s="84" t="s">
        <v>141</v>
      </c>
      <c r="G17" s="84">
        <v>0.05</v>
      </c>
      <c r="H17" s="24">
        <v>5</v>
      </c>
      <c r="J17" s="84">
        <v>5.5E-2</v>
      </c>
      <c r="K17" s="24">
        <v>7</v>
      </c>
      <c r="M17" s="85">
        <f t="shared" si="0"/>
        <v>5.2666666666666667E-2</v>
      </c>
      <c r="N17" s="84"/>
      <c r="O17" s="24"/>
      <c r="P17" s="86"/>
      <c r="Q17" s="87"/>
      <c r="R17" s="88"/>
      <c r="S17" s="85"/>
    </row>
    <row r="18" spans="1:19" ht="16.5" customHeight="1">
      <c r="A18" s="24">
        <f>IF(B18=0,"N/A",MAX(A16:A17)+1)</f>
        <v>7</v>
      </c>
      <c r="B18" s="25" t="str">
        <f>'MPG-5'!B19</f>
        <v>TECO Energy</v>
      </c>
      <c r="D18" s="84">
        <v>4.7E-2</v>
      </c>
      <c r="E18" s="84" t="s">
        <v>141</v>
      </c>
      <c r="G18" s="84">
        <v>0.05</v>
      </c>
      <c r="H18" s="24">
        <v>5</v>
      </c>
      <c r="J18" s="84">
        <v>5.5800000000000002E-2</v>
      </c>
      <c r="K18" s="24">
        <v>10</v>
      </c>
      <c r="M18" s="85">
        <f t="shared" si="0"/>
        <v>5.093333333333333E-2</v>
      </c>
      <c r="N18" s="84"/>
      <c r="O18" s="24"/>
      <c r="P18" s="86"/>
      <c r="Q18" s="87"/>
      <c r="R18" s="88"/>
      <c r="S18" s="85"/>
    </row>
    <row r="19" spans="1:19" ht="16.5" customHeight="1">
      <c r="A19" s="24">
        <f>IF(B19=0,"N/A",MAX(A17:A18)+1)</f>
        <v>8</v>
      </c>
      <c r="B19" s="25" t="str">
        <f>'MPG-5'!B20</f>
        <v>Westar Energy</v>
      </c>
      <c r="D19" s="84">
        <v>6.0999999999999999E-2</v>
      </c>
      <c r="E19" s="84" t="s">
        <v>141</v>
      </c>
      <c r="G19" s="84">
        <v>0.05</v>
      </c>
      <c r="H19" s="24">
        <v>4</v>
      </c>
      <c r="J19" s="84">
        <v>4.9299999999999997E-2</v>
      </c>
      <c r="K19" s="24">
        <v>6</v>
      </c>
      <c r="M19" s="85">
        <f t="shared" si="0"/>
        <v>5.3433333333333333E-2</v>
      </c>
      <c r="N19" s="84"/>
      <c r="O19" s="24"/>
      <c r="P19" s="86"/>
      <c r="Q19" s="87"/>
      <c r="R19" s="88"/>
      <c r="S19" s="85"/>
    </row>
    <row r="20" spans="1:19" ht="16.5" customHeight="1">
      <c r="A20" s="24">
        <f>IF(B20=0,"N/A",MAX(A18:A19)+1)</f>
        <v>9</v>
      </c>
      <c r="B20" s="25" t="str">
        <f>'MPG-5'!B21</f>
        <v>Wisconsin Energy</v>
      </c>
      <c r="D20" s="84">
        <v>7.4999999999999997E-2</v>
      </c>
      <c r="E20" s="84" t="s">
        <v>141</v>
      </c>
      <c r="G20" s="84">
        <v>7.5999999999999998E-2</v>
      </c>
      <c r="H20" s="24">
        <v>4</v>
      </c>
      <c r="J20" s="84">
        <v>8.0600000000000005E-2</v>
      </c>
      <c r="K20" s="24">
        <v>7</v>
      </c>
      <c r="M20" s="85">
        <f t="shared" si="0"/>
        <v>7.7200000000000005E-2</v>
      </c>
      <c r="N20" s="84"/>
      <c r="O20" s="24"/>
      <c r="P20" s="86"/>
      <c r="Q20" s="87"/>
      <c r="R20" s="88"/>
      <c r="S20" s="85"/>
    </row>
    <row r="21" spans="1:19" ht="16.5" customHeight="1">
      <c r="A21" s="24"/>
      <c r="B21" s="25"/>
      <c r="D21" s="90"/>
      <c r="E21" s="24"/>
      <c r="F21" s="91"/>
      <c r="G21" s="90"/>
      <c r="H21" s="24"/>
      <c r="I21" s="91"/>
      <c r="J21" s="57"/>
      <c r="K21" s="24"/>
      <c r="L21" s="57"/>
      <c r="M21" s="20"/>
      <c r="N21" s="87"/>
      <c r="O21" s="88"/>
      <c r="P21" s="86"/>
      <c r="Q21" s="87"/>
      <c r="R21" s="88"/>
      <c r="S21" s="85"/>
    </row>
    <row r="22" spans="1:19" ht="16.5" customHeight="1">
      <c r="A22" s="24">
        <f>MAX(A15:A21)+1</f>
        <v>10</v>
      </c>
      <c r="B22" s="92" t="s">
        <v>16</v>
      </c>
      <c r="C22" s="33"/>
      <c r="D22" s="93">
        <f>AVERAGE(D12:D20)</f>
        <v>6.3555555555555546E-2</v>
      </c>
      <c r="E22" s="93" t="s">
        <v>141</v>
      </c>
      <c r="F22" s="33"/>
      <c r="G22" s="93">
        <f>AVERAGE(G12:G20)</f>
        <v>6.5666666666666665E-2</v>
      </c>
      <c r="H22" s="94">
        <f>AVERAGE(H12:H20)</f>
        <v>4.4444444444444446</v>
      </c>
      <c r="I22" s="95"/>
      <c r="J22" s="93">
        <f>AVERAGE(J12:J20)</f>
        <v>6.3822222222222225E-2</v>
      </c>
      <c r="K22" s="94">
        <f>AVERAGE(K12:K20)</f>
        <v>6.2222222222222223</v>
      </c>
      <c r="L22" s="94"/>
      <c r="M22" s="93">
        <f>AVERAGE(M12:M20)</f>
        <v>6.4348148148148154E-2</v>
      </c>
    </row>
    <row r="23" spans="1:19" ht="16.5" customHeight="1">
      <c r="A23" s="24">
        <f>MAX(A16:A22)+1</f>
        <v>11</v>
      </c>
      <c r="B23" s="92" t="s">
        <v>142</v>
      </c>
      <c r="C23" s="33"/>
      <c r="D23" s="93"/>
      <c r="E23" s="94"/>
      <c r="F23" s="33"/>
      <c r="G23" s="93"/>
      <c r="H23" s="94"/>
      <c r="I23" s="95"/>
      <c r="J23" s="93"/>
      <c r="K23" s="94"/>
      <c r="L23" s="94"/>
      <c r="M23" s="93">
        <f>MEDIAN(M12:M20)</f>
        <v>5.786666666666667E-2</v>
      </c>
    </row>
    <row r="25" spans="1:19">
      <c r="B25" s="40"/>
      <c r="C25" s="40"/>
    </row>
    <row r="26" spans="1:19">
      <c r="B26" t="s">
        <v>17</v>
      </c>
    </row>
    <row r="27" spans="1:19" ht="16.5">
      <c r="B27" s="96" t="s">
        <v>143</v>
      </c>
      <c r="C27" s="31"/>
      <c r="D27" s="31"/>
      <c r="E27" s="31"/>
      <c r="F27" s="31"/>
      <c r="G27" s="31"/>
      <c r="H27" s="31"/>
      <c r="I27" s="31"/>
      <c r="J27" s="31"/>
    </row>
    <row r="28" spans="1:19" ht="16.5">
      <c r="B28" s="96" t="s">
        <v>144</v>
      </c>
      <c r="C28" s="31"/>
      <c r="D28" s="31"/>
      <c r="E28" s="31"/>
      <c r="F28" s="31"/>
      <c r="G28" s="31"/>
      <c r="H28" s="31"/>
      <c r="I28" s="31"/>
      <c r="J28" s="31"/>
    </row>
    <row r="29" spans="1:19" ht="16.5">
      <c r="B29" s="96" t="s">
        <v>145</v>
      </c>
      <c r="C29" s="31"/>
      <c r="D29" s="31"/>
      <c r="E29" s="31"/>
      <c r="F29" s="31"/>
      <c r="G29" s="31"/>
      <c r="H29" s="31"/>
      <c r="I29" s="31"/>
      <c r="J29" s="31"/>
    </row>
    <row r="30" spans="1:19">
      <c r="B30" s="96" t="s">
        <v>19</v>
      </c>
    </row>
    <row r="31" spans="1:19">
      <c r="B31" s="96"/>
    </row>
  </sheetData>
  <mergeCells count="6">
    <mergeCell ref="B9:C9"/>
    <mergeCell ref="A1:M1"/>
    <mergeCell ref="A4:M4"/>
    <mergeCell ref="D7:E7"/>
    <mergeCell ref="G7:H7"/>
    <mergeCell ref="J7:K7"/>
  </mergeCells>
  <printOptions horizontalCentered="1"/>
  <pageMargins left="0.7" right="0.7" top="1" bottom="0.75" header="0.3" footer="0.51"/>
  <pageSetup scale="70" orientation="portrait" r:id="rId1"/>
  <headerFooter differentFirst="1">
    <firstHeader>&amp;R&amp;12Exhibit No.___(MPG-6)
Page 1 of 1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S80"/>
  <sheetViews>
    <sheetView zoomScale="80" zoomScaleNormal="80" zoomScaleSheetLayoutView="80" workbookViewId="0"/>
  </sheetViews>
  <sheetFormatPr defaultRowHeight="14.25"/>
  <cols>
    <col min="1" max="4" width="10.625" style="387" customWidth="1"/>
    <col min="5" max="16384" width="9" style="387"/>
  </cols>
  <sheetData>
    <row r="1" spans="1:19" ht="15">
      <c r="A1" s="403" t="s">
        <v>612</v>
      </c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19" ht="15">
      <c r="A2" s="403" t="s">
        <v>613</v>
      </c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</row>
    <row r="3" spans="1:19">
      <c r="A3" s="406"/>
      <c r="F3" s="508" t="s">
        <v>614</v>
      </c>
      <c r="G3" s="511" t="s">
        <v>615</v>
      </c>
      <c r="H3" s="512"/>
      <c r="I3" s="512"/>
      <c r="J3" s="512"/>
      <c r="K3" s="513"/>
      <c r="L3" s="514" t="s">
        <v>616</v>
      </c>
      <c r="M3" s="515"/>
      <c r="N3" s="514" t="s">
        <v>617</v>
      </c>
      <c r="O3" s="519" t="s">
        <v>618</v>
      </c>
      <c r="P3" s="519" t="s">
        <v>619</v>
      </c>
      <c r="Q3" s="519" t="s">
        <v>620</v>
      </c>
      <c r="R3" s="521"/>
      <c r="S3" s="519" t="s">
        <v>621</v>
      </c>
    </row>
    <row r="4" spans="1:19">
      <c r="F4" s="509"/>
      <c r="G4" s="519" t="s">
        <v>622</v>
      </c>
      <c r="H4" s="524"/>
      <c r="I4" s="525" t="s">
        <v>623</v>
      </c>
      <c r="J4" s="526"/>
      <c r="K4" s="527"/>
      <c r="L4" s="516"/>
      <c r="M4" s="517"/>
      <c r="N4" s="516"/>
      <c r="O4" s="520"/>
      <c r="P4" s="520"/>
      <c r="Q4" s="522"/>
      <c r="R4" s="523"/>
      <c r="S4" s="520"/>
    </row>
    <row r="5" spans="1:19" ht="22.5">
      <c r="A5" s="407" t="s">
        <v>434</v>
      </c>
      <c r="B5" s="407" t="s">
        <v>624</v>
      </c>
      <c r="C5" s="407" t="s">
        <v>94</v>
      </c>
      <c r="D5" s="407" t="s">
        <v>625</v>
      </c>
      <c r="E5" s="407"/>
      <c r="F5" s="510"/>
      <c r="G5" s="408" t="s">
        <v>626</v>
      </c>
      <c r="H5" s="408" t="s">
        <v>627</v>
      </c>
      <c r="I5" s="408" t="s">
        <v>628</v>
      </c>
      <c r="J5" s="408" t="s">
        <v>629</v>
      </c>
      <c r="K5" s="409" t="s">
        <v>630</v>
      </c>
      <c r="L5" s="410" t="s">
        <v>631</v>
      </c>
      <c r="M5" s="411" t="s">
        <v>625</v>
      </c>
      <c r="N5" s="518"/>
      <c r="O5" s="518"/>
      <c r="P5" s="518"/>
      <c r="Q5" s="411" t="s">
        <v>632</v>
      </c>
      <c r="R5" s="411" t="s">
        <v>633</v>
      </c>
      <c r="S5" s="518"/>
    </row>
    <row r="6" spans="1:19">
      <c r="F6" s="412" t="s">
        <v>634</v>
      </c>
      <c r="G6" s="413" t="s">
        <v>635</v>
      </c>
      <c r="H6" s="413" t="s">
        <v>635</v>
      </c>
      <c r="I6" s="413" t="s">
        <v>635</v>
      </c>
      <c r="J6" s="413" t="s">
        <v>635</v>
      </c>
      <c r="K6" s="413" t="s">
        <v>635</v>
      </c>
      <c r="L6" s="414">
        <v>4.7300000000000004</v>
      </c>
      <c r="M6" s="414">
        <v>5.9</v>
      </c>
      <c r="N6" s="414">
        <v>4.2699999999999996</v>
      </c>
      <c r="O6" s="413" t="s">
        <v>635</v>
      </c>
      <c r="P6" s="414" t="s">
        <v>636</v>
      </c>
      <c r="Q6" s="413" t="s">
        <v>635</v>
      </c>
      <c r="R6" s="414">
        <v>5.16</v>
      </c>
      <c r="S6" s="413" t="s">
        <v>635</v>
      </c>
    </row>
    <row r="7" spans="1:19">
      <c r="A7" s="415">
        <v>1977</v>
      </c>
      <c r="B7" s="416">
        <f>K46/100</f>
        <v>7.7499999999999999E-2</v>
      </c>
      <c r="C7" s="416">
        <f t="shared" ref="C7:D39" si="0">L46/100</f>
        <v>8.0199999999999994E-2</v>
      </c>
      <c r="D7" s="416">
        <f>M46/100</f>
        <v>8.9700000000000002E-2</v>
      </c>
      <c r="E7" s="416"/>
      <c r="F7" s="412" t="s">
        <v>637</v>
      </c>
      <c r="G7" s="417">
        <v>0.51500000000000001</v>
      </c>
      <c r="H7" s="418" t="s">
        <v>635</v>
      </c>
      <c r="I7" s="418" t="s">
        <v>635</v>
      </c>
      <c r="J7" s="418" t="s">
        <v>635</v>
      </c>
      <c r="K7" s="418" t="s">
        <v>635</v>
      </c>
      <c r="L7" s="419">
        <v>4.49</v>
      </c>
      <c r="M7" s="419">
        <v>7.76</v>
      </c>
      <c r="N7" s="419">
        <v>4.71</v>
      </c>
      <c r="O7" s="418" t="s">
        <v>635</v>
      </c>
      <c r="P7" s="419" t="s">
        <v>638</v>
      </c>
      <c r="Q7" s="418" t="s">
        <v>635</v>
      </c>
      <c r="R7" s="419">
        <v>2.56</v>
      </c>
      <c r="S7" s="418" t="s">
        <v>635</v>
      </c>
    </row>
    <row r="8" spans="1:19">
      <c r="A8" s="415">
        <v>1978</v>
      </c>
      <c r="B8" s="416">
        <f t="shared" ref="B8:B31" si="1">K47/100</f>
        <v>8.4900000000000003E-2</v>
      </c>
      <c r="C8" s="416">
        <f t="shared" si="0"/>
        <v>8.7300000000000003E-2</v>
      </c>
      <c r="D8" s="416">
        <f t="shared" si="0"/>
        <v>9.4899999999999998E-2</v>
      </c>
      <c r="E8" s="416"/>
      <c r="F8" s="412" t="s">
        <v>639</v>
      </c>
      <c r="G8" s="420">
        <v>2.3E-2</v>
      </c>
      <c r="H8" s="418" t="s">
        <v>635</v>
      </c>
      <c r="I8" s="418" t="s">
        <v>635</v>
      </c>
      <c r="J8" s="418" t="s">
        <v>635</v>
      </c>
      <c r="K8" s="418" t="s">
        <v>635</v>
      </c>
      <c r="L8" s="419">
        <v>3.01</v>
      </c>
      <c r="M8" s="419">
        <v>4.96</v>
      </c>
      <c r="N8" s="419">
        <v>2.76</v>
      </c>
      <c r="O8" s="418" t="s">
        <v>635</v>
      </c>
      <c r="P8" s="419">
        <v>1.5</v>
      </c>
      <c r="Q8" s="418" t="s">
        <v>635</v>
      </c>
      <c r="R8" s="419">
        <v>1</v>
      </c>
      <c r="S8" s="418" t="s">
        <v>635</v>
      </c>
    </row>
    <row r="9" spans="1:19">
      <c r="A9" s="415">
        <v>1979</v>
      </c>
      <c r="B9" s="416">
        <f t="shared" si="1"/>
        <v>9.2799999999999994E-2</v>
      </c>
      <c r="C9" s="416">
        <f t="shared" si="0"/>
        <v>9.6300000000000011E-2</v>
      </c>
      <c r="D9" s="416">
        <f t="shared" si="0"/>
        <v>0.1069</v>
      </c>
      <c r="E9" s="416"/>
      <c r="F9" s="412" t="s">
        <v>640</v>
      </c>
      <c r="G9" s="420">
        <v>1.4E-2</v>
      </c>
      <c r="H9" s="418" t="s">
        <v>635</v>
      </c>
      <c r="I9" s="418" t="s">
        <v>635</v>
      </c>
      <c r="J9" s="418" t="s">
        <v>635</v>
      </c>
      <c r="K9" s="418" t="s">
        <v>635</v>
      </c>
      <c r="L9" s="419">
        <v>2.84</v>
      </c>
      <c r="M9" s="419">
        <v>4.75</v>
      </c>
      <c r="N9" s="419">
        <v>2.5</v>
      </c>
      <c r="O9" s="418" t="s">
        <v>635</v>
      </c>
      <c r="P9" s="419">
        <v>1.5</v>
      </c>
      <c r="Q9" s="418" t="s">
        <v>635</v>
      </c>
      <c r="R9" s="419">
        <v>1</v>
      </c>
      <c r="S9" s="418" t="s">
        <v>635</v>
      </c>
    </row>
    <row r="10" spans="1:19">
      <c r="A10" s="415">
        <v>1980</v>
      </c>
      <c r="B10" s="416">
        <f t="shared" si="1"/>
        <v>0.11269999999999999</v>
      </c>
      <c r="C10" s="416">
        <f t="shared" si="0"/>
        <v>0.11939999999999999</v>
      </c>
      <c r="D10" s="416">
        <f t="shared" si="0"/>
        <v>0.13669999999999999</v>
      </c>
      <c r="E10" s="416"/>
      <c r="F10" s="412" t="s">
        <v>641</v>
      </c>
      <c r="G10" s="420">
        <v>0.10299999999999999</v>
      </c>
      <c r="H10" s="418" t="s">
        <v>635</v>
      </c>
      <c r="I10" s="418" t="s">
        <v>635</v>
      </c>
      <c r="J10" s="418" t="s">
        <v>635</v>
      </c>
      <c r="K10" s="418" t="s">
        <v>635</v>
      </c>
      <c r="L10" s="419">
        <v>2.77</v>
      </c>
      <c r="M10" s="419">
        <v>4.33</v>
      </c>
      <c r="N10" s="419">
        <v>2.1</v>
      </c>
      <c r="O10" s="418" t="s">
        <v>635</v>
      </c>
      <c r="P10" s="419">
        <v>1.5</v>
      </c>
      <c r="Q10" s="418" t="s">
        <v>635</v>
      </c>
      <c r="R10" s="419">
        <v>1</v>
      </c>
      <c r="S10" s="418" t="s">
        <v>635</v>
      </c>
    </row>
    <row r="11" spans="1:19">
      <c r="A11" s="415">
        <v>1981</v>
      </c>
      <c r="B11" s="416">
        <f t="shared" si="1"/>
        <v>0.13449999999999998</v>
      </c>
      <c r="C11" s="416">
        <f t="shared" si="0"/>
        <v>0.14169999999999999</v>
      </c>
      <c r="D11" s="416">
        <f t="shared" si="0"/>
        <v>0.16039999999999999</v>
      </c>
      <c r="E11" s="416"/>
      <c r="F11" s="412" t="s">
        <v>642</v>
      </c>
      <c r="G11" s="420">
        <v>0.32600000000000001</v>
      </c>
      <c r="H11" s="418" t="s">
        <v>635</v>
      </c>
      <c r="I11" s="418" t="s">
        <v>635</v>
      </c>
      <c r="J11" s="418" t="s">
        <v>635</v>
      </c>
      <c r="K11" s="418" t="s">
        <v>635</v>
      </c>
      <c r="L11" s="419">
        <v>2.83</v>
      </c>
      <c r="M11" s="419">
        <v>4.28</v>
      </c>
      <c r="N11" s="419">
        <v>2.36</v>
      </c>
      <c r="O11" s="418" t="s">
        <v>635</v>
      </c>
      <c r="P11" s="419">
        <v>1.5</v>
      </c>
      <c r="Q11" s="418" t="s">
        <v>635</v>
      </c>
      <c r="R11" s="421" t="s">
        <v>643</v>
      </c>
      <c r="S11" s="418" t="s">
        <v>635</v>
      </c>
    </row>
    <row r="12" spans="1:19">
      <c r="A12" s="415">
        <v>1982</v>
      </c>
      <c r="B12" s="416">
        <f t="shared" si="1"/>
        <v>0.12759999999999999</v>
      </c>
      <c r="C12" s="416">
        <f t="shared" si="0"/>
        <v>0.13789999999999999</v>
      </c>
      <c r="D12" s="416">
        <f t="shared" si="0"/>
        <v>0.16109999999999999</v>
      </c>
      <c r="E12" s="416"/>
      <c r="F12" s="412" t="s">
        <v>644</v>
      </c>
      <c r="G12" s="420">
        <v>0.373</v>
      </c>
      <c r="H12" s="418" t="s">
        <v>635</v>
      </c>
      <c r="I12" s="418" t="s">
        <v>635</v>
      </c>
      <c r="J12" s="418" t="s">
        <v>635</v>
      </c>
      <c r="K12" s="418" t="s">
        <v>635</v>
      </c>
      <c r="L12" s="419">
        <v>2.73</v>
      </c>
      <c r="M12" s="419">
        <v>3.91</v>
      </c>
      <c r="N12" s="419">
        <v>2.06</v>
      </c>
      <c r="O12" s="418" t="s">
        <v>635</v>
      </c>
      <c r="P12" s="419">
        <v>1.5</v>
      </c>
      <c r="Q12" s="418" t="s">
        <v>635</v>
      </c>
      <c r="R12" s="421" t="s">
        <v>643</v>
      </c>
      <c r="S12" s="418" t="s">
        <v>635</v>
      </c>
    </row>
    <row r="13" spans="1:19">
      <c r="A13" s="415">
        <v>1983</v>
      </c>
      <c r="B13" s="416">
        <f t="shared" si="1"/>
        <v>0.1118</v>
      </c>
      <c r="C13" s="416">
        <f t="shared" si="0"/>
        <v>0.12039999999999999</v>
      </c>
      <c r="D13" s="416">
        <f t="shared" si="0"/>
        <v>0.13550000000000001</v>
      </c>
      <c r="E13" s="416"/>
      <c r="F13" s="412" t="s">
        <v>645</v>
      </c>
      <c r="G13" s="420">
        <v>0.375</v>
      </c>
      <c r="H13" s="418" t="s">
        <v>635</v>
      </c>
      <c r="I13" s="418" t="s">
        <v>635</v>
      </c>
      <c r="J13" s="418" t="s">
        <v>635</v>
      </c>
      <c r="K13" s="418" t="s">
        <v>635</v>
      </c>
      <c r="L13" s="419">
        <v>2.72</v>
      </c>
      <c r="M13" s="419">
        <v>3.61</v>
      </c>
      <c r="N13" s="419">
        <v>1.86</v>
      </c>
      <c r="O13" s="418" t="s">
        <v>635</v>
      </c>
      <c r="P13" s="419">
        <v>1.5</v>
      </c>
      <c r="Q13" s="418" t="s">
        <v>635</v>
      </c>
      <c r="R13" s="421" t="s">
        <v>643</v>
      </c>
      <c r="S13" s="418" t="s">
        <v>635</v>
      </c>
    </row>
    <row r="14" spans="1:19">
      <c r="A14" s="415">
        <v>1984</v>
      </c>
      <c r="B14" s="416">
        <f t="shared" si="1"/>
        <v>0.1241</v>
      </c>
      <c r="C14" s="416">
        <f t="shared" si="0"/>
        <v>0.12710000000000002</v>
      </c>
      <c r="D14" s="416">
        <f t="shared" si="0"/>
        <v>0.1419</v>
      </c>
      <c r="E14" s="416"/>
      <c r="F14" s="412" t="s">
        <v>646</v>
      </c>
      <c r="G14" s="420">
        <v>0.375</v>
      </c>
      <c r="H14" s="418" t="s">
        <v>635</v>
      </c>
      <c r="I14" s="418" t="s">
        <v>635</v>
      </c>
      <c r="J14" s="418" t="s">
        <v>635</v>
      </c>
      <c r="K14" s="418" t="s">
        <v>635</v>
      </c>
      <c r="L14" s="419">
        <v>2.62</v>
      </c>
      <c r="M14" s="419">
        <v>3.29</v>
      </c>
      <c r="N14" s="419">
        <v>1.67</v>
      </c>
      <c r="O14" s="418" t="s">
        <v>635</v>
      </c>
      <c r="P14" s="419">
        <v>1.5</v>
      </c>
      <c r="Q14" s="418" t="s">
        <v>635</v>
      </c>
      <c r="R14" s="421" t="s">
        <v>643</v>
      </c>
      <c r="S14" s="418" t="s">
        <v>635</v>
      </c>
    </row>
    <row r="15" spans="1:19">
      <c r="A15" s="415">
        <v>1985</v>
      </c>
      <c r="B15" s="416">
        <f t="shared" si="1"/>
        <v>0.1079</v>
      </c>
      <c r="C15" s="416">
        <f t="shared" si="0"/>
        <v>0.1137</v>
      </c>
      <c r="D15" s="416">
        <f t="shared" si="0"/>
        <v>0.12720000000000001</v>
      </c>
      <c r="E15" s="416"/>
      <c r="F15" s="412" t="s">
        <v>647</v>
      </c>
      <c r="G15" s="420">
        <v>0.375</v>
      </c>
      <c r="H15" s="418" t="s">
        <v>635</v>
      </c>
      <c r="I15" s="418" t="s">
        <v>635</v>
      </c>
      <c r="J15" s="418" t="s">
        <v>635</v>
      </c>
      <c r="K15" s="418" t="s">
        <v>635</v>
      </c>
      <c r="L15" s="419">
        <v>2.5299999999999998</v>
      </c>
      <c r="M15" s="419">
        <v>3.05</v>
      </c>
      <c r="N15" s="419">
        <v>1.64</v>
      </c>
      <c r="O15" s="418" t="s">
        <v>635</v>
      </c>
      <c r="P15" s="419">
        <v>1.5</v>
      </c>
      <c r="Q15" s="418" t="s">
        <v>635</v>
      </c>
      <c r="R15" s="421" t="s">
        <v>643</v>
      </c>
      <c r="S15" s="418" t="s">
        <v>635</v>
      </c>
    </row>
    <row r="16" spans="1:19">
      <c r="A16" s="415">
        <v>1986</v>
      </c>
      <c r="B16" s="416">
        <f t="shared" si="1"/>
        <v>7.7800000000000008E-2</v>
      </c>
      <c r="C16" s="416">
        <f t="shared" si="0"/>
        <v>9.0200000000000002E-2</v>
      </c>
      <c r="D16" s="416">
        <f t="shared" si="0"/>
        <v>0.10390000000000001</v>
      </c>
      <c r="E16" s="416"/>
      <c r="F16" s="412" t="s">
        <v>648</v>
      </c>
      <c r="G16" s="420">
        <v>0.59399999999999997</v>
      </c>
      <c r="H16" s="418" t="s">
        <v>635</v>
      </c>
      <c r="I16" s="418" t="s">
        <v>635</v>
      </c>
      <c r="J16" s="418" t="s">
        <v>635</v>
      </c>
      <c r="K16" s="418" t="s">
        <v>635</v>
      </c>
      <c r="L16" s="419">
        <v>2.61</v>
      </c>
      <c r="M16" s="419">
        <v>3.24</v>
      </c>
      <c r="N16" s="419">
        <v>2.0099999999999998</v>
      </c>
      <c r="O16" s="418" t="s">
        <v>635</v>
      </c>
      <c r="P16" s="419" t="s">
        <v>649</v>
      </c>
      <c r="Q16" s="418" t="s">
        <v>635</v>
      </c>
      <c r="R16" s="419">
        <v>1</v>
      </c>
      <c r="S16" s="418" t="s">
        <v>635</v>
      </c>
    </row>
    <row r="17" spans="1:19">
      <c r="A17" s="415">
        <v>1987</v>
      </c>
      <c r="B17" s="416">
        <f t="shared" si="1"/>
        <v>8.5900000000000004E-2</v>
      </c>
      <c r="C17" s="416">
        <f t="shared" si="0"/>
        <v>9.3800000000000008E-2</v>
      </c>
      <c r="D17" s="416">
        <f t="shared" si="0"/>
        <v>0.10580000000000001</v>
      </c>
      <c r="E17" s="416"/>
      <c r="F17" s="412" t="s">
        <v>650</v>
      </c>
      <c r="G17" s="417">
        <v>1.04</v>
      </c>
      <c r="H17" s="418" t="s">
        <v>635</v>
      </c>
      <c r="I17" s="418" t="s">
        <v>635</v>
      </c>
      <c r="J17" s="418" t="s">
        <v>635</v>
      </c>
      <c r="K17" s="418" t="s">
        <v>635</v>
      </c>
      <c r="L17" s="419">
        <v>2.82</v>
      </c>
      <c r="M17" s="419">
        <v>3.47</v>
      </c>
      <c r="N17" s="419">
        <v>2.4</v>
      </c>
      <c r="O17" s="418" t="s">
        <v>635</v>
      </c>
      <c r="P17" s="419" t="s">
        <v>651</v>
      </c>
      <c r="Q17" s="418" t="s">
        <v>635</v>
      </c>
      <c r="R17" s="419">
        <v>1.34</v>
      </c>
      <c r="S17" s="418" t="s">
        <v>635</v>
      </c>
    </row>
    <row r="18" spans="1:19">
      <c r="A18" s="415">
        <v>1988</v>
      </c>
      <c r="B18" s="416">
        <f t="shared" si="1"/>
        <v>8.9600000000000013E-2</v>
      </c>
      <c r="C18" s="416">
        <f t="shared" si="0"/>
        <v>9.7100000000000006E-2</v>
      </c>
      <c r="D18" s="416">
        <f t="shared" si="0"/>
        <v>0.10830000000000001</v>
      </c>
      <c r="E18" s="416"/>
      <c r="F18" s="412" t="s">
        <v>652</v>
      </c>
      <c r="G18" s="417">
        <v>1.1020000000000001</v>
      </c>
      <c r="H18" s="418" t="s">
        <v>635</v>
      </c>
      <c r="I18" s="418" t="s">
        <v>635</v>
      </c>
      <c r="J18" s="418" t="s">
        <v>635</v>
      </c>
      <c r="K18" s="418" t="s">
        <v>635</v>
      </c>
      <c r="L18" s="419">
        <v>2.66</v>
      </c>
      <c r="M18" s="419">
        <v>3.42</v>
      </c>
      <c r="N18" s="419">
        <v>2.21</v>
      </c>
      <c r="O18" s="418" t="s">
        <v>635</v>
      </c>
      <c r="P18" s="419">
        <v>2</v>
      </c>
      <c r="Q18" s="418" t="s">
        <v>635</v>
      </c>
      <c r="R18" s="419">
        <v>1.5</v>
      </c>
      <c r="S18" s="418" t="s">
        <v>635</v>
      </c>
    </row>
    <row r="19" spans="1:19">
      <c r="A19" s="415">
        <v>1989</v>
      </c>
      <c r="B19" s="416">
        <f t="shared" si="1"/>
        <v>8.4499999999999992E-2</v>
      </c>
      <c r="C19" s="416">
        <f t="shared" si="0"/>
        <v>9.2600000000000002E-2</v>
      </c>
      <c r="D19" s="416">
        <f t="shared" si="0"/>
        <v>0.1018</v>
      </c>
      <c r="E19" s="416"/>
      <c r="F19" s="412" t="s">
        <v>653</v>
      </c>
      <c r="G19" s="417">
        <v>1.218</v>
      </c>
      <c r="H19" s="418" t="s">
        <v>635</v>
      </c>
      <c r="I19" s="418" t="s">
        <v>635</v>
      </c>
      <c r="J19" s="418" t="s">
        <v>635</v>
      </c>
      <c r="K19" s="418" t="s">
        <v>635</v>
      </c>
      <c r="L19" s="419">
        <v>2.62</v>
      </c>
      <c r="M19" s="419">
        <v>3.24</v>
      </c>
      <c r="N19" s="419">
        <v>1.98</v>
      </c>
      <c r="O19" s="418" t="s">
        <v>635</v>
      </c>
      <c r="P19" s="419">
        <v>2.0699999999999998</v>
      </c>
      <c r="Q19" s="418" t="s">
        <v>635</v>
      </c>
      <c r="R19" s="419">
        <v>1.59</v>
      </c>
      <c r="S19" s="418" t="s">
        <v>635</v>
      </c>
    </row>
    <row r="20" spans="1:19">
      <c r="A20" s="415">
        <v>1990</v>
      </c>
      <c r="B20" s="416">
        <f t="shared" si="1"/>
        <v>8.6099999999999996E-2</v>
      </c>
      <c r="C20" s="416">
        <f t="shared" si="0"/>
        <v>9.3200000000000005E-2</v>
      </c>
      <c r="D20" s="416">
        <f t="shared" si="0"/>
        <v>0.1036</v>
      </c>
      <c r="E20" s="416"/>
      <c r="F20" s="412" t="s">
        <v>654</v>
      </c>
      <c r="G20" s="417">
        <v>1.552</v>
      </c>
      <c r="H20" s="418" t="s">
        <v>635</v>
      </c>
      <c r="I20" s="418" t="s">
        <v>635</v>
      </c>
      <c r="J20" s="418" t="s">
        <v>635</v>
      </c>
      <c r="K20" s="418" t="s">
        <v>635</v>
      </c>
      <c r="L20" s="419">
        <v>2.86</v>
      </c>
      <c r="M20" s="419">
        <v>3.41</v>
      </c>
      <c r="N20" s="419">
        <v>2</v>
      </c>
      <c r="O20" s="418" t="s">
        <v>635</v>
      </c>
      <c r="P20" s="419">
        <v>2.56</v>
      </c>
      <c r="Q20" s="418" t="s">
        <v>635</v>
      </c>
      <c r="R20" s="419">
        <v>1.75</v>
      </c>
      <c r="S20" s="418" t="s">
        <v>635</v>
      </c>
    </row>
    <row r="21" spans="1:19">
      <c r="A21" s="415">
        <v>1991</v>
      </c>
      <c r="B21" s="416">
        <f t="shared" si="1"/>
        <v>8.14E-2</v>
      </c>
      <c r="C21" s="416">
        <f t="shared" si="0"/>
        <v>8.77E-2</v>
      </c>
      <c r="D21" s="416">
        <f t="shared" si="0"/>
        <v>9.8000000000000004E-2</v>
      </c>
      <c r="E21" s="416"/>
      <c r="F21" s="412" t="s">
        <v>655</v>
      </c>
      <c r="G21" s="417">
        <v>1.766</v>
      </c>
      <c r="H21" s="418" t="s">
        <v>635</v>
      </c>
      <c r="I21" s="418" t="s">
        <v>635</v>
      </c>
      <c r="J21" s="418" t="s">
        <v>635</v>
      </c>
      <c r="K21" s="418" t="s">
        <v>635</v>
      </c>
      <c r="L21" s="419">
        <v>2.96</v>
      </c>
      <c r="M21" s="419">
        <v>3.52</v>
      </c>
      <c r="N21" s="419">
        <v>2.19</v>
      </c>
      <c r="O21" s="418" t="s">
        <v>635</v>
      </c>
      <c r="P21" s="419">
        <v>3</v>
      </c>
      <c r="Q21" s="418" t="s">
        <v>635</v>
      </c>
      <c r="R21" s="419">
        <v>1.75</v>
      </c>
      <c r="S21" s="418" t="s">
        <v>635</v>
      </c>
    </row>
    <row r="22" spans="1:19">
      <c r="A22" s="415">
        <v>1992</v>
      </c>
      <c r="B22" s="416">
        <f t="shared" si="1"/>
        <v>7.6700000000000004E-2</v>
      </c>
      <c r="C22" s="416">
        <f t="shared" si="0"/>
        <v>8.14E-2</v>
      </c>
      <c r="D22" s="416">
        <f t="shared" si="0"/>
        <v>8.9800000000000005E-2</v>
      </c>
      <c r="E22" s="416"/>
      <c r="F22" s="412" t="s">
        <v>656</v>
      </c>
      <c r="G22" s="417">
        <v>1.931</v>
      </c>
      <c r="H22" s="418" t="s">
        <v>635</v>
      </c>
      <c r="I22" s="419">
        <v>2.4700000000000002</v>
      </c>
      <c r="J22" s="419">
        <v>2.85</v>
      </c>
      <c r="K22" s="418" t="s">
        <v>635</v>
      </c>
      <c r="L22" s="419">
        <v>3.2</v>
      </c>
      <c r="M22" s="419">
        <v>3.74</v>
      </c>
      <c r="N22" s="419">
        <v>2.72</v>
      </c>
      <c r="O22" s="418" t="s">
        <v>635</v>
      </c>
      <c r="P22" s="419">
        <v>3.17</v>
      </c>
      <c r="Q22" s="418" t="s">
        <v>635</v>
      </c>
      <c r="R22" s="419">
        <v>1.99</v>
      </c>
      <c r="S22" s="418" t="s">
        <v>635</v>
      </c>
    </row>
    <row r="23" spans="1:19">
      <c r="A23" s="415">
        <v>1993</v>
      </c>
      <c r="B23" s="416">
        <f t="shared" si="1"/>
        <v>6.59E-2</v>
      </c>
      <c r="C23" s="416">
        <f t="shared" si="0"/>
        <v>7.22E-2</v>
      </c>
      <c r="D23" s="416">
        <f t="shared" si="0"/>
        <v>7.9299999999999995E-2</v>
      </c>
      <c r="E23" s="416"/>
      <c r="F23" s="412" t="s">
        <v>657</v>
      </c>
      <c r="G23" s="420">
        <v>0.95299999999999996</v>
      </c>
      <c r="H23" s="418" t="s">
        <v>635</v>
      </c>
      <c r="I23" s="419">
        <v>1.63</v>
      </c>
      <c r="J23" s="419">
        <v>2.4</v>
      </c>
      <c r="K23" s="418" t="s">
        <v>635</v>
      </c>
      <c r="L23" s="419">
        <v>2.9</v>
      </c>
      <c r="M23" s="419">
        <v>3.51</v>
      </c>
      <c r="N23" s="419">
        <v>2.37</v>
      </c>
      <c r="O23" s="418" t="s">
        <v>635</v>
      </c>
      <c r="P23" s="419">
        <v>3.05</v>
      </c>
      <c r="Q23" s="418" t="s">
        <v>635</v>
      </c>
      <c r="R23" s="419">
        <v>1.6</v>
      </c>
      <c r="S23" s="418" t="s">
        <v>635</v>
      </c>
    </row>
    <row r="24" spans="1:19">
      <c r="A24" s="415">
        <v>1994</v>
      </c>
      <c r="B24" s="416">
        <f t="shared" si="1"/>
        <v>7.3700000000000002E-2</v>
      </c>
      <c r="C24" s="416">
        <f t="shared" si="0"/>
        <v>7.9600000000000004E-2</v>
      </c>
      <c r="D24" s="416">
        <f t="shared" si="0"/>
        <v>8.6199999999999999E-2</v>
      </c>
      <c r="E24" s="416"/>
      <c r="F24" s="412" t="s">
        <v>658</v>
      </c>
      <c r="G24" s="417">
        <v>1.7529999999999999</v>
      </c>
      <c r="H24" s="418" t="s">
        <v>635</v>
      </c>
      <c r="I24" s="419">
        <v>2.4700000000000002</v>
      </c>
      <c r="J24" s="419">
        <v>2.82</v>
      </c>
      <c r="K24" s="418" t="s">
        <v>635</v>
      </c>
      <c r="L24" s="419">
        <v>3.06</v>
      </c>
      <c r="M24" s="419">
        <v>3.53</v>
      </c>
      <c r="N24" s="419">
        <v>2.5299999999999998</v>
      </c>
      <c r="O24" s="418" t="s">
        <v>635</v>
      </c>
      <c r="P24" s="419">
        <v>3.16</v>
      </c>
      <c r="Q24" s="418" t="s">
        <v>635</v>
      </c>
      <c r="R24" s="422">
        <v>1.89</v>
      </c>
      <c r="S24" s="423">
        <v>1.79</v>
      </c>
    </row>
    <row r="25" spans="1:19">
      <c r="A25" s="415">
        <v>1995</v>
      </c>
      <c r="B25" s="416">
        <f t="shared" si="1"/>
        <v>6.88E-2</v>
      </c>
      <c r="C25" s="416">
        <f t="shared" si="0"/>
        <v>7.5899999999999995E-2</v>
      </c>
      <c r="D25" s="416">
        <f t="shared" si="0"/>
        <v>8.199999999999999E-2</v>
      </c>
      <c r="E25" s="416"/>
      <c r="F25" s="412" t="s">
        <v>659</v>
      </c>
      <c r="G25" s="417">
        <v>2.6579999999999999</v>
      </c>
      <c r="H25" s="418" t="s">
        <v>635</v>
      </c>
      <c r="I25" s="419">
        <v>3.19</v>
      </c>
      <c r="J25" s="419">
        <v>3.18</v>
      </c>
      <c r="K25" s="418" t="s">
        <v>635</v>
      </c>
      <c r="L25" s="419">
        <v>3.36</v>
      </c>
      <c r="M25" s="419">
        <v>3.88</v>
      </c>
      <c r="N25" s="419">
        <v>2.93</v>
      </c>
      <c r="O25" s="418" t="s">
        <v>635</v>
      </c>
      <c r="P25" s="419">
        <v>3.77</v>
      </c>
      <c r="Q25" s="418" t="s">
        <v>635</v>
      </c>
      <c r="R25" s="422">
        <v>2.77</v>
      </c>
      <c r="S25" s="424">
        <v>2.73</v>
      </c>
    </row>
    <row r="26" spans="1:19">
      <c r="A26" s="415">
        <v>1996</v>
      </c>
      <c r="B26" s="416">
        <f t="shared" si="1"/>
        <v>6.7099999999999993E-2</v>
      </c>
      <c r="C26" s="416">
        <f t="shared" si="0"/>
        <v>7.3700000000000002E-2</v>
      </c>
      <c r="D26" s="416">
        <f t="shared" si="0"/>
        <v>8.0500000000000002E-2</v>
      </c>
      <c r="E26" s="416"/>
      <c r="F26" s="412" t="s">
        <v>660</v>
      </c>
      <c r="G26" s="417">
        <v>3.2669999999999999</v>
      </c>
      <c r="H26" s="418" t="s">
        <v>635</v>
      </c>
      <c r="I26" s="419">
        <v>3.98</v>
      </c>
      <c r="J26" s="419">
        <v>3.65</v>
      </c>
      <c r="K26" s="418" t="s">
        <v>635</v>
      </c>
      <c r="L26" s="419">
        <v>3.89</v>
      </c>
      <c r="M26" s="419">
        <v>4.71</v>
      </c>
      <c r="N26" s="419">
        <v>3.6</v>
      </c>
      <c r="O26" s="418" t="s">
        <v>635</v>
      </c>
      <c r="P26" s="419">
        <v>4.2</v>
      </c>
      <c r="Q26" s="418" t="s">
        <v>635</v>
      </c>
      <c r="R26" s="422">
        <v>3.12</v>
      </c>
      <c r="S26" s="424">
        <v>3.11</v>
      </c>
    </row>
    <row r="27" spans="1:19">
      <c r="A27" s="415">
        <v>1997</v>
      </c>
      <c r="B27" s="416">
        <f t="shared" si="1"/>
        <v>6.6100000000000006E-2</v>
      </c>
      <c r="C27" s="416">
        <f t="shared" si="0"/>
        <v>7.2599999999999998E-2</v>
      </c>
      <c r="D27" s="416">
        <f t="shared" si="0"/>
        <v>7.8600000000000003E-2</v>
      </c>
      <c r="E27" s="425"/>
      <c r="F27" s="412" t="s">
        <v>661</v>
      </c>
      <c r="G27" s="417">
        <v>1.839</v>
      </c>
      <c r="H27" s="418" t="s">
        <v>635</v>
      </c>
      <c r="I27" s="419">
        <v>2.84</v>
      </c>
      <c r="J27" s="419">
        <v>3.32</v>
      </c>
      <c r="K27" s="418" t="s">
        <v>635</v>
      </c>
      <c r="L27" s="419">
        <v>3.79</v>
      </c>
      <c r="M27" s="419">
        <v>4.7300000000000004</v>
      </c>
      <c r="N27" s="419">
        <v>3.56</v>
      </c>
      <c r="O27" s="418" t="s">
        <v>635</v>
      </c>
      <c r="P27" s="419">
        <v>3.83</v>
      </c>
      <c r="Q27" s="418" t="s">
        <v>635</v>
      </c>
      <c r="R27" s="422">
        <v>2.15</v>
      </c>
      <c r="S27" s="424">
        <v>1.57</v>
      </c>
    </row>
    <row r="28" spans="1:19">
      <c r="A28" s="415">
        <v>1998</v>
      </c>
      <c r="B28" s="416">
        <f t="shared" si="1"/>
        <v>5.5800000000000002E-2</v>
      </c>
      <c r="C28" s="416">
        <f t="shared" si="0"/>
        <v>6.5299999999999997E-2</v>
      </c>
      <c r="D28" s="416">
        <f t="shared" si="0"/>
        <v>7.22E-2</v>
      </c>
      <c r="E28" s="425"/>
      <c r="F28" s="412" t="s">
        <v>662</v>
      </c>
      <c r="G28" s="417">
        <v>3.4049999999999998</v>
      </c>
      <c r="H28" s="417">
        <v>3.8319999999999999</v>
      </c>
      <c r="I28" s="419">
        <v>4.46</v>
      </c>
      <c r="J28" s="419">
        <v>4.33</v>
      </c>
      <c r="K28" s="418" t="s">
        <v>635</v>
      </c>
      <c r="L28" s="419">
        <v>4.38</v>
      </c>
      <c r="M28" s="419">
        <v>5.05</v>
      </c>
      <c r="N28" s="419">
        <v>3.95</v>
      </c>
      <c r="O28" s="418" t="s">
        <v>635</v>
      </c>
      <c r="P28" s="419">
        <v>4.4800000000000004</v>
      </c>
      <c r="Q28" s="418" t="s">
        <v>635</v>
      </c>
      <c r="R28" s="422">
        <v>3.36</v>
      </c>
      <c r="S28" s="423">
        <v>3.31</v>
      </c>
    </row>
    <row r="29" spans="1:19">
      <c r="A29" s="415">
        <v>1999</v>
      </c>
      <c r="B29" s="416">
        <f t="shared" si="1"/>
        <v>5.8700000000000002E-2</v>
      </c>
      <c r="C29" s="416">
        <f t="shared" si="0"/>
        <v>7.0400000000000004E-2</v>
      </c>
      <c r="D29" s="416">
        <f t="shared" si="0"/>
        <v>7.8700000000000006E-2</v>
      </c>
      <c r="E29" s="425"/>
      <c r="F29" s="412" t="s">
        <v>663</v>
      </c>
      <c r="G29" s="419">
        <v>2.93</v>
      </c>
      <c r="H29" s="419">
        <v>3.25</v>
      </c>
      <c r="I29" s="419">
        <v>3.98</v>
      </c>
      <c r="J29" s="419">
        <v>4.12</v>
      </c>
      <c r="K29" s="418" t="s">
        <v>635</v>
      </c>
      <c r="L29" s="419">
        <v>4.41</v>
      </c>
      <c r="M29" s="419">
        <v>5.19</v>
      </c>
      <c r="N29" s="419">
        <v>3.73</v>
      </c>
      <c r="O29" s="418" t="s">
        <v>635</v>
      </c>
      <c r="P29" s="419">
        <v>4.82</v>
      </c>
      <c r="Q29" s="418" t="s">
        <v>635</v>
      </c>
      <c r="R29" s="422">
        <v>3.53</v>
      </c>
      <c r="S29" s="426">
        <v>3.21</v>
      </c>
    </row>
    <row r="30" spans="1:19">
      <c r="A30" s="415">
        <v>2000</v>
      </c>
      <c r="B30" s="416">
        <f t="shared" si="1"/>
        <v>5.9400000000000001E-2</v>
      </c>
      <c r="C30" s="416">
        <f t="shared" si="0"/>
        <v>7.6200000000000004E-2</v>
      </c>
      <c r="D30" s="416">
        <f t="shared" si="0"/>
        <v>8.3599999999999994E-2</v>
      </c>
      <c r="E30" s="425"/>
      <c r="F30" s="412" t="s">
        <v>664</v>
      </c>
      <c r="G30" s="419">
        <v>2.38</v>
      </c>
      <c r="H30" s="419">
        <v>2.61</v>
      </c>
      <c r="I30" s="419">
        <v>3.54</v>
      </c>
      <c r="J30" s="419">
        <v>3.88</v>
      </c>
      <c r="K30" s="418" t="s">
        <v>635</v>
      </c>
      <c r="L30" s="419">
        <v>4.3499999999999996</v>
      </c>
      <c r="M30" s="419">
        <v>5.08</v>
      </c>
      <c r="N30" s="419">
        <v>3.46</v>
      </c>
      <c r="O30" s="418" t="s">
        <v>635</v>
      </c>
      <c r="P30" s="419">
        <v>4.5</v>
      </c>
      <c r="Q30" s="418" t="s">
        <v>635</v>
      </c>
      <c r="R30" s="422">
        <v>3</v>
      </c>
      <c r="S30" s="426">
        <v>1.95</v>
      </c>
    </row>
    <row r="31" spans="1:19">
      <c r="A31" s="415">
        <v>2001</v>
      </c>
      <c r="B31" s="416">
        <f t="shared" si="1"/>
        <v>5.4900000000000004E-2</v>
      </c>
      <c r="C31" s="416">
        <f t="shared" si="0"/>
        <v>7.0800000000000002E-2</v>
      </c>
      <c r="D31" s="416">
        <f t="shared" si="0"/>
        <v>7.9500000000000001E-2</v>
      </c>
      <c r="E31" s="425"/>
      <c r="F31" s="412" t="s">
        <v>665</v>
      </c>
      <c r="G31" s="419">
        <v>2.78</v>
      </c>
      <c r="H31" s="419">
        <v>2.91</v>
      </c>
      <c r="I31" s="419">
        <v>3.47</v>
      </c>
      <c r="J31" s="419">
        <v>3.95</v>
      </c>
      <c r="K31" s="418" t="s">
        <v>635</v>
      </c>
      <c r="L31" s="419">
        <v>4.33</v>
      </c>
      <c r="M31" s="419">
        <v>5.0199999999999996</v>
      </c>
      <c r="N31" s="419">
        <v>3.18</v>
      </c>
      <c r="O31" s="418" t="s">
        <v>635</v>
      </c>
      <c r="P31" s="419">
        <v>4.5</v>
      </c>
      <c r="Q31" s="418" t="s">
        <v>635</v>
      </c>
      <c r="R31" s="422">
        <v>3</v>
      </c>
      <c r="S31" s="426">
        <v>2.71</v>
      </c>
    </row>
    <row r="32" spans="1:19">
      <c r="A32" s="415">
        <v>2002</v>
      </c>
      <c r="B32" s="427">
        <f>'Workpaper 4'!C35</f>
        <v>5.4299999999999994E-2</v>
      </c>
      <c r="C32" s="416">
        <f t="shared" si="0"/>
        <v>6.4899999999999999E-2</v>
      </c>
      <c r="D32" s="416">
        <f t="shared" si="0"/>
        <v>7.8E-2</v>
      </c>
      <c r="E32" s="425"/>
      <c r="F32" s="412" t="s">
        <v>666</v>
      </c>
      <c r="G32" s="419">
        <v>3.16</v>
      </c>
      <c r="H32" s="419">
        <v>3.25</v>
      </c>
      <c r="I32" s="419">
        <v>3.67</v>
      </c>
      <c r="J32" s="419">
        <v>4</v>
      </c>
      <c r="K32" s="418" t="s">
        <v>635</v>
      </c>
      <c r="L32" s="419">
        <v>4.26</v>
      </c>
      <c r="M32" s="419">
        <v>4.8600000000000003</v>
      </c>
      <c r="N32" s="419">
        <v>3.23</v>
      </c>
      <c r="O32" s="419">
        <v>5.89</v>
      </c>
      <c r="P32" s="419">
        <v>4.5</v>
      </c>
      <c r="Q32" s="418" t="s">
        <v>635</v>
      </c>
      <c r="R32" s="422">
        <v>3.23</v>
      </c>
      <c r="S32" s="428">
        <v>3.18</v>
      </c>
    </row>
    <row r="33" spans="1:19">
      <c r="A33" s="415">
        <v>2003</v>
      </c>
      <c r="B33" s="427">
        <f>'Workpaper 4'!C36</f>
        <v>4.9575000000000008E-2</v>
      </c>
      <c r="C33" s="416">
        <f t="shared" si="0"/>
        <v>5.67E-2</v>
      </c>
      <c r="D33" s="416">
        <f t="shared" si="0"/>
        <v>6.7699999999999996E-2</v>
      </c>
      <c r="E33" s="425"/>
      <c r="F33" s="412" t="s">
        <v>667</v>
      </c>
      <c r="G33" s="419">
        <v>3.56</v>
      </c>
      <c r="H33" s="419">
        <v>3.69</v>
      </c>
      <c r="I33" s="419">
        <v>4.03</v>
      </c>
      <c r="J33" s="419">
        <v>4.1900000000000004</v>
      </c>
      <c r="K33" s="418" t="s">
        <v>635</v>
      </c>
      <c r="L33" s="419">
        <v>4.4000000000000004</v>
      </c>
      <c r="M33" s="419">
        <v>4.83</v>
      </c>
      <c r="N33" s="419">
        <v>3.22</v>
      </c>
      <c r="O33" s="419">
        <v>5.83</v>
      </c>
      <c r="P33" s="419">
        <v>4.5</v>
      </c>
      <c r="Q33" s="418" t="s">
        <v>635</v>
      </c>
      <c r="R33" s="422">
        <v>3.55</v>
      </c>
      <c r="S33" s="428">
        <v>3.5</v>
      </c>
    </row>
    <row r="34" spans="1:19">
      <c r="A34" s="415">
        <v>2004</v>
      </c>
      <c r="B34" s="427">
        <f>'Workpaper 4'!C37</f>
        <v>5.0466666666666667E-2</v>
      </c>
      <c r="C34" s="416">
        <f t="shared" si="0"/>
        <v>5.6299999999999996E-2</v>
      </c>
      <c r="D34" s="416">
        <f t="shared" si="0"/>
        <v>6.3899999999999998E-2</v>
      </c>
      <c r="E34" s="425"/>
      <c r="F34" s="412" t="s">
        <v>668</v>
      </c>
      <c r="G34" s="419">
        <v>3.95</v>
      </c>
      <c r="H34" s="419">
        <v>4.05</v>
      </c>
      <c r="I34" s="419">
        <v>4.22</v>
      </c>
      <c r="J34" s="419">
        <v>4.28</v>
      </c>
      <c r="K34" s="418" t="s">
        <v>635</v>
      </c>
      <c r="L34" s="419">
        <v>4.49</v>
      </c>
      <c r="M34" s="419">
        <v>4.87</v>
      </c>
      <c r="N34" s="419">
        <v>3.27</v>
      </c>
      <c r="O34" s="419">
        <v>5.81</v>
      </c>
      <c r="P34" s="419">
        <v>4.54</v>
      </c>
      <c r="Q34" s="418" t="s">
        <v>635</v>
      </c>
      <c r="R34" s="422">
        <v>4.04</v>
      </c>
      <c r="S34" s="428">
        <v>4.07</v>
      </c>
    </row>
    <row r="35" spans="1:19">
      <c r="A35" s="415">
        <v>2005</v>
      </c>
      <c r="B35" s="427">
        <f>'Workpaper 4'!C38</f>
        <v>4.6458333333333331E-2</v>
      </c>
      <c r="C35" s="416">
        <f t="shared" si="0"/>
        <v>5.2400000000000002E-2</v>
      </c>
      <c r="D35" s="416">
        <f t="shared" si="0"/>
        <v>6.0599999999999994E-2</v>
      </c>
      <c r="E35" s="429"/>
      <c r="F35" s="412" t="s">
        <v>669</v>
      </c>
      <c r="G35" s="419">
        <v>4.88</v>
      </c>
      <c r="H35" s="419">
        <v>5.08</v>
      </c>
      <c r="I35" s="419">
        <v>5.23</v>
      </c>
      <c r="J35" s="419">
        <v>4.93</v>
      </c>
      <c r="K35" s="418" t="s">
        <v>635</v>
      </c>
      <c r="L35" s="419">
        <v>5.13</v>
      </c>
      <c r="M35" s="419">
        <v>5.67</v>
      </c>
      <c r="N35" s="419">
        <v>3.82</v>
      </c>
      <c r="O35" s="419">
        <v>6.25</v>
      </c>
      <c r="P35" s="419">
        <v>5.63</v>
      </c>
      <c r="Q35" s="418" t="s">
        <v>635</v>
      </c>
      <c r="R35" s="422">
        <v>4.5</v>
      </c>
      <c r="S35" s="428">
        <v>5.1100000000000003</v>
      </c>
    </row>
    <row r="36" spans="1:19">
      <c r="A36" s="415">
        <v>2006</v>
      </c>
      <c r="B36" s="416">
        <f>K75/100</f>
        <v>4.9100000000000005E-2</v>
      </c>
      <c r="C36" s="416">
        <f t="shared" si="0"/>
        <v>5.5899999999999998E-2</v>
      </c>
      <c r="D36" s="416">
        <f t="shared" si="0"/>
        <v>6.480000000000001E-2</v>
      </c>
      <c r="F36" s="412" t="s">
        <v>670</v>
      </c>
      <c r="G36" s="419">
        <v>4.32</v>
      </c>
      <c r="H36" s="419">
        <v>4.63</v>
      </c>
      <c r="I36" s="419">
        <v>5.03</v>
      </c>
      <c r="J36" s="419">
        <v>5.07</v>
      </c>
      <c r="K36" s="418" t="s">
        <v>635</v>
      </c>
      <c r="L36" s="419">
        <v>5.51</v>
      </c>
      <c r="M36" s="419">
        <v>6.23</v>
      </c>
      <c r="N36" s="419">
        <v>3.98</v>
      </c>
      <c r="O36" s="419">
        <v>6.46</v>
      </c>
      <c r="P36" s="419">
        <v>5.63</v>
      </c>
      <c r="Q36" s="418" t="s">
        <v>635</v>
      </c>
      <c r="R36" s="422">
        <v>4.1900000000000004</v>
      </c>
      <c r="S36" s="428">
        <v>4.22</v>
      </c>
    </row>
    <row r="37" spans="1:19">
      <c r="A37" s="415">
        <v>2007</v>
      </c>
      <c r="B37" s="416">
        <f>K76/100</f>
        <v>4.8399999999999999E-2</v>
      </c>
      <c r="C37" s="416">
        <f t="shared" si="0"/>
        <v>5.5599999999999997E-2</v>
      </c>
      <c r="D37" s="416">
        <f t="shared" si="0"/>
        <v>6.480000000000001E-2</v>
      </c>
      <c r="F37" s="412" t="s">
        <v>671</v>
      </c>
      <c r="G37" s="419">
        <v>5.34</v>
      </c>
      <c r="H37" s="419">
        <v>5.47</v>
      </c>
      <c r="I37" s="419">
        <v>5.68</v>
      </c>
      <c r="J37" s="419">
        <v>5.64</v>
      </c>
      <c r="K37" s="418" t="s">
        <v>635</v>
      </c>
      <c r="L37" s="419">
        <v>6.18</v>
      </c>
      <c r="M37" s="419">
        <v>6.94</v>
      </c>
      <c r="N37" s="419">
        <v>4.51</v>
      </c>
      <c r="O37" s="419">
        <v>6.97</v>
      </c>
      <c r="P37" s="419">
        <v>6.31</v>
      </c>
      <c r="Q37" s="418" t="s">
        <v>635</v>
      </c>
      <c r="R37" s="422">
        <v>5.17</v>
      </c>
      <c r="S37" s="428">
        <v>5.66</v>
      </c>
    </row>
    <row r="38" spans="1:19">
      <c r="A38" s="415">
        <v>2008</v>
      </c>
      <c r="B38" s="416">
        <f>K77/100</f>
        <v>4.2800000000000005E-2</v>
      </c>
      <c r="C38" s="416">
        <f t="shared" si="0"/>
        <v>5.6299999999999996E-2</v>
      </c>
      <c r="D38" s="416">
        <f t="shared" si="0"/>
        <v>7.4499999999999997E-2</v>
      </c>
      <c r="F38" s="412" t="s">
        <v>672</v>
      </c>
      <c r="G38" s="419">
        <v>6.68</v>
      </c>
      <c r="H38" s="419">
        <v>6.85</v>
      </c>
      <c r="I38" s="419">
        <v>7.02</v>
      </c>
      <c r="J38" s="419">
        <v>6.67</v>
      </c>
      <c r="K38" s="418" t="s">
        <v>635</v>
      </c>
      <c r="L38" s="419">
        <v>7.03</v>
      </c>
      <c r="M38" s="419">
        <v>7.81</v>
      </c>
      <c r="N38" s="419">
        <v>5.81</v>
      </c>
      <c r="O38" s="419">
        <v>7.81</v>
      </c>
      <c r="P38" s="419">
        <v>7.96</v>
      </c>
      <c r="Q38" s="418" t="s">
        <v>635</v>
      </c>
      <c r="R38" s="422">
        <v>5.87</v>
      </c>
      <c r="S38" s="423">
        <v>8.2100000000000009</v>
      </c>
    </row>
    <row r="39" spans="1:19">
      <c r="A39" s="415">
        <v>2009</v>
      </c>
      <c r="B39" s="416">
        <f>K78/100</f>
        <v>4.0800000000000003E-2</v>
      </c>
      <c r="C39" s="416">
        <f t="shared" si="0"/>
        <v>5.3099999999999994E-2</v>
      </c>
      <c r="D39" s="416">
        <f>M78/100</f>
        <v>7.2999999999999995E-2</v>
      </c>
      <c r="F39" s="412" t="s">
        <v>673</v>
      </c>
      <c r="G39" s="419">
        <v>6.43</v>
      </c>
      <c r="H39" s="419">
        <v>6.53</v>
      </c>
      <c r="I39" s="419">
        <v>7.29</v>
      </c>
      <c r="J39" s="419">
        <v>7.35</v>
      </c>
      <c r="K39" s="418" t="s">
        <v>635</v>
      </c>
      <c r="L39" s="419">
        <v>8.0399999999999991</v>
      </c>
      <c r="M39" s="419">
        <v>9.11</v>
      </c>
      <c r="N39" s="419">
        <v>6.51</v>
      </c>
      <c r="O39" s="419">
        <v>8.4499999999999993</v>
      </c>
      <c r="P39" s="419">
        <v>7.91</v>
      </c>
      <c r="Q39" s="418" t="s">
        <v>635</v>
      </c>
      <c r="R39" s="422">
        <v>5.95</v>
      </c>
      <c r="S39" s="423">
        <v>7.17</v>
      </c>
    </row>
    <row r="40" spans="1:19">
      <c r="A40" s="430">
        <v>2010</v>
      </c>
      <c r="B40" s="425">
        <f>'Workpaper 4'!C43</f>
        <v>4.2508333333333335E-2</v>
      </c>
      <c r="C40" s="425">
        <f>'Workpaper 7'!C44</f>
        <v>4.9433333333333336E-2</v>
      </c>
      <c r="D40" s="425">
        <f>'Workpaper 7'!E44</f>
        <v>6.0383333333333344E-2</v>
      </c>
      <c r="F40" s="412" t="s">
        <v>674</v>
      </c>
      <c r="G40" s="419">
        <v>4.3499999999999996</v>
      </c>
      <c r="H40" s="419">
        <v>4.51</v>
      </c>
      <c r="I40" s="419">
        <v>5.66</v>
      </c>
      <c r="J40" s="419">
        <v>6.16</v>
      </c>
      <c r="K40" s="418" t="s">
        <v>635</v>
      </c>
      <c r="L40" s="419">
        <v>7.39</v>
      </c>
      <c r="M40" s="419">
        <v>8.56</v>
      </c>
      <c r="N40" s="419">
        <v>5.7</v>
      </c>
      <c r="O40" s="419">
        <v>7.74</v>
      </c>
      <c r="P40" s="419">
        <v>5.73</v>
      </c>
      <c r="Q40" s="418" t="s">
        <v>635</v>
      </c>
      <c r="R40" s="422">
        <v>4.88</v>
      </c>
      <c r="S40" s="423">
        <v>4.67</v>
      </c>
    </row>
    <row r="41" spans="1:19">
      <c r="A41" s="431" t="s">
        <v>611</v>
      </c>
      <c r="B41" s="432">
        <f>'Workpaper 4'!C44</f>
        <v>4.1999999999999996E-2</v>
      </c>
      <c r="C41" s="432">
        <f>'Workpaper 7'!C53</f>
        <v>4.8766666666666666E-2</v>
      </c>
      <c r="D41" s="432">
        <f>'Workpaper 7'!E53</f>
        <v>5.8011111111111111E-2</v>
      </c>
      <c r="F41" s="412" t="s">
        <v>675</v>
      </c>
      <c r="G41" s="419">
        <v>4.07</v>
      </c>
      <c r="H41" s="419">
        <v>4.47</v>
      </c>
      <c r="I41" s="419">
        <v>5.72</v>
      </c>
      <c r="J41" s="419">
        <v>6.21</v>
      </c>
      <c r="K41" s="418" t="s">
        <v>635</v>
      </c>
      <c r="L41" s="419">
        <v>7.21</v>
      </c>
      <c r="M41" s="419">
        <v>8.16</v>
      </c>
      <c r="N41" s="419">
        <v>5.27</v>
      </c>
      <c r="O41" s="419">
        <v>7.6</v>
      </c>
      <c r="P41" s="419">
        <v>5.25</v>
      </c>
      <c r="Q41" s="418" t="s">
        <v>635</v>
      </c>
      <c r="R41" s="422">
        <v>4.5</v>
      </c>
      <c r="S41" s="423">
        <v>4.4400000000000004</v>
      </c>
    </row>
    <row r="42" spans="1:19">
      <c r="F42" s="412" t="s">
        <v>676</v>
      </c>
      <c r="G42" s="419">
        <v>7.04</v>
      </c>
      <c r="H42" s="422">
        <v>7.18</v>
      </c>
      <c r="I42" s="423">
        <v>6.96</v>
      </c>
      <c r="J42" s="419">
        <v>6.85</v>
      </c>
      <c r="K42" s="418" t="s">
        <v>635</v>
      </c>
      <c r="L42" s="419">
        <v>7.44</v>
      </c>
      <c r="M42" s="419">
        <v>8.24</v>
      </c>
      <c r="N42" s="419">
        <v>5.18</v>
      </c>
      <c r="O42" s="419">
        <v>7.96</v>
      </c>
      <c r="P42" s="419">
        <v>8.0299999999999994</v>
      </c>
      <c r="Q42" s="418" t="s">
        <v>635</v>
      </c>
      <c r="R42" s="422">
        <v>6.45</v>
      </c>
      <c r="S42" s="423">
        <v>8.74</v>
      </c>
    </row>
    <row r="43" spans="1:19">
      <c r="F43" s="412" t="s">
        <v>677</v>
      </c>
      <c r="G43" s="419">
        <v>7.89</v>
      </c>
      <c r="H43" s="422">
        <v>7.93</v>
      </c>
      <c r="I43" s="423">
        <v>7.84</v>
      </c>
      <c r="J43" s="419">
        <v>7.56</v>
      </c>
      <c r="K43" s="418" t="s">
        <v>635</v>
      </c>
      <c r="L43" s="419">
        <v>8.57</v>
      </c>
      <c r="M43" s="419">
        <v>9.5</v>
      </c>
      <c r="N43" s="419">
        <v>6.09</v>
      </c>
      <c r="O43" s="419">
        <v>8.92</v>
      </c>
      <c r="P43" s="419">
        <v>10.81</v>
      </c>
      <c r="Q43" s="418" t="s">
        <v>635</v>
      </c>
      <c r="R43" s="422">
        <v>7.83</v>
      </c>
      <c r="S43" s="423">
        <v>10.51</v>
      </c>
    </row>
    <row r="44" spans="1:19">
      <c r="F44" s="412" t="s">
        <v>678</v>
      </c>
      <c r="G44" s="419">
        <v>5.84</v>
      </c>
      <c r="H44" s="422">
        <v>6.12</v>
      </c>
      <c r="I44" s="423">
        <v>7.5</v>
      </c>
      <c r="J44" s="419">
        <v>7.99</v>
      </c>
      <c r="K44" s="418" t="s">
        <v>635</v>
      </c>
      <c r="L44" s="419">
        <v>8.83</v>
      </c>
      <c r="M44" s="419">
        <v>10.61</v>
      </c>
      <c r="N44" s="419">
        <v>6.89</v>
      </c>
      <c r="O44" s="419">
        <v>9</v>
      </c>
      <c r="P44" s="419">
        <v>7.86</v>
      </c>
      <c r="Q44" s="418" t="s">
        <v>635</v>
      </c>
      <c r="R44" s="422">
        <v>6.25</v>
      </c>
      <c r="S44" s="424">
        <v>5.82</v>
      </c>
    </row>
    <row r="45" spans="1:19">
      <c r="F45" s="412" t="s">
        <v>679</v>
      </c>
      <c r="G45" s="419">
        <v>4.99</v>
      </c>
      <c r="H45" s="422">
        <v>5.27</v>
      </c>
      <c r="I45" s="423">
        <v>6.77</v>
      </c>
      <c r="J45" s="419">
        <v>7.61</v>
      </c>
      <c r="K45" s="418" t="s">
        <v>635</v>
      </c>
      <c r="L45" s="419">
        <v>8.43</v>
      </c>
      <c r="M45" s="419">
        <v>9.75</v>
      </c>
      <c r="N45" s="419">
        <v>6.49</v>
      </c>
      <c r="O45" s="419">
        <v>9</v>
      </c>
      <c r="P45" s="419">
        <v>6.84</v>
      </c>
      <c r="Q45" s="418" t="s">
        <v>635</v>
      </c>
      <c r="R45" s="422">
        <v>5.5</v>
      </c>
      <c r="S45" s="423">
        <v>5.05</v>
      </c>
    </row>
    <row r="46" spans="1:19">
      <c r="F46" s="412" t="s">
        <v>680</v>
      </c>
      <c r="G46" s="419">
        <v>5.27</v>
      </c>
      <c r="H46" s="422">
        <v>5.52</v>
      </c>
      <c r="I46" s="423">
        <v>6.68</v>
      </c>
      <c r="J46" s="419">
        <v>7.42</v>
      </c>
      <c r="K46" s="419">
        <v>7.75</v>
      </c>
      <c r="L46" s="419">
        <v>8.02</v>
      </c>
      <c r="M46" s="419">
        <v>8.9700000000000006</v>
      </c>
      <c r="N46" s="419">
        <v>5.56</v>
      </c>
      <c r="O46" s="419">
        <v>9.02</v>
      </c>
      <c r="P46" s="419">
        <v>6.83</v>
      </c>
      <c r="Q46" s="418" t="s">
        <v>635</v>
      </c>
      <c r="R46" s="422">
        <v>5.46</v>
      </c>
      <c r="S46" s="424">
        <v>5.54</v>
      </c>
    </row>
    <row r="47" spans="1:19">
      <c r="F47" s="412" t="s">
        <v>681</v>
      </c>
      <c r="G47" s="419">
        <v>7.22</v>
      </c>
      <c r="H47" s="422">
        <v>7.58</v>
      </c>
      <c r="I47" s="423">
        <v>8.2899999999999991</v>
      </c>
      <c r="J47" s="419">
        <v>8.41</v>
      </c>
      <c r="K47" s="419">
        <v>8.49</v>
      </c>
      <c r="L47" s="419">
        <v>8.73</v>
      </c>
      <c r="M47" s="419">
        <v>9.49</v>
      </c>
      <c r="N47" s="419">
        <v>5.9</v>
      </c>
      <c r="O47" s="419">
        <v>9.56</v>
      </c>
      <c r="P47" s="419">
        <v>9.06</v>
      </c>
      <c r="Q47" s="418" t="s">
        <v>635</v>
      </c>
      <c r="R47" s="422">
        <v>7.46</v>
      </c>
      <c r="S47" s="423">
        <v>7.94</v>
      </c>
    </row>
    <row r="48" spans="1:19">
      <c r="F48" s="412" t="s">
        <v>682</v>
      </c>
      <c r="G48" s="419">
        <v>10.050000000000001</v>
      </c>
      <c r="H48" s="422">
        <v>10.02</v>
      </c>
      <c r="I48" s="423">
        <v>9.6999999999999993</v>
      </c>
      <c r="J48" s="419">
        <v>9.43</v>
      </c>
      <c r="K48" s="419">
        <v>9.2799999999999994</v>
      </c>
      <c r="L48" s="419">
        <v>9.6300000000000008</v>
      </c>
      <c r="M48" s="419">
        <v>10.69</v>
      </c>
      <c r="N48" s="419">
        <v>6.39</v>
      </c>
      <c r="O48" s="419">
        <v>10.78</v>
      </c>
      <c r="P48" s="419">
        <v>12.67</v>
      </c>
      <c r="Q48" s="418" t="s">
        <v>635</v>
      </c>
      <c r="R48" s="422">
        <v>10.29</v>
      </c>
      <c r="S48" s="423">
        <v>11.2</v>
      </c>
    </row>
    <row r="49" spans="6:19">
      <c r="F49" s="412" t="s">
        <v>683</v>
      </c>
      <c r="G49" s="419">
        <v>11.51</v>
      </c>
      <c r="H49" s="422">
        <v>11.37</v>
      </c>
      <c r="I49" s="423">
        <v>11.51</v>
      </c>
      <c r="J49" s="419">
        <v>11.43</v>
      </c>
      <c r="K49" s="419">
        <v>11.27</v>
      </c>
      <c r="L49" s="419">
        <v>11.94</v>
      </c>
      <c r="M49" s="419">
        <v>13.67</v>
      </c>
      <c r="N49" s="419">
        <v>8.51</v>
      </c>
      <c r="O49" s="419">
        <v>12.66</v>
      </c>
      <c r="P49" s="419">
        <v>15.26</v>
      </c>
      <c r="Q49" s="418" t="s">
        <v>635</v>
      </c>
      <c r="R49" s="422">
        <v>11.77</v>
      </c>
      <c r="S49" s="423">
        <v>13.35</v>
      </c>
    </row>
    <row r="50" spans="6:19">
      <c r="F50" s="412" t="s">
        <v>684</v>
      </c>
      <c r="G50" s="419">
        <v>14.03</v>
      </c>
      <c r="H50" s="422">
        <v>13.78</v>
      </c>
      <c r="I50" s="423">
        <v>14.46</v>
      </c>
      <c r="J50" s="419">
        <v>13.92</v>
      </c>
      <c r="K50" s="419">
        <v>13.45</v>
      </c>
      <c r="L50" s="419">
        <v>14.17</v>
      </c>
      <c r="M50" s="419">
        <v>16.04</v>
      </c>
      <c r="N50" s="419">
        <v>11.23</v>
      </c>
      <c r="O50" s="419">
        <v>14.7</v>
      </c>
      <c r="P50" s="419">
        <v>18.87</v>
      </c>
      <c r="Q50" s="418" t="s">
        <v>635</v>
      </c>
      <c r="R50" s="422">
        <v>13.42</v>
      </c>
      <c r="S50" s="423">
        <v>16.39</v>
      </c>
    </row>
    <row r="51" spans="6:19">
      <c r="F51" s="412" t="s">
        <v>685</v>
      </c>
      <c r="G51" s="419">
        <v>10.69</v>
      </c>
      <c r="H51" s="422">
        <v>11.08</v>
      </c>
      <c r="I51" s="423">
        <v>12.93</v>
      </c>
      <c r="J51" s="419">
        <v>13.01</v>
      </c>
      <c r="K51" s="419">
        <v>12.76</v>
      </c>
      <c r="L51" s="419">
        <v>13.79</v>
      </c>
      <c r="M51" s="419">
        <v>16.11</v>
      </c>
      <c r="N51" s="419">
        <v>11.57</v>
      </c>
      <c r="O51" s="419">
        <v>15.14</v>
      </c>
      <c r="P51" s="419">
        <v>14.85</v>
      </c>
      <c r="Q51" s="418" t="s">
        <v>635</v>
      </c>
      <c r="R51" s="422">
        <v>11.01</v>
      </c>
      <c r="S51" s="423">
        <v>12.24</v>
      </c>
    </row>
    <row r="52" spans="6:19">
      <c r="F52" s="412" t="s">
        <v>686</v>
      </c>
      <c r="G52" s="419">
        <v>8.6300000000000008</v>
      </c>
      <c r="H52" s="422">
        <v>8.75</v>
      </c>
      <c r="I52" s="423">
        <v>10.45</v>
      </c>
      <c r="J52" s="419">
        <v>11.1</v>
      </c>
      <c r="K52" s="419">
        <v>11.18</v>
      </c>
      <c r="L52" s="419">
        <v>12.04</v>
      </c>
      <c r="M52" s="419">
        <v>13.55</v>
      </c>
      <c r="N52" s="419">
        <v>9.4700000000000006</v>
      </c>
      <c r="O52" s="419">
        <v>12.57</v>
      </c>
      <c r="P52" s="419">
        <v>10.79</v>
      </c>
      <c r="Q52" s="418" t="s">
        <v>635</v>
      </c>
      <c r="R52" s="422">
        <v>8.5</v>
      </c>
      <c r="S52" s="424">
        <v>9.09</v>
      </c>
    </row>
    <row r="53" spans="6:19">
      <c r="F53" s="412" t="s">
        <v>687</v>
      </c>
      <c r="G53" s="419">
        <v>9.5299999999999994</v>
      </c>
      <c r="H53" s="422">
        <v>9.77</v>
      </c>
      <c r="I53" s="423">
        <v>11.92</v>
      </c>
      <c r="J53" s="419">
        <v>12.46</v>
      </c>
      <c r="K53" s="419">
        <v>12.41</v>
      </c>
      <c r="L53" s="419">
        <v>12.71</v>
      </c>
      <c r="M53" s="419">
        <v>14.19</v>
      </c>
      <c r="N53" s="419">
        <v>10.15</v>
      </c>
      <c r="O53" s="419">
        <v>12.38</v>
      </c>
      <c r="P53" s="419">
        <v>12.04</v>
      </c>
      <c r="Q53" s="418" t="s">
        <v>635</v>
      </c>
      <c r="R53" s="422">
        <v>8.8000000000000007</v>
      </c>
      <c r="S53" s="424">
        <v>10.23</v>
      </c>
    </row>
    <row r="54" spans="6:19">
      <c r="F54" s="412" t="s">
        <v>688</v>
      </c>
      <c r="G54" s="419">
        <v>7.47</v>
      </c>
      <c r="H54" s="419">
        <v>7.64</v>
      </c>
      <c r="I54" s="419">
        <v>9.64</v>
      </c>
      <c r="J54" s="419">
        <v>10.62</v>
      </c>
      <c r="K54" s="419">
        <v>10.79</v>
      </c>
      <c r="L54" s="419">
        <v>11.37</v>
      </c>
      <c r="M54" s="419">
        <v>12.72</v>
      </c>
      <c r="N54" s="419">
        <v>9.18</v>
      </c>
      <c r="O54" s="419">
        <v>11.55</v>
      </c>
      <c r="P54" s="419">
        <v>9.93</v>
      </c>
      <c r="Q54" s="418" t="s">
        <v>635</v>
      </c>
      <c r="R54" s="422">
        <v>7.69</v>
      </c>
      <c r="S54" s="424">
        <v>8.1</v>
      </c>
    </row>
    <row r="55" spans="6:19">
      <c r="F55" s="412" t="s">
        <v>689</v>
      </c>
      <c r="G55" s="419">
        <v>5.98</v>
      </c>
      <c r="H55" s="419">
        <v>6.03</v>
      </c>
      <c r="I55" s="419">
        <v>7.06</v>
      </c>
      <c r="J55" s="419">
        <v>7.67</v>
      </c>
      <c r="K55" s="419">
        <v>7.78</v>
      </c>
      <c r="L55" s="419">
        <v>9.02</v>
      </c>
      <c r="M55" s="419">
        <v>10.39</v>
      </c>
      <c r="N55" s="419">
        <v>7.38</v>
      </c>
      <c r="O55" s="419">
        <v>10.17</v>
      </c>
      <c r="P55" s="419">
        <v>8.33</v>
      </c>
      <c r="Q55" s="418" t="s">
        <v>635</v>
      </c>
      <c r="R55" s="422">
        <v>6.32</v>
      </c>
      <c r="S55" s="423">
        <v>6.8</v>
      </c>
    </row>
    <row r="56" spans="6:19">
      <c r="F56" s="412" t="s">
        <v>690</v>
      </c>
      <c r="G56" s="419">
        <v>5.82</v>
      </c>
      <c r="H56" s="419">
        <v>6.05</v>
      </c>
      <c r="I56" s="419">
        <v>7.68</v>
      </c>
      <c r="J56" s="419">
        <v>8.39</v>
      </c>
      <c r="K56" s="419">
        <v>8.59</v>
      </c>
      <c r="L56" s="419">
        <v>9.3800000000000008</v>
      </c>
      <c r="M56" s="419">
        <v>10.58</v>
      </c>
      <c r="N56" s="419">
        <v>7.73</v>
      </c>
      <c r="O56" s="419">
        <v>9.31</v>
      </c>
      <c r="P56" s="419">
        <v>8.2100000000000009</v>
      </c>
      <c r="Q56" s="418" t="s">
        <v>635</v>
      </c>
      <c r="R56" s="422">
        <v>5.66</v>
      </c>
      <c r="S56" s="428">
        <v>6.66</v>
      </c>
    </row>
    <row r="57" spans="6:19">
      <c r="F57" s="412" t="s">
        <v>691</v>
      </c>
      <c r="G57" s="419">
        <v>6.69</v>
      </c>
      <c r="H57" s="419">
        <v>6.92</v>
      </c>
      <c r="I57" s="419">
        <v>8.26</v>
      </c>
      <c r="J57" s="419">
        <v>8.85</v>
      </c>
      <c r="K57" s="419">
        <v>8.9600000000000009</v>
      </c>
      <c r="L57" s="419">
        <v>9.7100000000000009</v>
      </c>
      <c r="M57" s="419">
        <v>10.83</v>
      </c>
      <c r="N57" s="419">
        <v>7.76</v>
      </c>
      <c r="O57" s="419">
        <v>9.19</v>
      </c>
      <c r="P57" s="419">
        <v>9.32</v>
      </c>
      <c r="Q57" s="418" t="s">
        <v>635</v>
      </c>
      <c r="R57" s="422">
        <v>6.2</v>
      </c>
      <c r="S57" s="428">
        <v>7.57</v>
      </c>
    </row>
    <row r="58" spans="6:19">
      <c r="F58" s="412" t="s">
        <v>692</v>
      </c>
      <c r="G58" s="419">
        <v>8.1199999999999992</v>
      </c>
      <c r="H58" s="419">
        <v>8.0399999999999991</v>
      </c>
      <c r="I58" s="419">
        <v>8.5500000000000007</v>
      </c>
      <c r="J58" s="419">
        <v>8.49</v>
      </c>
      <c r="K58" s="419">
        <v>8.4499999999999993</v>
      </c>
      <c r="L58" s="419">
        <v>9.26</v>
      </c>
      <c r="M58" s="419">
        <v>10.18</v>
      </c>
      <c r="N58" s="419">
        <v>7.24</v>
      </c>
      <c r="O58" s="419">
        <v>10.130000000000001</v>
      </c>
      <c r="P58" s="419">
        <v>10.87</v>
      </c>
      <c r="Q58" s="418" t="s">
        <v>635</v>
      </c>
      <c r="R58" s="422">
        <v>6.93</v>
      </c>
      <c r="S58" s="428">
        <v>9.2100000000000009</v>
      </c>
    </row>
    <row r="59" spans="6:19">
      <c r="F59" s="412" t="s">
        <v>693</v>
      </c>
      <c r="G59" s="419">
        <v>7.51</v>
      </c>
      <c r="H59" s="419">
        <v>7.47</v>
      </c>
      <c r="I59" s="419">
        <v>8.26</v>
      </c>
      <c r="J59" s="419">
        <v>8.5500000000000007</v>
      </c>
      <c r="K59" s="419">
        <v>8.61</v>
      </c>
      <c r="L59" s="419">
        <v>9.32</v>
      </c>
      <c r="M59" s="419">
        <v>10.36</v>
      </c>
      <c r="N59" s="419">
        <v>7.25</v>
      </c>
      <c r="O59" s="419">
        <v>10.050000000000001</v>
      </c>
      <c r="P59" s="419">
        <v>10.01</v>
      </c>
      <c r="Q59" s="418" t="s">
        <v>635</v>
      </c>
      <c r="R59" s="422">
        <v>6.98</v>
      </c>
      <c r="S59" s="428">
        <v>8.1</v>
      </c>
    </row>
    <row r="60" spans="6:19">
      <c r="F60" s="412" t="s">
        <v>694</v>
      </c>
      <c r="G60" s="419">
        <v>5.42</v>
      </c>
      <c r="H60" s="419">
        <v>5.49</v>
      </c>
      <c r="I60" s="419">
        <v>6.82</v>
      </c>
      <c r="J60" s="419">
        <v>7.86</v>
      </c>
      <c r="K60" s="419">
        <v>8.14</v>
      </c>
      <c r="L60" s="419">
        <v>8.77</v>
      </c>
      <c r="M60" s="419">
        <v>9.8000000000000007</v>
      </c>
      <c r="N60" s="419">
        <v>6.89</v>
      </c>
      <c r="O60" s="419">
        <v>9.32</v>
      </c>
      <c r="P60" s="419">
        <v>8.4600000000000009</v>
      </c>
      <c r="Q60" s="418" t="s">
        <v>635</v>
      </c>
      <c r="R60" s="422">
        <v>5.45</v>
      </c>
      <c r="S60" s="428">
        <v>5.69</v>
      </c>
    </row>
    <row r="61" spans="6:19">
      <c r="F61" s="412" t="s">
        <v>695</v>
      </c>
      <c r="G61" s="419">
        <v>3.45</v>
      </c>
      <c r="H61" s="419">
        <v>3.57</v>
      </c>
      <c r="I61" s="419">
        <v>5.3</v>
      </c>
      <c r="J61" s="419">
        <v>7.01</v>
      </c>
      <c r="K61" s="419">
        <v>7.67</v>
      </c>
      <c r="L61" s="419">
        <v>8.14</v>
      </c>
      <c r="M61" s="419">
        <v>8.98</v>
      </c>
      <c r="N61" s="419">
        <v>6.41</v>
      </c>
      <c r="O61" s="419">
        <v>8.24</v>
      </c>
      <c r="P61" s="419">
        <v>6.25</v>
      </c>
      <c r="Q61" s="418" t="s">
        <v>635</v>
      </c>
      <c r="R61" s="422">
        <v>3.25</v>
      </c>
      <c r="S61" s="428">
        <v>3.52</v>
      </c>
    </row>
    <row r="62" spans="6:19">
      <c r="F62" s="412" t="s">
        <v>696</v>
      </c>
      <c r="G62" s="419">
        <v>3.02</v>
      </c>
      <c r="H62" s="419">
        <v>3.14</v>
      </c>
      <c r="I62" s="419">
        <v>4.4400000000000004</v>
      </c>
      <c r="J62" s="419">
        <v>5.87</v>
      </c>
      <c r="K62" s="419">
        <v>6.59</v>
      </c>
      <c r="L62" s="419">
        <v>7.22</v>
      </c>
      <c r="M62" s="419">
        <v>7.93</v>
      </c>
      <c r="N62" s="419">
        <v>5.63</v>
      </c>
      <c r="O62" s="419">
        <v>7.2</v>
      </c>
      <c r="P62" s="419">
        <v>6</v>
      </c>
      <c r="Q62" s="418" t="s">
        <v>635</v>
      </c>
      <c r="R62" s="422">
        <v>3</v>
      </c>
      <c r="S62" s="428">
        <v>3.02</v>
      </c>
    </row>
    <row r="63" spans="6:19">
      <c r="F63" s="412" t="s">
        <v>697</v>
      </c>
      <c r="G63" s="419">
        <v>4.29</v>
      </c>
      <c r="H63" s="419">
        <v>4.66</v>
      </c>
      <c r="I63" s="419">
        <v>6.27</v>
      </c>
      <c r="J63" s="419">
        <v>7.09</v>
      </c>
      <c r="K63" s="419">
        <v>7.37</v>
      </c>
      <c r="L63" s="419">
        <v>7.96</v>
      </c>
      <c r="M63" s="419">
        <v>8.6199999999999992</v>
      </c>
      <c r="N63" s="419">
        <v>6.19</v>
      </c>
      <c r="O63" s="419">
        <v>7.49</v>
      </c>
      <c r="P63" s="419">
        <v>7.15</v>
      </c>
      <c r="Q63" s="418" t="s">
        <v>635</v>
      </c>
      <c r="R63" s="422">
        <v>3.6</v>
      </c>
      <c r="S63" s="428">
        <v>4.21</v>
      </c>
    </row>
    <row r="64" spans="6:19">
      <c r="F64" s="412" t="s">
        <v>698</v>
      </c>
      <c r="G64" s="419">
        <v>5.51</v>
      </c>
      <c r="H64" s="419">
        <v>5.59</v>
      </c>
      <c r="I64" s="419">
        <v>6.25</v>
      </c>
      <c r="J64" s="419">
        <v>6.57</v>
      </c>
      <c r="K64" s="419">
        <v>6.88</v>
      </c>
      <c r="L64" s="419">
        <v>7.59</v>
      </c>
      <c r="M64" s="419">
        <v>8.1999999999999993</v>
      </c>
      <c r="N64" s="419">
        <v>5.95</v>
      </c>
      <c r="O64" s="419">
        <v>7.87</v>
      </c>
      <c r="P64" s="419">
        <v>8.83</v>
      </c>
      <c r="Q64" s="418" t="s">
        <v>635</v>
      </c>
      <c r="R64" s="422">
        <v>5.21</v>
      </c>
      <c r="S64" s="428">
        <v>5.83</v>
      </c>
    </row>
    <row r="65" spans="6:19">
      <c r="F65" s="412" t="s">
        <v>699</v>
      </c>
      <c r="G65" s="419">
        <v>5.0199999999999996</v>
      </c>
      <c r="H65" s="419">
        <v>5.09</v>
      </c>
      <c r="I65" s="419">
        <v>5.99</v>
      </c>
      <c r="J65" s="419">
        <v>6.44</v>
      </c>
      <c r="K65" s="419">
        <v>6.71</v>
      </c>
      <c r="L65" s="419">
        <v>7.37</v>
      </c>
      <c r="M65" s="419">
        <v>8.0500000000000007</v>
      </c>
      <c r="N65" s="419">
        <v>5.75</v>
      </c>
      <c r="O65" s="419">
        <v>7.8</v>
      </c>
      <c r="P65" s="419">
        <v>8.27</v>
      </c>
      <c r="Q65" s="418" t="s">
        <v>635</v>
      </c>
      <c r="R65" s="422">
        <v>5.0199999999999996</v>
      </c>
      <c r="S65" s="428">
        <v>5.3</v>
      </c>
    </row>
    <row r="66" spans="6:19">
      <c r="F66" s="412" t="s">
        <v>700</v>
      </c>
      <c r="G66" s="419">
        <v>5.07</v>
      </c>
      <c r="H66" s="419">
        <v>5.18</v>
      </c>
      <c r="I66" s="419">
        <v>6.1</v>
      </c>
      <c r="J66" s="419">
        <v>6.35</v>
      </c>
      <c r="K66" s="419">
        <v>6.61</v>
      </c>
      <c r="L66" s="419">
        <v>7.26</v>
      </c>
      <c r="M66" s="419">
        <v>7.86</v>
      </c>
      <c r="N66" s="419">
        <v>5.55</v>
      </c>
      <c r="O66" s="419">
        <v>7.71</v>
      </c>
      <c r="P66" s="419">
        <v>8.44</v>
      </c>
      <c r="Q66" s="418" t="s">
        <v>635</v>
      </c>
      <c r="R66" s="419">
        <v>5</v>
      </c>
      <c r="S66" s="419">
        <v>5.46</v>
      </c>
    </row>
    <row r="67" spans="6:19">
      <c r="F67" s="412" t="s">
        <v>701</v>
      </c>
      <c r="G67" s="419">
        <v>4.8099999999999996</v>
      </c>
      <c r="H67" s="419">
        <v>4.8499999999999996</v>
      </c>
      <c r="I67" s="419">
        <v>5.14</v>
      </c>
      <c r="J67" s="419">
        <v>5.26</v>
      </c>
      <c r="K67" s="419">
        <v>5.58</v>
      </c>
      <c r="L67" s="419">
        <v>6.53</v>
      </c>
      <c r="M67" s="419">
        <v>7.22</v>
      </c>
      <c r="N67" s="419">
        <v>5.12</v>
      </c>
      <c r="O67" s="419">
        <v>7.07</v>
      </c>
      <c r="P67" s="419">
        <v>8.35</v>
      </c>
      <c r="Q67" s="418" t="s">
        <v>635</v>
      </c>
      <c r="R67" s="419">
        <v>4.92</v>
      </c>
      <c r="S67" s="419">
        <v>5.35</v>
      </c>
    </row>
    <row r="68" spans="6:19">
      <c r="F68" s="412" t="s">
        <v>702</v>
      </c>
      <c r="G68" s="419">
        <v>4.66</v>
      </c>
      <c r="H68" s="419">
        <v>4.76</v>
      </c>
      <c r="I68" s="419">
        <v>5.49</v>
      </c>
      <c r="J68" s="419">
        <v>5.65</v>
      </c>
      <c r="K68" s="419">
        <v>5.87</v>
      </c>
      <c r="L68" s="419">
        <v>7.04</v>
      </c>
      <c r="M68" s="419">
        <v>7.87</v>
      </c>
      <c r="N68" s="419">
        <v>5.43</v>
      </c>
      <c r="O68" s="419">
        <v>7.04</v>
      </c>
      <c r="P68" s="419">
        <v>8</v>
      </c>
      <c r="Q68" s="418" t="s">
        <v>635</v>
      </c>
      <c r="R68" s="419">
        <v>4.62</v>
      </c>
      <c r="S68" s="419">
        <v>4.97</v>
      </c>
    </row>
    <row r="69" spans="6:19">
      <c r="F69" s="412" t="s">
        <v>703</v>
      </c>
      <c r="G69" s="419">
        <v>5.85</v>
      </c>
      <c r="H69" s="419">
        <v>5.92</v>
      </c>
      <c r="I69" s="419">
        <v>6.22</v>
      </c>
      <c r="J69" s="419">
        <v>6.03</v>
      </c>
      <c r="K69" s="419">
        <v>5.94</v>
      </c>
      <c r="L69" s="419">
        <v>7.62</v>
      </c>
      <c r="M69" s="419">
        <v>8.36</v>
      </c>
      <c r="N69" s="419">
        <v>5.77</v>
      </c>
      <c r="O69" s="419">
        <v>7.52</v>
      </c>
      <c r="P69" s="419">
        <v>9.23</v>
      </c>
      <c r="Q69" s="418" t="s">
        <v>635</v>
      </c>
      <c r="R69" s="419">
        <v>5.73</v>
      </c>
      <c r="S69" s="419">
        <v>6.24</v>
      </c>
    </row>
    <row r="70" spans="6:19">
      <c r="F70" s="412" t="s">
        <v>704</v>
      </c>
      <c r="G70" s="419">
        <v>3.44</v>
      </c>
      <c r="H70" s="419">
        <v>3.39</v>
      </c>
      <c r="I70" s="419">
        <v>4.09</v>
      </c>
      <c r="J70" s="419">
        <v>5.0199999999999996</v>
      </c>
      <c r="K70" s="419">
        <v>5.49</v>
      </c>
      <c r="L70" s="419">
        <v>7.08</v>
      </c>
      <c r="M70" s="419">
        <v>7.95</v>
      </c>
      <c r="N70" s="419">
        <v>5.19</v>
      </c>
      <c r="O70" s="419">
        <v>7</v>
      </c>
      <c r="P70" s="419">
        <v>6.91</v>
      </c>
      <c r="Q70" s="418" t="s">
        <v>635</v>
      </c>
      <c r="R70" s="419">
        <v>3.4</v>
      </c>
      <c r="S70" s="419">
        <v>3.88</v>
      </c>
    </row>
    <row r="71" spans="6:19">
      <c r="F71" s="412" t="s">
        <v>705</v>
      </c>
      <c r="G71" s="419">
        <v>1.62</v>
      </c>
      <c r="H71" s="419">
        <v>1.69</v>
      </c>
      <c r="I71" s="419">
        <v>3.1</v>
      </c>
      <c r="J71" s="419">
        <v>4.6100000000000003</v>
      </c>
      <c r="K71" s="418">
        <v>5.43</v>
      </c>
      <c r="L71" s="419">
        <v>6.49</v>
      </c>
      <c r="M71" s="419">
        <v>7.8</v>
      </c>
      <c r="N71" s="419">
        <v>5.05</v>
      </c>
      <c r="O71" s="419">
        <v>6.43</v>
      </c>
      <c r="P71" s="419">
        <v>4.67</v>
      </c>
      <c r="Q71" s="418" t="s">
        <v>635</v>
      </c>
      <c r="R71" s="419">
        <v>1.17</v>
      </c>
      <c r="S71" s="419">
        <v>1.67</v>
      </c>
    </row>
    <row r="72" spans="6:19">
      <c r="F72" s="412" t="s">
        <v>706</v>
      </c>
      <c r="G72" s="419">
        <v>1.01</v>
      </c>
      <c r="H72" s="419">
        <v>1.06</v>
      </c>
      <c r="I72" s="419">
        <v>2.1</v>
      </c>
      <c r="J72" s="419">
        <v>4.01</v>
      </c>
      <c r="K72" s="418" t="s">
        <v>635</v>
      </c>
      <c r="L72" s="419">
        <v>5.67</v>
      </c>
      <c r="M72" s="419">
        <v>6.77</v>
      </c>
      <c r="N72" s="419">
        <v>4.7300000000000004</v>
      </c>
      <c r="O72" s="419">
        <v>5.8</v>
      </c>
      <c r="P72" s="419">
        <v>4.12</v>
      </c>
      <c r="Q72" s="419">
        <v>2.12</v>
      </c>
      <c r="R72" s="418" t="s">
        <v>635</v>
      </c>
      <c r="S72" s="419">
        <v>1.1299999999999999</v>
      </c>
    </row>
    <row r="73" spans="6:19">
      <c r="F73" s="412" t="s">
        <v>707</v>
      </c>
      <c r="G73" s="419">
        <v>1.38</v>
      </c>
      <c r="H73" s="419">
        <v>1.57</v>
      </c>
      <c r="I73" s="419">
        <v>2.78</v>
      </c>
      <c r="J73" s="419">
        <v>4.2699999999999996</v>
      </c>
      <c r="K73" s="418" t="s">
        <v>635</v>
      </c>
      <c r="L73" s="419">
        <v>5.63</v>
      </c>
      <c r="M73" s="419">
        <v>6.39</v>
      </c>
      <c r="N73" s="419">
        <v>4.63</v>
      </c>
      <c r="O73" s="419">
        <v>5.77</v>
      </c>
      <c r="P73" s="419">
        <v>4.34</v>
      </c>
      <c r="Q73" s="419">
        <v>2.34</v>
      </c>
      <c r="R73" s="418" t="s">
        <v>635</v>
      </c>
      <c r="S73" s="419">
        <v>1.35</v>
      </c>
    </row>
    <row r="74" spans="6:19">
      <c r="F74" s="412" t="s">
        <v>708</v>
      </c>
      <c r="G74" s="419">
        <v>3.16</v>
      </c>
      <c r="H74" s="419">
        <v>3.4</v>
      </c>
      <c r="I74" s="419">
        <v>3.93</v>
      </c>
      <c r="J74" s="419">
        <v>4.29</v>
      </c>
      <c r="K74" s="418" t="s">
        <v>635</v>
      </c>
      <c r="L74" s="419">
        <v>5.24</v>
      </c>
      <c r="M74" s="419">
        <v>6.06</v>
      </c>
      <c r="N74" s="419">
        <v>4.29</v>
      </c>
      <c r="O74" s="419">
        <v>5.94</v>
      </c>
      <c r="P74" s="419">
        <v>6.19</v>
      </c>
      <c r="Q74" s="419">
        <v>4.1900000000000004</v>
      </c>
      <c r="R74" s="418" t="s">
        <v>635</v>
      </c>
      <c r="S74" s="419">
        <v>3.22</v>
      </c>
    </row>
    <row r="75" spans="6:19">
      <c r="F75" s="412" t="s">
        <v>709</v>
      </c>
      <c r="G75" s="419">
        <v>4.7300000000000004</v>
      </c>
      <c r="H75" s="419">
        <v>4.8</v>
      </c>
      <c r="I75" s="419">
        <v>4.7699999999999996</v>
      </c>
      <c r="J75" s="419">
        <v>4.8</v>
      </c>
      <c r="K75" s="419">
        <v>4.91</v>
      </c>
      <c r="L75" s="419">
        <v>5.59</v>
      </c>
      <c r="M75" s="419">
        <v>6.48</v>
      </c>
      <c r="N75" s="419">
        <v>4.42</v>
      </c>
      <c r="O75" s="419">
        <v>6.63</v>
      </c>
      <c r="P75" s="419">
        <v>7.96</v>
      </c>
      <c r="Q75" s="419">
        <v>5.96</v>
      </c>
      <c r="R75" s="418" t="s">
        <v>635</v>
      </c>
      <c r="S75" s="419">
        <v>4.97</v>
      </c>
    </row>
    <row r="76" spans="6:19">
      <c r="F76" s="412" t="s">
        <v>710</v>
      </c>
      <c r="G76" s="419">
        <v>4.41</v>
      </c>
      <c r="H76" s="419">
        <v>4.4800000000000004</v>
      </c>
      <c r="I76" s="419">
        <v>4.3499999999999996</v>
      </c>
      <c r="J76" s="419">
        <v>4.63</v>
      </c>
      <c r="K76" s="419">
        <v>4.84</v>
      </c>
      <c r="L76" s="419">
        <v>5.56</v>
      </c>
      <c r="M76" s="419">
        <v>6.48</v>
      </c>
      <c r="N76" s="419">
        <v>4.42</v>
      </c>
      <c r="O76" s="419">
        <v>6.41</v>
      </c>
      <c r="P76" s="419">
        <v>8.0500000000000007</v>
      </c>
      <c r="Q76" s="419">
        <v>5.86</v>
      </c>
      <c r="R76" s="418" t="s">
        <v>635</v>
      </c>
      <c r="S76" s="419">
        <v>5.0199999999999996</v>
      </c>
    </row>
    <row r="77" spans="6:19">
      <c r="F77" s="412" t="s">
        <v>711</v>
      </c>
      <c r="G77" s="419">
        <v>1.48</v>
      </c>
      <c r="H77" s="419">
        <v>1.71</v>
      </c>
      <c r="I77" s="419">
        <v>2.2400000000000002</v>
      </c>
      <c r="J77" s="419">
        <v>3.66</v>
      </c>
      <c r="K77" s="419">
        <v>4.28</v>
      </c>
      <c r="L77" s="419">
        <v>5.63</v>
      </c>
      <c r="M77" s="419">
        <v>7.45</v>
      </c>
      <c r="N77" s="419">
        <v>4.8</v>
      </c>
      <c r="O77" s="419">
        <v>6.05</v>
      </c>
      <c r="P77" s="419">
        <v>5.09</v>
      </c>
      <c r="Q77" s="419">
        <v>2.3899999999999997</v>
      </c>
      <c r="R77" s="418" t="s">
        <v>635</v>
      </c>
      <c r="S77" s="419">
        <v>1.92</v>
      </c>
    </row>
    <row r="78" spans="6:19">
      <c r="F78" s="412" t="s">
        <v>712</v>
      </c>
      <c r="G78" s="433">
        <v>0.16</v>
      </c>
      <c r="H78" s="433">
        <v>0.28999999999999998</v>
      </c>
      <c r="I78" s="419">
        <v>1.43</v>
      </c>
      <c r="J78" s="419">
        <v>3.26</v>
      </c>
      <c r="K78" s="419">
        <v>4.08</v>
      </c>
      <c r="L78" s="419">
        <v>5.31</v>
      </c>
      <c r="M78" s="419">
        <v>7.3</v>
      </c>
      <c r="N78" s="419">
        <v>4.6399999999999997</v>
      </c>
      <c r="O78" s="419">
        <v>5.14</v>
      </c>
      <c r="P78" s="419">
        <v>3.25</v>
      </c>
      <c r="Q78" s="433">
        <v>0.5</v>
      </c>
      <c r="R78" s="418" t="s">
        <v>635</v>
      </c>
      <c r="S78" s="433">
        <v>0.16</v>
      </c>
    </row>
    <row r="79" spans="6:19">
      <c r="F79" s="528" t="s">
        <v>713</v>
      </c>
      <c r="G79" s="528"/>
      <c r="H79" s="528"/>
      <c r="I79" s="528"/>
      <c r="J79" s="528"/>
      <c r="K79" s="528"/>
      <c r="L79" s="528"/>
      <c r="M79" s="528"/>
      <c r="N79" s="528"/>
      <c r="O79" s="528"/>
      <c r="P79" s="528"/>
      <c r="Q79" s="528"/>
      <c r="R79" s="528"/>
      <c r="S79" s="528"/>
    </row>
    <row r="80" spans="6:19">
      <c r="F80" s="507" t="s">
        <v>714</v>
      </c>
      <c r="G80" s="507"/>
      <c r="H80" s="507"/>
      <c r="I80" s="507"/>
      <c r="J80" s="507"/>
      <c r="K80" s="507"/>
      <c r="L80" s="507"/>
      <c r="M80" s="507"/>
      <c r="N80" s="507"/>
      <c r="O80" s="507"/>
      <c r="P80" s="507"/>
      <c r="Q80" s="507"/>
      <c r="R80" s="507"/>
      <c r="S80" s="507"/>
    </row>
  </sheetData>
  <mergeCells count="12">
    <mergeCell ref="F80:S80"/>
    <mergeCell ref="F3:F5"/>
    <mergeCell ref="G3:K3"/>
    <mergeCell ref="L3:M4"/>
    <mergeCell ref="N3:N5"/>
    <mergeCell ref="O3:O5"/>
    <mergeCell ref="P3:P5"/>
    <mergeCell ref="Q3:R4"/>
    <mergeCell ref="S3:S5"/>
    <mergeCell ref="G4:H4"/>
    <mergeCell ref="I4:K4"/>
    <mergeCell ref="F79:S7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96"/>
  <sheetViews>
    <sheetView zoomScale="80" zoomScaleNormal="80" zoomScaleSheetLayoutView="80" workbookViewId="0"/>
  </sheetViews>
  <sheetFormatPr defaultRowHeight="14.25"/>
  <cols>
    <col min="1" max="5" width="9" style="387"/>
    <col min="6" max="6" width="11.5" style="387" customWidth="1"/>
    <col min="7" max="16384" width="9" style="387"/>
  </cols>
  <sheetData>
    <row r="1" spans="1:13" ht="15">
      <c r="A1" s="434" t="s">
        <v>715</v>
      </c>
      <c r="G1" s="435"/>
      <c r="H1" s="435"/>
      <c r="I1" s="435"/>
      <c r="J1" s="435"/>
    </row>
    <row r="2" spans="1:13">
      <c r="A2" s="437"/>
      <c r="G2" s="435"/>
      <c r="H2" s="435"/>
      <c r="I2" s="435"/>
      <c r="J2" s="435"/>
    </row>
    <row r="3" spans="1:13" ht="15">
      <c r="A3" s="436"/>
      <c r="F3" s="438" t="s">
        <v>716</v>
      </c>
      <c r="G3" s="439" t="s">
        <v>717</v>
      </c>
      <c r="H3" s="435"/>
      <c r="I3" s="435"/>
      <c r="J3" s="435"/>
    </row>
    <row r="4" spans="1:13" ht="15">
      <c r="A4" s="529" t="s">
        <v>718</v>
      </c>
      <c r="B4" s="529"/>
      <c r="C4" s="529"/>
      <c r="D4" s="529"/>
      <c r="F4" s="440"/>
      <c r="G4" s="441" t="s">
        <v>719</v>
      </c>
      <c r="H4" s="435"/>
      <c r="I4" s="435"/>
      <c r="J4" s="435"/>
    </row>
    <row r="5" spans="1:13">
      <c r="A5" s="436"/>
      <c r="F5" s="440"/>
      <c r="G5" s="435"/>
      <c r="H5" s="435"/>
      <c r="I5" s="435"/>
      <c r="J5" s="435"/>
    </row>
    <row r="6" spans="1:13" ht="15">
      <c r="A6" s="407" t="s">
        <v>434</v>
      </c>
      <c r="B6" s="407" t="s">
        <v>80</v>
      </c>
      <c r="C6" s="407" t="s">
        <v>625</v>
      </c>
      <c r="D6" s="407" t="s">
        <v>720</v>
      </c>
      <c r="F6" s="438">
        <v>2000</v>
      </c>
      <c r="G6" s="442"/>
      <c r="H6" s="442"/>
      <c r="I6" s="442"/>
      <c r="J6" s="442"/>
    </row>
    <row r="7" spans="1:13" ht="15">
      <c r="F7" s="442"/>
      <c r="G7" s="438" t="s">
        <v>94</v>
      </c>
      <c r="H7" s="438" t="s">
        <v>721</v>
      </c>
      <c r="I7" s="438" t="s">
        <v>80</v>
      </c>
      <c r="J7" s="438" t="s">
        <v>625</v>
      </c>
    </row>
    <row r="8" spans="1:13">
      <c r="A8" s="415">
        <v>1980</v>
      </c>
      <c r="B8" s="443">
        <v>0.13339999999999999</v>
      </c>
      <c r="C8" s="443">
        <v>0.13950000000000001</v>
      </c>
      <c r="D8" s="444" t="s">
        <v>6</v>
      </c>
      <c r="F8" s="445" t="s">
        <v>722</v>
      </c>
      <c r="G8" s="446">
        <v>7.95</v>
      </c>
      <c r="H8" s="446">
        <v>8.17</v>
      </c>
      <c r="I8" s="446">
        <v>8.35</v>
      </c>
      <c r="J8" s="446">
        <v>8.4</v>
      </c>
      <c r="M8" s="446"/>
    </row>
    <row r="9" spans="1:13">
      <c r="A9" s="415">
        <v>1981</v>
      </c>
      <c r="B9" s="443">
        <v>0.1595</v>
      </c>
      <c r="C9" s="443">
        <v>0.16600000000000001</v>
      </c>
      <c r="D9" s="444" t="s">
        <v>6</v>
      </c>
      <c r="F9" s="445" t="s">
        <v>723</v>
      </c>
      <c r="G9" s="446">
        <v>7.82</v>
      </c>
      <c r="H9" s="446">
        <v>7.99</v>
      </c>
      <c r="I9" s="446">
        <v>8.25</v>
      </c>
      <c r="J9" s="446">
        <v>8.33</v>
      </c>
      <c r="M9" s="446"/>
    </row>
    <row r="10" spans="1:13">
      <c r="A10" s="415">
        <v>1982</v>
      </c>
      <c r="B10" s="443">
        <v>0.15859999999999999</v>
      </c>
      <c r="C10" s="443">
        <v>0.16450000000000001</v>
      </c>
      <c r="D10" s="444" t="s">
        <v>6</v>
      </c>
      <c r="F10" s="445" t="s">
        <v>724</v>
      </c>
      <c r="G10" s="446">
        <v>7.87</v>
      </c>
      <c r="H10" s="446">
        <v>7.99</v>
      </c>
      <c r="I10" s="446">
        <v>8.2799999999999994</v>
      </c>
      <c r="J10" s="446">
        <v>8.4</v>
      </c>
      <c r="M10" s="446"/>
    </row>
    <row r="11" spans="1:13">
      <c r="A11" s="415">
        <v>1983</v>
      </c>
      <c r="B11" s="443">
        <v>0.1366</v>
      </c>
      <c r="C11" s="443">
        <v>0.14199999999999999</v>
      </c>
      <c r="D11" s="444" t="s">
        <v>6</v>
      </c>
      <c r="F11" s="445" t="s">
        <v>725</v>
      </c>
      <c r="G11" s="446">
        <v>7.87</v>
      </c>
      <c r="H11" s="446">
        <v>8</v>
      </c>
      <c r="I11" s="446">
        <v>8.2899999999999991</v>
      </c>
      <c r="J11" s="446">
        <v>8.4</v>
      </c>
      <c r="M11" s="446"/>
    </row>
    <row r="12" spans="1:13">
      <c r="A12" s="415">
        <v>1984</v>
      </c>
      <c r="B12" s="443">
        <v>0.14030000000000001</v>
      </c>
      <c r="C12" s="443">
        <v>0.14530000000000001</v>
      </c>
      <c r="D12" s="444" t="s">
        <v>6</v>
      </c>
      <c r="F12" s="445" t="s">
        <v>726</v>
      </c>
      <c r="G12" s="446">
        <v>8.2200000000000006</v>
      </c>
      <c r="H12" s="446">
        <v>8.44</v>
      </c>
      <c r="I12" s="446">
        <v>8.6999999999999993</v>
      </c>
      <c r="J12" s="446">
        <v>8.86</v>
      </c>
      <c r="M12" s="446"/>
    </row>
    <row r="13" spans="1:13">
      <c r="A13" s="415">
        <v>1985</v>
      </c>
      <c r="B13" s="443">
        <v>0.12470000000000001</v>
      </c>
      <c r="C13" s="443">
        <v>0.12959999999999999</v>
      </c>
      <c r="D13" s="444" t="s">
        <v>6</v>
      </c>
      <c r="F13" s="445" t="s">
        <v>727</v>
      </c>
      <c r="G13" s="446">
        <v>7.96</v>
      </c>
      <c r="H13" s="446">
        <v>8.1</v>
      </c>
      <c r="I13" s="446">
        <v>8.36</v>
      </c>
      <c r="J13" s="446">
        <v>8.4700000000000006</v>
      </c>
      <c r="M13" s="446"/>
    </row>
    <row r="14" spans="1:13">
      <c r="A14" s="415">
        <v>1986</v>
      </c>
      <c r="B14" s="443">
        <v>9.5799999999999996E-2</v>
      </c>
      <c r="C14" s="443">
        <v>0.1</v>
      </c>
      <c r="D14" s="444" t="s">
        <v>6</v>
      </c>
      <c r="F14" s="445" t="s">
        <v>728</v>
      </c>
      <c r="G14" s="446">
        <v>8</v>
      </c>
      <c r="H14" s="446">
        <v>8.1</v>
      </c>
      <c r="I14" s="446">
        <v>8.25</v>
      </c>
      <c r="J14" s="446">
        <v>8.33</v>
      </c>
      <c r="M14" s="446"/>
    </row>
    <row r="15" spans="1:13">
      <c r="A15" s="415">
        <v>1987</v>
      </c>
      <c r="B15" s="443">
        <v>0.10100000000000001</v>
      </c>
      <c r="C15" s="443">
        <v>0.1053</v>
      </c>
      <c r="D15" s="444" t="s">
        <v>6</v>
      </c>
      <c r="F15" s="445" t="s">
        <v>729</v>
      </c>
      <c r="G15" s="446">
        <v>7.89</v>
      </c>
      <c r="H15" s="446">
        <v>7.95</v>
      </c>
      <c r="I15" s="446">
        <v>8.1300000000000008</v>
      </c>
      <c r="J15" s="446">
        <v>8.25</v>
      </c>
      <c r="M15" s="446"/>
    </row>
    <row r="16" spans="1:13">
      <c r="A16" s="415">
        <v>1988</v>
      </c>
      <c r="B16" s="443">
        <v>0.10489999999999999</v>
      </c>
      <c r="C16" s="443">
        <v>0.11</v>
      </c>
      <c r="D16" s="444" t="s">
        <v>6</v>
      </c>
      <c r="F16" s="445" t="s">
        <v>730</v>
      </c>
      <c r="G16" s="446">
        <v>7.92</v>
      </c>
      <c r="H16" s="446">
        <v>8.11</v>
      </c>
      <c r="I16" s="446">
        <v>8.23</v>
      </c>
      <c r="J16" s="446">
        <v>8.32</v>
      </c>
      <c r="M16" s="446"/>
    </row>
    <row r="17" spans="1:13">
      <c r="A17" s="415">
        <v>1989</v>
      </c>
      <c r="B17" s="443">
        <v>9.7699999999999995E-2</v>
      </c>
      <c r="C17" s="443">
        <v>9.9699999999999997E-2</v>
      </c>
      <c r="D17" s="444" t="s">
        <v>6</v>
      </c>
      <c r="F17" s="445" t="s">
        <v>731</v>
      </c>
      <c r="G17" s="446">
        <v>7.8</v>
      </c>
      <c r="H17" s="446">
        <v>8.08</v>
      </c>
      <c r="I17" s="446">
        <v>8.14</v>
      </c>
      <c r="J17" s="446">
        <v>8.2899999999999991</v>
      </c>
      <c r="M17" s="446"/>
    </row>
    <row r="18" spans="1:13">
      <c r="A18" s="415">
        <v>1990</v>
      </c>
      <c r="B18" s="443">
        <v>9.8599999999999993E-2</v>
      </c>
      <c r="C18" s="443">
        <v>0.10059999999999999</v>
      </c>
      <c r="D18" s="444" t="s">
        <v>6</v>
      </c>
      <c r="F18" s="445" t="s">
        <v>732</v>
      </c>
      <c r="G18" s="446">
        <v>7.71</v>
      </c>
      <c r="H18" s="446">
        <v>8.0299999999999994</v>
      </c>
      <c r="I18" s="446">
        <v>8.11</v>
      </c>
      <c r="J18" s="446">
        <v>8.25</v>
      </c>
      <c r="M18" s="446"/>
    </row>
    <row r="19" spans="1:13" ht="16.5">
      <c r="A19" s="415">
        <v>1991</v>
      </c>
      <c r="B19" s="443">
        <v>9.3600000000000003E-2</v>
      </c>
      <c r="C19" s="443">
        <v>9.5500000000000002E-2</v>
      </c>
      <c r="D19" s="444" t="s">
        <v>6</v>
      </c>
      <c r="F19" s="445" t="s">
        <v>733</v>
      </c>
      <c r="G19" s="447">
        <v>7.51</v>
      </c>
      <c r="H19" s="447">
        <v>7.79</v>
      </c>
      <c r="I19" s="447">
        <v>7.84</v>
      </c>
      <c r="J19" s="447">
        <v>8.01</v>
      </c>
      <c r="M19" s="446"/>
    </row>
    <row r="20" spans="1:13" ht="15">
      <c r="A20" s="415">
        <v>1992</v>
      </c>
      <c r="B20" s="443">
        <v>8.6900000000000005E-2</v>
      </c>
      <c r="C20" s="443">
        <v>8.8599999999999998E-2</v>
      </c>
      <c r="D20" s="444" t="s">
        <v>6</v>
      </c>
      <c r="F20" s="448" t="s">
        <v>16</v>
      </c>
      <c r="G20" s="106">
        <f>AVERAGE(G8:G19)</f>
        <v>7.876666666666666</v>
      </c>
      <c r="H20" s="106">
        <f>AVERAGE(H8:H19)</f>
        <v>8.0625</v>
      </c>
      <c r="I20" s="106">
        <f>AVERAGE(I8:I19)</f>
        <v>8.2441666666666666</v>
      </c>
      <c r="J20" s="106">
        <f>AVERAGE(J8:J19)</f>
        <v>8.3591666666666651</v>
      </c>
    </row>
    <row r="21" spans="1:13">
      <c r="A21" s="415">
        <v>1993</v>
      </c>
      <c r="B21" s="443">
        <v>7.5899999999999995E-2</v>
      </c>
      <c r="C21" s="443">
        <v>7.9100000000000004E-2</v>
      </c>
      <c r="D21" s="444" t="s">
        <v>6</v>
      </c>
    </row>
    <row r="22" spans="1:13" ht="15">
      <c r="A22" s="415">
        <v>1994</v>
      </c>
      <c r="B22" s="443">
        <v>8.3099999999999993E-2</v>
      </c>
      <c r="C22" s="443">
        <v>8.6300000000000002E-2</v>
      </c>
      <c r="D22" s="444" t="s">
        <v>6</v>
      </c>
      <c r="F22" s="438">
        <v>2001</v>
      </c>
      <c r="G22" s="442"/>
      <c r="H22" s="442"/>
      <c r="I22" s="442"/>
      <c r="J22" s="442"/>
    </row>
    <row r="23" spans="1:13" ht="15">
      <c r="A23" s="415">
        <v>1995</v>
      </c>
      <c r="B23" s="443">
        <v>7.8899999999999998E-2</v>
      </c>
      <c r="C23" s="443">
        <v>8.2900000000000001E-2</v>
      </c>
      <c r="D23" s="444" t="s">
        <v>6</v>
      </c>
      <c r="F23" s="442"/>
      <c r="G23" s="438" t="s">
        <v>94</v>
      </c>
      <c r="H23" s="438" t="s">
        <v>721</v>
      </c>
      <c r="I23" s="438" t="s">
        <v>80</v>
      </c>
      <c r="J23" s="438" t="s">
        <v>625</v>
      </c>
    </row>
    <row r="24" spans="1:13">
      <c r="A24" s="415">
        <v>1996</v>
      </c>
      <c r="B24" s="443">
        <v>7.7499999999999999E-2</v>
      </c>
      <c r="C24" s="443">
        <v>8.1699999999999995E-2</v>
      </c>
      <c r="D24" s="444" t="s">
        <v>6</v>
      </c>
      <c r="F24" s="445" t="s">
        <v>722</v>
      </c>
      <c r="G24" s="446">
        <v>7.53</v>
      </c>
      <c r="H24" s="446">
        <v>7.73</v>
      </c>
      <c r="I24" s="446">
        <v>7.8</v>
      </c>
      <c r="J24" s="446">
        <v>7.99</v>
      </c>
    </row>
    <row r="25" spans="1:13">
      <c r="A25" s="415">
        <v>1997</v>
      </c>
      <c r="B25" s="443">
        <v>7.5999999999999998E-2</v>
      </c>
      <c r="C25" s="443">
        <v>7.9500000000000001E-2</v>
      </c>
      <c r="D25" s="444" t="s">
        <v>6</v>
      </c>
      <c r="F25" s="445" t="s">
        <v>723</v>
      </c>
      <c r="G25" s="446">
        <v>7.46</v>
      </c>
      <c r="H25" s="446">
        <v>7.62</v>
      </c>
      <c r="I25" s="446">
        <v>7.74</v>
      </c>
      <c r="J25" s="446">
        <v>7.94</v>
      </c>
    </row>
    <row r="26" spans="1:13">
      <c r="A26" s="415">
        <v>1998</v>
      </c>
      <c r="B26" s="443">
        <v>7.0400000000000004E-2</v>
      </c>
      <c r="C26" s="443">
        <v>7.2599999999999998E-2</v>
      </c>
      <c r="D26" s="444" t="s">
        <v>6</v>
      </c>
      <c r="F26" s="445" t="s">
        <v>724</v>
      </c>
      <c r="G26" s="446">
        <v>7.31</v>
      </c>
      <c r="H26" s="446">
        <v>7.51</v>
      </c>
      <c r="I26" s="446">
        <v>7.68</v>
      </c>
      <c r="J26" s="446">
        <v>7.85</v>
      </c>
    </row>
    <row r="27" spans="1:13">
      <c r="A27" s="415">
        <v>1999</v>
      </c>
      <c r="B27" s="443">
        <v>7.6200000000000004E-2</v>
      </c>
      <c r="C27" s="443">
        <v>7.8799999999999995E-2</v>
      </c>
      <c r="D27" s="444" t="s">
        <v>6</v>
      </c>
      <c r="F27" s="445" t="s">
        <v>725</v>
      </c>
      <c r="G27" s="446">
        <v>7.53</v>
      </c>
      <c r="H27" s="446">
        <v>7.72</v>
      </c>
      <c r="I27" s="446">
        <v>7.94</v>
      </c>
      <c r="J27" s="446">
        <v>8.06</v>
      </c>
    </row>
    <row r="28" spans="1:13">
      <c r="A28" s="415">
        <v>2000</v>
      </c>
      <c r="B28" s="449">
        <f>I20/100</f>
        <v>8.2441666666666663E-2</v>
      </c>
      <c r="C28" s="449">
        <f>J20/100</f>
        <v>8.3591666666666647E-2</v>
      </c>
      <c r="D28" s="444" t="s">
        <v>7</v>
      </c>
      <c r="F28" s="445" t="s">
        <v>726</v>
      </c>
      <c r="G28" s="446">
        <v>7.61</v>
      </c>
      <c r="H28" s="446">
        <v>7.79</v>
      </c>
      <c r="I28" s="446">
        <v>7.99</v>
      </c>
      <c r="J28" s="446">
        <v>8.11</v>
      </c>
    </row>
    <row r="29" spans="1:13">
      <c r="A29" s="415">
        <v>2001</v>
      </c>
      <c r="B29" s="449">
        <f>I36/100</f>
        <v>7.7625E-2</v>
      </c>
      <c r="C29" s="449">
        <f>J36/100</f>
        <v>8.0283333333333318E-2</v>
      </c>
      <c r="D29" s="444" t="s">
        <v>8</v>
      </c>
      <c r="F29" s="445" t="s">
        <v>727</v>
      </c>
      <c r="G29" s="446">
        <v>7.5</v>
      </c>
      <c r="H29" s="446">
        <v>7.62</v>
      </c>
      <c r="I29" s="446">
        <v>7.85</v>
      </c>
      <c r="J29" s="446">
        <v>8.02</v>
      </c>
    </row>
    <row r="30" spans="1:13">
      <c r="A30" s="415">
        <v>2002</v>
      </c>
      <c r="B30" s="449">
        <f>I52/100</f>
        <v>7.3724999999999999E-2</v>
      </c>
      <c r="C30" s="449">
        <f>J52/100</f>
        <v>8.0233333333333337E-2</v>
      </c>
      <c r="D30" s="444" t="s">
        <v>8</v>
      </c>
      <c r="F30" s="445" t="s">
        <v>728</v>
      </c>
      <c r="G30" s="446">
        <v>7.46</v>
      </c>
      <c r="H30" s="446">
        <v>7.55</v>
      </c>
      <c r="I30" s="446">
        <v>7.78</v>
      </c>
      <c r="J30" s="446">
        <v>8.0500000000000007</v>
      </c>
    </row>
    <row r="31" spans="1:13">
      <c r="A31" s="415">
        <v>2003</v>
      </c>
      <c r="B31" s="449">
        <f>I68/100</f>
        <v>6.5808333333333344E-2</v>
      </c>
      <c r="C31" s="449">
        <f>J68/100</f>
        <v>6.8425E-2</v>
      </c>
      <c r="D31" s="444" t="s">
        <v>8</v>
      </c>
      <c r="F31" s="445" t="s">
        <v>729</v>
      </c>
      <c r="G31" s="446">
        <v>7.36</v>
      </c>
      <c r="H31" s="446">
        <v>7.39</v>
      </c>
      <c r="I31" s="446">
        <v>7.59</v>
      </c>
      <c r="J31" s="446">
        <v>7.95</v>
      </c>
    </row>
    <row r="32" spans="1:13">
      <c r="A32" s="415">
        <v>2004</v>
      </c>
      <c r="B32" s="449">
        <f>I84/100</f>
        <v>6.1600833333333334E-2</v>
      </c>
      <c r="C32" s="449">
        <f>J84/100</f>
        <v>6.3949999999999993E-2</v>
      </c>
      <c r="D32" s="444" t="s">
        <v>8</v>
      </c>
      <c r="F32" s="445" t="s">
        <v>730</v>
      </c>
      <c r="G32" s="446">
        <v>7.52</v>
      </c>
      <c r="H32" s="446">
        <v>7.55</v>
      </c>
      <c r="I32" s="446">
        <v>7.75</v>
      </c>
      <c r="J32" s="446">
        <v>8.1199999999999992</v>
      </c>
    </row>
    <row r="33" spans="1:10">
      <c r="A33" s="415">
        <v>2005</v>
      </c>
      <c r="B33" s="449">
        <f>I100/100</f>
        <v>5.6491666666666662E-2</v>
      </c>
      <c r="C33" s="449">
        <f>J100/100</f>
        <v>5.9249999999999997E-2</v>
      </c>
      <c r="D33" s="444" t="s">
        <v>9</v>
      </c>
      <c r="F33" s="445" t="s">
        <v>731</v>
      </c>
      <c r="G33" s="446">
        <v>7.45</v>
      </c>
      <c r="H33" s="446">
        <v>7.47</v>
      </c>
      <c r="I33" s="446">
        <v>7.63</v>
      </c>
      <c r="J33" s="446">
        <v>8.02</v>
      </c>
    </row>
    <row r="34" spans="1:10">
      <c r="A34" s="415">
        <v>2006</v>
      </c>
      <c r="B34" s="449">
        <f>I116/100</f>
        <v>6.0683333333333325E-2</v>
      </c>
      <c r="C34" s="449">
        <f>J116/100</f>
        <v>6.3166666666666663E-2</v>
      </c>
      <c r="D34" s="444" t="s">
        <v>9</v>
      </c>
      <c r="F34" s="445" t="s">
        <v>732</v>
      </c>
      <c r="G34" s="446">
        <v>7.45</v>
      </c>
      <c r="H34" s="446">
        <v>7.45</v>
      </c>
      <c r="I34" s="446">
        <v>7.57</v>
      </c>
      <c r="J34" s="446">
        <v>7.96</v>
      </c>
    </row>
    <row r="35" spans="1:10" ht="16.5">
      <c r="A35" s="415">
        <v>2007</v>
      </c>
      <c r="B35" s="449">
        <f>I132/100</f>
        <v>6.0733333333333334E-2</v>
      </c>
      <c r="C35" s="449">
        <f>J132/100</f>
        <v>6.3300000000000009E-2</v>
      </c>
      <c r="D35" s="444" t="s">
        <v>9</v>
      </c>
      <c r="F35" s="445" t="s">
        <v>733</v>
      </c>
      <c r="G35" s="447">
        <v>7.53</v>
      </c>
      <c r="H35" s="447">
        <v>7.53</v>
      </c>
      <c r="I35" s="447">
        <v>7.83</v>
      </c>
      <c r="J35" s="447">
        <v>8.27</v>
      </c>
    </row>
    <row r="36" spans="1:10" ht="15">
      <c r="A36" s="415">
        <v>2008</v>
      </c>
      <c r="B36" s="449">
        <f>I148/100</f>
        <v>6.5283333333333332E-2</v>
      </c>
      <c r="C36" s="449">
        <f>J148/100</f>
        <v>7.2458333333333333E-2</v>
      </c>
      <c r="D36" s="444" t="s">
        <v>9</v>
      </c>
      <c r="F36" s="448" t="s">
        <v>16</v>
      </c>
      <c r="G36" s="106">
        <f>AVERAGE(G24:G35)</f>
        <v>7.475833333333334</v>
      </c>
      <c r="H36" s="106">
        <f>AVERAGE(H24:H35)</f>
        <v>7.5774999999999997</v>
      </c>
      <c r="I36" s="106">
        <f>AVERAGE(I24:I35)</f>
        <v>7.7624999999999993</v>
      </c>
      <c r="J36" s="106">
        <f>AVERAGE(J24:J35)</f>
        <v>8.0283333333333324</v>
      </c>
    </row>
    <row r="37" spans="1:10">
      <c r="A37" s="415">
        <v>2009</v>
      </c>
      <c r="B37" s="449">
        <f>I164/100</f>
        <v>6.0367365027151197E-2</v>
      </c>
      <c r="C37" s="449">
        <f>J164/100</f>
        <v>7.0551731672932327E-2</v>
      </c>
      <c r="D37" s="444" t="s">
        <v>9</v>
      </c>
      <c r="F37" s="450"/>
      <c r="G37" s="450"/>
      <c r="H37" s="450"/>
      <c r="I37" s="450"/>
      <c r="J37" s="450"/>
    </row>
    <row r="38" spans="1:10" ht="15">
      <c r="A38" s="451">
        <v>2010</v>
      </c>
      <c r="B38" s="449">
        <f>I180/100</f>
        <v>5.4612557558110952E-2</v>
      </c>
      <c r="C38" s="449">
        <f>J180/100</f>
        <v>5.9598179333136762E-2</v>
      </c>
      <c r="D38" s="444" t="s">
        <v>734</v>
      </c>
      <c r="F38" s="438">
        <v>2002</v>
      </c>
      <c r="G38" s="442"/>
      <c r="H38" s="442"/>
      <c r="I38" s="442"/>
      <c r="J38" s="442"/>
    </row>
    <row r="39" spans="1:10" ht="15">
      <c r="A39" s="431" t="s">
        <v>611</v>
      </c>
      <c r="B39" s="452">
        <f>AVERAGE(I184:I192)/100</f>
        <v>5.2648976572279904E-2</v>
      </c>
      <c r="C39" s="452">
        <f>AVERAGE(J184:J192)/100</f>
        <v>5.7242157191548543E-2</v>
      </c>
      <c r="D39" s="449"/>
      <c r="F39" s="442"/>
      <c r="G39" s="438" t="s">
        <v>94</v>
      </c>
      <c r="H39" s="438" t="s">
        <v>721</v>
      </c>
      <c r="I39" s="438" t="s">
        <v>80</v>
      </c>
      <c r="J39" s="438" t="s">
        <v>625</v>
      </c>
    </row>
    <row r="40" spans="1:10">
      <c r="A40" s="451"/>
      <c r="B40" s="449"/>
      <c r="C40" s="449"/>
      <c r="D40" s="449"/>
      <c r="F40" s="445" t="s">
        <v>722</v>
      </c>
      <c r="G40" s="446"/>
      <c r="H40" s="446">
        <v>7.28</v>
      </c>
      <c r="I40" s="446">
        <v>7.66</v>
      </c>
      <c r="J40" s="446">
        <v>8.1300000000000008</v>
      </c>
    </row>
    <row r="41" spans="1:10">
      <c r="F41" s="445" t="s">
        <v>723</v>
      </c>
      <c r="G41" s="446"/>
      <c r="H41" s="446">
        <v>7.14</v>
      </c>
      <c r="I41" s="446">
        <v>7.54</v>
      </c>
      <c r="J41" s="446">
        <v>8.18</v>
      </c>
    </row>
    <row r="42" spans="1:10">
      <c r="F42" s="445" t="s">
        <v>724</v>
      </c>
      <c r="G42" s="446"/>
      <c r="H42" s="446">
        <v>7.42</v>
      </c>
      <c r="I42" s="446">
        <v>7.76</v>
      </c>
      <c r="J42" s="446">
        <v>8.32</v>
      </c>
    </row>
    <row r="43" spans="1:10">
      <c r="F43" s="445" t="s">
        <v>725</v>
      </c>
      <c r="G43" s="446"/>
      <c r="H43" s="446">
        <v>7.38</v>
      </c>
      <c r="I43" s="446">
        <v>7.57</v>
      </c>
      <c r="J43" s="446">
        <v>8.26</v>
      </c>
    </row>
    <row r="44" spans="1:10">
      <c r="F44" s="445" t="s">
        <v>726</v>
      </c>
      <c r="G44" s="446"/>
      <c r="H44" s="446">
        <v>4.43</v>
      </c>
      <c r="I44" s="446">
        <v>7.52</v>
      </c>
      <c r="J44" s="446">
        <v>8.33</v>
      </c>
    </row>
    <row r="45" spans="1:10">
      <c r="F45" s="445" t="s">
        <v>727</v>
      </c>
      <c r="G45" s="446"/>
      <c r="H45" s="446">
        <v>7.33</v>
      </c>
      <c r="I45" s="446">
        <v>7.42</v>
      </c>
      <c r="J45" s="446">
        <v>8.26</v>
      </c>
    </row>
    <row r="46" spans="1:10">
      <c r="F46" s="445" t="s">
        <v>728</v>
      </c>
      <c r="G46" s="446"/>
      <c r="H46" s="446">
        <v>7.22</v>
      </c>
      <c r="I46" s="446">
        <v>7.31</v>
      </c>
      <c r="J46" s="446">
        <v>8.07</v>
      </c>
    </row>
    <row r="47" spans="1:10">
      <c r="F47" s="445" t="s">
        <v>729</v>
      </c>
      <c r="G47" s="446"/>
      <c r="H47" s="446">
        <v>7.1</v>
      </c>
      <c r="I47" s="446">
        <v>7.17</v>
      </c>
      <c r="J47" s="446">
        <v>7.74</v>
      </c>
    </row>
    <row r="48" spans="1:10">
      <c r="F48" s="445" t="s">
        <v>730</v>
      </c>
      <c r="G48" s="446"/>
      <c r="H48" s="446">
        <v>6.98</v>
      </c>
      <c r="I48" s="446">
        <v>7.08</v>
      </c>
      <c r="J48" s="446">
        <v>7.62</v>
      </c>
    </row>
    <row r="49" spans="6:10">
      <c r="F49" s="445" t="s">
        <v>731</v>
      </c>
      <c r="G49" s="446"/>
      <c r="H49" s="446">
        <v>7.07</v>
      </c>
      <c r="I49" s="446">
        <v>7.23</v>
      </c>
      <c r="J49" s="446">
        <v>8</v>
      </c>
    </row>
    <row r="50" spans="6:10">
      <c r="F50" s="445" t="s">
        <v>732</v>
      </c>
      <c r="G50" s="446"/>
      <c r="H50" s="446">
        <v>7.03</v>
      </c>
      <c r="I50" s="446">
        <v>7.14</v>
      </c>
      <c r="J50" s="446">
        <v>7.76</v>
      </c>
    </row>
    <row r="51" spans="6:10" ht="16.5">
      <c r="F51" s="445" t="s">
        <v>733</v>
      </c>
      <c r="G51" s="447"/>
      <c r="H51" s="447">
        <v>6.94</v>
      </c>
      <c r="I51" s="447">
        <v>7.07</v>
      </c>
      <c r="J51" s="447">
        <v>7.61</v>
      </c>
    </row>
    <row r="52" spans="6:10" ht="15">
      <c r="F52" s="448" t="s">
        <v>16</v>
      </c>
      <c r="G52" s="106"/>
      <c r="H52" s="106">
        <f>AVERAGE(H40:H51)</f>
        <v>6.9433333333333325</v>
      </c>
      <c r="I52" s="106">
        <f>AVERAGE(I40:I51)</f>
        <v>7.3724999999999996</v>
      </c>
      <c r="J52" s="106">
        <f>AVERAGE(J40:J51)</f>
        <v>8.0233333333333334</v>
      </c>
    </row>
    <row r="53" spans="6:10">
      <c r="F53" s="450"/>
      <c r="G53" s="450"/>
      <c r="H53" s="450"/>
      <c r="I53" s="450"/>
      <c r="J53" s="450"/>
    </row>
    <row r="54" spans="6:10" ht="15">
      <c r="F54" s="438">
        <v>2003</v>
      </c>
      <c r="G54" s="442"/>
      <c r="H54" s="442"/>
      <c r="I54" s="442"/>
      <c r="J54" s="442"/>
    </row>
    <row r="55" spans="6:10" ht="15">
      <c r="F55" s="442"/>
      <c r="G55" s="438" t="s">
        <v>94</v>
      </c>
      <c r="H55" s="438" t="s">
        <v>721</v>
      </c>
      <c r="I55" s="438" t="s">
        <v>80</v>
      </c>
      <c r="J55" s="438" t="s">
        <v>625</v>
      </c>
    </row>
    <row r="56" spans="6:10">
      <c r="F56" s="445" t="s">
        <v>722</v>
      </c>
      <c r="G56" s="446"/>
      <c r="H56" s="446">
        <v>6.87</v>
      </c>
      <c r="I56" s="446">
        <v>7.06</v>
      </c>
      <c r="J56" s="446">
        <v>7.47</v>
      </c>
    </row>
    <row r="57" spans="6:10">
      <c r="F57" s="445" t="s">
        <v>723</v>
      </c>
      <c r="G57" s="446"/>
      <c r="H57" s="446">
        <v>6.66</v>
      </c>
      <c r="I57" s="446">
        <v>6.93</v>
      </c>
      <c r="J57" s="446">
        <v>7.17</v>
      </c>
    </row>
    <row r="58" spans="6:10">
      <c r="F58" s="445" t="s">
        <v>724</v>
      </c>
      <c r="G58" s="446"/>
      <c r="H58" s="446">
        <v>6.56</v>
      </c>
      <c r="I58" s="446">
        <v>6.79</v>
      </c>
      <c r="J58" s="446">
        <v>7.05</v>
      </c>
    </row>
    <row r="59" spans="6:10">
      <c r="F59" s="445" t="s">
        <v>725</v>
      </c>
      <c r="G59" s="446"/>
      <c r="H59" s="446">
        <v>6.47</v>
      </c>
      <c r="I59" s="446">
        <v>6.64</v>
      </c>
      <c r="J59" s="446">
        <v>6.94</v>
      </c>
    </row>
    <row r="60" spans="6:10">
      <c r="F60" s="445" t="s">
        <v>726</v>
      </c>
      <c r="G60" s="446"/>
      <c r="H60" s="446">
        <v>6.2</v>
      </c>
      <c r="I60" s="446">
        <v>6.36</v>
      </c>
      <c r="J60" s="446">
        <v>6.47</v>
      </c>
    </row>
    <row r="61" spans="6:10">
      <c r="F61" s="445" t="s">
        <v>727</v>
      </c>
      <c r="G61" s="446"/>
      <c r="H61" s="446">
        <v>6.12</v>
      </c>
      <c r="I61" s="446">
        <v>6.21</v>
      </c>
      <c r="J61" s="446">
        <v>6.3</v>
      </c>
    </row>
    <row r="62" spans="6:10">
      <c r="F62" s="445" t="s">
        <v>728</v>
      </c>
      <c r="G62" s="446"/>
      <c r="H62" s="446">
        <v>6.37</v>
      </c>
      <c r="I62" s="446">
        <v>6.57</v>
      </c>
      <c r="J62" s="446">
        <v>6.67</v>
      </c>
    </row>
    <row r="63" spans="6:10">
      <c r="F63" s="445" t="s">
        <v>729</v>
      </c>
      <c r="G63" s="446"/>
      <c r="H63" s="446">
        <v>6.48</v>
      </c>
      <c r="I63" s="446">
        <v>6.78</v>
      </c>
      <c r="J63" s="446">
        <v>7.08</v>
      </c>
    </row>
    <row r="64" spans="6:10">
      <c r="F64" s="445" t="s">
        <v>730</v>
      </c>
      <c r="G64" s="446"/>
      <c r="H64" s="446">
        <v>6.3</v>
      </c>
      <c r="I64" s="446">
        <v>6.56</v>
      </c>
      <c r="J64" s="446">
        <v>6.87</v>
      </c>
    </row>
    <row r="65" spans="6:10">
      <c r="F65" s="445" t="s">
        <v>731</v>
      </c>
      <c r="G65" s="446"/>
      <c r="H65" s="446">
        <v>6.28</v>
      </c>
      <c r="I65" s="446">
        <v>6.43</v>
      </c>
      <c r="J65" s="446">
        <v>6.79</v>
      </c>
    </row>
    <row r="66" spans="6:10">
      <c r="F66" s="445" t="s">
        <v>732</v>
      </c>
      <c r="G66" s="446"/>
      <c r="H66" s="446">
        <v>6.26</v>
      </c>
      <c r="I66" s="446">
        <v>6.37</v>
      </c>
      <c r="J66" s="446">
        <v>6.69</v>
      </c>
    </row>
    <row r="67" spans="6:10" ht="16.5">
      <c r="F67" s="445" t="s">
        <v>733</v>
      </c>
      <c r="G67" s="447"/>
      <c r="H67" s="447">
        <v>6.18</v>
      </c>
      <c r="I67" s="447">
        <v>6.27</v>
      </c>
      <c r="J67" s="447">
        <v>6.61</v>
      </c>
    </row>
    <row r="68" spans="6:10" ht="15">
      <c r="F68" s="448" t="s">
        <v>16</v>
      </c>
      <c r="G68" s="106"/>
      <c r="H68" s="106">
        <f>AVERAGE(H56:H67)</f>
        <v>6.395833333333333</v>
      </c>
      <c r="I68" s="106">
        <f>AVERAGE(I56:I67)</f>
        <v>6.5808333333333344</v>
      </c>
      <c r="J68" s="106">
        <f>AVERAGE(J56:J67)</f>
        <v>6.8425000000000002</v>
      </c>
    </row>
    <row r="69" spans="6:10">
      <c r="F69" s="450"/>
      <c r="G69" s="450"/>
      <c r="H69" s="450"/>
      <c r="I69" s="450"/>
      <c r="J69" s="450"/>
    </row>
    <row r="70" spans="6:10" ht="15">
      <c r="F70" s="438">
        <v>2004</v>
      </c>
      <c r="G70" s="442"/>
      <c r="H70" s="442"/>
      <c r="I70" s="442"/>
      <c r="J70" s="442"/>
    </row>
    <row r="71" spans="6:10" ht="15">
      <c r="F71" s="442"/>
      <c r="G71" s="438" t="s">
        <v>94</v>
      </c>
      <c r="H71" s="438" t="s">
        <v>721</v>
      </c>
      <c r="I71" s="438" t="s">
        <v>80</v>
      </c>
      <c r="J71" s="438" t="s">
        <v>625</v>
      </c>
    </row>
    <row r="72" spans="6:10">
      <c r="F72" s="445" t="s">
        <v>722</v>
      </c>
      <c r="G72" s="446"/>
      <c r="H72" s="446">
        <v>6.06</v>
      </c>
      <c r="I72" s="446">
        <v>6.15</v>
      </c>
      <c r="J72" s="446">
        <v>6.47</v>
      </c>
    </row>
    <row r="73" spans="6:10">
      <c r="F73" s="445" t="s">
        <v>723</v>
      </c>
      <c r="G73" s="446"/>
      <c r="H73" s="446">
        <v>6.1</v>
      </c>
      <c r="I73" s="446">
        <v>6.15</v>
      </c>
      <c r="J73" s="446">
        <v>6.28</v>
      </c>
    </row>
    <row r="74" spans="6:10">
      <c r="F74" s="445" t="s">
        <v>724</v>
      </c>
      <c r="G74" s="446"/>
      <c r="H74" s="446">
        <v>5.93</v>
      </c>
      <c r="I74" s="446">
        <v>5.97</v>
      </c>
      <c r="J74" s="446">
        <v>6.12</v>
      </c>
    </row>
    <row r="75" spans="6:10">
      <c r="F75" s="445" t="s">
        <v>725</v>
      </c>
      <c r="G75" s="446"/>
      <c r="H75" s="446">
        <v>6.33</v>
      </c>
      <c r="I75" s="446">
        <v>6.35</v>
      </c>
      <c r="J75" s="446">
        <v>6.46</v>
      </c>
    </row>
    <row r="76" spans="6:10">
      <c r="F76" s="445" t="s">
        <v>726</v>
      </c>
      <c r="G76" s="446"/>
      <c r="H76" s="446">
        <v>6.66</v>
      </c>
      <c r="I76" s="446">
        <v>6.6210000000000004</v>
      </c>
      <c r="J76" s="446">
        <v>6.75</v>
      </c>
    </row>
    <row r="77" spans="6:10">
      <c r="F77" s="445" t="s">
        <v>727</v>
      </c>
      <c r="G77" s="446"/>
      <c r="H77" s="446">
        <v>6.3</v>
      </c>
      <c r="I77" s="446">
        <v>6.46</v>
      </c>
      <c r="J77" s="446">
        <v>6.84</v>
      </c>
    </row>
    <row r="78" spans="6:10">
      <c r="F78" s="445" t="s">
        <v>728</v>
      </c>
      <c r="G78" s="446"/>
      <c r="H78" s="446">
        <v>6.09</v>
      </c>
      <c r="I78" s="446">
        <v>6.27</v>
      </c>
      <c r="J78" s="446">
        <v>6.67</v>
      </c>
    </row>
    <row r="79" spans="6:10">
      <c r="F79" s="445" t="s">
        <v>729</v>
      </c>
      <c r="G79" s="446"/>
      <c r="H79" s="446">
        <v>5.95</v>
      </c>
      <c r="I79" s="446">
        <v>6.14</v>
      </c>
      <c r="J79" s="446">
        <v>6.45</v>
      </c>
    </row>
    <row r="80" spans="6:10">
      <c r="F80" s="445" t="s">
        <v>730</v>
      </c>
      <c r="G80" s="446"/>
      <c r="H80" s="446">
        <v>5.79</v>
      </c>
      <c r="I80" s="446">
        <v>5.98</v>
      </c>
      <c r="J80" s="446">
        <v>6.27</v>
      </c>
    </row>
    <row r="81" spans="6:10">
      <c r="F81" s="445" t="s">
        <v>731</v>
      </c>
      <c r="G81" s="446"/>
      <c r="H81" s="446">
        <v>5.74</v>
      </c>
      <c r="I81" s="446">
        <v>5.94</v>
      </c>
      <c r="J81" s="446">
        <v>6.17</v>
      </c>
    </row>
    <row r="82" spans="6:10">
      <c r="F82" s="445" t="s">
        <v>732</v>
      </c>
      <c r="G82" s="446"/>
      <c r="H82" s="446">
        <v>5.79</v>
      </c>
      <c r="I82" s="446">
        <v>5.97</v>
      </c>
      <c r="J82" s="446">
        <v>6.16</v>
      </c>
    </row>
    <row r="83" spans="6:10" ht="16.5">
      <c r="F83" s="445" t="s">
        <v>733</v>
      </c>
      <c r="G83" s="447"/>
      <c r="H83" s="447">
        <v>5.78</v>
      </c>
      <c r="I83" s="447">
        <v>5.92</v>
      </c>
      <c r="J83" s="447">
        <v>6.1</v>
      </c>
    </row>
    <row r="84" spans="6:10" ht="15">
      <c r="F84" s="448" t="s">
        <v>16</v>
      </c>
      <c r="G84" s="106"/>
      <c r="H84" s="106">
        <f>AVERAGE(H72:H83)</f>
        <v>6.0433333333333339</v>
      </c>
      <c r="I84" s="106">
        <f>AVERAGE(I72:I83)</f>
        <v>6.1600833333333336</v>
      </c>
      <c r="J84" s="106">
        <f>AVERAGE(J72:J83)</f>
        <v>6.3949999999999996</v>
      </c>
    </row>
    <row r="85" spans="6:10">
      <c r="F85" s="450"/>
      <c r="G85" s="450"/>
      <c r="H85" s="450"/>
      <c r="I85" s="450"/>
      <c r="J85" s="450"/>
    </row>
    <row r="86" spans="6:10" ht="15">
      <c r="F86" s="438">
        <v>2005</v>
      </c>
      <c r="G86" s="442"/>
      <c r="H86" s="442"/>
      <c r="I86" s="442"/>
      <c r="J86" s="442"/>
    </row>
    <row r="87" spans="6:10" ht="15">
      <c r="F87" s="442"/>
      <c r="G87" s="438" t="s">
        <v>94</v>
      </c>
      <c r="H87" s="438" t="s">
        <v>721</v>
      </c>
      <c r="I87" s="438" t="s">
        <v>80</v>
      </c>
      <c r="J87" s="438" t="s">
        <v>625</v>
      </c>
    </row>
    <row r="88" spans="6:10">
      <c r="F88" s="445" t="s">
        <v>722</v>
      </c>
      <c r="G88" s="446"/>
      <c r="H88" s="446">
        <v>5.68</v>
      </c>
      <c r="I88" s="446">
        <v>5.78</v>
      </c>
      <c r="J88" s="446">
        <v>5.95</v>
      </c>
    </row>
    <row r="89" spans="6:10">
      <c r="F89" s="445" t="s">
        <v>723</v>
      </c>
      <c r="G89" s="446"/>
      <c r="H89" s="446">
        <v>5.55</v>
      </c>
      <c r="I89" s="446">
        <v>5.61</v>
      </c>
      <c r="J89" s="446">
        <v>5.76</v>
      </c>
    </row>
    <row r="90" spans="6:10">
      <c r="F90" s="445" t="s">
        <v>724</v>
      </c>
      <c r="G90" s="446"/>
      <c r="H90" s="446">
        <v>5.76</v>
      </c>
      <c r="I90" s="446">
        <v>5.83</v>
      </c>
      <c r="J90" s="446">
        <v>6.01</v>
      </c>
    </row>
    <row r="91" spans="6:10">
      <c r="F91" s="445" t="s">
        <v>725</v>
      </c>
      <c r="G91" s="446"/>
      <c r="H91" s="446">
        <v>5.56</v>
      </c>
      <c r="I91" s="446">
        <v>5.64</v>
      </c>
      <c r="J91" s="446">
        <v>5.95</v>
      </c>
    </row>
    <row r="92" spans="6:10">
      <c r="F92" s="445" t="s">
        <v>726</v>
      </c>
      <c r="G92" s="446"/>
      <c r="H92" s="446">
        <v>5.39</v>
      </c>
      <c r="I92" s="446">
        <v>5.53</v>
      </c>
      <c r="J92" s="446">
        <v>5.88</v>
      </c>
    </row>
    <row r="93" spans="6:10">
      <c r="F93" s="445" t="s">
        <v>727</v>
      </c>
      <c r="G93" s="446"/>
      <c r="H93" s="446">
        <v>5.05</v>
      </c>
      <c r="I93" s="446">
        <v>5.4</v>
      </c>
      <c r="J93" s="446">
        <v>5.7</v>
      </c>
    </row>
    <row r="94" spans="6:10">
      <c r="F94" s="445" t="s">
        <v>728</v>
      </c>
      <c r="G94" s="446"/>
      <c r="H94" s="446">
        <v>5.18</v>
      </c>
      <c r="I94" s="446">
        <v>5.51</v>
      </c>
      <c r="J94" s="446">
        <v>5.81</v>
      </c>
    </row>
    <row r="95" spans="6:10">
      <c r="F95" s="445" t="s">
        <v>729</v>
      </c>
      <c r="G95" s="446"/>
      <c r="H95" s="446">
        <v>5.23</v>
      </c>
      <c r="I95" s="446">
        <v>5.5</v>
      </c>
      <c r="J95" s="446">
        <v>5.8</v>
      </c>
    </row>
    <row r="96" spans="6:10">
      <c r="F96" s="445" t="s">
        <v>730</v>
      </c>
      <c r="G96" s="446"/>
      <c r="H96" s="446">
        <v>5.27</v>
      </c>
      <c r="I96" s="446">
        <v>5.52</v>
      </c>
      <c r="J96" s="446">
        <v>5.83</v>
      </c>
    </row>
    <row r="97" spans="6:10">
      <c r="F97" s="445" t="s">
        <v>731</v>
      </c>
      <c r="G97" s="446"/>
      <c r="H97" s="446">
        <v>5.5</v>
      </c>
      <c r="I97" s="446">
        <v>5.79</v>
      </c>
      <c r="J97" s="446">
        <v>6.08</v>
      </c>
    </row>
    <row r="98" spans="6:10">
      <c r="F98" s="445" t="s">
        <v>732</v>
      </c>
      <c r="G98" s="446"/>
      <c r="H98" s="446">
        <v>5.59</v>
      </c>
      <c r="I98" s="446">
        <v>5.88</v>
      </c>
      <c r="J98" s="446">
        <v>6.19</v>
      </c>
    </row>
    <row r="99" spans="6:10" ht="16.5">
      <c r="F99" s="445" t="s">
        <v>733</v>
      </c>
      <c r="G99" s="447"/>
      <c r="H99" s="447">
        <v>5.55</v>
      </c>
      <c r="I99" s="447">
        <v>5.8</v>
      </c>
      <c r="J99" s="447">
        <v>6.14</v>
      </c>
    </row>
    <row r="100" spans="6:10" ht="15">
      <c r="F100" s="448" t="s">
        <v>16</v>
      </c>
      <c r="G100" s="106"/>
      <c r="H100" s="106">
        <f>AVERAGE(H88:H99)</f>
        <v>5.4424999999999999</v>
      </c>
      <c r="I100" s="106">
        <f>AVERAGE(I88:I99)</f>
        <v>5.649166666666666</v>
      </c>
      <c r="J100" s="106">
        <f>AVERAGE(J88:J99)</f>
        <v>5.9249999999999998</v>
      </c>
    </row>
    <row r="101" spans="6:10">
      <c r="F101" s="450"/>
      <c r="G101" s="450"/>
      <c r="H101" s="450"/>
      <c r="I101" s="450"/>
      <c r="J101" s="450"/>
    </row>
    <row r="102" spans="6:10" ht="15">
      <c r="F102" s="438">
        <v>2006</v>
      </c>
      <c r="G102" s="442"/>
      <c r="H102" s="442"/>
      <c r="I102" s="442"/>
      <c r="J102" s="442"/>
    </row>
    <row r="103" spans="6:10" ht="15">
      <c r="F103" s="442"/>
      <c r="G103" s="438" t="s">
        <v>94</v>
      </c>
      <c r="H103" s="438" t="s">
        <v>721</v>
      </c>
      <c r="I103" s="438" t="s">
        <v>80</v>
      </c>
      <c r="J103" s="438" t="s">
        <v>625</v>
      </c>
    </row>
    <row r="104" spans="6:10">
      <c r="F104" s="445" t="s">
        <v>722</v>
      </c>
      <c r="G104" s="446"/>
      <c r="H104" s="446">
        <v>5.5</v>
      </c>
      <c r="I104" s="446">
        <v>5.75</v>
      </c>
      <c r="J104" s="446">
        <v>6.06</v>
      </c>
    </row>
    <row r="105" spans="6:10">
      <c r="F105" s="445" t="s">
        <v>723</v>
      </c>
      <c r="G105" s="446"/>
      <c r="H105" s="446">
        <v>5.55</v>
      </c>
      <c r="I105" s="446">
        <v>5.82</v>
      </c>
      <c r="J105" s="446">
        <v>6.11</v>
      </c>
    </row>
    <row r="106" spans="6:10">
      <c r="F106" s="445" t="s">
        <v>724</v>
      </c>
      <c r="G106" s="446"/>
      <c r="H106" s="446">
        <v>5.71</v>
      </c>
      <c r="I106" s="446">
        <v>5.98</v>
      </c>
      <c r="J106" s="446">
        <v>6.26</v>
      </c>
    </row>
    <row r="107" spans="6:10">
      <c r="F107" s="445" t="s">
        <v>725</v>
      </c>
      <c r="G107" s="446"/>
      <c r="H107" s="446">
        <v>6.02</v>
      </c>
      <c r="I107" s="446">
        <v>6.29</v>
      </c>
      <c r="J107" s="446">
        <v>6.54</v>
      </c>
    </row>
    <row r="108" spans="6:10">
      <c r="F108" s="445" t="s">
        <v>726</v>
      </c>
      <c r="G108" s="446"/>
      <c r="H108" s="446">
        <v>6.16</v>
      </c>
      <c r="I108" s="446">
        <v>6.42</v>
      </c>
      <c r="J108" s="446">
        <v>6.59</v>
      </c>
    </row>
    <row r="109" spans="6:10">
      <c r="F109" s="445" t="s">
        <v>727</v>
      </c>
      <c r="G109" s="446"/>
      <c r="H109" s="446">
        <v>6.16</v>
      </c>
      <c r="I109" s="446">
        <v>6.4</v>
      </c>
      <c r="J109" s="446">
        <v>6.61</v>
      </c>
    </row>
    <row r="110" spans="6:10">
      <c r="F110" s="445" t="s">
        <v>728</v>
      </c>
      <c r="G110" s="446"/>
      <c r="H110" s="446">
        <v>6.13</v>
      </c>
      <c r="I110" s="446">
        <v>6.37</v>
      </c>
      <c r="J110" s="446">
        <v>6.61</v>
      </c>
    </row>
    <row r="111" spans="6:10">
      <c r="F111" s="445" t="s">
        <v>729</v>
      </c>
      <c r="G111" s="446"/>
      <c r="H111" s="446">
        <v>5.97</v>
      </c>
      <c r="I111" s="446">
        <v>6.2</v>
      </c>
      <c r="J111" s="446">
        <v>6.43</v>
      </c>
    </row>
    <row r="112" spans="6:10">
      <c r="F112" s="445" t="s">
        <v>730</v>
      </c>
      <c r="G112" s="446"/>
      <c r="H112" s="446">
        <v>5.81</v>
      </c>
      <c r="I112" s="446">
        <v>6</v>
      </c>
      <c r="J112" s="446">
        <v>6.26</v>
      </c>
    </row>
    <row r="113" spans="6:10">
      <c r="F113" s="445" t="s">
        <v>731</v>
      </c>
      <c r="G113" s="446"/>
      <c r="H113" s="446">
        <v>5.8</v>
      </c>
      <c r="I113" s="446">
        <v>5.98</v>
      </c>
      <c r="J113" s="446">
        <v>6.24</v>
      </c>
    </row>
    <row r="114" spans="6:10">
      <c r="F114" s="445" t="s">
        <v>732</v>
      </c>
      <c r="G114" s="446"/>
      <c r="H114" s="446">
        <v>5.61</v>
      </c>
      <c r="I114" s="446">
        <v>5.8</v>
      </c>
      <c r="J114" s="446">
        <v>6.04</v>
      </c>
    </row>
    <row r="115" spans="6:10" ht="16.5">
      <c r="F115" s="445" t="s">
        <v>733</v>
      </c>
      <c r="G115" s="447"/>
      <c r="H115" s="447">
        <v>5.62</v>
      </c>
      <c r="I115" s="447">
        <v>5.81</v>
      </c>
      <c r="J115" s="447">
        <v>6.05</v>
      </c>
    </row>
    <row r="116" spans="6:10" ht="15">
      <c r="F116" s="448" t="s">
        <v>16</v>
      </c>
      <c r="G116" s="106"/>
      <c r="H116" s="106">
        <f>AVERAGE(H104:H115)</f>
        <v>5.8366666666666669</v>
      </c>
      <c r="I116" s="106">
        <f>AVERAGE(I104:I115)</f>
        <v>6.0683333333333325</v>
      </c>
      <c r="J116" s="106">
        <f>AVERAGE(J104:J115)</f>
        <v>6.3166666666666664</v>
      </c>
    </row>
    <row r="117" spans="6:10">
      <c r="F117" s="450"/>
      <c r="G117" s="450"/>
      <c r="H117" s="450"/>
      <c r="I117" s="450"/>
      <c r="J117" s="450"/>
    </row>
    <row r="118" spans="6:10" ht="15">
      <c r="F118" s="438">
        <v>2007</v>
      </c>
      <c r="G118" s="442"/>
      <c r="H118" s="442"/>
      <c r="I118" s="442"/>
      <c r="J118" s="442"/>
    </row>
    <row r="119" spans="6:10" ht="15">
      <c r="F119" s="442"/>
      <c r="G119" s="438" t="s">
        <v>94</v>
      </c>
      <c r="H119" s="438" t="s">
        <v>721</v>
      </c>
      <c r="I119" s="438" t="s">
        <v>80</v>
      </c>
      <c r="J119" s="438" t="s">
        <v>625</v>
      </c>
    </row>
    <row r="120" spans="6:10">
      <c r="F120" s="445" t="s">
        <v>722</v>
      </c>
      <c r="G120" s="446"/>
      <c r="H120" s="446">
        <v>5.78</v>
      </c>
      <c r="I120" s="446">
        <v>5.96</v>
      </c>
      <c r="J120" s="446">
        <v>6.16</v>
      </c>
    </row>
    <row r="121" spans="6:10">
      <c r="F121" s="445" t="s">
        <v>723</v>
      </c>
      <c r="G121" s="446"/>
      <c r="H121" s="446">
        <v>5.73</v>
      </c>
      <c r="I121" s="446">
        <v>5.9</v>
      </c>
      <c r="J121" s="446">
        <v>6.1</v>
      </c>
    </row>
    <row r="122" spans="6:10">
      <c r="F122" s="445" t="s">
        <v>724</v>
      </c>
      <c r="G122" s="446"/>
      <c r="H122" s="446">
        <v>5.66</v>
      </c>
      <c r="I122" s="446">
        <v>5.85</v>
      </c>
      <c r="J122" s="446">
        <v>6.1</v>
      </c>
    </row>
    <row r="123" spans="6:10">
      <c r="F123" s="445" t="s">
        <v>725</v>
      </c>
      <c r="G123" s="446"/>
      <c r="H123" s="446">
        <v>5.83</v>
      </c>
      <c r="I123" s="446">
        <v>5.97</v>
      </c>
      <c r="J123" s="446">
        <v>6.24</v>
      </c>
    </row>
    <row r="124" spans="6:10">
      <c r="F124" s="445" t="s">
        <v>726</v>
      </c>
      <c r="G124" s="446"/>
      <c r="H124" s="446">
        <v>5.86</v>
      </c>
      <c r="I124" s="446">
        <v>5.99</v>
      </c>
      <c r="J124" s="446">
        <v>6.23</v>
      </c>
    </row>
    <row r="125" spans="6:10">
      <c r="F125" s="445" t="s">
        <v>727</v>
      </c>
      <c r="G125" s="446"/>
      <c r="H125" s="446">
        <v>6.18</v>
      </c>
      <c r="I125" s="446">
        <v>6.3</v>
      </c>
      <c r="J125" s="446">
        <v>6.54</v>
      </c>
    </row>
    <row r="126" spans="6:10">
      <c r="F126" s="445" t="s">
        <v>728</v>
      </c>
      <c r="G126" s="446"/>
      <c r="H126" s="446">
        <v>6.11</v>
      </c>
      <c r="I126" s="446">
        <v>6.25</v>
      </c>
      <c r="J126" s="446">
        <v>6.49</v>
      </c>
    </row>
    <row r="127" spans="6:10">
      <c r="F127" s="445" t="s">
        <v>729</v>
      </c>
      <c r="G127" s="446"/>
      <c r="H127" s="446">
        <v>6.11</v>
      </c>
      <c r="I127" s="446">
        <v>6.24</v>
      </c>
      <c r="J127" s="446">
        <v>6.51</v>
      </c>
    </row>
    <row r="128" spans="6:10">
      <c r="F128" s="445" t="s">
        <v>730</v>
      </c>
      <c r="G128" s="446"/>
      <c r="H128" s="446">
        <v>6.1</v>
      </c>
      <c r="I128" s="446">
        <v>6.18</v>
      </c>
      <c r="J128" s="446">
        <v>6.45</v>
      </c>
    </row>
    <row r="129" spans="6:10">
      <c r="F129" s="445" t="s">
        <v>731</v>
      </c>
      <c r="G129" s="446"/>
      <c r="H129" s="446">
        <v>6.04</v>
      </c>
      <c r="I129" s="446">
        <v>6.11</v>
      </c>
      <c r="J129" s="446">
        <v>6.36</v>
      </c>
    </row>
    <row r="130" spans="6:10">
      <c r="F130" s="445" t="s">
        <v>732</v>
      </c>
      <c r="G130" s="446"/>
      <c r="H130" s="446">
        <v>5.87</v>
      </c>
      <c r="I130" s="446">
        <v>5.97</v>
      </c>
      <c r="J130" s="446">
        <v>6.27</v>
      </c>
    </row>
    <row r="131" spans="6:10" ht="16.5">
      <c r="F131" s="445" t="s">
        <v>733</v>
      </c>
      <c r="G131" s="447"/>
      <c r="H131" s="447">
        <v>6.03</v>
      </c>
      <c r="I131" s="447">
        <v>6.16</v>
      </c>
      <c r="J131" s="447">
        <v>6.51</v>
      </c>
    </row>
    <row r="132" spans="6:10" ht="15">
      <c r="F132" s="448" t="s">
        <v>16</v>
      </c>
      <c r="G132" s="106"/>
      <c r="H132" s="106">
        <f>AVERAGE(H120:H131)</f>
        <v>5.9416666666666664</v>
      </c>
      <c r="I132" s="106">
        <f>AVERAGE(I120:I131)</f>
        <v>6.0733333333333333</v>
      </c>
      <c r="J132" s="106">
        <f>AVERAGE(J120:J131)</f>
        <v>6.330000000000001</v>
      </c>
    </row>
    <row r="133" spans="6:10">
      <c r="F133" s="450"/>
      <c r="G133" s="450"/>
      <c r="H133" s="450"/>
      <c r="I133" s="450"/>
      <c r="J133" s="450"/>
    </row>
    <row r="134" spans="6:10" ht="15">
      <c r="F134" s="438">
        <v>2008</v>
      </c>
      <c r="G134" s="442"/>
      <c r="H134" s="442"/>
      <c r="I134" s="442"/>
      <c r="J134" s="442"/>
    </row>
    <row r="135" spans="6:10" ht="15">
      <c r="F135" s="442"/>
      <c r="G135" s="438" t="s">
        <v>94</v>
      </c>
      <c r="H135" s="438" t="s">
        <v>721</v>
      </c>
      <c r="I135" s="438" t="s">
        <v>80</v>
      </c>
      <c r="J135" s="438" t="s">
        <v>625</v>
      </c>
    </row>
    <row r="136" spans="6:10">
      <c r="F136" s="445" t="s">
        <v>722</v>
      </c>
      <c r="G136" s="446"/>
      <c r="H136" s="446">
        <v>5.87</v>
      </c>
      <c r="I136" s="446">
        <v>6.02</v>
      </c>
      <c r="J136" s="446">
        <v>6.35</v>
      </c>
    </row>
    <row r="137" spans="6:10">
      <c r="F137" s="445" t="s">
        <v>723</v>
      </c>
      <c r="G137" s="446"/>
      <c r="H137" s="446">
        <v>6.04</v>
      </c>
      <c r="I137" s="446">
        <v>6.21</v>
      </c>
      <c r="J137" s="446">
        <v>6.6</v>
      </c>
    </row>
    <row r="138" spans="6:10">
      <c r="F138" s="445" t="s">
        <v>724</v>
      </c>
      <c r="G138" s="446"/>
      <c r="H138" s="446">
        <v>5.99</v>
      </c>
      <c r="I138" s="446">
        <v>6.21</v>
      </c>
      <c r="J138" s="446">
        <v>6.68</v>
      </c>
    </row>
    <row r="139" spans="6:10">
      <c r="F139" s="445" t="s">
        <v>725</v>
      </c>
      <c r="G139" s="446"/>
      <c r="H139" s="446">
        <v>5.99</v>
      </c>
      <c r="I139" s="446">
        <v>6.29</v>
      </c>
      <c r="J139" s="446">
        <v>6.81</v>
      </c>
    </row>
    <row r="140" spans="6:10">
      <c r="F140" s="445" t="s">
        <v>726</v>
      </c>
      <c r="G140" s="446"/>
      <c r="H140" s="446">
        <v>6.07</v>
      </c>
      <c r="I140" s="446">
        <v>6.27</v>
      </c>
      <c r="J140" s="446">
        <v>6.79</v>
      </c>
    </row>
    <row r="141" spans="6:10">
      <c r="F141" s="445" t="s">
        <v>727</v>
      </c>
      <c r="G141" s="446"/>
      <c r="H141" s="446">
        <v>6.19</v>
      </c>
      <c r="I141" s="446">
        <v>6.38</v>
      </c>
      <c r="J141" s="446">
        <v>6.93</v>
      </c>
    </row>
    <row r="142" spans="6:10">
      <c r="F142" s="445" t="s">
        <v>728</v>
      </c>
      <c r="G142" s="446"/>
      <c r="H142" s="446">
        <v>6.13</v>
      </c>
      <c r="I142" s="446">
        <v>6.4</v>
      </c>
      <c r="J142" s="446">
        <v>6.97</v>
      </c>
    </row>
    <row r="143" spans="6:10">
      <c r="F143" s="445" t="s">
        <v>729</v>
      </c>
      <c r="G143" s="446"/>
      <c r="H143" s="446">
        <v>6.09</v>
      </c>
      <c r="I143" s="446">
        <v>6.37</v>
      </c>
      <c r="J143" s="446">
        <v>6.98</v>
      </c>
    </row>
    <row r="144" spans="6:10">
      <c r="F144" s="445" t="s">
        <v>730</v>
      </c>
      <c r="G144" s="446"/>
      <c r="H144" s="446">
        <v>6.13</v>
      </c>
      <c r="I144" s="446">
        <v>6.49</v>
      </c>
      <c r="J144" s="446">
        <v>7.15</v>
      </c>
    </row>
    <row r="145" spans="6:15" ht="15">
      <c r="F145" s="445" t="s">
        <v>731</v>
      </c>
      <c r="G145" s="446"/>
      <c r="H145" s="446">
        <v>6.95</v>
      </c>
      <c r="I145" s="446">
        <v>7.56</v>
      </c>
      <c r="J145" s="446">
        <v>8.58</v>
      </c>
      <c r="L145" s="453"/>
    </row>
    <row r="146" spans="6:15">
      <c r="F146" s="445" t="s">
        <v>732</v>
      </c>
      <c r="G146" s="446"/>
      <c r="H146" s="446">
        <v>6.83</v>
      </c>
      <c r="I146" s="446">
        <v>7.6</v>
      </c>
      <c r="J146" s="446">
        <v>8.98</v>
      </c>
      <c r="L146"/>
      <c r="N146" s="454"/>
      <c r="O146" s="454"/>
    </row>
    <row r="147" spans="6:15" ht="16.5">
      <c r="F147" s="445" t="s">
        <v>733</v>
      </c>
      <c r="G147" s="446"/>
      <c r="H147" s="447">
        <v>5.93</v>
      </c>
      <c r="I147" s="447">
        <v>6.54</v>
      </c>
      <c r="J147" s="447">
        <v>8.1300000000000008</v>
      </c>
      <c r="L147"/>
      <c r="N147" s="454"/>
      <c r="O147" s="454"/>
    </row>
    <row r="148" spans="6:15" ht="15">
      <c r="F148" s="448" t="s">
        <v>16</v>
      </c>
      <c r="G148" s="106"/>
      <c r="H148" s="106">
        <f>AVERAGE(H136:H147)</f>
        <v>6.184166666666667</v>
      </c>
      <c r="I148" s="106">
        <f>AVERAGE(I136:I147)</f>
        <v>6.5283333333333333</v>
      </c>
      <c r="J148" s="106">
        <f>AVERAGE(J136:J147)</f>
        <v>7.2458333333333336</v>
      </c>
      <c r="L148"/>
      <c r="N148" s="454"/>
      <c r="O148" s="454"/>
    </row>
    <row r="149" spans="6:15">
      <c r="F149" s="450"/>
      <c r="G149" s="450"/>
      <c r="H149" s="450"/>
      <c r="I149" s="450"/>
      <c r="J149" s="450"/>
      <c r="L149"/>
      <c r="N149" s="454"/>
      <c r="O149" s="454"/>
    </row>
    <row r="150" spans="6:15" ht="15">
      <c r="F150" s="438">
        <v>2009</v>
      </c>
      <c r="G150" s="442"/>
      <c r="H150" s="442"/>
      <c r="I150" s="442"/>
      <c r="J150" s="442"/>
      <c r="L150" s="33"/>
      <c r="N150" s="454"/>
      <c r="O150" s="454"/>
    </row>
    <row r="151" spans="6:15" ht="15">
      <c r="F151" s="442"/>
      <c r="G151" s="438" t="s">
        <v>94</v>
      </c>
      <c r="H151" s="438" t="s">
        <v>721</v>
      </c>
      <c r="I151" s="438" t="s">
        <v>80</v>
      </c>
      <c r="J151" s="438" t="s">
        <v>625</v>
      </c>
      <c r="L151"/>
    </row>
    <row r="152" spans="6:15" ht="15">
      <c r="F152" s="445" t="s">
        <v>722</v>
      </c>
      <c r="G152" s="446"/>
      <c r="H152" s="446">
        <v>6.01</v>
      </c>
      <c r="I152" s="446">
        <v>6.39</v>
      </c>
      <c r="J152" s="446">
        <v>7.9</v>
      </c>
      <c r="L152" s="453"/>
    </row>
    <row r="153" spans="6:15">
      <c r="F153" s="445" t="s">
        <v>723</v>
      </c>
      <c r="G153" s="446"/>
      <c r="H153" s="446">
        <v>6.11</v>
      </c>
      <c r="I153" s="446">
        <v>6.3</v>
      </c>
      <c r="J153" s="446">
        <v>7.74</v>
      </c>
      <c r="L153"/>
      <c r="N153" s="454"/>
      <c r="O153" s="454"/>
    </row>
    <row r="154" spans="6:15">
      <c r="F154" s="445" t="s">
        <v>724</v>
      </c>
      <c r="G154" s="446"/>
      <c r="H154" s="446">
        <v>6.14</v>
      </c>
      <c r="I154" s="446">
        <v>6.42</v>
      </c>
      <c r="J154" s="446">
        <v>8</v>
      </c>
      <c r="L154"/>
      <c r="N154" s="454"/>
      <c r="O154" s="454"/>
    </row>
    <row r="155" spans="6:15">
      <c r="F155" s="445" t="s">
        <v>725</v>
      </c>
      <c r="G155" s="446"/>
      <c r="H155" s="446">
        <v>6.2</v>
      </c>
      <c r="I155" s="446">
        <v>6.48</v>
      </c>
      <c r="J155" s="446">
        <v>8.0299999999999994</v>
      </c>
      <c r="L155"/>
      <c r="N155" s="454"/>
      <c r="O155" s="454"/>
    </row>
    <row r="156" spans="6:15">
      <c r="F156" s="445" t="s">
        <v>726</v>
      </c>
      <c r="G156" s="446"/>
      <c r="H156" s="446">
        <v>6.23</v>
      </c>
      <c r="I156" s="446">
        <v>6.49</v>
      </c>
      <c r="J156" s="446">
        <v>7.76</v>
      </c>
      <c r="L156"/>
      <c r="N156" s="454"/>
      <c r="O156" s="454"/>
    </row>
    <row r="157" spans="6:15" ht="15">
      <c r="F157" s="445" t="s">
        <v>727</v>
      </c>
      <c r="G157" s="446"/>
      <c r="H157" s="446">
        <v>6.13</v>
      </c>
      <c r="I157" s="446">
        <v>6.2</v>
      </c>
      <c r="J157" s="446">
        <v>7.3</v>
      </c>
      <c r="L157" s="33"/>
      <c r="N157" s="454"/>
      <c r="O157" s="454"/>
    </row>
    <row r="158" spans="6:15">
      <c r="F158" s="445" t="s">
        <v>728</v>
      </c>
      <c r="G158" s="446"/>
      <c r="H158" s="446">
        <v>5.63</v>
      </c>
      <c r="I158" s="446">
        <v>5.97</v>
      </c>
      <c r="J158" s="446">
        <v>6.87</v>
      </c>
      <c r="L158"/>
    </row>
    <row r="159" spans="6:15" ht="15">
      <c r="F159" s="445" t="s">
        <v>729</v>
      </c>
      <c r="G159" s="446"/>
      <c r="H159" s="446">
        <v>5.33</v>
      </c>
      <c r="I159" s="446">
        <v>5.71</v>
      </c>
      <c r="J159" s="446">
        <v>6.36</v>
      </c>
      <c r="L159" s="453"/>
    </row>
    <row r="160" spans="6:15">
      <c r="F160" s="445" t="s">
        <v>730</v>
      </c>
      <c r="G160" s="446"/>
      <c r="I160" s="446">
        <f>0.0553047619047619*100</f>
        <v>5.5304761904761897</v>
      </c>
      <c r="J160" s="446">
        <f>0.0611857142857143*100</f>
        <v>6.1185714285714301</v>
      </c>
      <c r="L160"/>
      <c r="N160" s="454"/>
      <c r="O160" s="454"/>
    </row>
    <row r="161" spans="6:15">
      <c r="F161" s="445" t="s">
        <v>731</v>
      </c>
      <c r="G161" s="446"/>
      <c r="H161" s="446"/>
      <c r="I161" s="446">
        <v>5.5374999999999996</v>
      </c>
      <c r="J161" s="446">
        <v>6.1340000000000003</v>
      </c>
      <c r="L161"/>
      <c r="N161" s="454"/>
      <c r="O161" s="454"/>
    </row>
    <row r="162" spans="6:15">
      <c r="F162" s="445" t="s">
        <v>732</v>
      </c>
      <c r="G162" s="446"/>
      <c r="H162" s="446"/>
      <c r="I162" s="446">
        <v>5.6381249999999996</v>
      </c>
      <c r="J162" s="446">
        <v>6.1868749999999997</v>
      </c>
      <c r="L162"/>
      <c r="N162" s="454"/>
      <c r="O162" s="454"/>
    </row>
    <row r="163" spans="6:15" ht="16.5">
      <c r="F163" s="445" t="s">
        <v>733</v>
      </c>
      <c r="G163" s="446"/>
      <c r="H163" s="447"/>
      <c r="I163" s="447">
        <v>5.7747368421052601</v>
      </c>
      <c r="J163" s="447">
        <v>6.2626315789473699</v>
      </c>
      <c r="L163" s="33"/>
      <c r="N163" s="454"/>
      <c r="O163" s="454"/>
    </row>
    <row r="164" spans="6:15" ht="15">
      <c r="F164" s="448" t="s">
        <v>16</v>
      </c>
      <c r="G164" s="106"/>
      <c r="H164" s="106"/>
      <c r="I164" s="106">
        <f>AVERAGE(I152:I163)</f>
        <v>6.0367365027151196</v>
      </c>
      <c r="J164" s="106">
        <f>AVERAGE(J152:J163)</f>
        <v>7.0551731672932325</v>
      </c>
    </row>
    <row r="166" spans="6:15" ht="15">
      <c r="F166" s="438">
        <v>2010</v>
      </c>
      <c r="G166" s="442"/>
      <c r="H166" s="442"/>
      <c r="I166" s="442"/>
      <c r="J166" s="442"/>
    </row>
    <row r="167" spans="6:15" ht="15">
      <c r="F167" s="442"/>
      <c r="G167" s="438" t="s">
        <v>94</v>
      </c>
      <c r="H167" s="438" t="s">
        <v>721</v>
      </c>
      <c r="I167" s="438" t="s">
        <v>80</v>
      </c>
      <c r="J167" s="438" t="s">
        <v>625</v>
      </c>
    </row>
    <row r="168" spans="6:15">
      <c r="F168" s="445" t="s">
        <v>722</v>
      </c>
      <c r="G168" s="446"/>
      <c r="H168" s="446"/>
      <c r="I168" s="446">
        <v>5.7726315789473697</v>
      </c>
      <c r="J168" s="446">
        <v>6.1557894736842096</v>
      </c>
    </row>
    <row r="169" spans="6:15">
      <c r="F169" s="445" t="s">
        <v>723</v>
      </c>
      <c r="G169" s="446"/>
      <c r="H169" s="446"/>
      <c r="I169" s="446">
        <v>5.87052631578947</v>
      </c>
      <c r="J169" s="446">
        <v>6.24631578947369</v>
      </c>
    </row>
    <row r="170" spans="6:15">
      <c r="F170" s="445" t="s">
        <v>724</v>
      </c>
      <c r="G170" s="446"/>
      <c r="H170" s="446"/>
      <c r="I170" s="446">
        <v>5.8409523809523796</v>
      </c>
      <c r="J170" s="446">
        <v>6.2204761904761892</v>
      </c>
    </row>
    <row r="171" spans="6:15">
      <c r="F171" s="445" t="s">
        <v>725</v>
      </c>
      <c r="G171" s="446"/>
      <c r="H171" s="446"/>
      <c r="I171" s="446">
        <v>5.81</v>
      </c>
      <c r="J171" s="446">
        <v>6.1880952380952383</v>
      </c>
    </row>
    <row r="172" spans="6:15">
      <c r="F172" s="445" t="s">
        <v>726</v>
      </c>
      <c r="G172" s="446"/>
      <c r="H172" s="446"/>
      <c r="I172" s="446">
        <v>5.5</v>
      </c>
      <c r="J172" s="446">
        <v>5.9663157894736845</v>
      </c>
    </row>
    <row r="173" spans="6:15">
      <c r="F173" s="445" t="s">
        <v>727</v>
      </c>
      <c r="G173" s="446"/>
      <c r="H173" s="446"/>
      <c r="I173" s="446">
        <v>5.46</v>
      </c>
      <c r="J173" s="446">
        <v>6.18</v>
      </c>
    </row>
    <row r="174" spans="6:15">
      <c r="F174" s="445" t="s">
        <v>728</v>
      </c>
      <c r="G174" s="446"/>
      <c r="H174" s="446"/>
      <c r="I174" s="446">
        <v>5.26</v>
      </c>
      <c r="J174" s="446">
        <v>5.98</v>
      </c>
    </row>
    <row r="175" spans="6:15">
      <c r="F175" s="445" t="s">
        <v>729</v>
      </c>
      <c r="G175" s="446"/>
      <c r="H175" s="446"/>
      <c r="I175" s="446">
        <v>5.0070588235294116</v>
      </c>
      <c r="J175" s="446">
        <v>5.55</v>
      </c>
    </row>
    <row r="176" spans="6:15">
      <c r="F176" s="445" t="s">
        <v>730</v>
      </c>
      <c r="G176" s="446"/>
      <c r="I176" s="455">
        <v>5.0095238095238086</v>
      </c>
      <c r="J176" s="455">
        <v>5.5319047619047614</v>
      </c>
    </row>
    <row r="177" spans="6:10">
      <c r="F177" s="445" t="s">
        <v>731</v>
      </c>
      <c r="G177" s="446"/>
      <c r="H177" s="446"/>
      <c r="I177" s="455">
        <v>5.0888235294117647</v>
      </c>
      <c r="J177" s="455">
        <v>5.606470588235295</v>
      </c>
    </row>
    <row r="178" spans="6:10">
      <c r="F178" s="445" t="s">
        <v>732</v>
      </c>
      <c r="G178" s="446"/>
      <c r="H178" s="446"/>
      <c r="I178" s="455">
        <v>5.3610526315789473</v>
      </c>
      <c r="J178" s="455">
        <v>5.8489473684210536</v>
      </c>
    </row>
    <row r="179" spans="6:10" ht="16.5">
      <c r="F179" s="445" t="s">
        <v>733</v>
      </c>
      <c r="G179" s="446"/>
      <c r="H179" s="447"/>
      <c r="I179" s="455">
        <v>5.5545</v>
      </c>
      <c r="J179" s="455">
        <v>6.0434999999999999</v>
      </c>
    </row>
    <row r="180" spans="6:10" ht="15">
      <c r="F180" s="448" t="s">
        <v>16</v>
      </c>
      <c r="G180" s="106"/>
      <c r="H180" s="106"/>
      <c r="I180" s="106">
        <f>AVERAGE(I168:I179)</f>
        <v>5.461255755811095</v>
      </c>
      <c r="J180" s="106">
        <f>AVERAGE(J168:J179)</f>
        <v>5.9598179333136763</v>
      </c>
    </row>
    <row r="182" spans="6:10" ht="15">
      <c r="F182" s="438">
        <v>2011</v>
      </c>
      <c r="G182" s="442"/>
      <c r="H182" s="442"/>
      <c r="I182" s="442"/>
      <c r="J182" s="442"/>
    </row>
    <row r="183" spans="6:10" ht="15">
      <c r="F183" s="442"/>
      <c r="G183" s="438" t="s">
        <v>94</v>
      </c>
      <c r="H183" s="438" t="s">
        <v>721</v>
      </c>
      <c r="I183" s="438" t="s">
        <v>80</v>
      </c>
      <c r="J183" s="438" t="s">
        <v>625</v>
      </c>
    </row>
    <row r="184" spans="6:10">
      <c r="F184" s="445" t="s">
        <v>722</v>
      </c>
      <c r="G184" s="446"/>
      <c r="H184" s="446"/>
      <c r="I184" s="455">
        <v>5.5684210526315798</v>
      </c>
      <c r="J184" s="455">
        <v>6.0584210526315792</v>
      </c>
    </row>
    <row r="185" spans="6:10">
      <c r="F185" s="445" t="s">
        <v>723</v>
      </c>
      <c r="G185" s="446"/>
      <c r="H185" s="446"/>
      <c r="I185" s="455">
        <v>5.6706250000000002</v>
      </c>
      <c r="J185" s="455">
        <v>6.0949999999999989</v>
      </c>
    </row>
    <row r="186" spans="6:10">
      <c r="F186" s="445" t="s">
        <v>724</v>
      </c>
      <c r="G186" s="446"/>
      <c r="H186" s="446"/>
      <c r="I186" s="455">
        <v>5.56809523809524</v>
      </c>
      <c r="J186" s="455">
        <v>5.9752380952380966</v>
      </c>
    </row>
    <row r="187" spans="6:10">
      <c r="F187" s="445" t="s">
        <v>725</v>
      </c>
      <c r="G187" s="446"/>
      <c r="H187" s="446"/>
      <c r="I187" s="455">
        <v>5.5522222222222233</v>
      </c>
      <c r="J187" s="455">
        <v>5.9805555555555561</v>
      </c>
    </row>
    <row r="188" spans="6:10">
      <c r="F188" s="445" t="s">
        <v>726</v>
      </c>
      <c r="G188" s="446"/>
      <c r="H188" s="446"/>
      <c r="I188" s="455">
        <v>5.3161111111111126</v>
      </c>
      <c r="J188" s="455">
        <v>5.737222222222222</v>
      </c>
    </row>
    <row r="189" spans="6:10">
      <c r="F189" s="445" t="s">
        <v>727</v>
      </c>
      <c r="G189" s="446"/>
      <c r="H189" s="446"/>
      <c r="I189" s="455">
        <v>5.2765000000000004</v>
      </c>
      <c r="J189" s="455">
        <v>5.6455000000000011</v>
      </c>
    </row>
    <row r="190" spans="6:10">
      <c r="F190" s="445" t="s">
        <v>728</v>
      </c>
      <c r="G190" s="446"/>
      <c r="H190" s="446"/>
      <c r="I190" s="455">
        <v>5.259444444444445</v>
      </c>
      <c r="J190" s="455">
        <v>5.6944444444444438</v>
      </c>
    </row>
    <row r="191" spans="6:10">
      <c r="F191" s="445" t="s">
        <v>729</v>
      </c>
      <c r="G191" s="446"/>
      <c r="H191" s="446"/>
      <c r="I191" s="455">
        <v>4.6891304347826086</v>
      </c>
      <c r="J191" s="455">
        <v>5.2239130434782606</v>
      </c>
    </row>
    <row r="192" spans="6:10">
      <c r="F192" s="445" t="s">
        <v>730</v>
      </c>
      <c r="G192" s="446"/>
      <c r="I192" s="455">
        <v>4.4835294117647058</v>
      </c>
      <c r="J192" s="455">
        <v>5.1076470588235301</v>
      </c>
    </row>
    <row r="193" spans="6:10">
      <c r="F193" s="445" t="s">
        <v>731</v>
      </c>
      <c r="G193" s="446"/>
      <c r="H193" s="446"/>
      <c r="I193" s="455"/>
      <c r="J193" s="455"/>
    </row>
    <row r="194" spans="6:10">
      <c r="F194" s="445" t="s">
        <v>732</v>
      </c>
      <c r="G194" s="446"/>
      <c r="H194" s="446"/>
      <c r="I194" s="455"/>
      <c r="J194" s="455"/>
    </row>
    <row r="195" spans="6:10" ht="16.5">
      <c r="F195" s="445" t="s">
        <v>733</v>
      </c>
      <c r="G195" s="446"/>
      <c r="H195" s="447"/>
      <c r="I195" s="455"/>
      <c r="J195" s="455"/>
    </row>
    <row r="196" spans="6:10" ht="15">
      <c r="F196" s="448" t="s">
        <v>16</v>
      </c>
      <c r="G196" s="106"/>
      <c r="H196" s="106"/>
      <c r="I196" s="106">
        <f>AVERAGE(I184:I195)</f>
        <v>5.2648976572279906</v>
      </c>
      <c r="J196" s="106">
        <f>AVERAGE(J184:J195)</f>
        <v>5.7242157191548539</v>
      </c>
    </row>
  </sheetData>
  <mergeCells count="1">
    <mergeCell ref="A4:D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59"/>
  <sheetViews>
    <sheetView zoomScale="80" zoomScaleNormal="80" zoomScaleSheetLayoutView="80" workbookViewId="0"/>
  </sheetViews>
  <sheetFormatPr defaultRowHeight="14.25"/>
  <cols>
    <col min="1" max="5" width="11.25" style="387" customWidth="1"/>
    <col min="6" max="16384" width="9" style="387"/>
  </cols>
  <sheetData>
    <row r="1" spans="1:5" ht="15">
      <c r="A1" s="456" t="s">
        <v>735</v>
      </c>
    </row>
    <row r="2" spans="1:5" ht="15">
      <c r="A2" s="456" t="s">
        <v>100</v>
      </c>
    </row>
    <row r="3" spans="1:5" ht="15">
      <c r="A3" s="12"/>
    </row>
    <row r="4" spans="1:5" ht="15">
      <c r="A4" s="457" t="s">
        <v>736</v>
      </c>
    </row>
    <row r="5" spans="1:5" ht="15">
      <c r="A5" s="457" t="s">
        <v>737</v>
      </c>
    </row>
    <row r="7" spans="1:5">
      <c r="A7" s="407" t="s">
        <v>434</v>
      </c>
      <c r="B7" s="407" t="s">
        <v>100</v>
      </c>
      <c r="C7" s="407" t="s">
        <v>738</v>
      </c>
      <c r="D7" s="407" t="s">
        <v>737</v>
      </c>
      <c r="E7" s="407" t="s">
        <v>738</v>
      </c>
    </row>
    <row r="9" spans="1:5">
      <c r="A9" s="458">
        <v>39448</v>
      </c>
      <c r="B9" s="393">
        <v>5.33E-2</v>
      </c>
      <c r="C9" s="459"/>
      <c r="D9" s="393">
        <v>6.54E-2</v>
      </c>
      <c r="E9" s="460"/>
    </row>
    <row r="10" spans="1:5">
      <c r="A10" s="458">
        <v>39479</v>
      </c>
      <c r="B10" s="393">
        <v>5.5300000000000002E-2</v>
      </c>
      <c r="C10" s="459"/>
      <c r="D10" s="393">
        <v>6.8199999999999997E-2</v>
      </c>
      <c r="E10" s="460"/>
    </row>
    <row r="11" spans="1:5">
      <c r="A11" s="458">
        <v>39508</v>
      </c>
      <c r="B11" s="393">
        <v>5.5099999999999996E-2</v>
      </c>
      <c r="C11" s="459"/>
      <c r="D11" s="393">
        <v>6.8900000000000003E-2</v>
      </c>
      <c r="E11" s="460"/>
    </row>
    <row r="12" spans="1:5">
      <c r="A12" s="458">
        <v>39539</v>
      </c>
      <c r="B12" s="393">
        <v>5.5500000000000001E-2</v>
      </c>
      <c r="C12" s="459"/>
      <c r="D12" s="393">
        <v>6.9699999999999998E-2</v>
      </c>
      <c r="E12" s="460"/>
    </row>
    <row r="13" spans="1:5">
      <c r="A13" s="458">
        <v>39569</v>
      </c>
      <c r="B13" s="393">
        <v>5.57E-2</v>
      </c>
      <c r="C13" s="459"/>
      <c r="D13" s="393">
        <v>6.93E-2</v>
      </c>
      <c r="E13" s="460"/>
    </row>
    <row r="14" spans="1:5">
      <c r="A14" s="458">
        <v>39600</v>
      </c>
      <c r="B14" s="393">
        <v>5.6799999999999996E-2</v>
      </c>
      <c r="C14" s="459"/>
      <c r="D14" s="393">
        <v>7.0699999999999999E-2</v>
      </c>
      <c r="E14" s="460"/>
    </row>
    <row r="15" spans="1:5">
      <c r="A15" s="458">
        <v>39630</v>
      </c>
      <c r="B15" s="393">
        <v>5.67E-2</v>
      </c>
      <c r="C15" s="459"/>
      <c r="D15" s="393">
        <v>7.1599999999999997E-2</v>
      </c>
      <c r="E15" s="460"/>
    </row>
    <row r="16" spans="1:5">
      <c r="A16" s="458">
        <v>39661</v>
      </c>
      <c r="B16" s="393">
        <v>5.6399999999999999E-2</v>
      </c>
      <c r="C16" s="459"/>
      <c r="D16" s="393">
        <v>7.1500000000000008E-2</v>
      </c>
      <c r="E16" s="460"/>
    </row>
    <row r="17" spans="1:5">
      <c r="A17" s="458">
        <v>39692</v>
      </c>
      <c r="B17" s="393">
        <v>5.6500000000000002E-2</v>
      </c>
      <c r="C17" s="459"/>
      <c r="D17" s="393">
        <v>7.3099999999999998E-2</v>
      </c>
      <c r="E17" s="460"/>
    </row>
    <row r="18" spans="1:5">
      <c r="A18" s="458">
        <v>39722</v>
      </c>
      <c r="B18" s="393">
        <v>6.2800000000000009E-2</v>
      </c>
      <c r="C18" s="459"/>
      <c r="D18" s="393">
        <v>8.8800000000000004E-2</v>
      </c>
      <c r="E18" s="460"/>
    </row>
    <row r="19" spans="1:5" ht="15">
      <c r="A19" s="458">
        <v>39753</v>
      </c>
      <c r="B19" s="393">
        <v>6.1200000000000004E-2</v>
      </c>
      <c r="C19" s="461">
        <v>2008</v>
      </c>
      <c r="D19" s="393">
        <v>9.2100000000000015E-2</v>
      </c>
      <c r="E19" s="461">
        <v>2008</v>
      </c>
    </row>
    <row r="20" spans="1:5" ht="15">
      <c r="A20" s="458">
        <v>39783</v>
      </c>
      <c r="B20" s="393">
        <v>5.0499999999999996E-2</v>
      </c>
      <c r="C20" s="93">
        <f>AVERAGE(B9:B20)</f>
        <v>5.6316666666666675E-2</v>
      </c>
      <c r="D20" s="393">
        <v>8.43E-2</v>
      </c>
      <c r="E20" s="93">
        <f>AVERAGE(D9:D20)</f>
        <v>7.4466666666666681E-2</v>
      </c>
    </row>
    <row r="21" spans="1:5">
      <c r="A21" s="462">
        <v>39814</v>
      </c>
      <c r="B21" s="393">
        <v>5.0499999999999996E-2</v>
      </c>
      <c r="C21" s="459"/>
      <c r="D21" s="393">
        <v>8.14E-2</v>
      </c>
      <c r="E21" s="459"/>
    </row>
    <row r="22" spans="1:5">
      <c r="A22" s="462">
        <v>39845</v>
      </c>
      <c r="B22" s="393">
        <v>5.2699999999999997E-2</v>
      </c>
      <c r="C22" s="459"/>
      <c r="D22" s="393">
        <v>8.0799999999999997E-2</v>
      </c>
      <c r="E22" s="459"/>
    </row>
    <row r="23" spans="1:5">
      <c r="A23" s="462">
        <v>39873</v>
      </c>
      <c r="B23" s="393">
        <v>5.5E-2</v>
      </c>
      <c r="C23" s="459"/>
      <c r="D23" s="393">
        <v>8.4199999999999997E-2</v>
      </c>
      <c r="E23" s="459"/>
    </row>
    <row r="24" spans="1:5">
      <c r="A24" s="462">
        <v>39904</v>
      </c>
      <c r="B24" s="393">
        <v>5.3899999999999997E-2</v>
      </c>
      <c r="C24" s="459"/>
      <c r="D24" s="393">
        <v>8.3900000000000002E-2</v>
      </c>
      <c r="E24" s="459"/>
    </row>
    <row r="25" spans="1:5" ht="15">
      <c r="A25" s="462">
        <v>39934</v>
      </c>
      <c r="B25" s="393">
        <v>5.5399999999999998E-2</v>
      </c>
      <c r="C25" s="463"/>
      <c r="D25" s="393">
        <v>8.0600000000000005E-2</v>
      </c>
      <c r="E25" s="463"/>
    </row>
    <row r="26" spans="1:5" ht="15">
      <c r="A26" s="462">
        <v>39965</v>
      </c>
      <c r="B26" s="393">
        <v>5.6100000000000004E-2</v>
      </c>
      <c r="C26" s="93"/>
      <c r="D26" s="393">
        <v>7.4999999999999997E-2</v>
      </c>
      <c r="E26" s="93"/>
    </row>
    <row r="27" spans="1:5">
      <c r="A27" s="462">
        <v>39995</v>
      </c>
      <c r="B27" s="393">
        <v>5.4100000000000002E-2</v>
      </c>
      <c r="C27" s="459"/>
      <c r="D27" s="393">
        <v>7.0900000000000005E-2</v>
      </c>
      <c r="E27" s="460"/>
    </row>
    <row r="28" spans="1:5">
      <c r="A28" s="462">
        <v>40026</v>
      </c>
      <c r="B28" s="393">
        <v>5.2600000000000001E-2</v>
      </c>
      <c r="C28" s="459"/>
      <c r="D28" s="393">
        <v>6.5799999999999997E-2</v>
      </c>
      <c r="E28" s="460"/>
    </row>
    <row r="29" spans="1:5">
      <c r="A29" s="462">
        <v>40057</v>
      </c>
      <c r="B29" s="393">
        <v>5.1299999999999998E-2</v>
      </c>
      <c r="C29" s="459"/>
      <c r="D29" s="393">
        <v>6.3099999999999989E-2</v>
      </c>
      <c r="E29" s="460"/>
    </row>
    <row r="30" spans="1:5">
      <c r="A30" s="462">
        <v>40087</v>
      </c>
      <c r="B30" s="393">
        <f>5.15/100</f>
        <v>5.1500000000000004E-2</v>
      </c>
      <c r="C30" s="460"/>
      <c r="D30" s="393">
        <f>6.29/100</f>
        <v>6.2899999999999998E-2</v>
      </c>
      <c r="E30" s="460"/>
    </row>
    <row r="31" spans="1:5" ht="15">
      <c r="A31" s="462">
        <v>40118</v>
      </c>
      <c r="B31" s="393">
        <f>5.19/100</f>
        <v>5.1900000000000002E-2</v>
      </c>
      <c r="C31" s="461">
        <v>2009</v>
      </c>
      <c r="D31" s="393">
        <f>6.32/100</f>
        <v>6.3200000000000006E-2</v>
      </c>
      <c r="E31" s="461">
        <v>2009</v>
      </c>
    </row>
    <row r="32" spans="1:5" ht="15">
      <c r="A32" s="462">
        <v>40148</v>
      </c>
      <c r="B32" s="393">
        <f>5.26/100</f>
        <v>5.2600000000000001E-2</v>
      </c>
      <c r="C32" s="93">
        <f>AVERAGE(B21:B32)</f>
        <v>5.3133333333333331E-2</v>
      </c>
      <c r="D32" s="393">
        <f>6.37/100</f>
        <v>6.3700000000000007E-2</v>
      </c>
      <c r="E32" s="93">
        <f>AVERAGE(D21:D32)</f>
        <v>7.2958333333333333E-2</v>
      </c>
    </row>
    <row r="33" spans="1:5">
      <c r="A33" s="462">
        <v>40179</v>
      </c>
      <c r="B33" s="393">
        <f>5.26/100</f>
        <v>5.2600000000000001E-2</v>
      </c>
      <c r="C33" s="460"/>
      <c r="D33" s="393">
        <f>6.25/100</f>
        <v>6.25E-2</v>
      </c>
      <c r="E33" s="460"/>
    </row>
    <row r="34" spans="1:5" ht="15">
      <c r="A34" s="462">
        <v>40210</v>
      </c>
      <c r="B34" s="393">
        <f>5.35/100</f>
        <v>5.3499999999999999E-2</v>
      </c>
      <c r="C34" s="461"/>
      <c r="D34" s="393">
        <f>6.34/100</f>
        <v>6.3399999999999998E-2</v>
      </c>
      <c r="E34" s="461"/>
    </row>
    <row r="35" spans="1:5" ht="15">
      <c r="A35" s="464">
        <v>40238</v>
      </c>
      <c r="B35" s="393">
        <v>5.2699999999999997E-2</v>
      </c>
      <c r="C35" s="93"/>
      <c r="D35" s="393">
        <v>6.2699999999999992E-2</v>
      </c>
      <c r="E35" s="93"/>
    </row>
    <row r="36" spans="1:5">
      <c r="A36" s="464">
        <v>40269</v>
      </c>
      <c r="B36" s="393">
        <v>5.2900000000000003E-2</v>
      </c>
      <c r="C36" s="460"/>
      <c r="D36" s="393">
        <v>6.25E-2</v>
      </c>
      <c r="E36" s="460"/>
    </row>
    <row r="37" spans="1:5" ht="15">
      <c r="A37" s="464">
        <v>40299</v>
      </c>
      <c r="B37" s="393">
        <v>4.9599999999999998E-2</v>
      </c>
      <c r="C37" s="461"/>
      <c r="D37" s="393">
        <v>6.0499999999999998E-2</v>
      </c>
      <c r="E37" s="461"/>
    </row>
    <row r="38" spans="1:5" ht="15">
      <c r="A38" s="464">
        <v>40330</v>
      </c>
      <c r="B38" s="393">
        <v>4.8799999999999996E-2</v>
      </c>
      <c r="C38" s="93"/>
      <c r="D38" s="393">
        <v>6.2300000000000001E-2</v>
      </c>
      <c r="E38" s="93"/>
    </row>
    <row r="39" spans="1:5">
      <c r="A39" s="380">
        <v>40360</v>
      </c>
      <c r="B39" s="393">
        <v>4.7199999999999999E-2</v>
      </c>
      <c r="C39" s="460"/>
      <c r="D39" s="393">
        <v>6.0100000000000001E-2</v>
      </c>
      <c r="E39" s="460"/>
    </row>
    <row r="40" spans="1:5" ht="15">
      <c r="A40" s="380">
        <v>40391</v>
      </c>
      <c r="B40" s="393">
        <v>4.4900000000000002E-2</v>
      </c>
      <c r="C40" s="461"/>
      <c r="D40" s="393">
        <v>5.6600000000000004E-2</v>
      </c>
      <c r="E40" s="461"/>
    </row>
    <row r="41" spans="1:5" ht="15">
      <c r="A41" s="464">
        <v>40422</v>
      </c>
      <c r="B41" s="393">
        <v>4.53E-2</v>
      </c>
      <c r="C41" s="93"/>
      <c r="D41" s="393">
        <v>5.6600000000000004E-2</v>
      </c>
      <c r="E41" s="93"/>
    </row>
    <row r="42" spans="1:5">
      <c r="A42" s="464">
        <v>40452</v>
      </c>
      <c r="B42" s="393">
        <v>4.6799999999999994E-2</v>
      </c>
      <c r="C42" s="460"/>
      <c r="D42" s="393">
        <v>5.7200000000000001E-2</v>
      </c>
      <c r="E42" s="460"/>
    </row>
    <row r="43" spans="1:5" ht="15">
      <c r="A43" s="464">
        <v>40483</v>
      </c>
      <c r="B43" s="393">
        <v>4.87E-2</v>
      </c>
      <c r="C43" s="461">
        <v>2010</v>
      </c>
      <c r="D43" s="393">
        <v>5.9200000000000003E-2</v>
      </c>
      <c r="E43" s="461">
        <v>2010</v>
      </c>
    </row>
    <row r="44" spans="1:5" ht="15">
      <c r="A44" s="464">
        <v>40513</v>
      </c>
      <c r="B44" s="393">
        <v>5.0199999999999995E-2</v>
      </c>
      <c r="C44" s="93">
        <f>AVERAGE(B33:B44)</f>
        <v>4.9433333333333336E-2</v>
      </c>
      <c r="D44" s="393">
        <v>6.0999999999999999E-2</v>
      </c>
      <c r="E44" s="93">
        <f>AVERAGE(D33:D44)</f>
        <v>6.0383333333333344E-2</v>
      </c>
    </row>
    <row r="45" spans="1:5">
      <c r="A45" s="465">
        <v>40544</v>
      </c>
      <c r="B45" s="401">
        <v>5.04E-2</v>
      </c>
      <c r="C45" s="466"/>
      <c r="D45" s="401">
        <v>6.0899999999999996E-2</v>
      </c>
      <c r="E45" s="466"/>
    </row>
    <row r="46" spans="1:5">
      <c r="A46" s="465">
        <v>40575</v>
      </c>
      <c r="B46" s="401">
        <v>5.2199999999999996E-2</v>
      </c>
      <c r="C46" s="466"/>
      <c r="D46" s="401">
        <v>6.1500000000000006E-2</v>
      </c>
      <c r="E46" s="466"/>
    </row>
    <row r="47" spans="1:5">
      <c r="A47" s="465">
        <v>40603</v>
      </c>
      <c r="B47" s="401">
        <v>5.1299999999999998E-2</v>
      </c>
      <c r="C47" s="466"/>
      <c r="D47" s="401">
        <v>6.0299999999999999E-2</v>
      </c>
      <c r="E47" s="466"/>
    </row>
    <row r="48" spans="1:5">
      <c r="A48" s="465">
        <v>40634</v>
      </c>
      <c r="B48" s="401">
        <v>5.16E-2</v>
      </c>
      <c r="C48" s="466"/>
      <c r="D48" s="401">
        <v>6.0199999999999997E-2</v>
      </c>
      <c r="E48" s="466"/>
    </row>
    <row r="49" spans="1:5">
      <c r="A49" s="465">
        <v>40664</v>
      </c>
      <c r="B49" s="401">
        <v>4.9599999999999998E-2</v>
      </c>
      <c r="C49" s="466"/>
      <c r="D49" s="401">
        <v>5.7800000000000004E-2</v>
      </c>
      <c r="E49" s="466"/>
    </row>
    <row r="50" spans="1:5">
      <c r="A50" s="465">
        <v>40695</v>
      </c>
      <c r="B50" s="401">
        <v>4.99E-2</v>
      </c>
      <c r="C50" s="466"/>
      <c r="D50" s="401">
        <v>5.7500000000000002E-2</v>
      </c>
      <c r="E50" s="466"/>
    </row>
    <row r="51" spans="1:5">
      <c r="A51" s="465">
        <v>40725</v>
      </c>
      <c r="B51" s="401">
        <v>4.9299999999999997E-2</v>
      </c>
      <c r="C51" s="466"/>
      <c r="D51" s="401">
        <v>5.7599999999999998E-2</v>
      </c>
      <c r="E51" s="466"/>
    </row>
    <row r="52" spans="1:5" ht="15">
      <c r="A52" s="465">
        <v>40756</v>
      </c>
      <c r="B52" s="401">
        <v>4.3700000000000003E-2</v>
      </c>
      <c r="C52" s="467" t="s">
        <v>611</v>
      </c>
      <c r="D52" s="401">
        <v>5.3600000000000002E-2</v>
      </c>
      <c r="E52" s="467" t="s">
        <v>611</v>
      </c>
    </row>
    <row r="53" spans="1:5" ht="15">
      <c r="A53" s="465">
        <v>40787</v>
      </c>
      <c r="B53" s="401">
        <v>4.0899999999999999E-2</v>
      </c>
      <c r="C53" s="468">
        <f>AVERAGE(B45:B53)</f>
        <v>4.8766666666666666E-2</v>
      </c>
      <c r="D53" s="401">
        <v>5.2699999999999997E-2</v>
      </c>
      <c r="E53" s="468">
        <f>AVERAGE(D45:D53)</f>
        <v>5.8011111111111111E-2</v>
      </c>
    </row>
    <row r="54" spans="1:5">
      <c r="C54" s="460"/>
    </row>
    <row r="55" spans="1:5">
      <c r="C55" s="460"/>
    </row>
    <row r="56" spans="1:5">
      <c r="C56" s="460"/>
    </row>
    <row r="57" spans="1:5">
      <c r="C57" s="460"/>
    </row>
    <row r="58" spans="1:5">
      <c r="C58" s="460"/>
    </row>
    <row r="59" spans="1:5">
      <c r="C59" s="46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B3:G27"/>
  <sheetViews>
    <sheetView zoomScale="80" zoomScaleNormal="80" workbookViewId="0"/>
  </sheetViews>
  <sheetFormatPr defaultRowHeight="14.25"/>
  <sheetData>
    <row r="3" spans="2:7">
      <c r="B3" s="20"/>
      <c r="C3" s="20"/>
      <c r="D3" s="20"/>
      <c r="E3" s="20"/>
      <c r="F3" s="20"/>
      <c r="G3" s="20"/>
    </row>
    <row r="4" spans="2:7" ht="15" thickBot="1">
      <c r="B4" s="20"/>
      <c r="C4" s="20"/>
      <c r="D4" s="20"/>
      <c r="E4" s="20"/>
      <c r="F4" s="20"/>
      <c r="G4" s="20"/>
    </row>
    <row r="5" spans="2:7" ht="15" thickBot="1">
      <c r="C5" s="62" t="s">
        <v>22</v>
      </c>
      <c r="D5" s="63"/>
      <c r="F5" s="62" t="s">
        <v>23</v>
      </c>
      <c r="G5" s="63"/>
    </row>
    <row r="6" spans="2:7">
      <c r="B6" s="53" t="s">
        <v>24</v>
      </c>
      <c r="C6" s="64">
        <v>1</v>
      </c>
      <c r="D6" s="55" t="s">
        <v>25</v>
      </c>
      <c r="E6" s="53" t="s">
        <v>24</v>
      </c>
      <c r="F6" s="64">
        <v>1</v>
      </c>
      <c r="G6" s="55" t="s">
        <v>25</v>
      </c>
    </row>
    <row r="7" spans="2:7">
      <c r="B7" s="53" t="s">
        <v>26</v>
      </c>
      <c r="C7" s="64">
        <v>2</v>
      </c>
      <c r="D7" s="55" t="s">
        <v>27</v>
      </c>
      <c r="E7" s="53" t="s">
        <v>28</v>
      </c>
      <c r="F7" s="64">
        <v>2</v>
      </c>
      <c r="G7" s="55" t="s">
        <v>29</v>
      </c>
    </row>
    <row r="8" spans="2:7">
      <c r="B8" s="53" t="s">
        <v>30</v>
      </c>
      <c r="C8" s="64">
        <v>3</v>
      </c>
      <c r="D8" s="55" t="s">
        <v>31</v>
      </c>
      <c r="E8" s="53" t="s">
        <v>32</v>
      </c>
      <c r="F8" s="64">
        <v>3</v>
      </c>
      <c r="G8" s="55" t="s">
        <v>33</v>
      </c>
    </row>
    <row r="9" spans="2:7">
      <c r="B9" s="53" t="s">
        <v>34</v>
      </c>
      <c r="C9" s="64">
        <v>4</v>
      </c>
      <c r="D9" s="55" t="s">
        <v>35</v>
      </c>
      <c r="E9" s="53" t="s">
        <v>36</v>
      </c>
      <c r="F9" s="64">
        <v>4</v>
      </c>
      <c r="G9" s="55" t="s">
        <v>37</v>
      </c>
    </row>
    <row r="10" spans="2:7">
      <c r="B10" s="53" t="s">
        <v>38</v>
      </c>
      <c r="C10" s="64">
        <v>5</v>
      </c>
      <c r="D10" s="55" t="s">
        <v>39</v>
      </c>
      <c r="E10" s="53" t="s">
        <v>40</v>
      </c>
      <c r="F10" s="64">
        <v>5</v>
      </c>
      <c r="G10" s="55" t="s">
        <v>41</v>
      </c>
    </row>
    <row r="11" spans="2:7">
      <c r="B11" s="53" t="s">
        <v>42</v>
      </c>
      <c r="C11" s="64">
        <v>6</v>
      </c>
      <c r="D11" s="55" t="s">
        <v>43</v>
      </c>
      <c r="E11" s="53" t="s">
        <v>44</v>
      </c>
      <c r="F11" s="64">
        <v>6</v>
      </c>
      <c r="G11" s="55" t="s">
        <v>45</v>
      </c>
    </row>
    <row r="12" spans="2:7">
      <c r="B12" s="53" t="s">
        <v>46</v>
      </c>
      <c r="C12" s="64">
        <v>7</v>
      </c>
      <c r="D12" s="55" t="s">
        <v>47</v>
      </c>
      <c r="E12" s="53" t="s">
        <v>48</v>
      </c>
      <c r="F12" s="64">
        <v>7</v>
      </c>
      <c r="G12" s="55" t="s">
        <v>49</v>
      </c>
    </row>
    <row r="13" spans="2:7">
      <c r="B13" s="53" t="s">
        <v>50</v>
      </c>
      <c r="C13" s="64">
        <v>8</v>
      </c>
      <c r="D13" s="55" t="s">
        <v>51</v>
      </c>
      <c r="E13" s="53" t="s">
        <v>52</v>
      </c>
      <c r="F13" s="64">
        <v>8</v>
      </c>
      <c r="G13" s="55" t="s">
        <v>53</v>
      </c>
    </row>
    <row r="14" spans="2:7">
      <c r="B14" s="53" t="s">
        <v>54</v>
      </c>
      <c r="C14" s="64">
        <v>9</v>
      </c>
      <c r="D14" s="55" t="s">
        <v>55</v>
      </c>
      <c r="E14" s="53" t="s">
        <v>56</v>
      </c>
      <c r="F14" s="64">
        <v>9</v>
      </c>
      <c r="G14" s="55" t="s">
        <v>57</v>
      </c>
    </row>
    <row r="15" spans="2:7">
      <c r="B15" s="53" t="s">
        <v>58</v>
      </c>
      <c r="C15" s="64">
        <v>10</v>
      </c>
      <c r="D15" s="55" t="s">
        <v>59</v>
      </c>
      <c r="E15" s="53" t="s">
        <v>60</v>
      </c>
      <c r="F15" s="64">
        <v>10</v>
      </c>
      <c r="G15" s="55" t="s">
        <v>61</v>
      </c>
    </row>
    <row r="16" spans="2:7">
      <c r="B16" s="53" t="s">
        <v>62</v>
      </c>
      <c r="C16" s="64">
        <v>11</v>
      </c>
      <c r="D16" s="55" t="s">
        <v>63</v>
      </c>
      <c r="E16" s="53" t="s">
        <v>64</v>
      </c>
      <c r="F16" s="64">
        <v>11</v>
      </c>
      <c r="G16" s="55" t="s">
        <v>65</v>
      </c>
    </row>
    <row r="17" spans="2:7">
      <c r="B17" s="53" t="s">
        <v>66</v>
      </c>
      <c r="C17" s="64">
        <v>12</v>
      </c>
      <c r="D17" s="55" t="s">
        <v>67</v>
      </c>
      <c r="E17" s="53" t="s">
        <v>68</v>
      </c>
      <c r="F17" s="64">
        <v>12</v>
      </c>
      <c r="G17" s="55" t="s">
        <v>21</v>
      </c>
    </row>
    <row r="18" spans="2:7">
      <c r="B18" s="53" t="s">
        <v>69</v>
      </c>
      <c r="C18" s="64">
        <v>13</v>
      </c>
      <c r="D18" s="55" t="s">
        <v>70</v>
      </c>
      <c r="E18" s="53" t="s">
        <v>71</v>
      </c>
      <c r="F18" s="64">
        <v>13</v>
      </c>
      <c r="G18" s="55" t="s">
        <v>72</v>
      </c>
    </row>
    <row r="19" spans="2:7">
      <c r="B19" s="53" t="s">
        <v>73</v>
      </c>
      <c r="C19" s="64">
        <v>14</v>
      </c>
      <c r="D19" s="55" t="s">
        <v>14</v>
      </c>
      <c r="E19" s="53" t="s">
        <v>74</v>
      </c>
      <c r="F19" s="64">
        <v>14</v>
      </c>
      <c r="G19" s="55" t="s">
        <v>75</v>
      </c>
    </row>
    <row r="20" spans="2:7">
      <c r="B20" s="53" t="s">
        <v>76</v>
      </c>
      <c r="C20" s="64">
        <v>15</v>
      </c>
      <c r="D20" s="55" t="s">
        <v>15</v>
      </c>
      <c r="E20" s="53" t="s">
        <v>77</v>
      </c>
      <c r="F20" s="64">
        <v>15</v>
      </c>
      <c r="G20" s="55" t="s">
        <v>78</v>
      </c>
    </row>
    <row r="21" spans="2:7">
      <c r="B21" s="53" t="s">
        <v>79</v>
      </c>
      <c r="C21" s="64">
        <v>16</v>
      </c>
      <c r="D21" s="55" t="s">
        <v>80</v>
      </c>
      <c r="E21" s="53" t="s">
        <v>81</v>
      </c>
      <c r="F21" s="64">
        <v>16</v>
      </c>
      <c r="G21" s="55" t="s">
        <v>82</v>
      </c>
    </row>
    <row r="22" spans="2:7">
      <c r="B22" s="53" t="s">
        <v>83</v>
      </c>
      <c r="C22" s="64">
        <v>17</v>
      </c>
      <c r="D22" s="55" t="s">
        <v>84</v>
      </c>
      <c r="E22" s="53" t="s">
        <v>85</v>
      </c>
      <c r="F22" s="64">
        <v>17</v>
      </c>
      <c r="G22" s="55" t="s">
        <v>86</v>
      </c>
    </row>
    <row r="23" spans="2:7">
      <c r="B23" s="53" t="s">
        <v>87</v>
      </c>
      <c r="C23" s="64">
        <v>18</v>
      </c>
      <c r="D23" s="55" t="s">
        <v>88</v>
      </c>
      <c r="E23" s="65" t="s">
        <v>89</v>
      </c>
      <c r="F23" s="64">
        <v>18</v>
      </c>
      <c r="G23" s="56" t="s">
        <v>90</v>
      </c>
    </row>
    <row r="24" spans="2:7">
      <c r="B24" s="65" t="s">
        <v>91</v>
      </c>
      <c r="C24" s="64">
        <v>19</v>
      </c>
      <c r="D24" s="56" t="s">
        <v>92</v>
      </c>
      <c r="E24" s="65" t="s">
        <v>93</v>
      </c>
      <c r="F24" s="64">
        <v>19</v>
      </c>
      <c r="G24" s="56" t="s">
        <v>94</v>
      </c>
    </row>
    <row r="25" spans="2:7">
      <c r="B25" s="65" t="s">
        <v>95</v>
      </c>
      <c r="C25" s="64">
        <v>20</v>
      </c>
      <c r="D25" s="56" t="s">
        <v>96</v>
      </c>
      <c r="E25" s="65" t="s">
        <v>97</v>
      </c>
      <c r="F25" s="66" t="s">
        <v>98</v>
      </c>
      <c r="G25" s="56" t="s">
        <v>99</v>
      </c>
    </row>
    <row r="26" spans="2:7">
      <c r="B26" s="65" t="s">
        <v>93</v>
      </c>
      <c r="C26" s="64">
        <v>21</v>
      </c>
      <c r="D26" s="56" t="s">
        <v>100</v>
      </c>
    </row>
    <row r="27" spans="2:7">
      <c r="B27" s="65" t="s">
        <v>97</v>
      </c>
      <c r="C27" s="66" t="s">
        <v>98</v>
      </c>
      <c r="D27" s="56" t="s">
        <v>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0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6.125" style="99" customWidth="1"/>
    <col min="2" max="2" width="11" style="97" customWidth="1"/>
    <col min="3" max="3" width="14.375" style="97" customWidth="1"/>
    <col min="4" max="5" width="14.25" style="100" customWidth="1"/>
    <col min="6" max="8" width="14.25" style="99" customWidth="1"/>
    <col min="9" max="9" width="14.25" style="97" customWidth="1"/>
    <col min="10" max="10" width="3.625" style="97" customWidth="1"/>
    <col min="11" max="11" width="11.5" style="97" customWidth="1"/>
    <col min="12" max="12" width="13.375" style="97" customWidth="1"/>
    <col min="13" max="16384" width="9" style="97"/>
  </cols>
  <sheetData>
    <row r="1" spans="1:14" ht="27.75">
      <c r="A1" s="479" t="str">
        <f>'MPG-6'!A1:M1</f>
        <v>Puget Sound Energy</v>
      </c>
      <c r="B1" s="479"/>
      <c r="C1" s="479"/>
      <c r="D1" s="479"/>
      <c r="E1" s="479"/>
      <c r="F1" s="479"/>
      <c r="G1" s="479"/>
      <c r="H1" s="479"/>
      <c r="I1" s="68"/>
    </row>
    <row r="2" spans="1:14" ht="13.5" customHeight="1">
      <c r="A2"/>
      <c r="B2"/>
      <c r="C2"/>
      <c r="D2"/>
      <c r="E2"/>
      <c r="F2"/>
      <c r="G2"/>
      <c r="H2"/>
    </row>
    <row r="3" spans="1:14">
      <c r="A3"/>
      <c r="B3"/>
      <c r="C3"/>
      <c r="D3"/>
      <c r="E3"/>
      <c r="F3"/>
      <c r="G3"/>
      <c r="H3"/>
    </row>
    <row r="4" spans="1:14" ht="20.25">
      <c r="A4" s="482" t="str">
        <f>'MPG-6'!A4:M4</f>
        <v>Consensus Analysts' Growth Rates</v>
      </c>
      <c r="B4" s="482"/>
      <c r="C4" s="482"/>
      <c r="D4" s="482"/>
      <c r="E4" s="482"/>
      <c r="F4" s="482"/>
      <c r="G4" s="482"/>
      <c r="H4" s="482"/>
    </row>
    <row r="5" spans="1:14" ht="20.25">
      <c r="A5" s="480" t="s">
        <v>146</v>
      </c>
      <c r="B5" s="480"/>
      <c r="C5" s="480"/>
      <c r="D5" s="480"/>
      <c r="E5" s="480"/>
      <c r="F5" s="480"/>
      <c r="G5" s="480"/>
      <c r="H5" s="480"/>
      <c r="I5" s="98"/>
    </row>
    <row r="8" spans="1:14" ht="15">
      <c r="H8" s="101"/>
      <c r="K8" s="101"/>
      <c r="L8" s="101"/>
      <c r="M8" s="101"/>
      <c r="N8" s="101"/>
    </row>
    <row r="9" spans="1:14" ht="15">
      <c r="A9" s="101"/>
      <c r="B9" s="101"/>
      <c r="C9" s="101"/>
      <c r="D9" s="101" t="s">
        <v>147</v>
      </c>
      <c r="E9" s="101" t="s">
        <v>148</v>
      </c>
      <c r="F9" s="101" t="s">
        <v>149</v>
      </c>
      <c r="G9" s="101" t="s">
        <v>150</v>
      </c>
      <c r="H9" s="101" t="s">
        <v>151</v>
      </c>
      <c r="I9" s="101"/>
      <c r="K9" s="101" t="s">
        <v>152</v>
      </c>
      <c r="L9" s="101"/>
    </row>
    <row r="10" spans="1:14" ht="17.25">
      <c r="A10" s="102" t="s">
        <v>3</v>
      </c>
      <c r="B10" s="483" t="s">
        <v>4</v>
      </c>
      <c r="C10" s="483"/>
      <c r="D10" s="102" t="s">
        <v>153</v>
      </c>
      <c r="E10" s="102" t="s">
        <v>154</v>
      </c>
      <c r="F10" s="102" t="s">
        <v>155</v>
      </c>
      <c r="G10" s="102" t="s">
        <v>156</v>
      </c>
      <c r="H10" s="102" t="s">
        <v>157</v>
      </c>
      <c r="I10" s="102"/>
      <c r="K10" s="102" t="s">
        <v>158</v>
      </c>
      <c r="L10" s="102"/>
    </row>
    <row r="11" spans="1:14" ht="15">
      <c r="A11" s="103"/>
      <c r="B11" s="104"/>
      <c r="C11" s="104"/>
      <c r="D11" s="105" t="s">
        <v>6</v>
      </c>
      <c r="E11" s="105" t="s">
        <v>7</v>
      </c>
      <c r="F11" s="106" t="s">
        <v>8</v>
      </c>
      <c r="G11" s="107" t="s">
        <v>9</v>
      </c>
      <c r="H11" s="103" t="s">
        <v>10</v>
      </c>
      <c r="I11" s="103"/>
      <c r="J11" s="108"/>
      <c r="K11" s="101" t="s">
        <v>80</v>
      </c>
      <c r="L11" s="101"/>
    </row>
    <row r="12" spans="1:14">
      <c r="B12" s="109"/>
      <c r="C12" s="109"/>
      <c r="D12" s="110"/>
      <c r="E12" s="90"/>
      <c r="F12" s="111"/>
      <c r="G12" s="112"/>
    </row>
    <row r="13" spans="1:14" ht="16.5" customHeight="1">
      <c r="A13" s="24">
        <f t="shared" ref="A13:A18" si="0">IF(B13=0,"N/A",MAX(A9:A12)+1)</f>
        <v>1</v>
      </c>
      <c r="B13" s="25" t="str">
        <f>'MPG-5'!B13</f>
        <v>Alliant Energy</v>
      </c>
      <c r="C13" s="113"/>
      <c r="D13" s="110">
        <f>'Workpaper 1'!U6</f>
        <v>39.900734615384621</v>
      </c>
      <c r="E13" s="114">
        <f>'MPG-6'!M12</f>
        <v>5.786666666666667E-2</v>
      </c>
      <c r="F13" s="110">
        <f>'Workpaper 2'!D13*4</f>
        <v>1.7</v>
      </c>
      <c r="G13" s="114">
        <f t="shared" ref="G13:G21" si="1">IFERROR(F13*(1+E13)/D13,"N/A")</f>
        <v>4.5071183542568921E-2</v>
      </c>
      <c r="H13" s="114">
        <f t="shared" ref="H13:H21" si="2">IFERROR(E13+G13,"N/A")</f>
        <v>0.1029378502092356</v>
      </c>
      <c r="I13" s="115"/>
      <c r="K13" s="116">
        <f t="shared" ref="K13:K21" si="3">F13/4</f>
        <v>0.42499999999999999</v>
      </c>
      <c r="L13" s="117"/>
      <c r="M13" s="118"/>
    </row>
    <row r="14" spans="1:14" ht="16.5" customHeight="1">
      <c r="A14" s="24">
        <f t="shared" si="0"/>
        <v>2</v>
      </c>
      <c r="B14" s="25" t="str">
        <f>'MPG-5'!B14</f>
        <v>CMS Energy</v>
      </c>
      <c r="C14" s="113"/>
      <c r="D14" s="110">
        <f>'Workpaper 1'!U7</f>
        <v>20.037692307692307</v>
      </c>
      <c r="E14" s="114">
        <f>'MPG-6'!M13</f>
        <v>5.8133333333333335E-2</v>
      </c>
      <c r="F14" s="110">
        <f>'Workpaper 2'!D14*4</f>
        <v>0.84</v>
      </c>
      <c r="G14" s="114">
        <f t="shared" si="1"/>
        <v>4.4358002226572997E-2</v>
      </c>
      <c r="H14" s="114">
        <f t="shared" si="2"/>
        <v>0.10249133555990633</v>
      </c>
      <c r="I14" s="115"/>
      <c r="K14" s="116">
        <f t="shared" si="3"/>
        <v>0.21</v>
      </c>
      <c r="L14" s="117"/>
      <c r="M14" s="117"/>
      <c r="N14" s="114"/>
    </row>
    <row r="15" spans="1:14" ht="16.5" customHeight="1">
      <c r="A15" s="24">
        <f t="shared" si="0"/>
        <v>3</v>
      </c>
      <c r="B15" s="25" t="str">
        <f>'MPG-5'!B15</f>
        <v>Great Plains Energy</v>
      </c>
      <c r="C15" s="113"/>
      <c r="D15" s="110">
        <f>'Workpaper 1'!U8</f>
        <v>19.869423076923077</v>
      </c>
      <c r="E15" s="114">
        <f>'MPG-6'!M14</f>
        <v>5.3066666666666672E-2</v>
      </c>
      <c r="F15" s="110">
        <f>'Workpaper 2'!D15*4</f>
        <v>0.83</v>
      </c>
      <c r="G15" s="114">
        <f t="shared" si="1"/>
        <v>4.3989467129947765E-2</v>
      </c>
      <c r="H15" s="114">
        <f t="shared" si="2"/>
        <v>9.705613379661443E-2</v>
      </c>
      <c r="I15" s="115"/>
      <c r="K15" s="116">
        <f t="shared" si="3"/>
        <v>0.20749999999999999</v>
      </c>
      <c r="L15" s="117"/>
      <c r="M15" s="117"/>
      <c r="N15" s="114"/>
    </row>
    <row r="16" spans="1:14" ht="16.5" customHeight="1">
      <c r="A16" s="24">
        <f t="shared" si="0"/>
        <v>4</v>
      </c>
      <c r="B16" s="25" t="str">
        <f>'MPG-5'!B16</f>
        <v>NV Energy</v>
      </c>
      <c r="C16" s="113"/>
      <c r="D16" s="110">
        <f>'Workpaper 1'!U9</f>
        <v>14.939230769230768</v>
      </c>
      <c r="E16" s="114">
        <f>'MPG-6'!M15</f>
        <v>0.10459999999999998</v>
      </c>
      <c r="F16" s="110">
        <f>'Workpaper 2'!D16*4</f>
        <v>0.48</v>
      </c>
      <c r="G16" s="114">
        <f t="shared" si="1"/>
        <v>3.5490983986406467E-2</v>
      </c>
      <c r="H16" s="114">
        <f t="shared" si="2"/>
        <v>0.14009098398640646</v>
      </c>
      <c r="I16" s="115"/>
      <c r="K16" s="116">
        <f t="shared" si="3"/>
        <v>0.12</v>
      </c>
      <c r="L16" s="117"/>
      <c r="M16" s="117"/>
      <c r="N16" s="114"/>
    </row>
    <row r="17" spans="1:14" ht="16.5" customHeight="1">
      <c r="A17" s="24">
        <f t="shared" si="0"/>
        <v>5</v>
      </c>
      <c r="B17" s="25" t="str">
        <f>'MPG-5'!B17</f>
        <v>OGE Energy</v>
      </c>
      <c r="C17" s="113"/>
      <c r="D17" s="110">
        <f>'Workpaper 1'!U10</f>
        <v>49.50615384615385</v>
      </c>
      <c r="E17" s="114">
        <f>'MPG-6'!M16</f>
        <v>7.1233333333333329E-2</v>
      </c>
      <c r="F17" s="110">
        <f>'Workpaper 2'!D17*4</f>
        <v>1.5</v>
      </c>
      <c r="G17" s="114">
        <f t="shared" si="1"/>
        <v>3.2457581031107241E-2</v>
      </c>
      <c r="H17" s="114">
        <f t="shared" si="2"/>
        <v>0.10369091436444057</v>
      </c>
      <c r="I17" s="115"/>
      <c r="K17" s="116">
        <f t="shared" si="3"/>
        <v>0.375</v>
      </c>
      <c r="L17" s="117"/>
      <c r="M17" s="117"/>
      <c r="N17" s="114"/>
    </row>
    <row r="18" spans="1:14" ht="16.5" customHeight="1">
      <c r="A18" s="24">
        <f t="shared" si="0"/>
        <v>6</v>
      </c>
      <c r="B18" s="25" t="str">
        <f>'MPG-5'!B18</f>
        <v>Pinnacle West Capital</v>
      </c>
      <c r="C18" s="113"/>
      <c r="D18" s="110">
        <f>'Workpaper 1'!U11</f>
        <v>44.177692307692304</v>
      </c>
      <c r="E18" s="114">
        <f>'MPG-6'!M17</f>
        <v>5.2666666666666667E-2</v>
      </c>
      <c r="F18" s="110">
        <f>'Workpaper 2'!D18*4</f>
        <v>2.1</v>
      </c>
      <c r="G18" s="114">
        <f t="shared" si="1"/>
        <v>5.0038829203740143E-2</v>
      </c>
      <c r="H18" s="114">
        <f t="shared" si="2"/>
        <v>0.10270549587040681</v>
      </c>
      <c r="I18" s="115"/>
      <c r="K18" s="116">
        <f t="shared" si="3"/>
        <v>0.52500000000000002</v>
      </c>
      <c r="L18" s="117"/>
      <c r="M18" s="117"/>
      <c r="N18" s="114"/>
    </row>
    <row r="19" spans="1:14" ht="16.5" customHeight="1">
      <c r="A19" s="24">
        <f t="shared" ref="A19:A21" si="4">IF(B19=0,"N/A",MAX(A16:A18)+1)</f>
        <v>7</v>
      </c>
      <c r="B19" s="25" t="str">
        <f>'MPG-5'!B19</f>
        <v>TECO Energy</v>
      </c>
      <c r="C19" s="113"/>
      <c r="D19" s="110">
        <f>'Workpaper 1'!U12</f>
        <v>17.881169230769231</v>
      </c>
      <c r="E19" s="114">
        <f>'MPG-6'!M18</f>
        <v>5.093333333333333E-2</v>
      </c>
      <c r="F19" s="110">
        <f>'Workpaper 2'!D19*4</f>
        <v>0.86</v>
      </c>
      <c r="G19" s="114">
        <f t="shared" si="1"/>
        <v>5.0544942279917446E-2</v>
      </c>
      <c r="H19" s="114">
        <f t="shared" si="2"/>
        <v>0.10147827561325078</v>
      </c>
      <c r="I19" s="115"/>
      <c r="K19" s="116">
        <f t="shared" si="3"/>
        <v>0.215</v>
      </c>
      <c r="L19" s="117"/>
      <c r="M19" s="117"/>
      <c r="N19" s="114"/>
    </row>
    <row r="20" spans="1:14" ht="16.5" customHeight="1">
      <c r="A20" s="24">
        <f t="shared" si="4"/>
        <v>8</v>
      </c>
      <c r="B20" s="25" t="str">
        <f>'MPG-5'!B20</f>
        <v>Westar Energy</v>
      </c>
      <c r="C20" s="113"/>
      <c r="D20" s="110">
        <f>'Workpaper 1'!U13</f>
        <v>26.453188461538463</v>
      </c>
      <c r="E20" s="114">
        <f>'MPG-6'!M19</f>
        <v>5.3433333333333333E-2</v>
      </c>
      <c r="F20" s="110">
        <f>'Workpaper 2'!D20*4</f>
        <v>1.28</v>
      </c>
      <c r="G20" s="114">
        <f t="shared" si="1"/>
        <v>5.0972859798249323E-2</v>
      </c>
      <c r="H20" s="114">
        <f t="shared" si="2"/>
        <v>0.10440619313158266</v>
      </c>
      <c r="I20" s="115"/>
      <c r="K20" s="116">
        <f t="shared" si="3"/>
        <v>0.32</v>
      </c>
      <c r="L20" s="117"/>
    </row>
    <row r="21" spans="1:14" ht="16.5" customHeight="1">
      <c r="A21" s="24">
        <f t="shared" si="4"/>
        <v>9</v>
      </c>
      <c r="B21" s="25" t="str">
        <f>'MPG-5'!B21</f>
        <v>Wisconsin Energy</v>
      </c>
      <c r="C21" s="113"/>
      <c r="D21" s="110">
        <f>'Workpaper 1'!U14</f>
        <v>31.687330769230769</v>
      </c>
      <c r="E21" s="114">
        <f>'MPG-6'!M20</f>
        <v>7.7200000000000005E-2</v>
      </c>
      <c r="F21" s="110">
        <f>'Workpaper 2'!D21*4</f>
        <v>1.04</v>
      </c>
      <c r="G21" s="114">
        <f t="shared" si="1"/>
        <v>3.5354445224771949E-2</v>
      </c>
      <c r="H21" s="114">
        <f t="shared" si="2"/>
        <v>0.11255444522477195</v>
      </c>
      <c r="I21" s="115"/>
      <c r="K21" s="116">
        <f t="shared" si="3"/>
        <v>0.26</v>
      </c>
      <c r="L21" s="117"/>
    </row>
    <row r="22" spans="1:14" ht="16.5" customHeight="1">
      <c r="B22" s="113"/>
      <c r="C22" s="101"/>
      <c r="D22" s="110"/>
      <c r="E22" s="114"/>
      <c r="F22" s="110"/>
      <c r="G22" s="90"/>
      <c r="H22" s="114"/>
      <c r="K22" s="119"/>
      <c r="L22" s="99"/>
    </row>
    <row r="23" spans="1:14" ht="15.95" customHeight="1">
      <c r="A23" s="99">
        <f>MAX(A16:A22)+1</f>
        <v>10</v>
      </c>
      <c r="B23" s="120" t="s">
        <v>16</v>
      </c>
      <c r="C23" s="101"/>
      <c r="D23" s="121">
        <f>AVERAGE(D13:D21)</f>
        <v>29.383623931623934</v>
      </c>
      <c r="E23" s="122">
        <f>AVERAGE(E13:E21)</f>
        <v>6.4348148148148154E-2</v>
      </c>
      <c r="F23" s="121">
        <f>AVERAGE(F13:F21)</f>
        <v>1.181111111111111</v>
      </c>
      <c r="G23" s="123">
        <f>AVERAGE(G13:G21)</f>
        <v>4.3142032713698028E-2</v>
      </c>
      <c r="H23" s="122">
        <f>AVERAGE(H13:H22)</f>
        <v>0.10749018086184617</v>
      </c>
      <c r="I23" s="124"/>
      <c r="J23" s="125"/>
      <c r="K23" s="126"/>
      <c r="L23" s="78"/>
    </row>
    <row r="24" spans="1:14" ht="15.95" customHeight="1">
      <c r="A24" s="99">
        <f>MAX(A17:A23)+1</f>
        <v>11</v>
      </c>
      <c r="B24" s="120" t="s">
        <v>142</v>
      </c>
      <c r="C24" s="101"/>
      <c r="D24" s="121"/>
      <c r="E24" s="122">
        <f>MEDIAN(E13:E22)</f>
        <v>5.786666666666667E-2</v>
      </c>
      <c r="F24" s="121"/>
      <c r="G24" s="123"/>
      <c r="H24" s="122">
        <f>MEDIAN(H13:H21)</f>
        <v>0.1029378502092356</v>
      </c>
      <c r="I24" s="124"/>
      <c r="J24" s="125"/>
      <c r="K24" s="126"/>
      <c r="L24" s="78"/>
    </row>
    <row r="25" spans="1:14" ht="15.95" customHeight="1">
      <c r="B25" s="99"/>
      <c r="C25" s="99"/>
      <c r="D25" s="110"/>
      <c r="E25" s="114"/>
      <c r="F25" s="110"/>
      <c r="G25" s="90"/>
      <c r="H25" s="114"/>
    </row>
    <row r="26" spans="1:14" ht="16.5" customHeight="1">
      <c r="B26" s="40"/>
      <c r="C26" s="20"/>
      <c r="D26" s="110"/>
      <c r="E26" s="114"/>
      <c r="F26" s="110"/>
      <c r="G26" s="112"/>
      <c r="H26" s="115"/>
    </row>
    <row r="27" spans="1:14" ht="15.95" customHeight="1">
      <c r="B27" t="s">
        <v>159</v>
      </c>
      <c r="C27" s="20"/>
      <c r="D27" s="110"/>
      <c r="E27" s="114"/>
      <c r="F27" s="110"/>
      <c r="G27" s="112"/>
      <c r="H27" s="115"/>
    </row>
    <row r="28" spans="1:14" s="129" customFormat="1" ht="15.95" customHeight="1">
      <c r="A28" s="100"/>
      <c r="B28" s="127" t="s">
        <v>160</v>
      </c>
      <c r="C28" s="127"/>
      <c r="D28" s="110"/>
      <c r="E28" s="114"/>
      <c r="F28" s="110"/>
      <c r="G28" s="128"/>
      <c r="H28" s="114"/>
    </row>
    <row r="29" spans="1:14" s="129" customFormat="1" ht="15.95" customHeight="1">
      <c r="A29" s="100"/>
      <c r="B29" s="471" t="s">
        <v>749</v>
      </c>
      <c r="C29" s="127"/>
      <c r="D29" s="110"/>
      <c r="E29" s="114"/>
      <c r="F29" s="110"/>
      <c r="G29" s="128"/>
      <c r="H29" s="114"/>
    </row>
    <row r="30" spans="1:14" ht="16.5">
      <c r="B30" s="130" t="s">
        <v>161</v>
      </c>
      <c r="C30" s="131"/>
      <c r="D30" s="121"/>
      <c r="E30" s="132"/>
      <c r="F30" s="133"/>
      <c r="G30" s="132"/>
      <c r="H30" s="132"/>
    </row>
    <row r="31" spans="1:14" ht="15">
      <c r="B31" s="96"/>
      <c r="C31" s="127"/>
      <c r="D31" s="121"/>
      <c r="E31" s="132"/>
      <c r="F31" s="121"/>
      <c r="G31" s="112"/>
      <c r="H31" s="115"/>
    </row>
    <row r="32" spans="1:14">
      <c r="C32" s="127"/>
      <c r="D32" s="134"/>
      <c r="E32" s="114"/>
      <c r="F32" s="135"/>
      <c r="G32" s="112"/>
      <c r="H32" s="115"/>
    </row>
    <row r="33" spans="1:8">
      <c r="B33" s="113"/>
      <c r="C33" s="127"/>
      <c r="F33" s="111"/>
      <c r="G33" s="112"/>
      <c r="H33" s="115"/>
    </row>
    <row r="34" spans="1:8">
      <c r="F34" s="111"/>
      <c r="G34" s="112"/>
      <c r="H34" s="115"/>
    </row>
    <row r="35" spans="1:8">
      <c r="F35" s="111"/>
      <c r="G35" s="112"/>
      <c r="H35" s="115"/>
    </row>
    <row r="36" spans="1:8">
      <c r="F36" s="111"/>
      <c r="G36" s="112"/>
      <c r="H36" s="115"/>
    </row>
    <row r="37" spans="1:8">
      <c r="A37" s="97"/>
      <c r="B37" s="127"/>
      <c r="C37" s="127"/>
      <c r="F37" s="111"/>
      <c r="G37" s="112"/>
      <c r="H37" s="115"/>
    </row>
    <row r="38" spans="1:8">
      <c r="A38" s="97"/>
      <c r="B38" s="127"/>
      <c r="C38" s="127"/>
      <c r="G38" s="112"/>
      <c r="H38" s="115"/>
    </row>
    <row r="40" spans="1:8">
      <c r="A40" s="97"/>
      <c r="B40" s="136"/>
      <c r="C40" s="136"/>
    </row>
  </sheetData>
  <mergeCells count="4">
    <mergeCell ref="A1:H1"/>
    <mergeCell ref="A4:H4"/>
    <mergeCell ref="A5:H5"/>
    <mergeCell ref="B10:C10"/>
  </mergeCells>
  <printOptions horizontalCentered="1"/>
  <pageMargins left="0.7" right="0.7" top="1" bottom="0.75" header="0.3" footer="0.51"/>
  <pageSetup scale="81" orientation="portrait" r:id="rId1"/>
  <headerFooter differentFirst="1">
    <firstHeader>&amp;R&amp;12Exhibit No.___(MPG-7)
Page 1 of 1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"/>
  <sheetViews>
    <sheetView zoomScale="80" zoomScaleNormal="80" zoomScalePageLayoutView="80" workbookViewId="0"/>
  </sheetViews>
  <sheetFormatPr defaultRowHeight="14.25"/>
  <sheetData>
    <row r="2" spans="1:12" ht="30">
      <c r="A2" s="484" t="str">
        <f>'MPG-7'!A1:H1</f>
        <v>Puget Sound Energy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</row>
  </sheetData>
  <mergeCells count="1">
    <mergeCell ref="A2:L2"/>
  </mergeCells>
  <printOptions horizontalCentered="1"/>
  <pageMargins left="0.7" right="0.7" top="0.75" bottom="0.75" header="0.3" footer="0.3"/>
  <pageSetup orientation="landscape" r:id="rId1"/>
  <headerFooter>
    <oddHeader>&amp;RExhibit No.___(MPG-8)
Page 1 of 1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7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9" style="97"/>
    <col min="2" max="2" width="8.875" style="97" customWidth="1"/>
    <col min="3" max="3" width="15.5" style="97" customWidth="1"/>
    <col min="4" max="5" width="11.375" style="97" customWidth="1"/>
    <col min="6" max="6" width="1.125" style="97" customWidth="1"/>
    <col min="7" max="8" width="11.25" style="97" customWidth="1"/>
    <col min="9" max="9" width="1.25" style="156" customWidth="1"/>
    <col min="10" max="11" width="11.375" style="97" customWidth="1"/>
    <col min="12" max="16384" width="9" style="97"/>
  </cols>
  <sheetData>
    <row r="1" spans="1:11" ht="27.75">
      <c r="A1" s="485" t="str">
        <f>'MPG-8'!A2:L2</f>
        <v>Puget Sound Energy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1">
      <c r="A2" s="99"/>
      <c r="D2" s="100"/>
      <c r="E2" s="100"/>
      <c r="F2" s="100"/>
      <c r="G2" s="99"/>
      <c r="I2" s="97"/>
      <c r="J2" s="100"/>
      <c r="K2" s="100"/>
    </row>
    <row r="3" spans="1:11">
      <c r="A3" s="99"/>
      <c r="D3" s="100"/>
      <c r="E3" s="100"/>
      <c r="F3" s="100"/>
      <c r="G3" s="99"/>
      <c r="I3" s="97"/>
      <c r="J3" s="100"/>
      <c r="K3" s="100"/>
    </row>
    <row r="4" spans="1:11" ht="20.25">
      <c r="A4" s="486" t="s">
        <v>162</v>
      </c>
      <c r="B4" s="486"/>
      <c r="C4" s="486"/>
      <c r="D4" s="486"/>
      <c r="E4" s="486"/>
      <c r="F4" s="486"/>
      <c r="G4" s="486"/>
      <c r="H4" s="486"/>
      <c r="I4" s="486"/>
      <c r="J4" s="486"/>
      <c r="K4" s="486"/>
    </row>
    <row r="8" spans="1:11" ht="15">
      <c r="D8" s="487" t="s">
        <v>163</v>
      </c>
      <c r="E8" s="487"/>
      <c r="F8" s="137"/>
      <c r="G8" s="487" t="s">
        <v>164</v>
      </c>
      <c r="H8" s="487"/>
      <c r="I8" s="137"/>
      <c r="J8" s="488" t="s">
        <v>165</v>
      </c>
      <c r="K8" s="488"/>
    </row>
    <row r="9" spans="1:11" s="102" customFormat="1" ht="15">
      <c r="A9" s="102" t="s">
        <v>3</v>
      </c>
      <c r="B9" s="483" t="s">
        <v>4</v>
      </c>
      <c r="C9" s="483"/>
      <c r="D9" s="138">
        <v>2010</v>
      </c>
      <c r="E9" s="139" t="s">
        <v>166</v>
      </c>
      <c r="F9" s="139"/>
      <c r="G9" s="138">
        <v>2010</v>
      </c>
      <c r="H9" s="139" t="s">
        <v>166</v>
      </c>
      <c r="I9" s="140"/>
      <c r="J9" s="138">
        <v>2010</v>
      </c>
      <c r="K9" s="139" t="s">
        <v>166</v>
      </c>
    </row>
    <row r="10" spans="1:11" ht="15">
      <c r="D10" s="103" t="s">
        <v>6</v>
      </c>
      <c r="E10" s="103" t="s">
        <v>7</v>
      </c>
      <c r="F10" s="103"/>
      <c r="G10" s="103" t="s">
        <v>8</v>
      </c>
      <c r="H10" s="103" t="s">
        <v>9</v>
      </c>
      <c r="I10" s="141"/>
      <c r="J10" s="103" t="s">
        <v>10</v>
      </c>
      <c r="K10" s="103" t="s">
        <v>139</v>
      </c>
    </row>
    <row r="11" spans="1:11" ht="15.75" customHeight="1">
      <c r="B11" s="113"/>
      <c r="D11" s="142"/>
      <c r="E11" s="142"/>
      <c r="F11" s="142"/>
      <c r="G11" s="142"/>
      <c r="H11" s="142"/>
      <c r="I11" s="143"/>
      <c r="J11" s="144"/>
      <c r="K11" s="144"/>
    </row>
    <row r="12" spans="1:11" ht="15.75" customHeight="1">
      <c r="A12" s="24">
        <f>IF(B12=0,"N/A",MAX(A8:A11)+1)</f>
        <v>1</v>
      </c>
      <c r="B12" s="25" t="str">
        <f>'MPG-5'!B13</f>
        <v>Alliant Energy</v>
      </c>
      <c r="C12" s="145"/>
      <c r="D12" s="146">
        <f>'Workpaper 2'!M13</f>
        <v>1.58</v>
      </c>
      <c r="E12" s="146">
        <f>'Workpaper 2'!N13</f>
        <v>2.1</v>
      </c>
      <c r="F12" s="146"/>
      <c r="G12" s="146">
        <f>'Workpaper 2'!P13</f>
        <v>2.75</v>
      </c>
      <c r="H12" s="146">
        <f>'Workpaper 2'!Q13</f>
        <v>3.6</v>
      </c>
      <c r="I12" s="147"/>
      <c r="J12" s="112">
        <f>IFERROR(D12/G12,"N/A")</f>
        <v>0.57454545454545458</v>
      </c>
      <c r="K12" s="112">
        <f>IFERROR(E12/H12,"N/A")</f>
        <v>0.58333333333333337</v>
      </c>
    </row>
    <row r="13" spans="1:11" ht="15.75" customHeight="1">
      <c r="A13" s="24">
        <f>IF(B13=0,"N/A",MAX(A9:A12)+1)</f>
        <v>2</v>
      </c>
      <c r="B13" s="25" t="str">
        <f>'MPG-5'!B14</f>
        <v>CMS Energy</v>
      </c>
      <c r="C13" s="145"/>
      <c r="D13" s="146">
        <f>'Workpaper 2'!M14</f>
        <v>0.66</v>
      </c>
      <c r="E13" s="146">
        <f>'Workpaper 2'!N14</f>
        <v>1.1000000000000001</v>
      </c>
      <c r="F13" s="146"/>
      <c r="G13" s="146">
        <f>'Workpaper 2'!P14</f>
        <v>1.33</v>
      </c>
      <c r="H13" s="146">
        <f>'Workpaper 2'!Q14</f>
        <v>1.75</v>
      </c>
      <c r="I13" s="147"/>
      <c r="J13" s="112">
        <f t="shared" ref="J13:J20" si="0">IFERROR(D13/G13,"N/A")</f>
        <v>0.49624060150375937</v>
      </c>
      <c r="K13" s="112">
        <f t="shared" ref="K13:K20" si="1">IFERROR(E13/H13,"N/A")</f>
        <v>0.62857142857142867</v>
      </c>
    </row>
    <row r="14" spans="1:11" ht="15.75" customHeight="1">
      <c r="A14" s="24">
        <f>IF(B14=0,"N/A",MAX(A10:A13)+1)</f>
        <v>3</v>
      </c>
      <c r="B14" s="25" t="str">
        <f>'MPG-5'!B15</f>
        <v>Great Plains Energy</v>
      </c>
      <c r="C14" s="145"/>
      <c r="D14" s="146">
        <f>'Workpaper 2'!M15</f>
        <v>0.83</v>
      </c>
      <c r="E14" s="146">
        <f>'Workpaper 2'!N15</f>
        <v>1.1000000000000001</v>
      </c>
      <c r="F14" s="146"/>
      <c r="G14" s="146">
        <f>'Workpaper 2'!P15</f>
        <v>1.53</v>
      </c>
      <c r="H14" s="146">
        <f>'Workpaper 2'!Q15</f>
        <v>1.75</v>
      </c>
      <c r="I14" s="147"/>
      <c r="J14" s="112">
        <f t="shared" si="0"/>
        <v>0.54248366013071891</v>
      </c>
      <c r="K14" s="112">
        <f t="shared" si="1"/>
        <v>0.62857142857142867</v>
      </c>
    </row>
    <row r="15" spans="1:11" ht="15.75" customHeight="1">
      <c r="A15" s="24">
        <f>IF(B15=0,"N/A",MAX(A11:A14)+1)</f>
        <v>4</v>
      </c>
      <c r="B15" s="25" t="str">
        <f>'MPG-5'!B16</f>
        <v>NV Energy</v>
      </c>
      <c r="C15" s="145"/>
      <c r="D15" s="146">
        <f>'Workpaper 2'!M16</f>
        <v>0.45</v>
      </c>
      <c r="E15" s="146">
        <f>'Workpaper 2'!N16</f>
        <v>0.75</v>
      </c>
      <c r="F15" s="146"/>
      <c r="G15" s="146">
        <f>'Workpaper 2'!P16</f>
        <v>0.96</v>
      </c>
      <c r="H15" s="146">
        <f>'Workpaper 2'!Q16</f>
        <v>1.5</v>
      </c>
      <c r="I15" s="147"/>
      <c r="J15" s="112">
        <f t="shared" si="0"/>
        <v>0.46875000000000006</v>
      </c>
      <c r="K15" s="112">
        <f t="shared" si="1"/>
        <v>0.5</v>
      </c>
    </row>
    <row r="16" spans="1:11" ht="15.75" customHeight="1">
      <c r="A16" s="24">
        <f>IF(B16=0,"N/A",MAX(A12:A15)+1)</f>
        <v>5</v>
      </c>
      <c r="B16" s="25" t="str">
        <f>'MPG-5'!B17</f>
        <v>OGE Energy</v>
      </c>
      <c r="C16" s="145"/>
      <c r="D16" s="146">
        <f>'Workpaper 2'!M17</f>
        <v>1.46</v>
      </c>
      <c r="E16" s="146">
        <f>'Workpaper 2'!N17</f>
        <v>1.8</v>
      </c>
      <c r="F16" s="146"/>
      <c r="G16" s="146">
        <f>'Workpaper 2'!P17</f>
        <v>2.99</v>
      </c>
      <c r="H16" s="146">
        <f>'Workpaper 2'!Q17</f>
        <v>4</v>
      </c>
      <c r="I16" s="147"/>
      <c r="J16" s="112">
        <f t="shared" si="0"/>
        <v>0.48829431438127086</v>
      </c>
      <c r="K16" s="112">
        <f t="shared" si="1"/>
        <v>0.45</v>
      </c>
    </row>
    <row r="17" spans="1:11" ht="15.75" customHeight="1">
      <c r="A17" s="24">
        <f>IF(B17=0,"N/A",MAX(A14:A16)+1)</f>
        <v>6</v>
      </c>
      <c r="B17" s="25" t="str">
        <f>'MPG-5'!B18</f>
        <v>Pinnacle West Capital</v>
      </c>
      <c r="C17" s="145"/>
      <c r="D17" s="146">
        <f>'Workpaper 2'!M18</f>
        <v>2.1</v>
      </c>
      <c r="E17" s="146">
        <f>'Workpaper 2'!N18</f>
        <v>2.2999999999999998</v>
      </c>
      <c r="F17" s="146"/>
      <c r="G17" s="146">
        <f>'Workpaper 2'!P18</f>
        <v>3.08</v>
      </c>
      <c r="H17" s="146">
        <f>'Workpaper 2'!Q18</f>
        <v>3.5</v>
      </c>
      <c r="I17" s="147"/>
      <c r="J17" s="112">
        <f t="shared" si="0"/>
        <v>0.68181818181818188</v>
      </c>
      <c r="K17" s="112">
        <f t="shared" si="1"/>
        <v>0.65714285714285714</v>
      </c>
    </row>
    <row r="18" spans="1:11" ht="15.75" customHeight="1">
      <c r="A18" s="24">
        <f>IF(B18=0,"N/A",MAX(A16:A17)+1)</f>
        <v>7</v>
      </c>
      <c r="B18" s="25" t="str">
        <f>'MPG-5'!B19</f>
        <v>TECO Energy</v>
      </c>
      <c r="C18" s="145"/>
      <c r="D18" s="146">
        <f>'Workpaper 2'!M19</f>
        <v>0.82</v>
      </c>
      <c r="E18" s="146">
        <f>'Workpaper 2'!N19</f>
        <v>1.05</v>
      </c>
      <c r="F18" s="146"/>
      <c r="G18" s="146">
        <f>'Workpaper 2'!P19</f>
        <v>1.1299999999999999</v>
      </c>
      <c r="H18" s="146">
        <f>'Workpaper 2'!Q19</f>
        <v>1.75</v>
      </c>
      <c r="I18" s="147"/>
      <c r="J18" s="112">
        <f t="shared" si="0"/>
        <v>0.72566371681415931</v>
      </c>
      <c r="K18" s="112">
        <f t="shared" si="1"/>
        <v>0.6</v>
      </c>
    </row>
    <row r="19" spans="1:11" ht="15.75" customHeight="1">
      <c r="A19" s="24">
        <f>IF(B19=0,"N/A",MAX(A17:A18)+1)</f>
        <v>8</v>
      </c>
      <c r="B19" s="25" t="str">
        <f>'MPG-5'!B20</f>
        <v>Westar Energy</v>
      </c>
      <c r="C19" s="145"/>
      <c r="D19" s="146">
        <f>'Workpaper 2'!M20</f>
        <v>1.24</v>
      </c>
      <c r="E19" s="146">
        <f>'Workpaper 2'!N20</f>
        <v>1.44</v>
      </c>
      <c r="F19" s="146"/>
      <c r="G19" s="146">
        <f>'Workpaper 2'!P20</f>
        <v>1.8</v>
      </c>
      <c r="H19" s="146">
        <f>'Workpaper 2'!Q20</f>
        <v>2.4</v>
      </c>
      <c r="I19" s="147"/>
      <c r="J19" s="112">
        <f t="shared" si="0"/>
        <v>0.68888888888888888</v>
      </c>
      <c r="K19" s="112">
        <f t="shared" si="1"/>
        <v>0.6</v>
      </c>
    </row>
    <row r="20" spans="1:11" ht="15.75" customHeight="1">
      <c r="A20" s="24">
        <f>IF(B20=0,"N/A",MAX(A18:A19)+1)</f>
        <v>9</v>
      </c>
      <c r="B20" s="25" t="str">
        <f>'MPG-5'!B21</f>
        <v>Wisconsin Energy</v>
      </c>
      <c r="C20" s="145"/>
      <c r="D20" s="146">
        <f>'Workpaper 2'!M21</f>
        <v>0.8</v>
      </c>
      <c r="E20" s="146">
        <f>'Workpaper 2'!N21</f>
        <v>1.65</v>
      </c>
      <c r="F20" s="146"/>
      <c r="G20" s="146">
        <f>'Workpaper 2'!P21</f>
        <v>1.92</v>
      </c>
      <c r="H20" s="146">
        <f>'Workpaper 2'!Q21</f>
        <v>2.75</v>
      </c>
      <c r="I20" s="147"/>
      <c r="J20" s="112">
        <f t="shared" si="0"/>
        <v>0.41666666666666669</v>
      </c>
      <c r="K20" s="112">
        <f t="shared" si="1"/>
        <v>0.6</v>
      </c>
    </row>
    <row r="21" spans="1:11" ht="15.75" customHeight="1">
      <c r="A21" s="99"/>
      <c r="B21" s="25"/>
      <c r="C21" s="148"/>
      <c r="D21" s="146"/>
      <c r="E21" s="146"/>
      <c r="F21" s="146"/>
      <c r="G21" s="146"/>
      <c r="H21" s="146"/>
      <c r="I21" s="147"/>
      <c r="J21" s="112"/>
      <c r="K21" s="112"/>
    </row>
    <row r="22" spans="1:11" ht="15.75" customHeight="1">
      <c r="A22" s="99">
        <f>MAX(A15:A21)+1</f>
        <v>10</v>
      </c>
      <c r="B22" s="92" t="str">
        <f>'MPG-5'!B23</f>
        <v>Average</v>
      </c>
      <c r="C22" s="148"/>
      <c r="D22" s="149">
        <f>AVERAGE(D12:D20)</f>
        <v>1.1044444444444446</v>
      </c>
      <c r="E22" s="149">
        <f>AVERAGE(E12:E20)</f>
        <v>1.4766666666666668</v>
      </c>
      <c r="F22" s="149"/>
      <c r="G22" s="149">
        <f>AVERAGE(G12:G20)</f>
        <v>1.9433333333333336</v>
      </c>
      <c r="H22" s="149">
        <f>AVERAGE(H12:H20)</f>
        <v>2.5555555555555554</v>
      </c>
      <c r="I22" s="150"/>
      <c r="J22" s="107">
        <f>AVERAGE(J12:J20)</f>
        <v>0.56481683163878893</v>
      </c>
      <c r="K22" s="107">
        <f>AVERAGE(K12:K20)</f>
        <v>0.58306878306878296</v>
      </c>
    </row>
    <row r="23" spans="1:11" ht="15.75" customHeight="1">
      <c r="A23" s="99"/>
      <c r="B23" s="120"/>
      <c r="C23" s="148"/>
      <c r="D23" s="149"/>
      <c r="E23" s="149"/>
      <c r="F23" s="149"/>
      <c r="G23" s="149"/>
      <c r="H23" s="149"/>
      <c r="I23" s="150"/>
      <c r="J23" s="107"/>
      <c r="K23" s="107"/>
    </row>
    <row r="24" spans="1:11" ht="15.75" customHeight="1">
      <c r="A24" s="99"/>
      <c r="B24" s="113"/>
      <c r="C24" s="148"/>
      <c r="D24" s="146"/>
      <c r="E24" s="146"/>
      <c r="F24" s="146"/>
      <c r="G24" s="146"/>
      <c r="H24" s="146"/>
      <c r="I24" s="147"/>
      <c r="J24" s="112"/>
      <c r="K24" s="112"/>
    </row>
    <row r="25" spans="1:11" ht="15.75" customHeight="1">
      <c r="A25" s="99"/>
      <c r="B25" s="151"/>
      <c r="C25" s="127"/>
      <c r="D25" s="146"/>
      <c r="E25" s="152"/>
      <c r="F25" s="152"/>
      <c r="G25" s="152"/>
      <c r="H25" s="152"/>
      <c r="I25" s="153"/>
      <c r="J25" s="112"/>
      <c r="K25" s="112"/>
    </row>
    <row r="26" spans="1:11">
      <c r="B26" s="154" t="s">
        <v>167</v>
      </c>
      <c r="C26" s="154"/>
      <c r="D26" s="155"/>
      <c r="E26" s="142"/>
      <c r="F26" s="142"/>
      <c r="G26" s="142"/>
      <c r="H26" s="142"/>
      <c r="I26" s="143"/>
    </row>
    <row r="27" spans="1:11">
      <c r="B27" s="130" t="s">
        <v>168</v>
      </c>
      <c r="C27" s="127"/>
      <c r="D27" s="142"/>
      <c r="E27" s="142"/>
      <c r="F27" s="142"/>
      <c r="G27" s="142"/>
      <c r="H27" s="142"/>
      <c r="I27" s="143"/>
    </row>
  </sheetData>
  <mergeCells count="6">
    <mergeCell ref="B9:C9"/>
    <mergeCell ref="A1:K1"/>
    <mergeCell ref="A4:K4"/>
    <mergeCell ref="D8:E8"/>
    <mergeCell ref="G8:H8"/>
    <mergeCell ref="J8:K8"/>
  </mergeCells>
  <printOptions horizontalCentered="1"/>
  <pageMargins left="0.7" right="0.7" top="1" bottom="0.75" header="0.3" footer="0.51"/>
  <pageSetup scale="76" fitToWidth="2" orientation="portrait" r:id="rId1"/>
  <headerFooter differentFirst="1">
    <oddFooter xml:space="preserve">&amp;R
</oddFooter>
    <firstHeader>&amp;R&amp;12Exhibit No.___(MPG-9)
Page 1 of 1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35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9" style="97"/>
    <col min="2" max="2" width="9.625" style="97" customWidth="1"/>
    <col min="3" max="3" width="13" style="97" customWidth="1"/>
    <col min="4" max="14" width="11.375" style="97" customWidth="1"/>
    <col min="15" max="16" width="9" style="97"/>
    <col min="17" max="17" width="16.375" style="97" customWidth="1"/>
    <col min="18" max="26" width="11.875" style="97" customWidth="1"/>
    <col min="27" max="16384" width="9" style="97"/>
  </cols>
  <sheetData>
    <row r="1" spans="1:27" ht="27.75">
      <c r="A1" s="479" t="str">
        <f>'MPG-9'!A1:K1</f>
        <v>Puget Sound Energy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 t="str">
        <f>A1</f>
        <v>Puget Sound Energy</v>
      </c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</row>
    <row r="2" spans="1:27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7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7" ht="20.25">
      <c r="A4" s="480" t="s">
        <v>169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 t="str">
        <f>A4</f>
        <v>Sustainable Growth Rates</v>
      </c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</row>
    <row r="5" spans="1:27" ht="15">
      <c r="AA5" s="125" t="s">
        <v>170</v>
      </c>
    </row>
    <row r="6" spans="1:27">
      <c r="AA6" s="97">
        <v>2014</v>
      </c>
    </row>
    <row r="7" spans="1:27" ht="15">
      <c r="D7" s="491" t="s">
        <v>171</v>
      </c>
      <c r="E7" s="491"/>
      <c r="F7" s="491"/>
      <c r="G7" s="491"/>
      <c r="H7" s="491"/>
      <c r="I7" s="491"/>
      <c r="J7" s="491"/>
      <c r="K7" s="491"/>
      <c r="L7" s="491"/>
      <c r="M7" s="491"/>
      <c r="N7" s="101" t="s">
        <v>172</v>
      </c>
      <c r="O7" s="157"/>
      <c r="P7" s="157"/>
      <c r="Q7" s="157"/>
      <c r="R7" s="157" t="s">
        <v>173</v>
      </c>
      <c r="S7" s="158" t="s">
        <v>174</v>
      </c>
      <c r="T7" s="157" t="s">
        <v>175</v>
      </c>
      <c r="U7" s="492" t="s">
        <v>176</v>
      </c>
      <c r="V7" s="492"/>
      <c r="W7" s="157"/>
      <c r="X7" s="157"/>
      <c r="Y7" s="157"/>
      <c r="Z7" s="157"/>
      <c r="AA7" s="97">
        <v>2016</v>
      </c>
    </row>
    <row r="8" spans="1:27" ht="17.25">
      <c r="D8" s="101" t="s">
        <v>177</v>
      </c>
      <c r="E8" s="101" t="s">
        <v>178</v>
      </c>
      <c r="F8" s="101" t="s">
        <v>179</v>
      </c>
      <c r="G8" s="101" t="s">
        <v>179</v>
      </c>
      <c r="H8" s="101"/>
      <c r="I8" s="101" t="s">
        <v>180</v>
      </c>
      <c r="J8" s="101" t="s">
        <v>150</v>
      </c>
      <c r="K8" s="101" t="s">
        <v>181</v>
      </c>
      <c r="L8" s="101" t="s">
        <v>182</v>
      </c>
      <c r="M8" s="101" t="s">
        <v>183</v>
      </c>
      <c r="N8" s="101" t="s">
        <v>133</v>
      </c>
      <c r="O8" s="157"/>
      <c r="P8" s="157"/>
      <c r="Q8" s="157"/>
      <c r="R8" s="157" t="s">
        <v>16</v>
      </c>
      <c r="S8" s="158" t="s">
        <v>179</v>
      </c>
      <c r="T8" s="157" t="s">
        <v>184</v>
      </c>
      <c r="U8" s="489" t="s">
        <v>185</v>
      </c>
      <c r="V8" s="490"/>
      <c r="W8" s="157"/>
      <c r="X8" s="157"/>
      <c r="Y8" s="157"/>
      <c r="Z8" s="157"/>
      <c r="AA8" s="125">
        <f>AVERAGE(AA6:AA7)</f>
        <v>2015</v>
      </c>
    </row>
    <row r="9" spans="1:27" ht="17.25">
      <c r="A9" s="102" t="s">
        <v>3</v>
      </c>
      <c r="B9" s="483" t="s">
        <v>4</v>
      </c>
      <c r="C9" s="483"/>
      <c r="D9" s="102" t="s">
        <v>186</v>
      </c>
      <c r="E9" s="102" t="s">
        <v>186</v>
      </c>
      <c r="F9" s="102" t="s">
        <v>186</v>
      </c>
      <c r="G9" s="102" t="s">
        <v>133</v>
      </c>
      <c r="H9" s="102" t="s">
        <v>187</v>
      </c>
      <c r="I9" s="102" t="s">
        <v>188</v>
      </c>
      <c r="J9" s="102" t="s">
        <v>187</v>
      </c>
      <c r="K9" s="102" t="s">
        <v>189</v>
      </c>
      <c r="L9" s="102" t="s">
        <v>190</v>
      </c>
      <c r="M9" s="102" t="s">
        <v>191</v>
      </c>
      <c r="N9" s="159" t="s">
        <v>190</v>
      </c>
      <c r="O9" s="160" t="s">
        <v>3</v>
      </c>
      <c r="P9" s="483" t="s">
        <v>4</v>
      </c>
      <c r="Q9" s="483"/>
      <c r="R9" s="160" t="s">
        <v>192</v>
      </c>
      <c r="S9" s="161" t="s">
        <v>193</v>
      </c>
      <c r="T9" s="160" t="s">
        <v>189</v>
      </c>
      <c r="U9" s="160">
        <v>2010</v>
      </c>
      <c r="V9" s="160" t="s">
        <v>194</v>
      </c>
      <c r="W9" s="160" t="s">
        <v>133</v>
      </c>
      <c r="X9" s="160" t="s">
        <v>195</v>
      </c>
      <c r="Y9" s="160" t="s">
        <v>196</v>
      </c>
      <c r="Z9" s="160" t="s">
        <v>197</v>
      </c>
    </row>
    <row r="10" spans="1:27" ht="15">
      <c r="A10" s="103"/>
      <c r="B10" s="103"/>
      <c r="C10" s="103"/>
      <c r="D10" s="103" t="s">
        <v>6</v>
      </c>
      <c r="E10" s="103" t="s">
        <v>7</v>
      </c>
      <c r="F10" s="103" t="s">
        <v>8</v>
      </c>
      <c r="G10" s="103" t="s">
        <v>9</v>
      </c>
      <c r="H10" s="103" t="s">
        <v>10</v>
      </c>
      <c r="I10" s="103" t="s">
        <v>139</v>
      </c>
      <c r="J10" s="103" t="s">
        <v>140</v>
      </c>
      <c r="K10" s="103" t="s">
        <v>198</v>
      </c>
      <c r="L10" s="103" t="s">
        <v>199</v>
      </c>
      <c r="M10" s="103" t="s">
        <v>200</v>
      </c>
      <c r="N10" s="103" t="s">
        <v>201</v>
      </c>
      <c r="R10" s="162" t="s">
        <v>6</v>
      </c>
      <c r="S10" s="163" t="s">
        <v>7</v>
      </c>
      <c r="T10" s="162" t="s">
        <v>8</v>
      </c>
      <c r="U10" s="162" t="s">
        <v>9</v>
      </c>
      <c r="V10" s="162" t="s">
        <v>10</v>
      </c>
      <c r="W10" s="162" t="s">
        <v>139</v>
      </c>
      <c r="X10" s="162" t="s">
        <v>140</v>
      </c>
      <c r="Y10" s="162" t="s">
        <v>198</v>
      </c>
      <c r="Z10" s="162" t="s">
        <v>199</v>
      </c>
    </row>
    <row r="11" spans="1:27" ht="15">
      <c r="A11" s="99"/>
      <c r="B11" s="101"/>
      <c r="C11" s="101"/>
      <c r="D11" s="142"/>
      <c r="E11" s="142"/>
      <c r="F11" s="142"/>
      <c r="G11" s="142"/>
      <c r="J11" s="112"/>
      <c r="K11" s="99"/>
      <c r="S11" s="129"/>
    </row>
    <row r="12" spans="1:27" ht="15.75" customHeight="1">
      <c r="A12" s="24">
        <f t="shared" ref="A12:A17" si="0">IF(B12=0,"N/A",MAX(A8:A11)+1)</f>
        <v>1</v>
      </c>
      <c r="B12" s="25" t="str">
        <f>'MPG-5'!B13</f>
        <v>Alliant Energy</v>
      </c>
      <c r="C12" s="99"/>
      <c r="D12" s="152">
        <f>'Workpaper 2'!N13</f>
        <v>2.1</v>
      </c>
      <c r="E12" s="152">
        <f>'Workpaper 2'!Q13</f>
        <v>3.6</v>
      </c>
      <c r="F12" s="152">
        <f>'Workpaper 2'!K13</f>
        <v>30.15</v>
      </c>
      <c r="G12" s="117">
        <f>IFERROR((F12/S12)^(1/5)-1,"N/A")</f>
        <v>2.9349001254842078E-2</v>
      </c>
      <c r="H12" s="112">
        <f>IFERROR(E12/F12,"N/A")</f>
        <v>0.11940298507462688</v>
      </c>
      <c r="I12" s="164">
        <f>IFERROR((2*(1+G12))/(2+G12),"N/A")</f>
        <v>1.0144622739788445</v>
      </c>
      <c r="J12" s="112">
        <f t="shared" ref="J12:J20" si="1">IFERROR(H12*I12,"N/A")</f>
        <v>0.12112982375866801</v>
      </c>
      <c r="K12" s="112">
        <f t="shared" ref="K12:K20" si="2">IFERROR(D12/E12,"N/A")</f>
        <v>0.58333333333333337</v>
      </c>
      <c r="L12" s="115">
        <f t="shared" ref="L12:L20" si="3">IFERROR(1-K12,"N/A")</f>
        <v>0.41666666666666663</v>
      </c>
      <c r="M12" s="115">
        <f t="shared" ref="M12:M20" si="4">IFERROR(L12*J12,"N/A")</f>
        <v>5.0470759899445002E-2</v>
      </c>
      <c r="N12" s="115">
        <f t="shared" ref="N12:N20" si="5">IFERROR(M12+Z12,"N/A")</f>
        <v>5.5261909296525011E-2</v>
      </c>
      <c r="O12" s="99">
        <f t="shared" ref="O12:P20" si="6">A12</f>
        <v>1</v>
      </c>
      <c r="P12" s="97" t="str">
        <f t="shared" si="6"/>
        <v>Alliant Energy</v>
      </c>
      <c r="R12" s="152">
        <f>'MPG-7'!D13</f>
        <v>39.900734615384621</v>
      </c>
      <c r="S12" s="134">
        <f>'Workpaper 2'!J13</f>
        <v>26.09</v>
      </c>
      <c r="T12" s="142">
        <f t="shared" ref="T12:T20" si="7">IFERROR(R12/S12,"N/A")</f>
        <v>1.5293497361205297</v>
      </c>
      <c r="U12" s="142">
        <f>'Workpaper 2'!G13</f>
        <v>110.89</v>
      </c>
      <c r="V12" s="142">
        <f>'Workpaper 2'!H13</f>
        <v>116</v>
      </c>
      <c r="W12" s="112">
        <f t="shared" ref="W12:W20" si="8">IFERROR((V12/U12)^(1/($AA$8-$U$9))-1,"N/A")</f>
        <v>9.0510093236149114E-3</v>
      </c>
      <c r="X12" s="112">
        <f t="shared" ref="X12:X20" si="9">IFERROR(W12*T12,"N/A")</f>
        <v>1.3842158720694919E-2</v>
      </c>
      <c r="Y12" s="112">
        <f t="shared" ref="Y12:Y20" si="10">IFERROR(1-1/T12,"N/A")</f>
        <v>0.34612732694048154</v>
      </c>
      <c r="Z12" s="112">
        <f t="shared" ref="Z12:Z20" si="11">IFERROR(X12*Y12,"N/A")</f>
        <v>4.7911493970800075E-3</v>
      </c>
    </row>
    <row r="13" spans="1:27" ht="15.75" customHeight="1">
      <c r="A13" s="24">
        <f t="shared" si="0"/>
        <v>2</v>
      </c>
      <c r="B13" s="25" t="str">
        <f>'MPG-5'!B14</f>
        <v>CMS Energy</v>
      </c>
      <c r="C13" s="99"/>
      <c r="D13" s="152">
        <f>'Workpaper 2'!N14</f>
        <v>1.1000000000000001</v>
      </c>
      <c r="E13" s="152">
        <f>'Workpaper 2'!Q14</f>
        <v>1.75</v>
      </c>
      <c r="F13" s="152">
        <f>'Workpaper 2'!K14</f>
        <v>15</v>
      </c>
      <c r="G13" s="117">
        <f t="shared" ref="G13:G20" si="12">IFERROR((F13/S13)^(1/5)-1,"N/A")</f>
        <v>6.0357309497806266E-2</v>
      </c>
      <c r="H13" s="112">
        <f t="shared" ref="H13:H20" si="13">IFERROR(E13/F13,"N/A")</f>
        <v>0.11666666666666667</v>
      </c>
      <c r="I13" s="164">
        <f t="shared" ref="I13:I20" si="14">IFERROR((2*(1+G13))/(2+G13),"N/A")</f>
        <v>1.0292945836237104</v>
      </c>
      <c r="J13" s="112">
        <f t="shared" si="1"/>
        <v>0.12008436808943289</v>
      </c>
      <c r="K13" s="112">
        <f t="shared" si="2"/>
        <v>0.62857142857142867</v>
      </c>
      <c r="L13" s="115">
        <f t="shared" si="3"/>
        <v>0.37142857142857133</v>
      </c>
      <c r="M13" s="115">
        <f t="shared" si="4"/>
        <v>4.4602765290360773E-2</v>
      </c>
      <c r="N13" s="115">
        <f t="shared" si="5"/>
        <v>5.1084604044358779E-2</v>
      </c>
      <c r="O13" s="99">
        <f t="shared" si="6"/>
        <v>2</v>
      </c>
      <c r="P13" s="97" t="str">
        <f t="shared" si="6"/>
        <v>CMS Energy</v>
      </c>
      <c r="R13" s="152">
        <f>'MPG-7'!D14</f>
        <v>20.037692307692307</v>
      </c>
      <c r="S13" s="134">
        <f>'Workpaper 2'!J14</f>
        <v>11.19</v>
      </c>
      <c r="T13" s="142">
        <f t="shared" si="7"/>
        <v>1.7906784904103938</v>
      </c>
      <c r="U13" s="142">
        <f>'Workpaper 2'!G14</f>
        <v>249.6</v>
      </c>
      <c r="V13" s="142">
        <f>'Workpaper 2'!H14</f>
        <v>260</v>
      </c>
      <c r="W13" s="112">
        <f t="shared" si="8"/>
        <v>8.197818497166498E-3</v>
      </c>
      <c r="X13" s="112">
        <f t="shared" si="9"/>
        <v>1.4679657251164508E-2</v>
      </c>
      <c r="Y13" s="112">
        <f t="shared" si="10"/>
        <v>0.44155245882759409</v>
      </c>
      <c r="Z13" s="112">
        <f t="shared" si="11"/>
        <v>6.4818387539980092E-3</v>
      </c>
    </row>
    <row r="14" spans="1:27" ht="15.75" customHeight="1">
      <c r="A14" s="24">
        <f t="shared" si="0"/>
        <v>3</v>
      </c>
      <c r="B14" s="25" t="str">
        <f>'MPG-5'!B15</f>
        <v>Great Plains Energy</v>
      </c>
      <c r="C14" s="99"/>
      <c r="D14" s="152">
        <f>'Workpaper 2'!N15</f>
        <v>1.1000000000000001</v>
      </c>
      <c r="E14" s="152">
        <f>'Workpaper 2'!Q15</f>
        <v>1.75</v>
      </c>
      <c r="F14" s="152">
        <f>'Workpaper 2'!K15</f>
        <v>23.5</v>
      </c>
      <c r="G14" s="117">
        <f t="shared" si="12"/>
        <v>2.0236649446290444E-2</v>
      </c>
      <c r="H14" s="112">
        <f t="shared" si="13"/>
        <v>7.4468085106382975E-2</v>
      </c>
      <c r="I14" s="164">
        <f t="shared" si="14"/>
        <v>1.0100169697702679</v>
      </c>
      <c r="J14" s="112">
        <f t="shared" si="1"/>
        <v>7.5214029663743354E-2</v>
      </c>
      <c r="K14" s="112">
        <f t="shared" si="2"/>
        <v>0.62857142857142867</v>
      </c>
      <c r="L14" s="115">
        <f t="shared" si="3"/>
        <v>0.37142857142857133</v>
      </c>
      <c r="M14" s="115">
        <f t="shared" si="4"/>
        <v>2.7936639589390379E-2</v>
      </c>
      <c r="N14" s="115">
        <f t="shared" si="5"/>
        <v>2.6174714708420893E-2</v>
      </c>
      <c r="O14" s="99">
        <f t="shared" si="6"/>
        <v>3</v>
      </c>
      <c r="P14" s="97" t="str">
        <f t="shared" si="6"/>
        <v>Great Plains Energy</v>
      </c>
      <c r="R14" s="152">
        <f>'MPG-7'!D15</f>
        <v>19.869423076923077</v>
      </c>
      <c r="S14" s="134">
        <f>'Workpaper 2'!J15</f>
        <v>21.26</v>
      </c>
      <c r="T14" s="142">
        <f t="shared" si="7"/>
        <v>0.93459186627107604</v>
      </c>
      <c r="U14" s="142">
        <f>'Workpaper 2'!G15</f>
        <v>135.71</v>
      </c>
      <c r="V14" s="142">
        <f>'Workpaper 2'!H15</f>
        <v>155</v>
      </c>
      <c r="W14" s="112">
        <f t="shared" si="8"/>
        <v>2.6937397239792382E-2</v>
      </c>
      <c r="X14" s="112">
        <f t="shared" si="9"/>
        <v>2.5175472358822896E-2</v>
      </c>
      <c r="Y14" s="112">
        <f t="shared" si="10"/>
        <v>-6.9985772495426923E-2</v>
      </c>
      <c r="Z14" s="112">
        <f t="shared" si="11"/>
        <v>-1.7619248809694881E-3</v>
      </c>
    </row>
    <row r="15" spans="1:27" ht="15.75" customHeight="1">
      <c r="A15" s="24">
        <f t="shared" si="0"/>
        <v>4</v>
      </c>
      <c r="B15" s="25" t="str">
        <f>'MPG-5'!B16</f>
        <v>NV Energy</v>
      </c>
      <c r="C15" s="99"/>
      <c r="D15" s="152">
        <f>'Workpaper 2'!N16</f>
        <v>0.75</v>
      </c>
      <c r="E15" s="152">
        <f>'Workpaper 2'!Q16</f>
        <v>1.5</v>
      </c>
      <c r="F15" s="152">
        <f>'Workpaper 2'!K16</f>
        <v>17.25</v>
      </c>
      <c r="G15" s="117">
        <f t="shared" si="12"/>
        <v>3.9096356529261245E-2</v>
      </c>
      <c r="H15" s="112">
        <f t="shared" si="13"/>
        <v>8.6956521739130432E-2</v>
      </c>
      <c r="I15" s="164">
        <f t="shared" si="14"/>
        <v>1.0191733737368878</v>
      </c>
      <c r="J15" s="112">
        <f t="shared" si="1"/>
        <v>8.8623771629294593E-2</v>
      </c>
      <c r="K15" s="112">
        <f t="shared" si="2"/>
        <v>0.5</v>
      </c>
      <c r="L15" s="115">
        <f t="shared" si="3"/>
        <v>0.5</v>
      </c>
      <c r="M15" s="115">
        <f t="shared" si="4"/>
        <v>4.4311885814647296E-2</v>
      </c>
      <c r="N15" s="115">
        <f t="shared" si="5"/>
        <v>4.4909790107747517E-2</v>
      </c>
      <c r="O15" s="99">
        <f t="shared" si="6"/>
        <v>4</v>
      </c>
      <c r="P15" s="97" t="str">
        <f t="shared" si="6"/>
        <v>NV Energy</v>
      </c>
      <c r="R15" s="152">
        <f>'MPG-7'!D16</f>
        <v>14.939230769230768</v>
      </c>
      <c r="S15" s="134">
        <f>'Workpaper 2'!J16</f>
        <v>14.24</v>
      </c>
      <c r="T15" s="142">
        <f t="shared" si="7"/>
        <v>1.0491032843560932</v>
      </c>
      <c r="U15" s="142">
        <f>'Workpaper 2'!G16</f>
        <v>235.32</v>
      </c>
      <c r="V15" s="142">
        <f>'Workpaper 2'!H16</f>
        <v>250</v>
      </c>
      <c r="W15" s="112">
        <f t="shared" si="8"/>
        <v>1.2176462347493144E-2</v>
      </c>
      <c r="X15" s="112">
        <f t="shared" si="9"/>
        <v>1.2774366640593364E-2</v>
      </c>
      <c r="Y15" s="112">
        <f t="shared" si="10"/>
        <v>4.6805004891612101E-2</v>
      </c>
      <c r="Z15" s="112">
        <f t="shared" si="11"/>
        <v>5.9790429310021881E-4</v>
      </c>
    </row>
    <row r="16" spans="1:27" ht="15.75" customHeight="1">
      <c r="A16" s="24">
        <f t="shared" si="0"/>
        <v>5</v>
      </c>
      <c r="B16" s="25" t="str">
        <f>'MPG-5'!B17</f>
        <v>OGE Energy</v>
      </c>
      <c r="C16" s="99"/>
      <c r="D16" s="152">
        <f>'Workpaper 2'!N17</f>
        <v>1.8</v>
      </c>
      <c r="E16" s="152">
        <f>'Workpaper 2'!Q17</f>
        <v>4</v>
      </c>
      <c r="F16" s="152">
        <f>'Workpaper 2'!K17</f>
        <v>33.75</v>
      </c>
      <c r="G16" s="117">
        <f t="shared" si="12"/>
        <v>7.5447350286256709E-2</v>
      </c>
      <c r="H16" s="112">
        <f t="shared" si="13"/>
        <v>0.11851851851851852</v>
      </c>
      <c r="I16" s="164">
        <f t="shared" si="14"/>
        <v>1.0363523315953309</v>
      </c>
      <c r="J16" s="112">
        <f t="shared" si="1"/>
        <v>0.12282694300389108</v>
      </c>
      <c r="K16" s="112">
        <f t="shared" si="2"/>
        <v>0.45</v>
      </c>
      <c r="L16" s="115">
        <f t="shared" si="3"/>
        <v>0.55000000000000004</v>
      </c>
      <c r="M16" s="115">
        <f t="shared" si="4"/>
        <v>6.7554818652140095E-2</v>
      </c>
      <c r="N16" s="115">
        <f t="shared" si="5"/>
        <v>7.2962071634241468E-2</v>
      </c>
      <c r="O16" s="99">
        <f t="shared" si="6"/>
        <v>5</v>
      </c>
      <c r="P16" s="97" t="str">
        <f t="shared" si="6"/>
        <v>OGE Energy</v>
      </c>
      <c r="R16" s="152">
        <f>'MPG-7'!D17</f>
        <v>49.50615384615385</v>
      </c>
      <c r="S16" s="134">
        <f>'Workpaper 2'!J17</f>
        <v>23.46</v>
      </c>
      <c r="T16" s="142">
        <f t="shared" si="7"/>
        <v>2.1102367368352026</v>
      </c>
      <c r="U16" s="142">
        <f>'Workpaper 2'!G17</f>
        <v>97.6</v>
      </c>
      <c r="V16" s="142">
        <f>'Workpaper 2'!H17</f>
        <v>100</v>
      </c>
      <c r="W16" s="112">
        <f t="shared" si="8"/>
        <v>4.8703603499151704E-3</v>
      </c>
      <c r="X16" s="112">
        <f t="shared" si="9"/>
        <v>1.0277613332016544E-2</v>
      </c>
      <c r="Y16" s="112">
        <f t="shared" si="10"/>
        <v>0.52611951894092424</v>
      </c>
      <c r="Z16" s="112">
        <f t="shared" si="11"/>
        <v>5.4072529821013737E-3</v>
      </c>
    </row>
    <row r="17" spans="1:26" ht="15.75" customHeight="1">
      <c r="A17" s="24">
        <f t="shared" si="0"/>
        <v>6</v>
      </c>
      <c r="B17" s="25" t="str">
        <f>'MPG-5'!B18</f>
        <v>Pinnacle West Capital</v>
      </c>
      <c r="C17" s="99"/>
      <c r="D17" s="152">
        <f>'Workpaper 2'!N18</f>
        <v>2.2999999999999998</v>
      </c>
      <c r="E17" s="152">
        <f>'Workpaper 2'!Q18</f>
        <v>3.5</v>
      </c>
      <c r="F17" s="152">
        <f>'Workpaper 2'!K18</f>
        <v>39.25</v>
      </c>
      <c r="G17" s="117">
        <f t="shared" si="12"/>
        <v>2.9984149722993569E-2</v>
      </c>
      <c r="H17" s="112">
        <f t="shared" si="13"/>
        <v>8.9171974522292988E-2</v>
      </c>
      <c r="I17" s="164">
        <f t="shared" si="14"/>
        <v>1.0147706324342902</v>
      </c>
      <c r="J17" s="112">
        <f t="shared" si="1"/>
        <v>9.0489100981401671E-2</v>
      </c>
      <c r="K17" s="112">
        <f t="shared" si="2"/>
        <v>0.65714285714285714</v>
      </c>
      <c r="L17" s="115">
        <f t="shared" si="3"/>
        <v>0.34285714285714286</v>
      </c>
      <c r="M17" s="115">
        <f t="shared" si="4"/>
        <v>3.1024834622194859E-2</v>
      </c>
      <c r="N17" s="115">
        <f t="shared" si="5"/>
        <v>3.8610617849834383E-2</v>
      </c>
      <c r="O17" s="99">
        <f t="shared" si="6"/>
        <v>6</v>
      </c>
      <c r="P17" s="97" t="str">
        <f t="shared" si="6"/>
        <v>Pinnacle West Capital</v>
      </c>
      <c r="R17" s="152">
        <f>'MPG-7'!D18</f>
        <v>44.177692307692304</v>
      </c>
      <c r="S17" s="134">
        <f>'Workpaper 2'!J18</f>
        <v>33.86</v>
      </c>
      <c r="T17" s="142">
        <f t="shared" si="7"/>
        <v>1.3047162524421827</v>
      </c>
      <c r="U17" s="142">
        <f>'Workpaper 2'!G18</f>
        <v>108.77</v>
      </c>
      <c r="V17" s="142">
        <f>'Workpaper 2'!H18</f>
        <v>123</v>
      </c>
      <c r="W17" s="112">
        <f t="shared" si="8"/>
        <v>2.4894580341030093E-2</v>
      </c>
      <c r="X17" s="112">
        <f t="shared" si="9"/>
        <v>3.2480363568669617E-2</v>
      </c>
      <c r="Y17" s="112">
        <f t="shared" si="10"/>
        <v>0.23354982500740018</v>
      </c>
      <c r="Z17" s="112">
        <f t="shared" si="11"/>
        <v>7.5857832276395249E-3</v>
      </c>
    </row>
    <row r="18" spans="1:26" ht="15.75" customHeight="1">
      <c r="A18" s="24">
        <f>IF(B18=0,"N/A",MAX(A16:A17)+1)</f>
        <v>7</v>
      </c>
      <c r="B18" s="25" t="str">
        <f>'MPG-5'!B19</f>
        <v>TECO Energy</v>
      </c>
      <c r="C18" s="99"/>
      <c r="D18" s="152">
        <f>'Workpaper 2'!N19</f>
        <v>1.05</v>
      </c>
      <c r="E18" s="152">
        <f>'Workpaper 2'!Q19</f>
        <v>1.75</v>
      </c>
      <c r="F18" s="152">
        <f>'Workpaper 2'!K19</f>
        <v>13.25</v>
      </c>
      <c r="G18" s="117">
        <f t="shared" si="12"/>
        <v>5.5793298129772406E-2</v>
      </c>
      <c r="H18" s="112">
        <f t="shared" si="13"/>
        <v>0.13207547169811321</v>
      </c>
      <c r="I18" s="164">
        <f t="shared" si="14"/>
        <v>1.0271395466560425</v>
      </c>
      <c r="J18" s="112">
        <f t="shared" si="1"/>
        <v>0.13565994012438296</v>
      </c>
      <c r="K18" s="112">
        <f t="shared" si="2"/>
        <v>0.6</v>
      </c>
      <c r="L18" s="115">
        <f t="shared" si="3"/>
        <v>0.4</v>
      </c>
      <c r="M18" s="115">
        <f t="shared" si="4"/>
        <v>5.4263976049753186E-2</v>
      </c>
      <c r="N18" s="115">
        <f t="shared" si="5"/>
        <v>5.7886432562715848E-2</v>
      </c>
      <c r="O18" s="99">
        <f t="shared" si="6"/>
        <v>7</v>
      </c>
      <c r="P18" s="97" t="str">
        <f t="shared" si="6"/>
        <v>TECO Energy</v>
      </c>
      <c r="R18" s="152">
        <f>'MPG-7'!D19</f>
        <v>17.881169230769231</v>
      </c>
      <c r="S18" s="134">
        <f>'Workpaper 2'!J19</f>
        <v>10.1</v>
      </c>
      <c r="T18" s="142">
        <f t="shared" si="7"/>
        <v>1.7704127951256665</v>
      </c>
      <c r="U18" s="142">
        <f>'Workpaper 2'!G19</f>
        <v>214.9</v>
      </c>
      <c r="V18" s="142">
        <f>'Workpaper 2'!H19</f>
        <v>220</v>
      </c>
      <c r="W18" s="112">
        <f t="shared" si="8"/>
        <v>4.7019682641327165E-3</v>
      </c>
      <c r="X18" s="112">
        <f t="shared" si="9"/>
        <v>8.3244247770953815E-3</v>
      </c>
      <c r="Y18" s="112">
        <f t="shared" si="10"/>
        <v>0.43515997921319893</v>
      </c>
      <c r="Z18" s="112">
        <f t="shared" si="11"/>
        <v>3.6224565129626646E-3</v>
      </c>
    </row>
    <row r="19" spans="1:26" ht="15.75" customHeight="1">
      <c r="A19" s="24">
        <f>IF(B19=0,"N/A",MAX(A17:A18)+1)</f>
        <v>8</v>
      </c>
      <c r="B19" s="25" t="str">
        <f>'MPG-5'!B20</f>
        <v>Westar Energy</v>
      </c>
      <c r="C19" s="99"/>
      <c r="D19" s="152">
        <f>'Workpaper 2'!N20</f>
        <v>1.44</v>
      </c>
      <c r="E19" s="152">
        <f>'Workpaper 2'!Q20</f>
        <v>2.4</v>
      </c>
      <c r="F19" s="152">
        <f>'Workpaper 2'!K20</f>
        <v>23.45</v>
      </c>
      <c r="G19" s="117">
        <f t="shared" si="12"/>
        <v>1.9898099550745396E-2</v>
      </c>
      <c r="H19" s="112">
        <f t="shared" si="13"/>
        <v>0.1023454157782516</v>
      </c>
      <c r="I19" s="164">
        <f t="shared" si="14"/>
        <v>1.0098510412753847</v>
      </c>
      <c r="J19" s="112">
        <f t="shared" si="1"/>
        <v>0.10335362469342957</v>
      </c>
      <c r="K19" s="112">
        <f t="shared" si="2"/>
        <v>0.6</v>
      </c>
      <c r="L19" s="115">
        <f t="shared" si="3"/>
        <v>0.4</v>
      </c>
      <c r="M19" s="115">
        <f t="shared" si="4"/>
        <v>4.134144987737183E-2</v>
      </c>
      <c r="N19" s="115">
        <f t="shared" si="5"/>
        <v>4.7910402328044728E-2</v>
      </c>
      <c r="O19" s="99">
        <f t="shared" si="6"/>
        <v>8</v>
      </c>
      <c r="P19" s="97" t="str">
        <f t="shared" si="6"/>
        <v>Westar Energy</v>
      </c>
      <c r="R19" s="152">
        <f>'MPG-7'!D20</f>
        <v>26.453188461538463</v>
      </c>
      <c r="S19" s="134">
        <f>'Workpaper 2'!J20</f>
        <v>21.25</v>
      </c>
      <c r="T19" s="142">
        <f t="shared" si="7"/>
        <v>1.2448559276018101</v>
      </c>
      <c r="U19" s="142">
        <f>'Workpaper 2'!G20</f>
        <v>112.13</v>
      </c>
      <c r="V19" s="142">
        <f>'Workpaper 2'!H20</f>
        <v>128</v>
      </c>
      <c r="W19" s="112">
        <f t="shared" si="8"/>
        <v>2.6827826938931487E-2</v>
      </c>
      <c r="X19" s="112">
        <f t="shared" si="9"/>
        <v>3.3396779389604385E-2</v>
      </c>
      <c r="Y19" s="112">
        <f t="shared" si="10"/>
        <v>0.19669418940191741</v>
      </c>
      <c r="Z19" s="112">
        <f t="shared" si="11"/>
        <v>6.5689524506728969E-3</v>
      </c>
    </row>
    <row r="20" spans="1:26" ht="15.75" customHeight="1">
      <c r="A20" s="24">
        <f>IF(B20=0,"N/A",MAX(A18:A19)+1)</f>
        <v>9</v>
      </c>
      <c r="B20" s="25" t="str">
        <f>'MPG-5'!B21</f>
        <v>Wisconsin Energy</v>
      </c>
      <c r="C20" s="99"/>
      <c r="D20" s="152">
        <f>'Workpaper 2'!N21</f>
        <v>1.65</v>
      </c>
      <c r="E20" s="152">
        <f>'Workpaper 2'!Q21</f>
        <v>2.75</v>
      </c>
      <c r="F20" s="152">
        <f>'Workpaper 2'!K21</f>
        <v>19.75</v>
      </c>
      <c r="G20" s="117">
        <f t="shared" si="12"/>
        <v>3.9655156048344908E-2</v>
      </c>
      <c r="H20" s="112">
        <f t="shared" si="13"/>
        <v>0.13924050632911392</v>
      </c>
      <c r="I20" s="164">
        <f t="shared" si="14"/>
        <v>1.0194420884975348</v>
      </c>
      <c r="J20" s="112">
        <f t="shared" si="1"/>
        <v>0.14194763257560611</v>
      </c>
      <c r="K20" s="112">
        <f t="shared" si="2"/>
        <v>0.6</v>
      </c>
      <c r="L20" s="115">
        <f t="shared" si="3"/>
        <v>0.4</v>
      </c>
      <c r="M20" s="115">
        <f t="shared" si="4"/>
        <v>5.6779053030242443E-2</v>
      </c>
      <c r="N20" s="115">
        <f t="shared" si="5"/>
        <v>4.8712450191928477E-2</v>
      </c>
      <c r="O20" s="99">
        <f t="shared" si="6"/>
        <v>9</v>
      </c>
      <c r="P20" s="97" t="str">
        <f t="shared" si="6"/>
        <v>Wisconsin Energy</v>
      </c>
      <c r="R20" s="152">
        <f>'MPG-7'!D21</f>
        <v>31.687330769230769</v>
      </c>
      <c r="S20" s="134">
        <f>'Workpaper 2'!J21</f>
        <v>16.260000000000002</v>
      </c>
      <c r="T20" s="142">
        <f t="shared" si="7"/>
        <v>1.9487903302109941</v>
      </c>
      <c r="U20" s="142">
        <f>'Workpaper 2'!G21</f>
        <v>233.77</v>
      </c>
      <c r="V20" s="142">
        <f>'Workpaper 2'!H21</f>
        <v>224</v>
      </c>
      <c r="W20" s="112">
        <f t="shared" si="8"/>
        <v>-8.5019867735373067E-3</v>
      </c>
      <c r="X20" s="112">
        <f t="shared" si="9"/>
        <v>-1.6568589611851273E-2</v>
      </c>
      <c r="Y20" s="112">
        <f t="shared" si="10"/>
        <v>0.48686116484797481</v>
      </c>
      <c r="Z20" s="112">
        <f t="shared" si="11"/>
        <v>-8.066602838313966E-3</v>
      </c>
    </row>
    <row r="21" spans="1:26" ht="15">
      <c r="A21" s="99"/>
      <c r="B21" s="113"/>
      <c r="C21" s="101"/>
      <c r="D21" s="152"/>
      <c r="E21" s="152"/>
      <c r="F21" s="152"/>
      <c r="G21" s="117"/>
      <c r="H21" s="112"/>
      <c r="I21" s="164"/>
      <c r="J21" s="112"/>
      <c r="K21" s="112"/>
      <c r="L21" s="115"/>
      <c r="M21" s="115"/>
      <c r="N21" s="115"/>
      <c r="O21" s="99"/>
      <c r="R21" s="152"/>
      <c r="S21" s="134"/>
      <c r="T21" s="142"/>
      <c r="U21" s="142"/>
      <c r="V21" s="142"/>
      <c r="W21" s="112"/>
      <c r="X21" s="112"/>
      <c r="Y21" s="112"/>
      <c r="Z21" s="112"/>
    </row>
    <row r="22" spans="1:26" ht="15">
      <c r="A22" s="99">
        <f>MAX(A15:A21)+1</f>
        <v>10</v>
      </c>
      <c r="B22" s="120" t="s">
        <v>16</v>
      </c>
      <c r="C22" s="101"/>
      <c r="D22" s="165">
        <f t="shared" ref="D22:N22" si="15">AVERAGE(D12:D20)</f>
        <v>1.4766666666666668</v>
      </c>
      <c r="E22" s="165">
        <f t="shared" si="15"/>
        <v>2.5555555555555554</v>
      </c>
      <c r="F22" s="165">
        <f t="shared" si="15"/>
        <v>23.927777777777777</v>
      </c>
      <c r="G22" s="107">
        <f t="shared" si="15"/>
        <v>4.1090818940701448E-2</v>
      </c>
      <c r="H22" s="107">
        <f t="shared" si="15"/>
        <v>0.10876068282589968</v>
      </c>
      <c r="I22" s="166">
        <f t="shared" si="15"/>
        <v>1.0200558712853658</v>
      </c>
      <c r="J22" s="107">
        <f t="shared" si="15"/>
        <v>0.11103658161331668</v>
      </c>
      <c r="K22" s="107">
        <f t="shared" si="15"/>
        <v>0.58306878306878296</v>
      </c>
      <c r="L22" s="124">
        <f t="shared" si="15"/>
        <v>0.41693121693121693</v>
      </c>
      <c r="M22" s="124">
        <f t="shared" si="15"/>
        <v>4.6476242536171761E-2</v>
      </c>
      <c r="N22" s="124">
        <f t="shared" si="15"/>
        <v>4.9279221413757457E-2</v>
      </c>
      <c r="O22" s="99">
        <f>A22</f>
        <v>10</v>
      </c>
      <c r="P22" s="125" t="str">
        <f>B22</f>
        <v>Average</v>
      </c>
      <c r="R22" s="165">
        <f t="shared" ref="R22:Z22" si="16">AVERAGE(R12:R20)</f>
        <v>29.383623931623934</v>
      </c>
      <c r="S22" s="167">
        <f t="shared" si="16"/>
        <v>19.745555555555555</v>
      </c>
      <c r="T22" s="168">
        <f t="shared" si="16"/>
        <v>1.5203039354859942</v>
      </c>
      <c r="U22" s="168">
        <f t="shared" si="16"/>
        <v>166.52111111111111</v>
      </c>
      <c r="V22" s="168">
        <f t="shared" si="16"/>
        <v>175.11111111111111</v>
      </c>
      <c r="W22" s="107">
        <f t="shared" si="16"/>
        <v>1.2128381836504344E-2</v>
      </c>
      <c r="X22" s="107">
        <f t="shared" si="16"/>
        <v>1.4931360714090038E-2</v>
      </c>
      <c r="Y22" s="107">
        <f t="shared" si="16"/>
        <v>0.29365374395285293</v>
      </c>
      <c r="Z22" s="107">
        <f t="shared" si="16"/>
        <v>2.8029788775856932E-3</v>
      </c>
    </row>
    <row r="23" spans="1:26" ht="15">
      <c r="A23" s="99">
        <f>MAX(A16:A22)+1</f>
        <v>11</v>
      </c>
      <c r="B23" s="120" t="s">
        <v>142</v>
      </c>
      <c r="C23" s="101"/>
      <c r="D23" s="165"/>
      <c r="E23" s="165"/>
      <c r="F23" s="165"/>
      <c r="G23" s="165"/>
      <c r="H23" s="107"/>
      <c r="I23" s="166"/>
      <c r="J23" s="107"/>
      <c r="K23" s="107"/>
      <c r="L23" s="124"/>
      <c r="M23" s="124"/>
      <c r="N23" s="124">
        <f>MEDIAN(N12:N21)</f>
        <v>4.8712450191928477E-2</v>
      </c>
      <c r="O23" s="99"/>
      <c r="P23" s="125"/>
      <c r="R23" s="165"/>
      <c r="S23" s="167"/>
      <c r="T23" s="168"/>
      <c r="U23" s="168"/>
      <c r="V23" s="168"/>
      <c r="W23" s="107"/>
      <c r="X23" s="107"/>
      <c r="Y23" s="107"/>
      <c r="Z23" s="107"/>
    </row>
    <row r="24" spans="1:26" s="129" customFormat="1">
      <c r="A24" s="100"/>
      <c r="B24" s="91"/>
      <c r="C24" s="100"/>
      <c r="D24" s="134"/>
      <c r="E24" s="134"/>
      <c r="F24" s="134"/>
      <c r="G24" s="134"/>
      <c r="N24" s="169"/>
    </row>
    <row r="25" spans="1:26" s="129" customFormat="1">
      <c r="B25" s="170"/>
      <c r="C25" s="171"/>
      <c r="P25" s="171"/>
      <c r="Q25" s="171"/>
    </row>
    <row r="26" spans="1:26" s="129" customFormat="1">
      <c r="B26" s="129" t="s">
        <v>17</v>
      </c>
      <c r="P26" s="129" t="s">
        <v>17</v>
      </c>
    </row>
    <row r="27" spans="1:26" s="129" customFormat="1" ht="16.5">
      <c r="B27" s="41" t="s">
        <v>202</v>
      </c>
      <c r="P27" s="127" t="s">
        <v>160</v>
      </c>
    </row>
    <row r="28" spans="1:26" s="129" customFormat="1" ht="16.5">
      <c r="B28" s="41" t="s">
        <v>203</v>
      </c>
      <c r="P28" s="31" t="s">
        <v>204</v>
      </c>
    </row>
    <row r="29" spans="1:26" s="129" customFormat="1" ht="16.5">
      <c r="B29" s="41" t="s">
        <v>205</v>
      </c>
      <c r="P29" s="129" t="s">
        <v>206</v>
      </c>
    </row>
    <row r="30" spans="1:26" s="129" customFormat="1" ht="16.5">
      <c r="B30" s="41" t="s">
        <v>207</v>
      </c>
      <c r="P30" s="129" t="s">
        <v>208</v>
      </c>
    </row>
    <row r="31" spans="1:26" s="129" customFormat="1" ht="16.5">
      <c r="B31" s="41" t="s">
        <v>209</v>
      </c>
      <c r="P31" s="129" t="s">
        <v>210</v>
      </c>
    </row>
    <row r="32" spans="1:26" s="129" customFormat="1">
      <c r="B32" s="41" t="s">
        <v>211</v>
      </c>
    </row>
    <row r="33" spans="2:2" s="129" customFormat="1">
      <c r="B33" s="41" t="s">
        <v>212</v>
      </c>
    </row>
    <row r="34" spans="2:2" s="129" customFormat="1">
      <c r="B34" s="41" t="s">
        <v>213</v>
      </c>
    </row>
    <row r="35" spans="2:2" s="129" customFormat="1">
      <c r="B35" s="41" t="s">
        <v>214</v>
      </c>
    </row>
  </sheetData>
  <mergeCells count="9">
    <mergeCell ref="U8:V8"/>
    <mergeCell ref="B9:C9"/>
    <mergeCell ref="P9:Q9"/>
    <mergeCell ref="A1:N1"/>
    <mergeCell ref="O1:Z1"/>
    <mergeCell ref="A4:N4"/>
    <mergeCell ref="O4:Z4"/>
    <mergeCell ref="D7:M7"/>
    <mergeCell ref="U7:V7"/>
  </mergeCells>
  <printOptions horizontalCentered="1"/>
  <pageMargins left="0.7" right="0.7" top="1" bottom="0.75" header="0.3" footer="0.51"/>
  <pageSetup scale="63" fitToWidth="2" orientation="landscape" r:id="rId1"/>
  <headerFooter differentFirst="1">
    <oddHeader>&amp;R&amp;12Exhibit No.___(MPG-10)
Page 2 of 2</oddHeader>
    <firstHeader>&amp;R&amp;12Exhibit No.___(MPG-10)
Page 1 of 2</firstHeader>
  </headerFooter>
  <colBreaks count="1" manualBreakCount="1">
    <brk id="14" max="74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6.125" style="99" customWidth="1"/>
    <col min="2" max="2" width="8.75" style="97" customWidth="1"/>
    <col min="3" max="3" width="15.5" style="97" customWidth="1"/>
    <col min="4" max="5" width="13" style="100" customWidth="1"/>
    <col min="6" max="8" width="13" style="99" customWidth="1"/>
    <col min="9" max="9" width="14.25" style="97" customWidth="1"/>
    <col min="10" max="16384" width="9" style="97"/>
  </cols>
  <sheetData>
    <row r="1" spans="1:14" ht="27.75">
      <c r="A1" s="479" t="str">
        <f>'MPG-10a&amp;b'!A1:N1</f>
        <v>Puget Sound Energy</v>
      </c>
      <c r="B1" s="479"/>
      <c r="C1" s="479"/>
      <c r="D1" s="479"/>
      <c r="E1" s="479"/>
      <c r="F1" s="479"/>
      <c r="G1" s="479"/>
      <c r="H1" s="479"/>
      <c r="I1" s="68"/>
    </row>
    <row r="2" spans="1:14" ht="13.5" customHeight="1">
      <c r="A2"/>
      <c r="B2"/>
      <c r="C2"/>
      <c r="D2"/>
      <c r="E2"/>
      <c r="F2"/>
      <c r="G2"/>
      <c r="H2"/>
    </row>
    <row r="3" spans="1:14">
      <c r="A3"/>
      <c r="B3"/>
      <c r="C3"/>
      <c r="D3"/>
      <c r="E3"/>
      <c r="F3"/>
      <c r="G3"/>
      <c r="H3"/>
    </row>
    <row r="4" spans="1:14" ht="20.25">
      <c r="A4" s="482" t="str">
        <f>'MPG-10a&amp;b'!A4:N4</f>
        <v>Sustainable Growth Rates</v>
      </c>
      <c r="B4" s="482"/>
      <c r="C4" s="482"/>
      <c r="D4" s="482"/>
      <c r="E4" s="482"/>
      <c r="F4" s="482"/>
      <c r="G4" s="482"/>
      <c r="H4" s="482"/>
    </row>
    <row r="5" spans="1:14" ht="20.25">
      <c r="A5" s="480" t="s">
        <v>146</v>
      </c>
      <c r="B5" s="480"/>
      <c r="C5" s="480"/>
      <c r="D5" s="480"/>
      <c r="E5" s="480"/>
      <c r="F5" s="480"/>
      <c r="G5" s="480"/>
      <c r="H5" s="480"/>
      <c r="I5" s="98"/>
    </row>
    <row r="7" spans="1:14">
      <c r="F7" s="90"/>
      <c r="G7" s="114"/>
    </row>
    <row r="8" spans="1:14" ht="15">
      <c r="K8" s="101"/>
      <c r="L8" s="101"/>
      <c r="M8" s="101"/>
      <c r="N8" s="101"/>
    </row>
    <row r="9" spans="1:14" ht="15">
      <c r="A9" s="101"/>
      <c r="B9" s="101"/>
      <c r="C9" s="101"/>
      <c r="D9" s="101" t="s">
        <v>147</v>
      </c>
      <c r="E9" s="101" t="s">
        <v>172</v>
      </c>
      <c r="F9" s="101" t="s">
        <v>149</v>
      </c>
      <c r="G9" s="101" t="s">
        <v>150</v>
      </c>
      <c r="H9" s="101" t="s">
        <v>151</v>
      </c>
      <c r="I9" s="101"/>
      <c r="K9" s="101"/>
      <c r="L9" s="101"/>
      <c r="M9" s="101"/>
      <c r="N9" s="101"/>
    </row>
    <row r="10" spans="1:14" ht="17.25">
      <c r="A10" s="102" t="s">
        <v>3</v>
      </c>
      <c r="B10" s="483" t="s">
        <v>4</v>
      </c>
      <c r="C10" s="483"/>
      <c r="D10" s="102" t="s">
        <v>153</v>
      </c>
      <c r="E10" s="102" t="s">
        <v>154</v>
      </c>
      <c r="F10" s="102" t="s">
        <v>155</v>
      </c>
      <c r="G10" s="102" t="s">
        <v>156</v>
      </c>
      <c r="H10" s="102" t="s">
        <v>157</v>
      </c>
      <c r="I10" s="102"/>
      <c r="K10" s="102"/>
      <c r="L10" s="102"/>
      <c r="M10" s="102"/>
      <c r="N10" s="102"/>
    </row>
    <row r="11" spans="1:14" ht="15">
      <c r="A11" s="103"/>
      <c r="B11" s="104"/>
      <c r="C11" s="104"/>
      <c r="D11" s="105" t="s">
        <v>6</v>
      </c>
      <c r="E11" s="105" t="s">
        <v>7</v>
      </c>
      <c r="F11" s="106" t="s">
        <v>8</v>
      </c>
      <c r="G11" s="103" t="s">
        <v>9</v>
      </c>
      <c r="H11" s="103" t="s">
        <v>10</v>
      </c>
      <c r="I11" s="103"/>
      <c r="K11" s="101"/>
      <c r="L11" s="101"/>
      <c r="M11" s="101"/>
      <c r="N11" s="101"/>
    </row>
    <row r="12" spans="1:14">
      <c r="B12" s="109"/>
      <c r="C12" s="109"/>
      <c r="F12" s="111"/>
      <c r="G12" s="112"/>
    </row>
    <row r="13" spans="1:14" ht="16.5" customHeight="1">
      <c r="A13" s="24">
        <f t="shared" ref="A13:A18" si="0">IF(B13=0,"N/A",MAX(A9:A12)+1)</f>
        <v>1</v>
      </c>
      <c r="B13" s="25" t="str">
        <f>'MPG-9'!B12</f>
        <v>Alliant Energy</v>
      </c>
      <c r="C13" s="113"/>
      <c r="D13" s="110">
        <f>'MPG-7'!D13</f>
        <v>39.900734615384621</v>
      </c>
      <c r="E13" s="114">
        <f>'MPG-10a&amp;b'!N12</f>
        <v>5.5261909296525011E-2</v>
      </c>
      <c r="F13" s="110">
        <f>'MPG-7'!F13</f>
        <v>1.7</v>
      </c>
      <c r="G13" s="90">
        <f t="shared" ref="G13:G21" si="1">IFERROR(F13*(1+E13)/D13,"N/A")</f>
        <v>4.4960205948498914E-2</v>
      </c>
      <c r="H13" s="114">
        <f t="shared" ref="H13:H21" si="2">IFERROR(E13+G13,"N/A")</f>
        <v>0.10022211524502392</v>
      </c>
      <c r="I13" s="115"/>
      <c r="K13" s="116"/>
      <c r="L13" s="117"/>
      <c r="M13" s="117"/>
      <c r="N13" s="114"/>
    </row>
    <row r="14" spans="1:14" ht="16.5" customHeight="1">
      <c r="A14" s="24">
        <f t="shared" si="0"/>
        <v>2</v>
      </c>
      <c r="B14" s="25" t="str">
        <f>'MPG-9'!B13</f>
        <v>CMS Energy</v>
      </c>
      <c r="C14" s="113"/>
      <c r="D14" s="110">
        <f>'MPG-7'!D14</f>
        <v>20.037692307692307</v>
      </c>
      <c r="E14" s="114">
        <f>'MPG-10a&amp;b'!N13</f>
        <v>5.1084604044358779E-2</v>
      </c>
      <c r="F14" s="110">
        <f>'MPG-7'!F14</f>
        <v>0.84</v>
      </c>
      <c r="G14" s="90">
        <f t="shared" si="1"/>
        <v>4.4062512480956655E-2</v>
      </c>
      <c r="H14" s="114">
        <f t="shared" si="2"/>
        <v>9.5147116525315434E-2</v>
      </c>
      <c r="I14" s="115"/>
      <c r="K14" s="116"/>
      <c r="L14" s="117"/>
      <c r="M14" s="117"/>
      <c r="N14" s="114"/>
    </row>
    <row r="15" spans="1:14" ht="16.5" customHeight="1">
      <c r="A15" s="24">
        <f t="shared" si="0"/>
        <v>3</v>
      </c>
      <c r="B15" s="25" t="str">
        <f>'MPG-9'!B14</f>
        <v>Great Plains Energy</v>
      </c>
      <c r="C15" s="113"/>
      <c r="D15" s="110">
        <f>'MPG-7'!D15</f>
        <v>19.869423076923077</v>
      </c>
      <c r="E15" s="114">
        <f>'MPG-10a&amp;b'!N14</f>
        <v>2.6174714708420893E-2</v>
      </c>
      <c r="F15" s="110">
        <f>'MPG-7'!F15</f>
        <v>0.83</v>
      </c>
      <c r="G15" s="90">
        <f t="shared" si="1"/>
        <v>4.2866116943133963E-2</v>
      </c>
      <c r="H15" s="114">
        <f t="shared" si="2"/>
        <v>6.9040831651554863E-2</v>
      </c>
      <c r="I15" s="115"/>
      <c r="K15" s="116"/>
      <c r="L15" s="117"/>
      <c r="M15" s="117"/>
      <c r="N15" s="114"/>
    </row>
    <row r="16" spans="1:14" ht="16.5" customHeight="1">
      <c r="A16" s="24">
        <f t="shared" si="0"/>
        <v>4</v>
      </c>
      <c r="B16" s="25" t="str">
        <f>'MPG-9'!B15</f>
        <v>NV Energy</v>
      </c>
      <c r="C16" s="113"/>
      <c r="D16" s="110">
        <f>'MPG-7'!D16</f>
        <v>14.939230769230768</v>
      </c>
      <c r="E16" s="114">
        <f>'MPG-10a&amp;b'!N15</f>
        <v>4.4909790107747517E-2</v>
      </c>
      <c r="F16" s="110">
        <f>'MPG-7'!F16</f>
        <v>0.48</v>
      </c>
      <c r="G16" s="90">
        <f t="shared" si="1"/>
        <v>3.3573127492262725E-2</v>
      </c>
      <c r="H16" s="114">
        <f t="shared" si="2"/>
        <v>7.8482917600010249E-2</v>
      </c>
      <c r="I16" s="115"/>
      <c r="K16" s="116"/>
      <c r="L16" s="117"/>
      <c r="M16" s="117"/>
      <c r="N16" s="114"/>
    </row>
    <row r="17" spans="1:14" ht="16.5" customHeight="1">
      <c r="A17" s="24">
        <f t="shared" si="0"/>
        <v>5</v>
      </c>
      <c r="B17" s="25" t="str">
        <f>'MPG-9'!B16</f>
        <v>OGE Energy</v>
      </c>
      <c r="C17" s="113"/>
      <c r="D17" s="110">
        <f>'MPG-7'!D17</f>
        <v>49.50615384615385</v>
      </c>
      <c r="E17" s="114">
        <f>'MPG-10a&amp;b'!N16</f>
        <v>7.2962071634241468E-2</v>
      </c>
      <c r="F17" s="110">
        <f>'MPG-7'!F17</f>
        <v>1.5</v>
      </c>
      <c r="G17" s="90">
        <f t="shared" si="1"/>
        <v>3.2509960528400057E-2</v>
      </c>
      <c r="H17" s="114">
        <f t="shared" si="2"/>
        <v>0.10547203216264153</v>
      </c>
      <c r="I17" s="115"/>
      <c r="K17" s="116"/>
      <c r="L17" s="117"/>
      <c r="M17" s="117"/>
      <c r="N17" s="114"/>
    </row>
    <row r="18" spans="1:14" ht="16.5" customHeight="1">
      <c r="A18" s="24">
        <f t="shared" si="0"/>
        <v>6</v>
      </c>
      <c r="B18" s="25" t="str">
        <f>'MPG-9'!B17</f>
        <v>Pinnacle West Capital</v>
      </c>
      <c r="C18" s="113"/>
      <c r="D18" s="110">
        <f>'MPG-7'!D18</f>
        <v>44.177692307692304</v>
      </c>
      <c r="E18" s="114">
        <f>'MPG-10a&amp;b'!N17</f>
        <v>3.8610617849834383E-2</v>
      </c>
      <c r="F18" s="110">
        <f>'MPG-7'!F18</f>
        <v>2.1</v>
      </c>
      <c r="G18" s="90">
        <f t="shared" si="1"/>
        <v>4.9370670660967918E-2</v>
      </c>
      <c r="H18" s="114">
        <f t="shared" si="2"/>
        <v>8.7981288510802308E-2</v>
      </c>
      <c r="I18" s="115"/>
      <c r="K18" s="116"/>
      <c r="L18" s="117"/>
      <c r="M18" s="117"/>
      <c r="N18" s="114"/>
    </row>
    <row r="19" spans="1:14" ht="16.5" customHeight="1">
      <c r="A19" s="24">
        <f>IF(B19=0,"N/A",MAX(A17:A18)+1)</f>
        <v>7</v>
      </c>
      <c r="B19" s="25" t="str">
        <f>'MPG-9'!B18</f>
        <v>TECO Energy</v>
      </c>
      <c r="C19" s="113"/>
      <c r="D19" s="110">
        <f>'MPG-7'!D19</f>
        <v>17.881169230769231</v>
      </c>
      <c r="E19" s="114">
        <f>'MPG-10a&amp;b'!N18</f>
        <v>5.7886432562715848E-2</v>
      </c>
      <c r="F19" s="110">
        <f>'MPG-7'!F19</f>
        <v>0.86</v>
      </c>
      <c r="G19" s="90">
        <f t="shared" si="1"/>
        <v>5.0879353596095772E-2</v>
      </c>
      <c r="H19" s="114">
        <f t="shared" si="2"/>
        <v>0.10876578615881162</v>
      </c>
      <c r="I19" s="115"/>
      <c r="K19" s="116"/>
      <c r="L19" s="117"/>
      <c r="M19" s="117"/>
      <c r="N19" s="114"/>
    </row>
    <row r="20" spans="1:14" ht="16.5" customHeight="1">
      <c r="A20" s="24">
        <f>IF(B20=0,"N/A",MAX(A18:A19)+1)</f>
        <v>8</v>
      </c>
      <c r="B20" s="25" t="str">
        <f>'MPG-9'!B19</f>
        <v>Westar Energy</v>
      </c>
      <c r="C20" s="113"/>
      <c r="D20" s="110">
        <f>'MPG-7'!D20</f>
        <v>26.453188461538463</v>
      </c>
      <c r="E20" s="114">
        <f>'MPG-10a&amp;b'!N19</f>
        <v>4.7910402328044728E-2</v>
      </c>
      <c r="F20" s="110">
        <f>'MPG-7'!F20</f>
        <v>1.28</v>
      </c>
      <c r="G20" s="90">
        <f t="shared" si="1"/>
        <v>5.0705619737677878E-2</v>
      </c>
      <c r="H20" s="114">
        <f t="shared" si="2"/>
        <v>9.8616022065722606E-2</v>
      </c>
      <c r="I20" s="115"/>
    </row>
    <row r="21" spans="1:14" ht="16.5" customHeight="1">
      <c r="A21" s="24">
        <f>IF(B21=0,"N/A",MAX(A19:A20)+1)</f>
        <v>9</v>
      </c>
      <c r="B21" s="25" t="str">
        <f>'MPG-9'!B20</f>
        <v>Wisconsin Energy</v>
      </c>
      <c r="C21" s="113"/>
      <c r="D21" s="110">
        <f>'MPG-7'!D21</f>
        <v>31.687330769230769</v>
      </c>
      <c r="E21" s="114">
        <f>'MPG-10a&amp;b'!N20</f>
        <v>4.8712450191928477E-2</v>
      </c>
      <c r="F21" s="110">
        <f>'MPG-7'!F21</f>
        <v>1.04</v>
      </c>
      <c r="G21" s="90">
        <f t="shared" si="1"/>
        <v>3.4419464237696727E-2</v>
      </c>
      <c r="H21" s="114">
        <f t="shared" si="2"/>
        <v>8.3131914429625198E-2</v>
      </c>
      <c r="I21" s="115"/>
    </row>
    <row r="22" spans="1:14" ht="16.5" customHeight="1">
      <c r="B22" s="113"/>
      <c r="C22" s="101"/>
      <c r="D22" s="110"/>
      <c r="E22" s="114"/>
      <c r="F22" s="110"/>
      <c r="G22" s="90"/>
      <c r="H22" s="114"/>
    </row>
    <row r="23" spans="1:14" ht="15.95" customHeight="1">
      <c r="A23" s="99">
        <f>MAX(A17:A22)+1</f>
        <v>10</v>
      </c>
      <c r="B23" s="120" t="s">
        <v>16</v>
      </c>
      <c r="C23" s="101"/>
      <c r="D23" s="121">
        <f>AVERAGE(D13:D21)</f>
        <v>29.383623931623934</v>
      </c>
      <c r="E23" s="122">
        <f>AVERAGE(E13:E21)</f>
        <v>4.9279221413757457E-2</v>
      </c>
      <c r="F23" s="121">
        <f>AVERAGE(F13:F21)</f>
        <v>1.181111111111111</v>
      </c>
      <c r="G23" s="123">
        <f>AVERAGE(G13:G21)</f>
        <v>4.2594114625076736E-2</v>
      </c>
      <c r="H23" s="122">
        <f>AVERAGE(H13:H21)</f>
        <v>9.18733360388342E-2</v>
      </c>
      <c r="I23" s="122"/>
    </row>
    <row r="24" spans="1:14" ht="15.95" customHeight="1">
      <c r="A24" s="99">
        <f>MAX(A17:A23)+1</f>
        <v>11</v>
      </c>
      <c r="B24" s="120" t="s">
        <v>142</v>
      </c>
      <c r="C24" s="101"/>
      <c r="D24" s="121"/>
      <c r="E24" s="122">
        <f>MEDIAN(E13:E21)</f>
        <v>4.8712450191928477E-2</v>
      </c>
      <c r="F24" s="121"/>
      <c r="G24" s="123"/>
      <c r="H24" s="122">
        <f>MEDIAN(H13:H21)</f>
        <v>9.5147116525315434E-2</v>
      </c>
      <c r="I24" s="122"/>
    </row>
    <row r="25" spans="1:14" ht="15.95" customHeight="1">
      <c r="B25" s="99"/>
      <c r="C25" s="99"/>
      <c r="D25" s="110"/>
      <c r="E25" s="114"/>
      <c r="F25" s="110"/>
      <c r="G25" s="90"/>
      <c r="H25" s="114"/>
    </row>
    <row r="26" spans="1:14" ht="16.5" customHeight="1">
      <c r="B26" s="151"/>
      <c r="C26" s="127"/>
      <c r="D26" s="110"/>
      <c r="E26" s="114"/>
      <c r="F26" s="110"/>
      <c r="G26" s="112"/>
      <c r="H26" s="115"/>
    </row>
    <row r="27" spans="1:14" ht="15.95" customHeight="1">
      <c r="B27" s="154" t="s">
        <v>159</v>
      </c>
      <c r="C27" s="154"/>
      <c r="D27" s="110"/>
      <c r="E27" s="114"/>
      <c r="F27" s="110"/>
      <c r="G27" s="112"/>
      <c r="H27" s="115"/>
    </row>
    <row r="28" spans="1:14" s="129" customFormat="1" ht="15.95" customHeight="1">
      <c r="A28" s="100"/>
      <c r="B28" s="127" t="s">
        <v>160</v>
      </c>
      <c r="C28" s="127"/>
      <c r="D28" s="110"/>
      <c r="E28" s="114"/>
      <c r="F28" s="110"/>
      <c r="G28" s="128"/>
      <c r="H28" s="114"/>
    </row>
    <row r="29" spans="1:14" s="129" customFormat="1" ht="16.5">
      <c r="A29" s="100"/>
      <c r="B29" s="471" t="s">
        <v>750</v>
      </c>
      <c r="C29" s="127"/>
      <c r="D29" s="110"/>
      <c r="E29" s="114"/>
      <c r="F29" s="110"/>
      <c r="G29" s="128"/>
      <c r="H29" s="114"/>
    </row>
    <row r="30" spans="1:14" s="129" customFormat="1" ht="16.5">
      <c r="A30" s="100"/>
      <c r="B30" s="130" t="s">
        <v>161</v>
      </c>
      <c r="C30" s="131"/>
      <c r="D30" s="121"/>
      <c r="E30" s="132"/>
      <c r="F30" s="133"/>
      <c r="G30" s="132"/>
      <c r="H30" s="132"/>
    </row>
    <row r="31" spans="1:14" ht="15">
      <c r="B31" s="129"/>
      <c r="C31" s="131"/>
      <c r="D31" s="121"/>
      <c r="E31" s="132"/>
      <c r="F31" s="133"/>
      <c r="G31" s="132"/>
      <c r="H31" s="132"/>
    </row>
    <row r="32" spans="1:14" ht="15">
      <c r="B32" s="129"/>
      <c r="C32" s="127"/>
      <c r="D32" s="121"/>
      <c r="E32" s="132"/>
      <c r="F32" s="121"/>
      <c r="G32" s="112"/>
      <c r="H32" s="115"/>
    </row>
    <row r="33" spans="1:8">
      <c r="A33" s="97"/>
      <c r="C33" s="127"/>
      <c r="D33" s="134"/>
      <c r="E33" s="114"/>
      <c r="F33" s="135"/>
      <c r="G33" s="112"/>
      <c r="H33" s="115"/>
    </row>
    <row r="34" spans="1:8">
      <c r="A34" s="97"/>
      <c r="B34" s="113"/>
      <c r="C34" s="127"/>
      <c r="F34" s="111"/>
      <c r="G34" s="112"/>
      <c r="H34" s="115"/>
    </row>
    <row r="35" spans="1:8">
      <c r="A35" s="97"/>
      <c r="F35" s="111"/>
      <c r="G35" s="112"/>
      <c r="H35" s="115"/>
    </row>
    <row r="36" spans="1:8">
      <c r="A36" s="97"/>
      <c r="F36" s="111"/>
      <c r="G36" s="112"/>
      <c r="H36" s="115"/>
    </row>
    <row r="37" spans="1:8">
      <c r="A37" s="97"/>
      <c r="F37" s="111"/>
      <c r="G37" s="112"/>
      <c r="H37" s="115"/>
    </row>
    <row r="38" spans="1:8">
      <c r="A38" s="97"/>
      <c r="B38" s="127"/>
      <c r="C38" s="127"/>
      <c r="F38" s="111"/>
      <c r="G38" s="112"/>
      <c r="H38" s="115"/>
    </row>
    <row r="39" spans="1:8">
      <c r="A39" s="97"/>
      <c r="B39" s="127"/>
      <c r="C39" s="127"/>
      <c r="G39" s="112"/>
      <c r="H39" s="115"/>
    </row>
    <row r="41" spans="1:8">
      <c r="A41" s="97"/>
      <c r="B41" s="136"/>
      <c r="C41" s="136"/>
    </row>
  </sheetData>
  <mergeCells count="4">
    <mergeCell ref="A1:H1"/>
    <mergeCell ref="A4:H4"/>
    <mergeCell ref="A5:H5"/>
    <mergeCell ref="B10:C10"/>
  </mergeCells>
  <printOptions horizontalCentered="1"/>
  <pageMargins left="0.7" right="0.7" top="1" bottom="0.75" header="0.3" footer="0.51"/>
  <pageSetup scale="87" orientation="portrait" r:id="rId1"/>
  <headerFooter>
    <oddHeader>&amp;R&amp;12Exhibit No.___(MPG-11)
Page 1 of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2"/>
  <sheetViews>
    <sheetView zoomScale="80" zoomScaleNormal="80" zoomScaleSheetLayoutView="80" zoomScalePageLayoutView="75" workbookViewId="0">
      <selection activeCell="A2" sqref="A2"/>
    </sheetView>
  </sheetViews>
  <sheetFormatPr defaultRowHeight="14.25"/>
  <cols>
    <col min="1" max="1" width="5.25" style="99" customWidth="1"/>
    <col min="2" max="2" width="12.75" style="97" customWidth="1"/>
    <col min="3" max="3" width="12.5" style="97" customWidth="1"/>
    <col min="4" max="12" width="13" style="100" customWidth="1"/>
    <col min="13" max="13" width="13" style="99" customWidth="1"/>
    <col min="14" max="14" width="9" style="97"/>
    <col min="15" max="15" width="12.125" style="97" bestFit="1" customWidth="1"/>
    <col min="16" max="18" width="8.875" style="97" bestFit="1" customWidth="1"/>
    <col min="19" max="19" width="11.125" style="97" bestFit="1" customWidth="1"/>
    <col min="20" max="20" width="8.75" style="97" bestFit="1" customWidth="1"/>
    <col min="21" max="21" width="8.625" style="97" bestFit="1" customWidth="1"/>
    <col min="22" max="22" width="9.125" style="97" bestFit="1" customWidth="1"/>
    <col min="23" max="16384" width="9" style="97"/>
  </cols>
  <sheetData>
    <row r="1" spans="1:215" ht="28.5" customHeight="1">
      <c r="A1" s="485" t="str">
        <f>'MPG-11'!A1:H1</f>
        <v>Puget Sound Energy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2" spans="1:215">
      <c r="G2" s="99"/>
      <c r="H2" s="99"/>
      <c r="I2" s="99"/>
      <c r="J2" s="97"/>
      <c r="K2" s="97"/>
      <c r="M2" s="100"/>
    </row>
    <row r="3" spans="1:215" ht="15">
      <c r="G3" s="99"/>
      <c r="H3" s="99"/>
      <c r="I3" s="99"/>
      <c r="J3" s="97"/>
      <c r="K3" s="172"/>
      <c r="M3" s="100"/>
    </row>
    <row r="4" spans="1:215">
      <c r="G4" s="99"/>
      <c r="H4" s="99"/>
      <c r="I4" s="99"/>
      <c r="J4" s="97"/>
      <c r="K4" s="118"/>
      <c r="M4" s="118"/>
    </row>
    <row r="5" spans="1:215" ht="18">
      <c r="A5" s="493" t="s">
        <v>215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</row>
    <row r="6" spans="1:215" ht="15.7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4"/>
      <c r="M6" s="175"/>
    </row>
    <row r="7" spans="1:215">
      <c r="M7" s="100"/>
    </row>
    <row r="8" spans="1:215">
      <c r="M8" s="100"/>
    </row>
    <row r="9" spans="1:215" ht="15">
      <c r="D9" s="101" t="s">
        <v>147</v>
      </c>
      <c r="E9" s="101" t="s">
        <v>149</v>
      </c>
      <c r="F9" s="101" t="s">
        <v>216</v>
      </c>
      <c r="G9" s="491" t="s">
        <v>217</v>
      </c>
      <c r="H9" s="491"/>
      <c r="I9" s="491"/>
      <c r="J9" s="491"/>
      <c r="K9" s="491"/>
      <c r="L9" s="176" t="s">
        <v>218</v>
      </c>
      <c r="M9" s="101" t="s">
        <v>219</v>
      </c>
      <c r="P9" s="97" t="s">
        <v>216</v>
      </c>
      <c r="U9" s="97" t="s">
        <v>220</v>
      </c>
      <c r="Z9" s="97" t="s">
        <v>218</v>
      </c>
    </row>
    <row r="10" spans="1:215" ht="17.25">
      <c r="A10" s="102" t="s">
        <v>3</v>
      </c>
      <c r="B10" s="483" t="s">
        <v>4</v>
      </c>
      <c r="C10" s="483"/>
      <c r="D10" s="177" t="s">
        <v>153</v>
      </c>
      <c r="E10" s="177" t="s">
        <v>221</v>
      </c>
      <c r="F10" s="177" t="s">
        <v>222</v>
      </c>
      <c r="G10" s="177" t="s">
        <v>223</v>
      </c>
      <c r="H10" s="177" t="s">
        <v>224</v>
      </c>
      <c r="I10" s="177" t="s">
        <v>225</v>
      </c>
      <c r="J10" s="177" t="s">
        <v>226</v>
      </c>
      <c r="K10" s="177" t="s">
        <v>227</v>
      </c>
      <c r="L10" s="178" t="s">
        <v>228</v>
      </c>
      <c r="M10" s="177" t="s">
        <v>157</v>
      </c>
      <c r="O10" s="125" t="s">
        <v>229</v>
      </c>
      <c r="P10" s="179" t="s">
        <v>230</v>
      </c>
      <c r="Q10" s="180" t="s">
        <v>231</v>
      </c>
      <c r="R10" s="180" t="s">
        <v>232</v>
      </c>
      <c r="S10" s="180" t="s">
        <v>233</v>
      </c>
      <c r="T10" s="180" t="s">
        <v>234</v>
      </c>
      <c r="U10" s="179" t="s">
        <v>235</v>
      </c>
      <c r="V10" s="180" t="s">
        <v>236</v>
      </c>
      <c r="W10" s="180" t="s">
        <v>237</v>
      </c>
      <c r="X10" s="180" t="s">
        <v>238</v>
      </c>
      <c r="Y10" s="181" t="s">
        <v>239</v>
      </c>
      <c r="Z10" s="101" t="s">
        <v>240</v>
      </c>
      <c r="AA10" s="101" t="s">
        <v>241</v>
      </c>
      <c r="AB10" s="101" t="s">
        <v>242</v>
      </c>
      <c r="AC10" s="101" t="s">
        <v>243</v>
      </c>
      <c r="AD10" s="101" t="s">
        <v>244</v>
      </c>
      <c r="AE10" s="101" t="s">
        <v>245</v>
      </c>
      <c r="AF10" s="101" t="s">
        <v>246</v>
      </c>
      <c r="AG10" s="101" t="s">
        <v>247</v>
      </c>
      <c r="AH10" s="101" t="s">
        <v>248</v>
      </c>
      <c r="AI10" s="101" t="s">
        <v>249</v>
      </c>
      <c r="AJ10" s="101" t="s">
        <v>250</v>
      </c>
      <c r="AK10" s="101" t="s">
        <v>251</v>
      </c>
      <c r="AL10" s="101" t="s">
        <v>252</v>
      </c>
      <c r="AM10" s="101" t="s">
        <v>253</v>
      </c>
      <c r="AN10" s="101" t="s">
        <v>254</v>
      </c>
      <c r="AO10" s="101" t="s">
        <v>255</v>
      </c>
      <c r="AP10" s="101" t="s">
        <v>256</v>
      </c>
      <c r="AQ10" s="101" t="s">
        <v>257</v>
      </c>
      <c r="AR10" s="101" t="s">
        <v>258</v>
      </c>
      <c r="AS10" s="101" t="s">
        <v>259</v>
      </c>
      <c r="AT10" s="101" t="s">
        <v>260</v>
      </c>
      <c r="AU10" s="101" t="s">
        <v>261</v>
      </c>
      <c r="AV10" s="101" t="s">
        <v>262</v>
      </c>
      <c r="AW10" s="101" t="s">
        <v>263</v>
      </c>
      <c r="AX10" s="101" t="s">
        <v>264</v>
      </c>
      <c r="AY10" s="101" t="s">
        <v>265</v>
      </c>
      <c r="AZ10" s="101" t="s">
        <v>266</v>
      </c>
      <c r="BA10" s="101" t="s">
        <v>267</v>
      </c>
      <c r="BB10" s="101" t="s">
        <v>268</v>
      </c>
      <c r="BC10" s="101" t="s">
        <v>269</v>
      </c>
      <c r="BD10" s="101" t="s">
        <v>270</v>
      </c>
      <c r="BE10" s="101" t="s">
        <v>271</v>
      </c>
      <c r="BF10" s="101" t="s">
        <v>272</v>
      </c>
      <c r="BG10" s="101" t="s">
        <v>273</v>
      </c>
      <c r="BH10" s="101" t="s">
        <v>274</v>
      </c>
      <c r="BI10" s="101" t="s">
        <v>275</v>
      </c>
      <c r="BJ10" s="101" t="s">
        <v>276</v>
      </c>
      <c r="BK10" s="101" t="s">
        <v>277</v>
      </c>
      <c r="BL10" s="101" t="s">
        <v>278</v>
      </c>
      <c r="BM10" s="101" t="s">
        <v>279</v>
      </c>
      <c r="BN10" s="101" t="s">
        <v>280</v>
      </c>
      <c r="BO10" s="101" t="s">
        <v>281</v>
      </c>
      <c r="BP10" s="101" t="s">
        <v>282</v>
      </c>
      <c r="BQ10" s="101" t="s">
        <v>283</v>
      </c>
      <c r="BR10" s="101" t="s">
        <v>284</v>
      </c>
      <c r="BS10" s="101" t="s">
        <v>285</v>
      </c>
      <c r="BT10" s="101" t="s">
        <v>286</v>
      </c>
      <c r="BU10" s="101" t="s">
        <v>287</v>
      </c>
      <c r="BV10" s="101" t="s">
        <v>288</v>
      </c>
      <c r="BW10" s="101" t="s">
        <v>289</v>
      </c>
      <c r="BX10" s="101" t="s">
        <v>290</v>
      </c>
      <c r="BY10" s="101" t="s">
        <v>291</v>
      </c>
      <c r="BZ10" s="101" t="s">
        <v>292</v>
      </c>
      <c r="CA10" s="101" t="s">
        <v>293</v>
      </c>
      <c r="CB10" s="101" t="s">
        <v>294</v>
      </c>
      <c r="CC10" s="101" t="s">
        <v>295</v>
      </c>
      <c r="CD10" s="101" t="s">
        <v>296</v>
      </c>
      <c r="CE10" s="101" t="s">
        <v>297</v>
      </c>
      <c r="CF10" s="101" t="s">
        <v>298</v>
      </c>
      <c r="CG10" s="101" t="s">
        <v>299</v>
      </c>
      <c r="CH10" s="101" t="s">
        <v>300</v>
      </c>
      <c r="CI10" s="101" t="s">
        <v>301</v>
      </c>
      <c r="CJ10" s="101" t="s">
        <v>302</v>
      </c>
      <c r="CK10" s="101" t="s">
        <v>303</v>
      </c>
      <c r="CL10" s="101" t="s">
        <v>304</v>
      </c>
      <c r="CM10" s="101" t="s">
        <v>305</v>
      </c>
      <c r="CN10" s="101" t="s">
        <v>306</v>
      </c>
      <c r="CO10" s="101" t="s">
        <v>307</v>
      </c>
      <c r="CP10" s="101" t="s">
        <v>308</v>
      </c>
      <c r="CQ10" s="101" t="s">
        <v>309</v>
      </c>
      <c r="CR10" s="101" t="s">
        <v>310</v>
      </c>
      <c r="CS10" s="101" t="s">
        <v>311</v>
      </c>
      <c r="CT10" s="101" t="s">
        <v>312</v>
      </c>
      <c r="CU10" s="101" t="s">
        <v>313</v>
      </c>
      <c r="CV10" s="101" t="s">
        <v>314</v>
      </c>
      <c r="CW10" s="101" t="s">
        <v>315</v>
      </c>
      <c r="CX10" s="101" t="s">
        <v>316</v>
      </c>
      <c r="CY10" s="101" t="s">
        <v>317</v>
      </c>
      <c r="CZ10" s="101" t="s">
        <v>318</v>
      </c>
      <c r="DA10" s="101" t="s">
        <v>319</v>
      </c>
      <c r="DB10" s="101" t="s">
        <v>320</v>
      </c>
      <c r="DC10" s="101" t="s">
        <v>321</v>
      </c>
      <c r="DD10" s="101" t="s">
        <v>322</v>
      </c>
      <c r="DE10" s="101" t="s">
        <v>323</v>
      </c>
      <c r="DF10" s="101" t="s">
        <v>324</v>
      </c>
      <c r="DG10" s="101" t="s">
        <v>325</v>
      </c>
      <c r="DH10" s="101" t="s">
        <v>326</v>
      </c>
      <c r="DI10" s="101" t="s">
        <v>327</v>
      </c>
      <c r="DJ10" s="101" t="s">
        <v>328</v>
      </c>
      <c r="DK10" s="101" t="s">
        <v>329</v>
      </c>
      <c r="DL10" s="101" t="s">
        <v>330</v>
      </c>
      <c r="DM10" s="101" t="s">
        <v>331</v>
      </c>
      <c r="DN10" s="101" t="s">
        <v>332</v>
      </c>
      <c r="DO10" s="101" t="s">
        <v>333</v>
      </c>
      <c r="DP10" s="101" t="s">
        <v>334</v>
      </c>
      <c r="DQ10" s="101" t="s">
        <v>335</v>
      </c>
      <c r="DR10" s="101" t="s">
        <v>336</v>
      </c>
      <c r="DS10" s="101" t="s">
        <v>337</v>
      </c>
      <c r="DT10" s="101" t="s">
        <v>338</v>
      </c>
      <c r="DU10" s="101" t="s">
        <v>339</v>
      </c>
      <c r="DV10" s="101" t="s">
        <v>340</v>
      </c>
      <c r="DW10" s="101" t="s">
        <v>341</v>
      </c>
      <c r="DX10" s="101" t="s">
        <v>342</v>
      </c>
      <c r="DY10" s="101" t="s">
        <v>343</v>
      </c>
      <c r="DZ10" s="101" t="s">
        <v>344</v>
      </c>
      <c r="EA10" s="101" t="s">
        <v>345</v>
      </c>
      <c r="EB10" s="101" t="s">
        <v>346</v>
      </c>
      <c r="EC10" s="101" t="s">
        <v>347</v>
      </c>
      <c r="ED10" s="101" t="s">
        <v>348</v>
      </c>
      <c r="EE10" s="101" t="s">
        <v>349</v>
      </c>
      <c r="EF10" s="101" t="s">
        <v>350</v>
      </c>
      <c r="EG10" s="101" t="s">
        <v>351</v>
      </c>
      <c r="EH10" s="101" t="s">
        <v>352</v>
      </c>
      <c r="EI10" s="101" t="s">
        <v>353</v>
      </c>
      <c r="EJ10" s="101" t="s">
        <v>354</v>
      </c>
      <c r="EK10" s="101" t="s">
        <v>355</v>
      </c>
      <c r="EL10" s="101" t="s">
        <v>356</v>
      </c>
      <c r="EM10" s="101" t="s">
        <v>357</v>
      </c>
      <c r="EN10" s="101" t="s">
        <v>358</v>
      </c>
      <c r="EO10" s="101" t="s">
        <v>359</v>
      </c>
      <c r="EP10" s="101" t="s">
        <v>360</v>
      </c>
      <c r="EQ10" s="101" t="s">
        <v>361</v>
      </c>
      <c r="ER10" s="101" t="s">
        <v>362</v>
      </c>
      <c r="ES10" s="101" t="s">
        <v>363</v>
      </c>
      <c r="ET10" s="101" t="s">
        <v>364</v>
      </c>
      <c r="EU10" s="101" t="s">
        <v>365</v>
      </c>
      <c r="EV10" s="101" t="s">
        <v>366</v>
      </c>
      <c r="EW10" s="101" t="s">
        <v>367</v>
      </c>
      <c r="EX10" s="101" t="s">
        <v>368</v>
      </c>
      <c r="EY10" s="101" t="s">
        <v>369</v>
      </c>
      <c r="EZ10" s="101" t="s">
        <v>370</v>
      </c>
      <c r="FA10" s="101" t="s">
        <v>371</v>
      </c>
      <c r="FB10" s="101" t="s">
        <v>372</v>
      </c>
      <c r="FC10" s="101" t="s">
        <v>373</v>
      </c>
      <c r="FD10" s="101" t="s">
        <v>374</v>
      </c>
      <c r="FE10" s="101" t="s">
        <v>375</v>
      </c>
      <c r="FF10" s="101" t="s">
        <v>376</v>
      </c>
      <c r="FG10" s="101" t="s">
        <v>377</v>
      </c>
      <c r="FH10" s="101" t="s">
        <v>378</v>
      </c>
      <c r="FI10" s="101" t="s">
        <v>379</v>
      </c>
      <c r="FJ10" s="101" t="s">
        <v>380</v>
      </c>
      <c r="FK10" s="101" t="s">
        <v>381</v>
      </c>
      <c r="FL10" s="101" t="s">
        <v>382</v>
      </c>
      <c r="FM10" s="101" t="s">
        <v>383</v>
      </c>
      <c r="FN10" s="101" t="s">
        <v>384</v>
      </c>
      <c r="FO10" s="101" t="s">
        <v>385</v>
      </c>
      <c r="FP10" s="101" t="s">
        <v>386</v>
      </c>
      <c r="FQ10" s="101" t="s">
        <v>387</v>
      </c>
      <c r="FR10" s="101" t="s">
        <v>388</v>
      </c>
      <c r="FS10" s="101" t="s">
        <v>389</v>
      </c>
      <c r="FT10" s="101" t="s">
        <v>390</v>
      </c>
      <c r="FU10" s="101" t="s">
        <v>391</v>
      </c>
      <c r="FV10" s="101" t="s">
        <v>392</v>
      </c>
      <c r="FW10" s="101" t="s">
        <v>393</v>
      </c>
      <c r="FX10" s="101" t="s">
        <v>394</v>
      </c>
      <c r="FY10" s="101" t="s">
        <v>395</v>
      </c>
      <c r="FZ10" s="101" t="s">
        <v>396</v>
      </c>
      <c r="GA10" s="101" t="s">
        <v>397</v>
      </c>
      <c r="GB10" s="101" t="s">
        <v>398</v>
      </c>
      <c r="GC10" s="101" t="s">
        <v>399</v>
      </c>
      <c r="GD10" s="101" t="s">
        <v>400</v>
      </c>
      <c r="GE10" s="101" t="s">
        <v>401</v>
      </c>
      <c r="GF10" s="101" t="s">
        <v>402</v>
      </c>
      <c r="GG10" s="101" t="s">
        <v>403</v>
      </c>
      <c r="GH10" s="101" t="s">
        <v>404</v>
      </c>
      <c r="GI10" s="101" t="s">
        <v>405</v>
      </c>
      <c r="GJ10" s="101" t="s">
        <v>406</v>
      </c>
      <c r="GK10" s="101" t="s">
        <v>407</v>
      </c>
      <c r="GL10" s="101" t="s">
        <v>408</v>
      </c>
      <c r="GM10" s="101" t="s">
        <v>409</v>
      </c>
      <c r="GN10" s="101" t="s">
        <v>410</v>
      </c>
      <c r="GO10" s="101" t="s">
        <v>411</v>
      </c>
      <c r="GP10" s="101" t="s">
        <v>412</v>
      </c>
      <c r="GQ10" s="101" t="s">
        <v>413</v>
      </c>
      <c r="GR10" s="101" t="s">
        <v>414</v>
      </c>
      <c r="GS10" s="101" t="s">
        <v>415</v>
      </c>
      <c r="GT10" s="101" t="s">
        <v>416</v>
      </c>
      <c r="GU10" s="101" t="s">
        <v>417</v>
      </c>
      <c r="GV10" s="101" t="s">
        <v>418</v>
      </c>
      <c r="GW10" s="101" t="s">
        <v>419</v>
      </c>
      <c r="GX10" s="101" t="s">
        <v>420</v>
      </c>
      <c r="GY10" s="101" t="s">
        <v>421</v>
      </c>
      <c r="GZ10" s="101" t="s">
        <v>422</v>
      </c>
      <c r="HA10" s="101" t="s">
        <v>423</v>
      </c>
      <c r="HB10" s="101" t="s">
        <v>424</v>
      </c>
      <c r="HC10" s="101" t="s">
        <v>425</v>
      </c>
      <c r="HD10" s="101" t="s">
        <v>426</v>
      </c>
      <c r="HE10" s="101" t="s">
        <v>427</v>
      </c>
      <c r="HF10" s="101" t="s">
        <v>428</v>
      </c>
      <c r="HG10" s="101" t="s">
        <v>429</v>
      </c>
    </row>
    <row r="11" spans="1:215" ht="15">
      <c r="A11" s="103"/>
      <c r="B11" s="182"/>
      <c r="C11" s="182"/>
      <c r="D11" s="105" t="s">
        <v>6</v>
      </c>
      <c r="E11" s="183" t="s">
        <v>7</v>
      </c>
      <c r="F11" s="183" t="s">
        <v>8</v>
      </c>
      <c r="G11" s="107" t="s">
        <v>9</v>
      </c>
      <c r="H11" s="105" t="s">
        <v>10</v>
      </c>
      <c r="I11" s="105" t="s">
        <v>139</v>
      </c>
      <c r="J11" s="105" t="s">
        <v>140</v>
      </c>
      <c r="K11" s="105" t="s">
        <v>198</v>
      </c>
      <c r="L11" s="105" t="s">
        <v>199</v>
      </c>
      <c r="M11" s="184" t="s">
        <v>200</v>
      </c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5"/>
      <c r="DB11" s="185"/>
      <c r="DC11" s="185"/>
      <c r="DD11" s="185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5"/>
      <c r="EA11" s="185"/>
      <c r="EB11" s="185"/>
      <c r="EC11" s="185"/>
      <c r="ED11" s="185"/>
      <c r="EE11" s="185"/>
      <c r="EF11" s="185"/>
      <c r="EG11" s="185"/>
      <c r="EH11" s="185"/>
      <c r="EI11" s="185"/>
      <c r="EJ11" s="185"/>
      <c r="EK11" s="185"/>
      <c r="EL11" s="185"/>
      <c r="EM11" s="185"/>
      <c r="EN11" s="185"/>
      <c r="EO11" s="185"/>
      <c r="EP11" s="185"/>
      <c r="EQ11" s="185"/>
      <c r="ER11" s="185"/>
      <c r="ES11" s="185"/>
      <c r="ET11" s="185"/>
      <c r="EU11" s="185"/>
      <c r="EV11" s="185"/>
      <c r="EW11" s="185"/>
      <c r="EX11" s="185"/>
      <c r="EY11" s="185"/>
      <c r="EZ11" s="185"/>
      <c r="FA11" s="185"/>
      <c r="FB11" s="185"/>
      <c r="FC11" s="185"/>
      <c r="FD11" s="185"/>
      <c r="FE11" s="185"/>
      <c r="FF11" s="185"/>
      <c r="FG11" s="185"/>
      <c r="FH11" s="185"/>
      <c r="FI11" s="185"/>
      <c r="FJ11" s="185"/>
      <c r="FK11" s="185"/>
      <c r="FL11" s="185"/>
      <c r="FM11" s="185"/>
      <c r="FN11" s="185"/>
      <c r="FO11" s="185"/>
      <c r="FP11" s="185"/>
      <c r="FQ11" s="185"/>
      <c r="FR11" s="185"/>
      <c r="FS11" s="185"/>
      <c r="FT11" s="185"/>
      <c r="FU11" s="185"/>
      <c r="FV11" s="185"/>
      <c r="FW11" s="185"/>
      <c r="FX11" s="185"/>
      <c r="FY11" s="185"/>
      <c r="FZ11" s="185"/>
      <c r="GA11" s="185"/>
      <c r="GB11" s="185"/>
      <c r="GC11" s="185"/>
      <c r="GD11" s="185"/>
      <c r="GE11" s="185"/>
      <c r="GF11" s="185"/>
      <c r="GG11" s="185"/>
      <c r="GH11" s="185"/>
      <c r="GI11" s="185"/>
      <c r="GJ11" s="185"/>
      <c r="GK11" s="185"/>
      <c r="GL11" s="185"/>
      <c r="GM11" s="185"/>
      <c r="GN11" s="185"/>
      <c r="GO11" s="185"/>
      <c r="GP11" s="185"/>
      <c r="GQ11" s="185"/>
      <c r="GR11" s="185"/>
      <c r="GS11" s="185"/>
      <c r="GT11" s="185"/>
      <c r="GU11" s="185"/>
      <c r="GV11" s="185"/>
      <c r="GW11" s="185"/>
      <c r="GX11" s="185"/>
      <c r="GY11" s="185"/>
      <c r="GZ11" s="185"/>
      <c r="HA11" s="185"/>
      <c r="HB11" s="185"/>
      <c r="HC11" s="185"/>
      <c r="HD11" s="185"/>
      <c r="HE11" s="185"/>
      <c r="HF11" s="185"/>
      <c r="HG11" s="185"/>
    </row>
    <row r="12" spans="1:215">
      <c r="B12" s="136"/>
      <c r="C12" s="136"/>
      <c r="D12" s="110"/>
      <c r="E12" s="110"/>
      <c r="F12" s="114"/>
      <c r="M12" s="100"/>
    </row>
    <row r="13" spans="1:215" ht="16.5" customHeight="1">
      <c r="A13" s="24">
        <f>IF(B13=0,"N/A",MAX(A9:A12)+1)</f>
        <v>1</v>
      </c>
      <c r="B13" s="25" t="str">
        <f>'MPG-11'!B13</f>
        <v>Alliant Energy</v>
      </c>
      <c r="C13" s="113"/>
      <c r="D13" s="110">
        <f>'MPG-7'!D13</f>
        <v>39.900734615384621</v>
      </c>
      <c r="E13" s="110">
        <f>'MPG-7'!F13</f>
        <v>1.7</v>
      </c>
      <c r="F13" s="114">
        <f>'MPG-6'!M12</f>
        <v>5.786666666666667E-2</v>
      </c>
      <c r="G13" s="112">
        <f t="shared" ref="G13:K21" si="0">IFERROR(F13-($F13-$L13)/6,"N/A")</f>
        <v>5.6388888888888891E-2</v>
      </c>
      <c r="H13" s="112">
        <f t="shared" si="0"/>
        <v>5.4911111111111112E-2</v>
      </c>
      <c r="I13" s="112">
        <f t="shared" si="0"/>
        <v>5.3433333333333333E-2</v>
      </c>
      <c r="J13" s="112">
        <f t="shared" si="0"/>
        <v>5.1955555555555553E-2</v>
      </c>
      <c r="K13" s="112">
        <f t="shared" si="0"/>
        <v>5.0477777777777774E-2</v>
      </c>
      <c r="L13" s="128">
        <v>4.9000000000000002E-2</v>
      </c>
      <c r="M13" s="115">
        <f t="shared" ref="M13:M21" si="1">IFERROR(IRR(O13:HG13),"N/A")</f>
        <v>9.6199765048315566E-2</v>
      </c>
      <c r="O13" s="186">
        <f t="shared" ref="O13:O21" si="2">-D13</f>
        <v>-39.900734615384621</v>
      </c>
      <c r="P13" s="142">
        <f t="shared" ref="P13:P21" si="3">E13*(1+$F13)</f>
        <v>1.7983733333333334</v>
      </c>
      <c r="Q13" s="142">
        <f t="shared" ref="Q13:T21" si="4">P13*(1+$F13)</f>
        <v>1.9024392035555557</v>
      </c>
      <c r="R13" s="142">
        <f t="shared" si="4"/>
        <v>2.012527018801304</v>
      </c>
      <c r="S13" s="142">
        <f t="shared" si="4"/>
        <v>2.1289852489559395</v>
      </c>
      <c r="T13" s="142">
        <f t="shared" si="4"/>
        <v>2.2521825286955233</v>
      </c>
      <c r="U13" s="142">
        <f t="shared" ref="U13:Y21" si="5">T13*(1+G13)</f>
        <v>2.3791805990636319</v>
      </c>
      <c r="V13" s="142">
        <f t="shared" si="5"/>
        <v>2.5098240492922148</v>
      </c>
      <c r="W13" s="142">
        <f t="shared" si="5"/>
        <v>2.6439323143260625</v>
      </c>
      <c r="X13" s="142">
        <f t="shared" si="5"/>
        <v>2.7812992865681587</v>
      </c>
      <c r="Y13" s="142">
        <f t="shared" si="5"/>
        <v>2.9216930938890382</v>
      </c>
      <c r="Z13" s="142">
        <f t="shared" ref="Z13:CK16" si="6">Y13*(1+$L13)</f>
        <v>3.0648560554896007</v>
      </c>
      <c r="AA13" s="142">
        <f t="shared" si="6"/>
        <v>3.2150340022085908</v>
      </c>
      <c r="AB13" s="142">
        <f t="shared" si="6"/>
        <v>3.3725706683168117</v>
      </c>
      <c r="AC13" s="142">
        <f t="shared" si="6"/>
        <v>3.5378266310643354</v>
      </c>
      <c r="AD13" s="142">
        <f t="shared" si="6"/>
        <v>3.7111801359864875</v>
      </c>
      <c r="AE13" s="142">
        <f t="shared" si="6"/>
        <v>3.8930279626498252</v>
      </c>
      <c r="AF13" s="142">
        <f t="shared" si="6"/>
        <v>4.083786332819666</v>
      </c>
      <c r="AG13" s="142">
        <f t="shared" si="6"/>
        <v>4.2838918631278293</v>
      </c>
      <c r="AH13" s="142">
        <f t="shared" si="6"/>
        <v>4.4938025644210926</v>
      </c>
      <c r="AI13" s="142">
        <f t="shared" si="6"/>
        <v>4.7139988900777254</v>
      </c>
      <c r="AJ13" s="142">
        <f t="shared" si="6"/>
        <v>4.9449848356915336</v>
      </c>
      <c r="AK13" s="142">
        <f t="shared" si="6"/>
        <v>5.1872890926404187</v>
      </c>
      <c r="AL13" s="142">
        <f t="shared" si="6"/>
        <v>5.4414662581797986</v>
      </c>
      <c r="AM13" s="142">
        <f t="shared" si="6"/>
        <v>5.7080981048306088</v>
      </c>
      <c r="AN13" s="142">
        <f t="shared" si="6"/>
        <v>5.987794911967308</v>
      </c>
      <c r="AO13" s="142">
        <f t="shared" si="6"/>
        <v>6.2811968626537054</v>
      </c>
      <c r="AP13" s="142">
        <f t="shared" si="6"/>
        <v>6.5889755089237365</v>
      </c>
      <c r="AQ13" s="142">
        <f t="shared" si="6"/>
        <v>6.9118353088609989</v>
      </c>
      <c r="AR13" s="142">
        <f t="shared" si="6"/>
        <v>7.2505152389951872</v>
      </c>
      <c r="AS13" s="142">
        <f t="shared" si="6"/>
        <v>7.6057904857059508</v>
      </c>
      <c r="AT13" s="142">
        <f t="shared" si="6"/>
        <v>7.978474219505542</v>
      </c>
      <c r="AU13" s="142">
        <f t="shared" si="6"/>
        <v>8.3694194562613138</v>
      </c>
      <c r="AV13" s="142">
        <f t="shared" si="6"/>
        <v>8.7795210096181169</v>
      </c>
      <c r="AW13" s="142">
        <f t="shared" si="6"/>
        <v>9.2097175390894037</v>
      </c>
      <c r="AX13" s="142">
        <f t="shared" si="6"/>
        <v>9.6609936985047842</v>
      </c>
      <c r="AY13" s="142">
        <f t="shared" si="6"/>
        <v>10.134382389731519</v>
      </c>
      <c r="AZ13" s="142">
        <f t="shared" si="6"/>
        <v>10.630967126828363</v>
      </c>
      <c r="BA13" s="142">
        <f t="shared" si="6"/>
        <v>11.151884516042951</v>
      </c>
      <c r="BB13" s="142">
        <f t="shared" si="6"/>
        <v>11.698326857329056</v>
      </c>
      <c r="BC13" s="142">
        <f t="shared" si="6"/>
        <v>12.271544873338179</v>
      </c>
      <c r="BD13" s="142">
        <f t="shared" si="6"/>
        <v>12.87285057213175</v>
      </c>
      <c r="BE13" s="142">
        <f t="shared" si="6"/>
        <v>13.503620250166204</v>
      </c>
      <c r="BF13" s="142">
        <f t="shared" si="6"/>
        <v>14.165297642424347</v>
      </c>
      <c r="BG13" s="142">
        <f t="shared" si="6"/>
        <v>14.859397226903139</v>
      </c>
      <c r="BH13" s="142">
        <f t="shared" si="6"/>
        <v>15.587507691021392</v>
      </c>
      <c r="BI13" s="142">
        <f t="shared" si="6"/>
        <v>16.35129556788144</v>
      </c>
      <c r="BJ13" s="142">
        <f t="shared" si="6"/>
        <v>17.152509050707629</v>
      </c>
      <c r="BK13" s="142">
        <f t="shared" si="6"/>
        <v>17.992981994192302</v>
      </c>
      <c r="BL13" s="142">
        <f t="shared" si="6"/>
        <v>18.874638111907725</v>
      </c>
      <c r="BM13" s="142">
        <f t="shared" si="6"/>
        <v>19.799495379391203</v>
      </c>
      <c r="BN13" s="142">
        <f t="shared" si="6"/>
        <v>20.769670652981372</v>
      </c>
      <c r="BO13" s="142">
        <f t="shared" si="6"/>
        <v>21.787384514977457</v>
      </c>
      <c r="BP13" s="142">
        <f t="shared" si="6"/>
        <v>22.854966356211353</v>
      </c>
      <c r="BQ13" s="142">
        <f t="shared" si="6"/>
        <v>23.974859707665708</v>
      </c>
      <c r="BR13" s="142">
        <f t="shared" si="6"/>
        <v>25.149627833341327</v>
      </c>
      <c r="BS13" s="142">
        <f t="shared" si="6"/>
        <v>26.381959597175051</v>
      </c>
      <c r="BT13" s="142">
        <f t="shared" si="6"/>
        <v>27.674675617436627</v>
      </c>
      <c r="BU13" s="142">
        <f t="shared" si="6"/>
        <v>29.030734722691019</v>
      </c>
      <c r="BV13" s="142">
        <f t="shared" si="6"/>
        <v>30.453240724102876</v>
      </c>
      <c r="BW13" s="142">
        <f t="shared" si="6"/>
        <v>31.945449519583914</v>
      </c>
      <c r="BX13" s="142">
        <f t="shared" si="6"/>
        <v>33.510776546043523</v>
      </c>
      <c r="BY13" s="142">
        <f t="shared" si="6"/>
        <v>35.152804596799655</v>
      </c>
      <c r="BZ13" s="142">
        <f t="shared" si="6"/>
        <v>36.875292022042835</v>
      </c>
      <c r="CA13" s="142">
        <f t="shared" si="6"/>
        <v>38.682181331122933</v>
      </c>
      <c r="CB13" s="142">
        <f t="shared" si="6"/>
        <v>40.577608216347954</v>
      </c>
      <c r="CC13" s="142">
        <f t="shared" si="6"/>
        <v>42.565911018949002</v>
      </c>
      <c r="CD13" s="142">
        <f t="shared" si="6"/>
        <v>44.651640658877497</v>
      </c>
      <c r="CE13" s="142">
        <f t="shared" si="6"/>
        <v>46.839571051162494</v>
      </c>
      <c r="CF13" s="142">
        <f t="shared" si="6"/>
        <v>49.134710032669453</v>
      </c>
      <c r="CG13" s="142">
        <f t="shared" si="6"/>
        <v>51.542310824270253</v>
      </c>
      <c r="CH13" s="142">
        <f t="shared" si="6"/>
        <v>54.067884054659494</v>
      </c>
      <c r="CI13" s="142">
        <f t="shared" si="6"/>
        <v>56.717210373337807</v>
      </c>
      <c r="CJ13" s="142">
        <f t="shared" si="6"/>
        <v>59.496353681631355</v>
      </c>
      <c r="CK13" s="142">
        <f t="shared" si="6"/>
        <v>62.411675012031289</v>
      </c>
      <c r="CL13" s="142">
        <f t="shared" ref="CL13:EW16" si="7">CK13*(1+$L13)</f>
        <v>65.469847087620821</v>
      </c>
      <c r="CM13" s="142">
        <f t="shared" si="7"/>
        <v>68.677869594914242</v>
      </c>
      <c r="CN13" s="142">
        <f t="shared" si="7"/>
        <v>72.04308520506504</v>
      </c>
      <c r="CO13" s="142">
        <f t="shared" si="7"/>
        <v>75.573196380113217</v>
      </c>
      <c r="CP13" s="142">
        <f t="shared" si="7"/>
        <v>79.276283002738765</v>
      </c>
      <c r="CQ13" s="142">
        <f t="shared" si="7"/>
        <v>83.160820869872964</v>
      </c>
      <c r="CR13" s="142">
        <f t="shared" si="7"/>
        <v>87.23570109249674</v>
      </c>
      <c r="CS13" s="142">
        <f t="shared" si="7"/>
        <v>91.510250446029076</v>
      </c>
      <c r="CT13" s="142">
        <f t="shared" si="7"/>
        <v>95.994252717884493</v>
      </c>
      <c r="CU13" s="142">
        <f t="shared" si="7"/>
        <v>100.69797110106083</v>
      </c>
      <c r="CV13" s="142">
        <f t="shared" si="7"/>
        <v>105.63217168501281</v>
      </c>
      <c r="CW13" s="142">
        <f t="shared" si="7"/>
        <v>110.80814809757842</v>
      </c>
      <c r="CX13" s="142">
        <f t="shared" si="7"/>
        <v>116.23774735435975</v>
      </c>
      <c r="CY13" s="142">
        <f t="shared" si="7"/>
        <v>121.93339697472338</v>
      </c>
      <c r="CZ13" s="142">
        <f t="shared" si="7"/>
        <v>127.90813342648482</v>
      </c>
      <c r="DA13" s="142">
        <f t="shared" si="7"/>
        <v>134.17563196438257</v>
      </c>
      <c r="DB13" s="142">
        <f t="shared" si="7"/>
        <v>140.75023793063733</v>
      </c>
      <c r="DC13" s="142">
        <f t="shared" si="7"/>
        <v>147.64699958923853</v>
      </c>
      <c r="DD13" s="142">
        <f t="shared" si="7"/>
        <v>154.88170256911121</v>
      </c>
      <c r="DE13" s="142">
        <f t="shared" si="7"/>
        <v>162.47090599499765</v>
      </c>
      <c r="DF13" s="142">
        <f t="shared" si="7"/>
        <v>170.43198038875252</v>
      </c>
      <c r="DG13" s="142">
        <f t="shared" si="7"/>
        <v>178.7831474278014</v>
      </c>
      <c r="DH13" s="142">
        <f t="shared" si="7"/>
        <v>187.54352165176365</v>
      </c>
      <c r="DI13" s="142">
        <f t="shared" si="7"/>
        <v>196.73315421270007</v>
      </c>
      <c r="DJ13" s="142">
        <f t="shared" si="7"/>
        <v>206.37307876912237</v>
      </c>
      <c r="DK13" s="142">
        <f t="shared" si="7"/>
        <v>216.48535962880936</v>
      </c>
      <c r="DL13" s="142">
        <f t="shared" si="7"/>
        <v>227.09314225062101</v>
      </c>
      <c r="DM13" s="142">
        <f t="shared" si="7"/>
        <v>238.22070622090143</v>
      </c>
      <c r="DN13" s="142">
        <f t="shared" si="7"/>
        <v>249.8935208257256</v>
      </c>
      <c r="DO13" s="142">
        <f t="shared" si="7"/>
        <v>262.13830334618615</v>
      </c>
      <c r="DP13" s="142">
        <f t="shared" si="7"/>
        <v>274.98308021014924</v>
      </c>
      <c r="DQ13" s="142">
        <f t="shared" si="7"/>
        <v>288.45725114044654</v>
      </c>
      <c r="DR13" s="142">
        <f t="shared" si="7"/>
        <v>302.59165644632839</v>
      </c>
      <c r="DS13" s="142">
        <f t="shared" si="7"/>
        <v>317.41864761219847</v>
      </c>
      <c r="DT13" s="142">
        <f t="shared" si="7"/>
        <v>332.97216134519618</v>
      </c>
      <c r="DU13" s="142">
        <f t="shared" si="7"/>
        <v>349.28779725111076</v>
      </c>
      <c r="DV13" s="142">
        <f t="shared" si="7"/>
        <v>366.40289931641519</v>
      </c>
      <c r="DW13" s="142">
        <f t="shared" si="7"/>
        <v>384.35664138291952</v>
      </c>
      <c r="DX13" s="142">
        <f t="shared" si="7"/>
        <v>403.19011681068253</v>
      </c>
      <c r="DY13" s="142">
        <f t="shared" si="7"/>
        <v>422.94643253440591</v>
      </c>
      <c r="DZ13" s="142">
        <f t="shared" si="7"/>
        <v>443.6708077285918</v>
      </c>
      <c r="EA13" s="142">
        <f t="shared" si="7"/>
        <v>465.41067730729276</v>
      </c>
      <c r="EB13" s="142">
        <f t="shared" si="7"/>
        <v>488.21580049535009</v>
      </c>
      <c r="EC13" s="142">
        <f t="shared" si="7"/>
        <v>512.13837471962222</v>
      </c>
      <c r="ED13" s="142">
        <f t="shared" si="7"/>
        <v>537.23315508088365</v>
      </c>
      <c r="EE13" s="142">
        <f t="shared" si="7"/>
        <v>563.55757967984687</v>
      </c>
      <c r="EF13" s="142">
        <f t="shared" si="7"/>
        <v>591.17190108415934</v>
      </c>
      <c r="EG13" s="142">
        <f t="shared" si="7"/>
        <v>620.13932423728306</v>
      </c>
      <c r="EH13" s="142">
        <f t="shared" si="7"/>
        <v>650.52615112490992</v>
      </c>
      <c r="EI13" s="142">
        <f t="shared" si="7"/>
        <v>682.40193253003042</v>
      </c>
      <c r="EJ13" s="142">
        <f t="shared" si="7"/>
        <v>715.8396272240019</v>
      </c>
      <c r="EK13" s="142">
        <f t="shared" si="7"/>
        <v>750.915768957978</v>
      </c>
      <c r="EL13" s="142">
        <f t="shared" si="7"/>
        <v>787.71064163691892</v>
      </c>
      <c r="EM13" s="142">
        <f t="shared" si="7"/>
        <v>826.30846307712784</v>
      </c>
      <c r="EN13" s="142">
        <f t="shared" si="7"/>
        <v>866.797577767907</v>
      </c>
      <c r="EO13" s="142">
        <f t="shared" si="7"/>
        <v>909.27065907853444</v>
      </c>
      <c r="EP13" s="142">
        <f t="shared" si="7"/>
        <v>953.82492137338261</v>
      </c>
      <c r="EQ13" s="142">
        <f t="shared" si="7"/>
        <v>1000.5623425206783</v>
      </c>
      <c r="ER13" s="142">
        <f t="shared" si="7"/>
        <v>1049.5898973041915</v>
      </c>
      <c r="ES13" s="142">
        <f t="shared" si="7"/>
        <v>1101.0198022720967</v>
      </c>
      <c r="ET13" s="142">
        <f t="shared" si="7"/>
        <v>1154.9697725834294</v>
      </c>
      <c r="EU13" s="142">
        <f t="shared" si="7"/>
        <v>1211.5632914400173</v>
      </c>
      <c r="EV13" s="142">
        <f t="shared" si="7"/>
        <v>1270.9298927205782</v>
      </c>
      <c r="EW13" s="142">
        <f t="shared" si="7"/>
        <v>1333.2054574638864</v>
      </c>
      <c r="EX13" s="142">
        <f t="shared" ref="EX13:HG17" si="8">EW13*(1+$L13)</f>
        <v>1398.5325248796169</v>
      </c>
      <c r="EY13" s="142">
        <f t="shared" si="8"/>
        <v>1467.0606185987181</v>
      </c>
      <c r="EZ13" s="142">
        <f t="shared" si="8"/>
        <v>1538.9465889100552</v>
      </c>
      <c r="FA13" s="142">
        <f t="shared" si="8"/>
        <v>1614.3549717666479</v>
      </c>
      <c r="FB13" s="142">
        <f t="shared" si="8"/>
        <v>1693.4583653832135</v>
      </c>
      <c r="FC13" s="142">
        <f t="shared" si="8"/>
        <v>1776.4378252869908</v>
      </c>
      <c r="FD13" s="142">
        <f t="shared" si="8"/>
        <v>1863.4832787260532</v>
      </c>
      <c r="FE13" s="142">
        <f t="shared" si="8"/>
        <v>1954.7939593836297</v>
      </c>
      <c r="FF13" s="142">
        <f t="shared" si="8"/>
        <v>2050.5788633934276</v>
      </c>
      <c r="FG13" s="142">
        <f t="shared" si="8"/>
        <v>2151.0572276997054</v>
      </c>
      <c r="FH13" s="142">
        <f t="shared" si="8"/>
        <v>2256.4590318569908</v>
      </c>
      <c r="FI13" s="142">
        <f t="shared" si="8"/>
        <v>2367.025524417983</v>
      </c>
      <c r="FJ13" s="142">
        <f t="shared" si="8"/>
        <v>2483.009775114464</v>
      </c>
      <c r="FK13" s="142">
        <f t="shared" si="8"/>
        <v>2604.6772540950724</v>
      </c>
      <c r="FL13" s="142">
        <f t="shared" si="8"/>
        <v>2732.3064395457309</v>
      </c>
      <c r="FM13" s="142">
        <f t="shared" si="8"/>
        <v>2866.1894550834713</v>
      </c>
      <c r="FN13" s="142">
        <f t="shared" si="8"/>
        <v>3006.6327383825615</v>
      </c>
      <c r="FO13" s="142">
        <f t="shared" si="8"/>
        <v>3153.957742563307</v>
      </c>
      <c r="FP13" s="142">
        <f t="shared" si="8"/>
        <v>3308.501671948909</v>
      </c>
      <c r="FQ13" s="142">
        <f t="shared" si="8"/>
        <v>3470.6182538744051</v>
      </c>
      <c r="FR13" s="142">
        <f t="shared" si="8"/>
        <v>3640.6785483142507</v>
      </c>
      <c r="FS13" s="142">
        <f t="shared" si="8"/>
        <v>3819.0717971816489</v>
      </c>
      <c r="FT13" s="142">
        <f t="shared" si="8"/>
        <v>4006.2063152435494</v>
      </c>
      <c r="FU13" s="142">
        <f t="shared" si="8"/>
        <v>4202.510424690483</v>
      </c>
      <c r="FV13" s="142">
        <f t="shared" si="8"/>
        <v>4408.4334355003166</v>
      </c>
      <c r="FW13" s="142">
        <f t="shared" si="8"/>
        <v>4624.4466738398314</v>
      </c>
      <c r="FX13" s="142">
        <f t="shared" si="8"/>
        <v>4851.044560857983</v>
      </c>
      <c r="FY13" s="142">
        <f t="shared" si="8"/>
        <v>5088.7457443400235</v>
      </c>
      <c r="FZ13" s="142">
        <f t="shared" si="8"/>
        <v>5338.0942858126846</v>
      </c>
      <c r="GA13" s="142">
        <f t="shared" si="8"/>
        <v>5599.6609058175054</v>
      </c>
      <c r="GB13" s="142">
        <f t="shared" si="8"/>
        <v>5874.0442902025625</v>
      </c>
      <c r="GC13" s="142">
        <f t="shared" si="8"/>
        <v>6161.8724604224881</v>
      </c>
      <c r="GD13" s="142">
        <f t="shared" si="8"/>
        <v>6463.8042109831895</v>
      </c>
      <c r="GE13" s="142">
        <f t="shared" si="8"/>
        <v>6780.5306173213658</v>
      </c>
      <c r="GF13" s="142">
        <f t="shared" si="8"/>
        <v>7112.7766175701126</v>
      </c>
      <c r="GG13" s="142">
        <f t="shared" si="8"/>
        <v>7461.3026718310475</v>
      </c>
      <c r="GH13" s="142">
        <f t="shared" si="8"/>
        <v>7826.9065027507686</v>
      </c>
      <c r="GI13" s="142">
        <f t="shared" si="8"/>
        <v>8210.4249213855564</v>
      </c>
      <c r="GJ13" s="142">
        <f t="shared" si="8"/>
        <v>8612.7357425334485</v>
      </c>
      <c r="GK13" s="142">
        <f t="shared" si="8"/>
        <v>9034.7597939175866</v>
      </c>
      <c r="GL13" s="142">
        <f t="shared" si="8"/>
        <v>9477.4630238195477</v>
      </c>
      <c r="GM13" s="142">
        <f t="shared" si="8"/>
        <v>9941.8587119867043</v>
      </c>
      <c r="GN13" s="142">
        <f t="shared" si="8"/>
        <v>10429.009788874053</v>
      </c>
      <c r="GO13" s="142">
        <f t="shared" si="8"/>
        <v>10940.031268528881</v>
      </c>
      <c r="GP13" s="142">
        <f t="shared" si="8"/>
        <v>11476.092800686796</v>
      </c>
      <c r="GQ13" s="142">
        <f t="shared" si="8"/>
        <v>12038.421347920448</v>
      </c>
      <c r="GR13" s="142">
        <f t="shared" si="8"/>
        <v>12628.30399396855</v>
      </c>
      <c r="GS13" s="142">
        <f t="shared" si="8"/>
        <v>13247.090889673007</v>
      </c>
      <c r="GT13" s="142">
        <f t="shared" si="8"/>
        <v>13896.198343266984</v>
      </c>
      <c r="GU13" s="142">
        <f t="shared" si="8"/>
        <v>14577.112062087066</v>
      </c>
      <c r="GV13" s="142">
        <f t="shared" si="8"/>
        <v>15291.390553129331</v>
      </c>
      <c r="GW13" s="142">
        <f t="shared" si="8"/>
        <v>16040.668690232667</v>
      </c>
      <c r="GX13" s="142">
        <f t="shared" si="8"/>
        <v>16826.661456054066</v>
      </c>
      <c r="GY13" s="142">
        <f t="shared" si="8"/>
        <v>17651.167867400713</v>
      </c>
      <c r="GZ13" s="142">
        <f t="shared" si="8"/>
        <v>18516.075092903346</v>
      </c>
      <c r="HA13" s="142">
        <f t="shared" si="8"/>
        <v>19423.36277245561</v>
      </c>
      <c r="HB13" s="142">
        <f t="shared" si="8"/>
        <v>20375.107548305932</v>
      </c>
      <c r="HC13" s="142">
        <f t="shared" si="8"/>
        <v>21373.487818172922</v>
      </c>
      <c r="HD13" s="142">
        <f t="shared" si="8"/>
        <v>22420.788721263394</v>
      </c>
      <c r="HE13" s="142">
        <f t="shared" si="8"/>
        <v>23519.407368605298</v>
      </c>
      <c r="HF13" s="142">
        <f t="shared" si="8"/>
        <v>24671.858329666957</v>
      </c>
      <c r="HG13" s="142">
        <f t="shared" si="8"/>
        <v>25880.779387820636</v>
      </c>
    </row>
    <row r="14" spans="1:215" ht="16.5" customHeight="1">
      <c r="A14" s="24">
        <f>IF(B14=0,"N/A",MAX(A10:A13)+1)</f>
        <v>2</v>
      </c>
      <c r="B14" s="25" t="str">
        <f>'MPG-11'!B14</f>
        <v>CMS Energy</v>
      </c>
      <c r="C14" s="113"/>
      <c r="D14" s="110">
        <f>'MPG-7'!D14</f>
        <v>20.037692307692307</v>
      </c>
      <c r="E14" s="110">
        <f>'MPG-7'!F14</f>
        <v>0.84</v>
      </c>
      <c r="F14" s="114">
        <f>'MPG-6'!M13</f>
        <v>5.8133333333333335E-2</v>
      </c>
      <c r="G14" s="112">
        <f t="shared" si="0"/>
        <v>5.6611111111111112E-2</v>
      </c>
      <c r="H14" s="112">
        <f t="shared" si="0"/>
        <v>5.5088888888888889E-2</v>
      </c>
      <c r="I14" s="112">
        <f t="shared" si="0"/>
        <v>5.3566666666666665E-2</v>
      </c>
      <c r="J14" s="112">
        <f t="shared" si="0"/>
        <v>5.2044444444444442E-2</v>
      </c>
      <c r="K14" s="112">
        <f t="shared" si="0"/>
        <v>5.0522222222222218E-2</v>
      </c>
      <c r="L14" s="128">
        <v>4.9000000000000002E-2</v>
      </c>
      <c r="M14" s="115">
        <f t="shared" si="1"/>
        <v>9.5521740273645503E-2</v>
      </c>
      <c r="O14" s="186">
        <f t="shared" si="2"/>
        <v>-20.037692307692307</v>
      </c>
      <c r="P14" s="142">
        <f t="shared" si="3"/>
        <v>0.88883199999999996</v>
      </c>
      <c r="Q14" s="142">
        <f t="shared" si="4"/>
        <v>0.94050276693333335</v>
      </c>
      <c r="R14" s="142">
        <f t="shared" si="4"/>
        <v>0.99517732778439116</v>
      </c>
      <c r="S14" s="142">
        <f t="shared" si="4"/>
        <v>1.0530303031062571</v>
      </c>
      <c r="T14" s="142">
        <f t="shared" si="4"/>
        <v>1.1142464647268342</v>
      </c>
      <c r="U14" s="142">
        <f t="shared" si="5"/>
        <v>1.1773251951466479</v>
      </c>
      <c r="V14" s="142">
        <f t="shared" si="5"/>
        <v>1.2421827320081711</v>
      </c>
      <c r="W14" s="142">
        <f t="shared" si="5"/>
        <v>1.3087223203527423</v>
      </c>
      <c r="X14" s="142">
        <f t="shared" si="5"/>
        <v>1.3768340464475448</v>
      </c>
      <c r="Y14" s="142">
        <f t="shared" si="5"/>
        <v>1.4463947621052891</v>
      </c>
      <c r="Z14" s="142">
        <f t="shared" si="6"/>
        <v>1.517268105448448</v>
      </c>
      <c r="AA14" s="142">
        <f t="shared" si="6"/>
        <v>1.5916142426154218</v>
      </c>
      <c r="AB14" s="142">
        <f t="shared" si="6"/>
        <v>1.6696033405035775</v>
      </c>
      <c r="AC14" s="142">
        <f t="shared" si="6"/>
        <v>1.7514139041882526</v>
      </c>
      <c r="AD14" s="142">
        <f t="shared" si="6"/>
        <v>1.8372331854934769</v>
      </c>
      <c r="AE14" s="142">
        <f t="shared" si="6"/>
        <v>1.9272576115826572</v>
      </c>
      <c r="AF14" s="142">
        <f t="shared" si="6"/>
        <v>2.0216932345502072</v>
      </c>
      <c r="AG14" s="142">
        <f t="shared" si="6"/>
        <v>2.1207562030431673</v>
      </c>
      <c r="AH14" s="142">
        <f t="shared" si="6"/>
        <v>2.2246732569922822</v>
      </c>
      <c r="AI14" s="142">
        <f t="shared" si="6"/>
        <v>2.3336822465849041</v>
      </c>
      <c r="AJ14" s="142">
        <f t="shared" si="6"/>
        <v>2.4480326766675642</v>
      </c>
      <c r="AK14" s="142">
        <f t="shared" si="6"/>
        <v>2.5679862778242746</v>
      </c>
      <c r="AL14" s="142">
        <f t="shared" si="6"/>
        <v>2.6938176054376637</v>
      </c>
      <c r="AM14" s="142">
        <f t="shared" si="6"/>
        <v>2.8258146681041092</v>
      </c>
      <c r="AN14" s="142">
        <f t="shared" si="6"/>
        <v>2.9642795868412102</v>
      </c>
      <c r="AO14" s="142">
        <f t="shared" si="6"/>
        <v>3.1095292865964295</v>
      </c>
      <c r="AP14" s="142">
        <f t="shared" si="6"/>
        <v>3.2618962216396543</v>
      </c>
      <c r="AQ14" s="142">
        <f t="shared" si="6"/>
        <v>3.4217291364999971</v>
      </c>
      <c r="AR14" s="142">
        <f t="shared" si="6"/>
        <v>3.5893938641884966</v>
      </c>
      <c r="AS14" s="142">
        <f t="shared" si="6"/>
        <v>3.7652741635337326</v>
      </c>
      <c r="AT14" s="142">
        <f t="shared" si="6"/>
        <v>3.9497725975468851</v>
      </c>
      <c r="AU14" s="142">
        <f t="shared" si="6"/>
        <v>4.1433114548266818</v>
      </c>
      <c r="AV14" s="142">
        <f t="shared" si="6"/>
        <v>4.3463337161131887</v>
      </c>
      <c r="AW14" s="142">
        <f t="shared" si="6"/>
        <v>4.559304068202735</v>
      </c>
      <c r="AX14" s="142">
        <f t="shared" si="6"/>
        <v>4.7827099675446689</v>
      </c>
      <c r="AY14" s="142">
        <f t="shared" si="6"/>
        <v>5.017062755954357</v>
      </c>
      <c r="AZ14" s="142">
        <f t="shared" si="6"/>
        <v>5.2628988309961198</v>
      </c>
      <c r="BA14" s="142">
        <f t="shared" si="6"/>
        <v>5.5207808737149291</v>
      </c>
      <c r="BB14" s="142">
        <f t="shared" si="6"/>
        <v>5.7912991365269599</v>
      </c>
      <c r="BC14" s="142">
        <f t="shared" si="6"/>
        <v>6.0750727942167808</v>
      </c>
      <c r="BD14" s="142">
        <f t="shared" si="6"/>
        <v>6.3727513611334023</v>
      </c>
      <c r="BE14" s="142">
        <f t="shared" si="6"/>
        <v>6.6850161778289383</v>
      </c>
      <c r="BF14" s="142">
        <f t="shared" si="6"/>
        <v>7.0125819705425556</v>
      </c>
      <c r="BG14" s="142">
        <f t="shared" si="6"/>
        <v>7.3561984870991406</v>
      </c>
      <c r="BH14" s="142">
        <f t="shared" si="6"/>
        <v>7.7166522129669977</v>
      </c>
      <c r="BI14" s="142">
        <f t="shared" si="6"/>
        <v>8.0947681714023805</v>
      </c>
      <c r="BJ14" s="142">
        <f t="shared" si="6"/>
        <v>8.4914118118010968</v>
      </c>
      <c r="BK14" s="142">
        <f t="shared" si="6"/>
        <v>8.9074909905793493</v>
      </c>
      <c r="BL14" s="142">
        <f t="shared" si="6"/>
        <v>9.3439580491177363</v>
      </c>
      <c r="BM14" s="142">
        <f t="shared" si="6"/>
        <v>9.8018119935245043</v>
      </c>
      <c r="BN14" s="142">
        <f t="shared" si="6"/>
        <v>10.282100781207204</v>
      </c>
      <c r="BO14" s="142">
        <f t="shared" si="6"/>
        <v>10.785923719486355</v>
      </c>
      <c r="BP14" s="142">
        <f t="shared" si="6"/>
        <v>11.314433981741185</v>
      </c>
      <c r="BQ14" s="142">
        <f t="shared" si="6"/>
        <v>11.868841246846502</v>
      </c>
      <c r="BR14" s="142">
        <f t="shared" si="6"/>
        <v>12.450414467941981</v>
      </c>
      <c r="BS14" s="142">
        <f t="shared" si="6"/>
        <v>13.060484776871137</v>
      </c>
      <c r="BT14" s="142">
        <f t="shared" si="6"/>
        <v>13.700448530937821</v>
      </c>
      <c r="BU14" s="142">
        <f t="shared" si="6"/>
        <v>14.371770508953773</v>
      </c>
      <c r="BV14" s="142">
        <f t="shared" si="6"/>
        <v>15.075987263892507</v>
      </c>
      <c r="BW14" s="142">
        <f t="shared" si="6"/>
        <v>15.81471063982324</v>
      </c>
      <c r="BX14" s="142">
        <f t="shared" si="6"/>
        <v>16.589631461174577</v>
      </c>
      <c r="BY14" s="142">
        <f t="shared" si="6"/>
        <v>17.402523402772129</v>
      </c>
      <c r="BZ14" s="142">
        <f t="shared" si="6"/>
        <v>18.255247049507961</v>
      </c>
      <c r="CA14" s="142">
        <f t="shared" si="6"/>
        <v>19.149754154933849</v>
      </c>
      <c r="CB14" s="142">
        <f t="shared" si="6"/>
        <v>20.088092108525604</v>
      </c>
      <c r="CC14" s="142">
        <f t="shared" si="6"/>
        <v>21.072408621843358</v>
      </c>
      <c r="CD14" s="142">
        <f t="shared" si="6"/>
        <v>22.104956644313681</v>
      </c>
      <c r="CE14" s="142">
        <f t="shared" si="6"/>
        <v>23.18809951988505</v>
      </c>
      <c r="CF14" s="142">
        <f t="shared" si="6"/>
        <v>24.324316396359414</v>
      </c>
      <c r="CG14" s="142">
        <f t="shared" si="6"/>
        <v>25.516207899781023</v>
      </c>
      <c r="CH14" s="142">
        <f t="shared" si="6"/>
        <v>26.76650208687029</v>
      </c>
      <c r="CI14" s="142">
        <f t="shared" si="6"/>
        <v>28.078060689126932</v>
      </c>
      <c r="CJ14" s="142">
        <f t="shared" si="6"/>
        <v>29.453885662894152</v>
      </c>
      <c r="CK14" s="142">
        <f t="shared" si="6"/>
        <v>30.897126060375964</v>
      </c>
      <c r="CL14" s="142">
        <f t="shared" si="7"/>
        <v>32.411085237334383</v>
      </c>
      <c r="CM14" s="142">
        <f t="shared" si="7"/>
        <v>33.999228413963763</v>
      </c>
      <c r="CN14" s="142">
        <f t="shared" si="7"/>
        <v>35.665190606247982</v>
      </c>
      <c r="CO14" s="142">
        <f t="shared" si="7"/>
        <v>37.41278494595413</v>
      </c>
      <c r="CP14" s="142">
        <f t="shared" si="7"/>
        <v>39.246011408305883</v>
      </c>
      <c r="CQ14" s="142">
        <f t="shared" si="7"/>
        <v>41.169065967312868</v>
      </c>
      <c r="CR14" s="142">
        <f t="shared" si="7"/>
        <v>43.186350199711192</v>
      </c>
      <c r="CS14" s="142">
        <f t="shared" si="7"/>
        <v>45.302481359497037</v>
      </c>
      <c r="CT14" s="142">
        <f t="shared" si="7"/>
        <v>47.52230294611239</v>
      </c>
      <c r="CU14" s="142">
        <f t="shared" si="7"/>
        <v>49.850895790471895</v>
      </c>
      <c r="CV14" s="142">
        <f t="shared" si="7"/>
        <v>52.293589684205017</v>
      </c>
      <c r="CW14" s="142">
        <f t="shared" si="7"/>
        <v>54.855975578731062</v>
      </c>
      <c r="CX14" s="142">
        <f t="shared" si="7"/>
        <v>57.543918382088883</v>
      </c>
      <c r="CY14" s="142">
        <f t="shared" si="7"/>
        <v>60.363570382811233</v>
      </c>
      <c r="CZ14" s="142">
        <f t="shared" si="7"/>
        <v>63.321385331568976</v>
      </c>
      <c r="DA14" s="142">
        <f t="shared" si="7"/>
        <v>66.424133212815846</v>
      </c>
      <c r="DB14" s="142">
        <f t="shared" si="7"/>
        <v>69.678915740243824</v>
      </c>
      <c r="DC14" s="142">
        <f t="shared" si="7"/>
        <v>73.093182611515772</v>
      </c>
      <c r="DD14" s="142">
        <f t="shared" si="7"/>
        <v>76.674748559480037</v>
      </c>
      <c r="DE14" s="142">
        <f t="shared" si="7"/>
        <v>80.431811238894554</v>
      </c>
      <c r="DF14" s="142">
        <f t="shared" si="7"/>
        <v>84.372969989600378</v>
      </c>
      <c r="DG14" s="142">
        <f t="shared" si="7"/>
        <v>88.507245519090787</v>
      </c>
      <c r="DH14" s="142">
        <f t="shared" si="7"/>
        <v>92.844100549526232</v>
      </c>
      <c r="DI14" s="142">
        <f t="shared" si="7"/>
        <v>97.393461476453012</v>
      </c>
      <c r="DJ14" s="142">
        <f t="shared" si="7"/>
        <v>102.16574108879921</v>
      </c>
      <c r="DK14" s="142">
        <f t="shared" si="7"/>
        <v>107.17186240215037</v>
      </c>
      <c r="DL14" s="142">
        <f t="shared" si="7"/>
        <v>112.42328365985573</v>
      </c>
      <c r="DM14" s="142">
        <f t="shared" si="7"/>
        <v>117.93202455918865</v>
      </c>
      <c r="DN14" s="142">
        <f t="shared" si="7"/>
        <v>123.71069376258889</v>
      </c>
      <c r="DO14" s="142">
        <f t="shared" si="7"/>
        <v>129.77251775695575</v>
      </c>
      <c r="DP14" s="142">
        <f t="shared" si="7"/>
        <v>136.13137112704658</v>
      </c>
      <c r="DQ14" s="142">
        <f t="shared" si="7"/>
        <v>142.80180831227185</v>
      </c>
      <c r="DR14" s="142">
        <f t="shared" si="7"/>
        <v>149.79909691957315</v>
      </c>
      <c r="DS14" s="142">
        <f t="shared" si="7"/>
        <v>157.13925266863222</v>
      </c>
      <c r="DT14" s="142">
        <f t="shared" si="7"/>
        <v>164.8390760493952</v>
      </c>
      <c r="DU14" s="142">
        <f t="shared" si="7"/>
        <v>172.91619077581555</v>
      </c>
      <c r="DV14" s="142">
        <f t="shared" si="7"/>
        <v>181.38908412383051</v>
      </c>
      <c r="DW14" s="142">
        <f t="shared" si="7"/>
        <v>190.27714924589819</v>
      </c>
      <c r="DX14" s="142">
        <f t="shared" si="7"/>
        <v>199.60072955894719</v>
      </c>
      <c r="DY14" s="142">
        <f t="shared" si="7"/>
        <v>209.38116530733561</v>
      </c>
      <c r="DZ14" s="142">
        <f t="shared" si="7"/>
        <v>219.64084240739504</v>
      </c>
      <c r="EA14" s="142">
        <f t="shared" si="7"/>
        <v>230.40324368535738</v>
      </c>
      <c r="EB14" s="142">
        <f t="shared" si="7"/>
        <v>241.69300262593987</v>
      </c>
      <c r="EC14" s="142">
        <f t="shared" si="7"/>
        <v>253.5359597546109</v>
      </c>
      <c r="ED14" s="142">
        <f t="shared" si="7"/>
        <v>265.95922178258684</v>
      </c>
      <c r="EE14" s="142">
        <f t="shared" si="7"/>
        <v>278.9912236499336</v>
      </c>
      <c r="EF14" s="142">
        <f t="shared" si="7"/>
        <v>292.66179360878033</v>
      </c>
      <c r="EG14" s="142">
        <f t="shared" si="7"/>
        <v>307.00222149561057</v>
      </c>
      <c r="EH14" s="142">
        <f t="shared" si="7"/>
        <v>322.04533034889545</v>
      </c>
      <c r="EI14" s="142">
        <f t="shared" si="7"/>
        <v>337.82555153599128</v>
      </c>
      <c r="EJ14" s="142">
        <f t="shared" si="7"/>
        <v>354.37900356125482</v>
      </c>
      <c r="EK14" s="142">
        <f t="shared" si="7"/>
        <v>371.74357473575628</v>
      </c>
      <c r="EL14" s="142">
        <f t="shared" si="7"/>
        <v>389.9590098978083</v>
      </c>
      <c r="EM14" s="142">
        <f t="shared" si="7"/>
        <v>409.06700138280087</v>
      </c>
      <c r="EN14" s="142">
        <f t="shared" si="7"/>
        <v>429.11128445055806</v>
      </c>
      <c r="EO14" s="142">
        <f t="shared" si="7"/>
        <v>450.1377373886354</v>
      </c>
      <c r="EP14" s="142">
        <f t="shared" si="7"/>
        <v>472.19448652067848</v>
      </c>
      <c r="EQ14" s="142">
        <f t="shared" si="7"/>
        <v>495.33201636019169</v>
      </c>
      <c r="ER14" s="142">
        <f t="shared" si="7"/>
        <v>519.60328516184109</v>
      </c>
      <c r="ES14" s="142">
        <f t="shared" si="7"/>
        <v>545.06384613477121</v>
      </c>
      <c r="ET14" s="142">
        <f t="shared" si="7"/>
        <v>571.77197459537501</v>
      </c>
      <c r="EU14" s="142">
        <f t="shared" si="7"/>
        <v>599.7888013505484</v>
      </c>
      <c r="EV14" s="142">
        <f t="shared" si="7"/>
        <v>629.17845261672528</v>
      </c>
      <c r="EW14" s="142">
        <f t="shared" si="7"/>
        <v>660.00819679494475</v>
      </c>
      <c r="EX14" s="142">
        <f t="shared" si="8"/>
        <v>692.34859843789695</v>
      </c>
      <c r="EY14" s="142">
        <f t="shared" si="8"/>
        <v>726.27367976135383</v>
      </c>
      <c r="EZ14" s="142">
        <f t="shared" si="8"/>
        <v>761.86109006966012</v>
      </c>
      <c r="FA14" s="142">
        <f t="shared" si="8"/>
        <v>799.19228348307342</v>
      </c>
      <c r="FB14" s="142">
        <f t="shared" si="8"/>
        <v>838.35270537374402</v>
      </c>
      <c r="FC14" s="142">
        <f t="shared" si="8"/>
        <v>879.43198793705744</v>
      </c>
      <c r="FD14" s="142">
        <f t="shared" si="8"/>
        <v>922.52415534597321</v>
      </c>
      <c r="FE14" s="142">
        <f t="shared" si="8"/>
        <v>967.72783895792588</v>
      </c>
      <c r="FF14" s="142">
        <f t="shared" si="8"/>
        <v>1015.1465030668642</v>
      </c>
      <c r="FG14" s="142">
        <f t="shared" si="8"/>
        <v>1064.8886817171403</v>
      </c>
      <c r="FH14" s="142">
        <f t="shared" si="8"/>
        <v>1117.0682271212802</v>
      </c>
      <c r="FI14" s="142">
        <f t="shared" si="8"/>
        <v>1171.8045702502229</v>
      </c>
      <c r="FJ14" s="142">
        <f t="shared" si="8"/>
        <v>1229.2229941924838</v>
      </c>
      <c r="FK14" s="142">
        <f t="shared" si="8"/>
        <v>1289.4549209079155</v>
      </c>
      <c r="FL14" s="142">
        <f t="shared" si="8"/>
        <v>1352.6382120324033</v>
      </c>
      <c r="FM14" s="142">
        <f t="shared" si="8"/>
        <v>1418.917484421991</v>
      </c>
      <c r="FN14" s="142">
        <f t="shared" si="8"/>
        <v>1488.4444411586685</v>
      </c>
      <c r="FO14" s="142">
        <f t="shared" si="8"/>
        <v>1561.3782187754432</v>
      </c>
      <c r="FP14" s="142">
        <f t="shared" si="8"/>
        <v>1637.8857514954398</v>
      </c>
      <c r="FQ14" s="142">
        <f t="shared" si="8"/>
        <v>1718.1421533187163</v>
      </c>
      <c r="FR14" s="142">
        <f t="shared" si="8"/>
        <v>1802.3311188313332</v>
      </c>
      <c r="FS14" s="142">
        <f t="shared" si="8"/>
        <v>1890.6453436540685</v>
      </c>
      <c r="FT14" s="142">
        <f t="shared" si="8"/>
        <v>1983.2869654931178</v>
      </c>
      <c r="FU14" s="142">
        <f t="shared" si="8"/>
        <v>2080.4680268022803</v>
      </c>
      <c r="FV14" s="142">
        <f t="shared" si="8"/>
        <v>2182.4109601155919</v>
      </c>
      <c r="FW14" s="142">
        <f t="shared" si="8"/>
        <v>2289.3490971612559</v>
      </c>
      <c r="FX14" s="142">
        <f t="shared" si="8"/>
        <v>2401.5272029221574</v>
      </c>
      <c r="FY14" s="142">
        <f t="shared" si="8"/>
        <v>2519.2020358653431</v>
      </c>
      <c r="FZ14" s="142">
        <f t="shared" si="8"/>
        <v>2642.6429356227445</v>
      </c>
      <c r="GA14" s="142">
        <f t="shared" si="8"/>
        <v>2772.1324394682588</v>
      </c>
      <c r="GB14" s="142">
        <f t="shared" si="8"/>
        <v>2907.9669290022034</v>
      </c>
      <c r="GC14" s="142">
        <f t="shared" si="8"/>
        <v>3050.457308523311</v>
      </c>
      <c r="GD14" s="142">
        <f t="shared" si="8"/>
        <v>3199.9297166409528</v>
      </c>
      <c r="GE14" s="142">
        <f t="shared" si="8"/>
        <v>3356.7262727563593</v>
      </c>
      <c r="GF14" s="142">
        <f t="shared" si="8"/>
        <v>3521.2058601214208</v>
      </c>
      <c r="GG14" s="142">
        <f t="shared" si="8"/>
        <v>3693.7449472673702</v>
      </c>
      <c r="GH14" s="142">
        <f t="shared" si="8"/>
        <v>3874.7384496834711</v>
      </c>
      <c r="GI14" s="142">
        <f t="shared" si="8"/>
        <v>4064.600633717961</v>
      </c>
      <c r="GJ14" s="142">
        <f t="shared" si="8"/>
        <v>4263.7660647701405</v>
      </c>
      <c r="GK14" s="142">
        <f t="shared" si="8"/>
        <v>4472.6906019438775</v>
      </c>
      <c r="GL14" s="142">
        <f t="shared" si="8"/>
        <v>4691.8524414391268</v>
      </c>
      <c r="GM14" s="142">
        <f t="shared" si="8"/>
        <v>4921.7532110696438</v>
      </c>
      <c r="GN14" s="142">
        <f t="shared" si="8"/>
        <v>5162.9191184120564</v>
      </c>
      <c r="GO14" s="142">
        <f t="shared" si="8"/>
        <v>5415.9021552142467</v>
      </c>
      <c r="GP14" s="142">
        <f t="shared" si="8"/>
        <v>5681.2813608197448</v>
      </c>
      <c r="GQ14" s="142">
        <f t="shared" si="8"/>
        <v>5959.6641474999124</v>
      </c>
      <c r="GR14" s="142">
        <f t="shared" si="8"/>
        <v>6251.6876907274072</v>
      </c>
      <c r="GS14" s="142">
        <f t="shared" si="8"/>
        <v>6558.0203875730494</v>
      </c>
      <c r="GT14" s="142">
        <f t="shared" si="8"/>
        <v>6879.3633865641286</v>
      </c>
      <c r="GU14" s="142">
        <f t="shared" si="8"/>
        <v>7216.4521925057707</v>
      </c>
      <c r="GV14" s="142">
        <f t="shared" si="8"/>
        <v>7570.058349938553</v>
      </c>
      <c r="GW14" s="142">
        <f t="shared" si="8"/>
        <v>7940.9912090855414</v>
      </c>
      <c r="GX14" s="142">
        <f t="shared" si="8"/>
        <v>8330.0997783307321</v>
      </c>
      <c r="GY14" s="142">
        <f t="shared" si="8"/>
        <v>8738.274667468937</v>
      </c>
      <c r="GZ14" s="142">
        <f t="shared" si="8"/>
        <v>9166.4501261749137</v>
      </c>
      <c r="HA14" s="142">
        <f t="shared" si="8"/>
        <v>9615.6061823574837</v>
      </c>
      <c r="HB14" s="142">
        <f t="shared" si="8"/>
        <v>10086.770885292999</v>
      </c>
      <c r="HC14" s="142">
        <f t="shared" si="8"/>
        <v>10581.022658672355</v>
      </c>
      <c r="HD14" s="142">
        <f t="shared" si="8"/>
        <v>11099.492768947299</v>
      </c>
      <c r="HE14" s="142">
        <f t="shared" si="8"/>
        <v>11643.367914625716</v>
      </c>
      <c r="HF14" s="142">
        <f t="shared" si="8"/>
        <v>12213.892942442375</v>
      </c>
      <c r="HG14" s="142">
        <f t="shared" si="8"/>
        <v>12812.373696622051</v>
      </c>
    </row>
    <row r="15" spans="1:215" ht="16.5" customHeight="1">
      <c r="A15" s="24">
        <f>IF(B15=0,"N/A",MAX(A11:A14)+1)</f>
        <v>3</v>
      </c>
      <c r="B15" s="25" t="str">
        <f>'MPG-11'!B15</f>
        <v>Great Plains Energy</v>
      </c>
      <c r="C15" s="113"/>
      <c r="D15" s="110">
        <f>'MPG-7'!D15</f>
        <v>19.869423076923077</v>
      </c>
      <c r="E15" s="110">
        <f>'MPG-7'!F15</f>
        <v>0.83</v>
      </c>
      <c r="F15" s="114">
        <f>'MPG-6'!M14</f>
        <v>5.3066666666666672E-2</v>
      </c>
      <c r="G15" s="112">
        <f t="shared" si="0"/>
        <v>5.2388888888888895E-2</v>
      </c>
      <c r="H15" s="112">
        <f t="shared" si="0"/>
        <v>5.1711111111111117E-2</v>
      </c>
      <c r="I15" s="112">
        <f t="shared" si="0"/>
        <v>5.103333333333334E-2</v>
      </c>
      <c r="J15" s="112">
        <f t="shared" si="0"/>
        <v>5.0355555555555563E-2</v>
      </c>
      <c r="K15" s="112">
        <f t="shared" si="0"/>
        <v>4.9677777777777786E-2</v>
      </c>
      <c r="L15" s="128">
        <v>4.9000000000000002E-2</v>
      </c>
      <c r="M15" s="115">
        <f t="shared" si="1"/>
        <v>9.3931171626391183E-2</v>
      </c>
      <c r="O15" s="186">
        <f t="shared" si="2"/>
        <v>-19.869423076923077</v>
      </c>
      <c r="P15" s="142">
        <f t="shared" si="3"/>
        <v>0.87404533333333323</v>
      </c>
      <c r="Q15" s="142">
        <f t="shared" si="4"/>
        <v>0.92042800568888872</v>
      </c>
      <c r="R15" s="142">
        <f t="shared" si="4"/>
        <v>0.96927205185744569</v>
      </c>
      <c r="S15" s="142">
        <f t="shared" si="4"/>
        <v>1.0207080887426807</v>
      </c>
      <c r="T15" s="142">
        <f t="shared" si="4"/>
        <v>1.074873664651959</v>
      </c>
      <c r="U15" s="142">
        <f t="shared" si="5"/>
        <v>1.1311851016390033</v>
      </c>
      <c r="V15" s="142">
        <f t="shared" si="5"/>
        <v>1.1896799401170912</v>
      </c>
      <c r="W15" s="142">
        <f t="shared" si="5"/>
        <v>1.2503932730610667</v>
      </c>
      <c r="X15" s="142">
        <f t="shared" si="5"/>
        <v>1.3133575209889861</v>
      </c>
      <c r="Y15" s="142">
        <f t="shared" si="5"/>
        <v>1.3786022040594499</v>
      </c>
      <c r="Z15" s="142">
        <f t="shared" si="6"/>
        <v>1.4461537120583627</v>
      </c>
      <c r="AA15" s="142">
        <f t="shared" si="6"/>
        <v>1.5170152439492224</v>
      </c>
      <c r="AB15" s="142">
        <f t="shared" si="6"/>
        <v>1.5913489909027341</v>
      </c>
      <c r="AC15" s="142">
        <f t="shared" si="6"/>
        <v>1.6693250914569679</v>
      </c>
      <c r="AD15" s="142">
        <f t="shared" si="6"/>
        <v>1.7511220209383593</v>
      </c>
      <c r="AE15" s="142">
        <f t="shared" si="6"/>
        <v>1.8369269999643387</v>
      </c>
      <c r="AF15" s="142">
        <f t="shared" si="6"/>
        <v>1.9269364229625912</v>
      </c>
      <c r="AG15" s="142">
        <f t="shared" si="6"/>
        <v>2.0213563076877579</v>
      </c>
      <c r="AH15" s="142">
        <f t="shared" si="6"/>
        <v>2.120402766764458</v>
      </c>
      <c r="AI15" s="142">
        <f t="shared" si="6"/>
        <v>2.2243025023359162</v>
      </c>
      <c r="AJ15" s="142">
        <f t="shared" si="6"/>
        <v>2.3332933249503758</v>
      </c>
      <c r="AK15" s="142">
        <f t="shared" si="6"/>
        <v>2.4476246978729441</v>
      </c>
      <c r="AL15" s="142">
        <f t="shared" si="6"/>
        <v>2.5675583080687181</v>
      </c>
      <c r="AM15" s="142">
        <f t="shared" si="6"/>
        <v>2.6933686651640851</v>
      </c>
      <c r="AN15" s="142">
        <f t="shared" si="6"/>
        <v>2.8253437297571251</v>
      </c>
      <c r="AO15" s="142">
        <f t="shared" si="6"/>
        <v>2.9637855725152242</v>
      </c>
      <c r="AP15" s="142">
        <f t="shared" si="6"/>
        <v>3.10901106556847</v>
      </c>
      <c r="AQ15" s="142">
        <f t="shared" si="6"/>
        <v>3.2613526077813249</v>
      </c>
      <c r="AR15" s="142">
        <f t="shared" si="6"/>
        <v>3.4211588855626096</v>
      </c>
      <c r="AS15" s="142">
        <f t="shared" si="6"/>
        <v>3.5887956709551774</v>
      </c>
      <c r="AT15" s="142">
        <f t="shared" si="6"/>
        <v>3.7646466588319809</v>
      </c>
      <c r="AU15" s="142">
        <f t="shared" si="6"/>
        <v>3.9491143451147477</v>
      </c>
      <c r="AV15" s="142">
        <f t="shared" si="6"/>
        <v>4.1426209480253702</v>
      </c>
      <c r="AW15" s="142">
        <f t="shared" si="6"/>
        <v>4.3456093744786131</v>
      </c>
      <c r="AX15" s="142">
        <f t="shared" si="6"/>
        <v>4.5585442338280648</v>
      </c>
      <c r="AY15" s="142">
        <f t="shared" si="6"/>
        <v>4.7819129012856401</v>
      </c>
      <c r="AZ15" s="142">
        <f t="shared" si="6"/>
        <v>5.0162266334486363</v>
      </c>
      <c r="BA15" s="142">
        <f t="shared" si="6"/>
        <v>5.2620217384876193</v>
      </c>
      <c r="BB15" s="142">
        <f t="shared" si="6"/>
        <v>5.5198608036735122</v>
      </c>
      <c r="BC15" s="142">
        <f t="shared" si="6"/>
        <v>5.7903339830535137</v>
      </c>
      <c r="BD15" s="142">
        <f t="shared" si="6"/>
        <v>6.074060348223135</v>
      </c>
      <c r="BE15" s="142">
        <f t="shared" si="6"/>
        <v>6.3716893052860684</v>
      </c>
      <c r="BF15" s="142">
        <f t="shared" si="6"/>
        <v>6.6839020812450851</v>
      </c>
      <c r="BG15" s="142">
        <f t="shared" si="6"/>
        <v>7.0114132832260943</v>
      </c>
      <c r="BH15" s="142">
        <f t="shared" si="6"/>
        <v>7.3549725341041725</v>
      </c>
      <c r="BI15" s="142">
        <f t="shared" si="6"/>
        <v>7.7153661882752766</v>
      </c>
      <c r="BJ15" s="142">
        <f t="shared" si="6"/>
        <v>8.0934191315007649</v>
      </c>
      <c r="BK15" s="142">
        <f t="shared" si="6"/>
        <v>8.4899966689443023</v>
      </c>
      <c r="BL15" s="142">
        <f t="shared" si="6"/>
        <v>8.9060065057225728</v>
      </c>
      <c r="BM15" s="142">
        <f t="shared" si="6"/>
        <v>9.3424008245029775</v>
      </c>
      <c r="BN15" s="142">
        <f t="shared" si="6"/>
        <v>9.8001784649036221</v>
      </c>
      <c r="BO15" s="142">
        <f t="shared" si="6"/>
        <v>10.2803872096839</v>
      </c>
      <c r="BP15" s="142">
        <f t="shared" si="6"/>
        <v>10.78412618295841</v>
      </c>
      <c r="BQ15" s="142">
        <f t="shared" si="6"/>
        <v>11.312548365923371</v>
      </c>
      <c r="BR15" s="142">
        <f t="shared" si="6"/>
        <v>11.866863235853616</v>
      </c>
      <c r="BS15" s="142">
        <f t="shared" si="6"/>
        <v>12.448339534410442</v>
      </c>
      <c r="BT15" s="142">
        <f t="shared" si="6"/>
        <v>13.058308171596552</v>
      </c>
      <c r="BU15" s="142">
        <f t="shared" si="6"/>
        <v>13.698165272004783</v>
      </c>
      <c r="BV15" s="142">
        <f t="shared" si="6"/>
        <v>14.369375370333016</v>
      </c>
      <c r="BW15" s="142">
        <f t="shared" si="6"/>
        <v>15.073474763479332</v>
      </c>
      <c r="BX15" s="142">
        <f t="shared" si="6"/>
        <v>15.812075026889818</v>
      </c>
      <c r="BY15" s="142">
        <f t="shared" si="6"/>
        <v>16.58686670320742</v>
      </c>
      <c r="BZ15" s="142">
        <f t="shared" si="6"/>
        <v>17.399623171664583</v>
      </c>
      <c r="CA15" s="142">
        <f t="shared" si="6"/>
        <v>18.252204707076146</v>
      </c>
      <c r="CB15" s="142">
        <f t="shared" si="6"/>
        <v>19.146562737722874</v>
      </c>
      <c r="CC15" s="142">
        <f t="shared" si="6"/>
        <v>20.084744311871294</v>
      </c>
      <c r="CD15" s="142">
        <f t="shared" si="6"/>
        <v>21.068896783152987</v>
      </c>
      <c r="CE15" s="142">
        <f t="shared" si="6"/>
        <v>22.10127272552748</v>
      </c>
      <c r="CF15" s="142">
        <f t="shared" si="6"/>
        <v>23.184235089078324</v>
      </c>
      <c r="CG15" s="142">
        <f t="shared" si="6"/>
        <v>24.320262608443162</v>
      </c>
      <c r="CH15" s="142">
        <f t="shared" si="6"/>
        <v>25.511955476256876</v>
      </c>
      <c r="CI15" s="142">
        <f t="shared" si="6"/>
        <v>26.762041294593462</v>
      </c>
      <c r="CJ15" s="142">
        <f t="shared" si="6"/>
        <v>28.073381318028542</v>
      </c>
      <c r="CK15" s="142">
        <f t="shared" si="6"/>
        <v>29.448977002611937</v>
      </c>
      <c r="CL15" s="142">
        <f t="shared" si="7"/>
        <v>30.891976875739921</v>
      </c>
      <c r="CM15" s="142">
        <f t="shared" si="7"/>
        <v>32.405683742651178</v>
      </c>
      <c r="CN15" s="142">
        <f t="shared" si="7"/>
        <v>33.99356224604108</v>
      </c>
      <c r="CO15" s="142">
        <f t="shared" si="7"/>
        <v>35.659246796097094</v>
      </c>
      <c r="CP15" s="142">
        <f t="shared" si="7"/>
        <v>37.406549889105847</v>
      </c>
      <c r="CQ15" s="142">
        <f t="shared" si="7"/>
        <v>39.23947083367203</v>
      </c>
      <c r="CR15" s="142">
        <f t="shared" si="7"/>
        <v>41.162204904521957</v>
      </c>
      <c r="CS15" s="142">
        <f t="shared" si="7"/>
        <v>43.17915294484353</v>
      </c>
      <c r="CT15" s="142">
        <f t="shared" si="7"/>
        <v>45.294931439140861</v>
      </c>
      <c r="CU15" s="142">
        <f t="shared" si="7"/>
        <v>47.514383079658757</v>
      </c>
      <c r="CV15" s="142">
        <f t="shared" si="7"/>
        <v>49.842587850562033</v>
      </c>
      <c r="CW15" s="142">
        <f t="shared" si="7"/>
        <v>52.28487465523957</v>
      </c>
      <c r="CX15" s="142">
        <f t="shared" si="7"/>
        <v>54.846833513346304</v>
      </c>
      <c r="CY15" s="142">
        <f t="shared" si="7"/>
        <v>57.534328355500271</v>
      </c>
      <c r="CZ15" s="142">
        <f t="shared" si="7"/>
        <v>60.353510444919777</v>
      </c>
      <c r="DA15" s="142">
        <f t="shared" si="7"/>
        <v>63.310832456720846</v>
      </c>
      <c r="DB15" s="142">
        <f t="shared" si="7"/>
        <v>66.413063247100169</v>
      </c>
      <c r="DC15" s="142">
        <f t="shared" si="7"/>
        <v>69.667303346208072</v>
      </c>
      <c r="DD15" s="142">
        <f t="shared" si="7"/>
        <v>73.081001210172261</v>
      </c>
      <c r="DE15" s="142">
        <f t="shared" si="7"/>
        <v>76.6619702694707</v>
      </c>
      <c r="DF15" s="142">
        <f t="shared" si="7"/>
        <v>80.41840681267476</v>
      </c>
      <c r="DG15" s="142">
        <f t="shared" si="7"/>
        <v>84.358908746495814</v>
      </c>
      <c r="DH15" s="142">
        <f t="shared" si="7"/>
        <v>88.492495275074106</v>
      </c>
      <c r="DI15" s="142">
        <f t="shared" si="7"/>
        <v>92.828627543552727</v>
      </c>
      <c r="DJ15" s="142">
        <f t="shared" si="7"/>
        <v>97.377230293186798</v>
      </c>
      <c r="DK15" s="142">
        <f t="shared" si="7"/>
        <v>102.14871457755295</v>
      </c>
      <c r="DL15" s="142">
        <f t="shared" si="7"/>
        <v>107.15400159185305</v>
      </c>
      <c r="DM15" s="142">
        <f t="shared" si="7"/>
        <v>112.40454766985384</v>
      </c>
      <c r="DN15" s="142">
        <f t="shared" si="7"/>
        <v>117.91237050567668</v>
      </c>
      <c r="DO15" s="142">
        <f t="shared" si="7"/>
        <v>123.69007666045482</v>
      </c>
      <c r="DP15" s="142">
        <f t="shared" si="7"/>
        <v>129.7508904168171</v>
      </c>
      <c r="DQ15" s="142">
        <f t="shared" si="7"/>
        <v>136.10868404724113</v>
      </c>
      <c r="DR15" s="142">
        <f t="shared" si="7"/>
        <v>142.77800956555592</v>
      </c>
      <c r="DS15" s="142">
        <f t="shared" si="7"/>
        <v>149.77413203426815</v>
      </c>
      <c r="DT15" s="142">
        <f t="shared" si="7"/>
        <v>157.11306450394727</v>
      </c>
      <c r="DU15" s="142">
        <f t="shared" si="7"/>
        <v>164.81160466464067</v>
      </c>
      <c r="DV15" s="142">
        <f t="shared" si="7"/>
        <v>172.88737329320804</v>
      </c>
      <c r="DW15" s="142">
        <f t="shared" si="7"/>
        <v>181.35885458457523</v>
      </c>
      <c r="DX15" s="142">
        <f t="shared" si="7"/>
        <v>190.2454384592194</v>
      </c>
      <c r="DY15" s="142">
        <f t="shared" si="7"/>
        <v>199.56746494372115</v>
      </c>
      <c r="DZ15" s="142">
        <f t="shared" si="7"/>
        <v>209.34627072596348</v>
      </c>
      <c r="EA15" s="142">
        <f t="shared" si="7"/>
        <v>219.60423799153568</v>
      </c>
      <c r="EB15" s="142">
        <f t="shared" si="7"/>
        <v>230.36484565312091</v>
      </c>
      <c r="EC15" s="142">
        <f t="shared" si="7"/>
        <v>241.65272309012383</v>
      </c>
      <c r="ED15" s="142">
        <f t="shared" si="7"/>
        <v>253.49370652153988</v>
      </c>
      <c r="EE15" s="142">
        <f t="shared" si="7"/>
        <v>265.91489814109531</v>
      </c>
      <c r="EF15" s="142">
        <f t="shared" si="7"/>
        <v>278.94472815000898</v>
      </c>
      <c r="EG15" s="142">
        <f t="shared" si="7"/>
        <v>292.61301982935942</v>
      </c>
      <c r="EH15" s="142">
        <f t="shared" si="7"/>
        <v>306.951057800998</v>
      </c>
      <c r="EI15" s="142">
        <f t="shared" si="7"/>
        <v>321.99165963324685</v>
      </c>
      <c r="EJ15" s="142">
        <f t="shared" si="7"/>
        <v>337.76925095527594</v>
      </c>
      <c r="EK15" s="142">
        <f t="shared" si="7"/>
        <v>354.31994425208444</v>
      </c>
      <c r="EL15" s="142">
        <f t="shared" si="7"/>
        <v>371.68162152043658</v>
      </c>
      <c r="EM15" s="142">
        <f t="shared" si="7"/>
        <v>389.89402097493797</v>
      </c>
      <c r="EN15" s="142">
        <f t="shared" si="7"/>
        <v>408.9988280027099</v>
      </c>
      <c r="EO15" s="142">
        <f t="shared" si="7"/>
        <v>429.03977057484263</v>
      </c>
      <c r="EP15" s="142">
        <f t="shared" si="7"/>
        <v>450.06271933300991</v>
      </c>
      <c r="EQ15" s="142">
        <f t="shared" si="7"/>
        <v>472.11579258032737</v>
      </c>
      <c r="ER15" s="142">
        <f t="shared" si="7"/>
        <v>495.24946641676337</v>
      </c>
      <c r="ES15" s="142">
        <f t="shared" si="7"/>
        <v>519.51669027118476</v>
      </c>
      <c r="ET15" s="142">
        <f t="shared" si="7"/>
        <v>544.97300809447279</v>
      </c>
      <c r="EU15" s="142">
        <f t="shared" si="7"/>
        <v>571.67668549110192</v>
      </c>
      <c r="EV15" s="142">
        <f t="shared" si="7"/>
        <v>599.68884308016584</v>
      </c>
      <c r="EW15" s="142">
        <f t="shared" si="7"/>
        <v>629.07359639109393</v>
      </c>
      <c r="EX15" s="142">
        <f t="shared" si="8"/>
        <v>659.89820261425746</v>
      </c>
      <c r="EY15" s="142">
        <f t="shared" si="8"/>
        <v>692.233214542356</v>
      </c>
      <c r="EZ15" s="142">
        <f t="shared" si="8"/>
        <v>726.15264205493145</v>
      </c>
      <c r="FA15" s="142">
        <f t="shared" si="8"/>
        <v>761.73412151562309</v>
      </c>
      <c r="FB15" s="142">
        <f t="shared" si="8"/>
        <v>799.05909346988858</v>
      </c>
      <c r="FC15" s="142">
        <f t="shared" si="8"/>
        <v>838.21298904991306</v>
      </c>
      <c r="FD15" s="142">
        <f t="shared" si="8"/>
        <v>879.28542551335875</v>
      </c>
      <c r="FE15" s="142">
        <f t="shared" si="8"/>
        <v>922.37041136351331</v>
      </c>
      <c r="FF15" s="142">
        <f t="shared" si="8"/>
        <v>967.56656152032542</v>
      </c>
      <c r="FG15" s="142">
        <f t="shared" si="8"/>
        <v>1014.9773230348213</v>
      </c>
      <c r="FH15" s="142">
        <f t="shared" si="8"/>
        <v>1064.7112118635275</v>
      </c>
      <c r="FI15" s="142">
        <f t="shared" si="8"/>
        <v>1116.8820612448403</v>
      </c>
      <c r="FJ15" s="142">
        <f t="shared" si="8"/>
        <v>1171.6092822458374</v>
      </c>
      <c r="FK15" s="142">
        <f t="shared" si="8"/>
        <v>1229.0181370758835</v>
      </c>
      <c r="FL15" s="142">
        <f t="shared" si="8"/>
        <v>1289.2400257926017</v>
      </c>
      <c r="FM15" s="142">
        <f t="shared" si="8"/>
        <v>1352.4127870564391</v>
      </c>
      <c r="FN15" s="142">
        <f t="shared" si="8"/>
        <v>1418.6810136222045</v>
      </c>
      <c r="FO15" s="142">
        <f t="shared" si="8"/>
        <v>1488.1963832896924</v>
      </c>
      <c r="FP15" s="142">
        <f t="shared" si="8"/>
        <v>1561.1180060708873</v>
      </c>
      <c r="FQ15" s="142">
        <f t="shared" si="8"/>
        <v>1637.6127883683607</v>
      </c>
      <c r="FR15" s="142">
        <f t="shared" si="8"/>
        <v>1717.8558149984103</v>
      </c>
      <c r="FS15" s="142">
        <f t="shared" si="8"/>
        <v>1802.0307499333323</v>
      </c>
      <c r="FT15" s="142">
        <f t="shared" si="8"/>
        <v>1890.3302566800655</v>
      </c>
      <c r="FU15" s="142">
        <f t="shared" si="8"/>
        <v>1982.9564392573886</v>
      </c>
      <c r="FV15" s="142">
        <f t="shared" si="8"/>
        <v>2080.1213047810006</v>
      </c>
      <c r="FW15" s="142">
        <f t="shared" si="8"/>
        <v>2182.0472487152697</v>
      </c>
      <c r="FX15" s="142">
        <f t="shared" si="8"/>
        <v>2288.9675639023176</v>
      </c>
      <c r="FY15" s="142">
        <f t="shared" si="8"/>
        <v>2401.1269745335312</v>
      </c>
      <c r="FZ15" s="142">
        <f t="shared" si="8"/>
        <v>2518.7821962856742</v>
      </c>
      <c r="GA15" s="142">
        <f t="shared" si="8"/>
        <v>2642.202523903672</v>
      </c>
      <c r="GB15" s="142">
        <f t="shared" si="8"/>
        <v>2771.6704475749516</v>
      </c>
      <c r="GC15" s="142">
        <f t="shared" si="8"/>
        <v>2907.482299506124</v>
      </c>
      <c r="GD15" s="142">
        <f t="shared" si="8"/>
        <v>3049.9489321819237</v>
      </c>
      <c r="GE15" s="142">
        <f t="shared" si="8"/>
        <v>3199.396429858838</v>
      </c>
      <c r="GF15" s="142">
        <f t="shared" si="8"/>
        <v>3356.1668549219207</v>
      </c>
      <c r="GG15" s="142">
        <f t="shared" si="8"/>
        <v>3520.6190308130945</v>
      </c>
      <c r="GH15" s="142">
        <f t="shared" si="8"/>
        <v>3693.1293633229357</v>
      </c>
      <c r="GI15" s="142">
        <f t="shared" si="8"/>
        <v>3874.0927021257594</v>
      </c>
      <c r="GJ15" s="142">
        <f t="shared" si="8"/>
        <v>4063.9232445299212</v>
      </c>
      <c r="GK15" s="142">
        <f t="shared" si="8"/>
        <v>4263.0554835118874</v>
      </c>
      <c r="GL15" s="142">
        <f t="shared" si="8"/>
        <v>4471.9452022039695</v>
      </c>
      <c r="GM15" s="142">
        <f t="shared" si="8"/>
        <v>4691.0705171119635</v>
      </c>
      <c r="GN15" s="142">
        <f t="shared" si="8"/>
        <v>4920.9329724504496</v>
      </c>
      <c r="GO15" s="142">
        <f t="shared" si="8"/>
        <v>5162.0586881005211</v>
      </c>
      <c r="GP15" s="142">
        <f t="shared" si="8"/>
        <v>5414.999563817446</v>
      </c>
      <c r="GQ15" s="142">
        <f t="shared" si="8"/>
        <v>5680.3345424445006</v>
      </c>
      <c r="GR15" s="142">
        <f t="shared" si="8"/>
        <v>5958.6709350242809</v>
      </c>
      <c r="GS15" s="142">
        <f t="shared" si="8"/>
        <v>6250.6458108404704</v>
      </c>
      <c r="GT15" s="142">
        <f t="shared" si="8"/>
        <v>6556.9274555716529</v>
      </c>
      <c r="GU15" s="142">
        <f t="shared" si="8"/>
        <v>6878.216900894663</v>
      </c>
      <c r="GV15" s="142">
        <f t="shared" si="8"/>
        <v>7215.2495290385014</v>
      </c>
      <c r="GW15" s="142">
        <f t="shared" si="8"/>
        <v>7568.7967559613871</v>
      </c>
      <c r="GX15" s="142">
        <f t="shared" si="8"/>
        <v>7939.6677970034943</v>
      </c>
      <c r="GY15" s="142">
        <f t="shared" si="8"/>
        <v>8328.7115190566656</v>
      </c>
      <c r="GZ15" s="142">
        <f t="shared" si="8"/>
        <v>8736.8183834904412</v>
      </c>
      <c r="HA15" s="142">
        <f t="shared" si="8"/>
        <v>9164.9224842814729</v>
      </c>
      <c r="HB15" s="142">
        <f t="shared" si="8"/>
        <v>9614.003686011265</v>
      </c>
      <c r="HC15" s="142">
        <f t="shared" si="8"/>
        <v>10085.089866625816</v>
      </c>
      <c r="HD15" s="142">
        <f t="shared" si="8"/>
        <v>10579.259270090481</v>
      </c>
      <c r="HE15" s="142">
        <f t="shared" si="8"/>
        <v>11097.642974324914</v>
      </c>
      <c r="HF15" s="142">
        <f t="shared" si="8"/>
        <v>11641.427480066834</v>
      </c>
      <c r="HG15" s="142">
        <f t="shared" si="8"/>
        <v>12211.857426590108</v>
      </c>
    </row>
    <row r="16" spans="1:215" ht="16.5" customHeight="1">
      <c r="A16" s="24">
        <f>IF(B16=0,"N/A",MAX(A12:A15)+1)</f>
        <v>4</v>
      </c>
      <c r="B16" s="25" t="str">
        <f>'MPG-11'!B16</f>
        <v>NV Energy</v>
      </c>
      <c r="C16" s="113"/>
      <c r="D16" s="110">
        <f>'MPG-7'!D16</f>
        <v>14.939230769230768</v>
      </c>
      <c r="E16" s="110">
        <f>'MPG-7'!F16</f>
        <v>0.48</v>
      </c>
      <c r="F16" s="114">
        <f>'MPG-6'!M15</f>
        <v>0.10459999999999998</v>
      </c>
      <c r="G16" s="112">
        <f t="shared" si="0"/>
        <v>9.5333333333333325E-2</v>
      </c>
      <c r="H16" s="112">
        <f t="shared" si="0"/>
        <v>8.6066666666666666E-2</v>
      </c>
      <c r="I16" s="112">
        <f t="shared" si="0"/>
        <v>7.6800000000000007E-2</v>
      </c>
      <c r="J16" s="112">
        <f t="shared" si="0"/>
        <v>6.7533333333333348E-2</v>
      </c>
      <c r="K16" s="112">
        <f t="shared" si="0"/>
        <v>5.8266666666666682E-2</v>
      </c>
      <c r="L16" s="128">
        <v>4.9000000000000002E-2</v>
      </c>
      <c r="M16" s="115">
        <f t="shared" si="1"/>
        <v>9.6356788288460657E-2</v>
      </c>
      <c r="O16" s="186">
        <f t="shared" si="2"/>
        <v>-14.939230769230768</v>
      </c>
      <c r="P16" s="142">
        <f t="shared" si="3"/>
        <v>0.53020800000000001</v>
      </c>
      <c r="Q16" s="142">
        <f t="shared" si="4"/>
        <v>0.58566775680000005</v>
      </c>
      <c r="R16" s="142">
        <f t="shared" si="4"/>
        <v>0.64692860416128006</v>
      </c>
      <c r="S16" s="142">
        <f t="shared" si="4"/>
        <v>0.71459733615654997</v>
      </c>
      <c r="T16" s="142">
        <f t="shared" si="4"/>
        <v>0.78934421751852513</v>
      </c>
      <c r="U16" s="142">
        <f t="shared" si="5"/>
        <v>0.86459503292195783</v>
      </c>
      <c r="V16" s="142">
        <f t="shared" si="5"/>
        <v>0.93900784542210769</v>
      </c>
      <c r="W16" s="142">
        <f t="shared" si="5"/>
        <v>1.0111236479505255</v>
      </c>
      <c r="X16" s="142">
        <f t="shared" si="5"/>
        <v>1.0794081983087844</v>
      </c>
      <c r="Y16" s="142">
        <f t="shared" si="5"/>
        <v>1.1423017159969096</v>
      </c>
      <c r="Z16" s="142">
        <f t="shared" si="6"/>
        <v>1.198274500080758</v>
      </c>
      <c r="AA16" s="142">
        <f t="shared" si="6"/>
        <v>1.2569899505847151</v>
      </c>
      <c r="AB16" s="142">
        <f t="shared" si="6"/>
        <v>1.3185824581633661</v>
      </c>
      <c r="AC16" s="142">
        <f t="shared" si="6"/>
        <v>1.3831929986133709</v>
      </c>
      <c r="AD16" s="142">
        <f t="shared" si="6"/>
        <v>1.450969455545426</v>
      </c>
      <c r="AE16" s="142">
        <f t="shared" si="6"/>
        <v>1.5220669588671518</v>
      </c>
      <c r="AF16" s="142">
        <f t="shared" si="6"/>
        <v>1.5966482398516422</v>
      </c>
      <c r="AG16" s="142">
        <f t="shared" si="6"/>
        <v>1.6748840036043726</v>
      </c>
      <c r="AH16" s="142">
        <f t="shared" si="6"/>
        <v>1.7569533197809868</v>
      </c>
      <c r="AI16" s="142">
        <f t="shared" si="6"/>
        <v>1.8430440324502551</v>
      </c>
      <c r="AJ16" s="142">
        <f t="shared" si="6"/>
        <v>1.9333531900403174</v>
      </c>
      <c r="AK16" s="142">
        <f t="shared" si="6"/>
        <v>2.0280874963522928</v>
      </c>
      <c r="AL16" s="142">
        <f t="shared" si="6"/>
        <v>2.127463783673555</v>
      </c>
      <c r="AM16" s="142">
        <f t="shared" si="6"/>
        <v>2.2317095090735592</v>
      </c>
      <c r="AN16" s="142">
        <f t="shared" si="6"/>
        <v>2.3410632750181635</v>
      </c>
      <c r="AO16" s="142">
        <f t="shared" si="6"/>
        <v>2.4557753754940532</v>
      </c>
      <c r="AP16" s="142">
        <f t="shared" si="6"/>
        <v>2.5761083688932618</v>
      </c>
      <c r="AQ16" s="142">
        <f t="shared" si="6"/>
        <v>2.7023376789690317</v>
      </c>
      <c r="AR16" s="142">
        <f t="shared" si="6"/>
        <v>2.834752225238514</v>
      </c>
      <c r="AS16" s="142">
        <f t="shared" si="6"/>
        <v>2.973655084275201</v>
      </c>
      <c r="AT16" s="142">
        <f t="shared" si="6"/>
        <v>3.1193641834046857</v>
      </c>
      <c r="AU16" s="142">
        <f t="shared" si="6"/>
        <v>3.2722130283915152</v>
      </c>
      <c r="AV16" s="142">
        <f t="shared" si="6"/>
        <v>3.4325514667826993</v>
      </c>
      <c r="AW16" s="142">
        <f t="shared" si="6"/>
        <v>3.6007464886550515</v>
      </c>
      <c r="AX16" s="142">
        <f t="shared" si="6"/>
        <v>3.7771830665991488</v>
      </c>
      <c r="AY16" s="142">
        <f t="shared" si="6"/>
        <v>3.9622650368625068</v>
      </c>
      <c r="AZ16" s="142">
        <f t="shared" si="6"/>
        <v>4.1564160236687693</v>
      </c>
      <c r="BA16" s="142">
        <f t="shared" si="6"/>
        <v>4.360080408828539</v>
      </c>
      <c r="BB16" s="142">
        <f t="shared" si="6"/>
        <v>4.5737243488611368</v>
      </c>
      <c r="BC16" s="142">
        <f t="shared" si="6"/>
        <v>4.7978368419553323</v>
      </c>
      <c r="BD16" s="142">
        <f t="shared" si="6"/>
        <v>5.0329308472111434</v>
      </c>
      <c r="BE16" s="142">
        <f t="shared" si="6"/>
        <v>5.2795444587244891</v>
      </c>
      <c r="BF16" s="142">
        <f t="shared" si="6"/>
        <v>5.5382421372019888</v>
      </c>
      <c r="BG16" s="142">
        <f t="shared" si="6"/>
        <v>5.8096160019248861</v>
      </c>
      <c r="BH16" s="142">
        <f t="shared" si="6"/>
        <v>6.0942871860192049</v>
      </c>
      <c r="BI16" s="142">
        <f t="shared" si="6"/>
        <v>6.3929072581341453</v>
      </c>
      <c r="BJ16" s="142">
        <f t="shared" si="6"/>
        <v>6.7061597137827178</v>
      </c>
      <c r="BK16" s="142">
        <f t="shared" si="6"/>
        <v>7.0347615397580707</v>
      </c>
      <c r="BL16" s="142">
        <f t="shared" si="6"/>
        <v>7.3794648552062156</v>
      </c>
      <c r="BM16" s="142">
        <f t="shared" si="6"/>
        <v>7.7410586331113196</v>
      </c>
      <c r="BN16" s="142">
        <f t="shared" si="6"/>
        <v>8.1203705061337743</v>
      </c>
      <c r="BO16" s="142">
        <f t="shared" si="6"/>
        <v>8.5182686609343286</v>
      </c>
      <c r="BP16" s="142">
        <f t="shared" si="6"/>
        <v>8.9356638253201108</v>
      </c>
      <c r="BQ16" s="142">
        <f t="shared" si="6"/>
        <v>9.3735113527607954</v>
      </c>
      <c r="BR16" s="142">
        <f t="shared" si="6"/>
        <v>9.8328134090460733</v>
      </c>
      <c r="BS16" s="142">
        <f t="shared" si="6"/>
        <v>10.314621266089331</v>
      </c>
      <c r="BT16" s="142">
        <f t="shared" si="6"/>
        <v>10.820037708127707</v>
      </c>
      <c r="BU16" s="142">
        <f t="shared" si="6"/>
        <v>11.350219555825964</v>
      </c>
      <c r="BV16" s="142">
        <f t="shared" si="6"/>
        <v>11.906380314061435</v>
      </c>
      <c r="BW16" s="142">
        <f t="shared" si="6"/>
        <v>12.489792949450445</v>
      </c>
      <c r="BX16" s="142">
        <f t="shared" si="6"/>
        <v>13.101792803973517</v>
      </c>
      <c r="BY16" s="142">
        <f t="shared" si="6"/>
        <v>13.743780651368219</v>
      </c>
      <c r="BZ16" s="142">
        <f t="shared" si="6"/>
        <v>14.41722590328526</v>
      </c>
      <c r="CA16" s="142">
        <f t="shared" si="6"/>
        <v>15.123669972546237</v>
      </c>
      <c r="CB16" s="142">
        <f t="shared" si="6"/>
        <v>15.864729801201001</v>
      </c>
      <c r="CC16" s="142">
        <f t="shared" si="6"/>
        <v>16.64210156145985</v>
      </c>
      <c r="CD16" s="142">
        <f t="shared" si="6"/>
        <v>17.457564537971383</v>
      </c>
      <c r="CE16" s="142">
        <f t="shared" si="6"/>
        <v>18.31298520033198</v>
      </c>
      <c r="CF16" s="142">
        <f t="shared" si="6"/>
        <v>19.210321475148245</v>
      </c>
      <c r="CG16" s="142">
        <f t="shared" si="6"/>
        <v>20.151627227430506</v>
      </c>
      <c r="CH16" s="142">
        <f t="shared" si="6"/>
        <v>21.1390569615746</v>
      </c>
      <c r="CI16" s="142">
        <f t="shared" si="6"/>
        <v>22.174870752691753</v>
      </c>
      <c r="CJ16" s="142">
        <f t="shared" si="6"/>
        <v>23.261439419573648</v>
      </c>
      <c r="CK16" s="142">
        <f t="shared" ref="CK16" si="9">CJ16*(1+$L16)</f>
        <v>24.401249951132755</v>
      </c>
      <c r="CL16" s="142">
        <f t="shared" si="7"/>
        <v>25.596911198738258</v>
      </c>
      <c r="CM16" s="142">
        <f t="shared" si="7"/>
        <v>26.851159847476431</v>
      </c>
      <c r="CN16" s="142">
        <f t="shared" si="7"/>
        <v>28.166866680002773</v>
      </c>
      <c r="CO16" s="142">
        <f t="shared" si="7"/>
        <v>29.547043147322906</v>
      </c>
      <c r="CP16" s="142">
        <f t="shared" si="7"/>
        <v>30.994848261541726</v>
      </c>
      <c r="CQ16" s="142">
        <f t="shared" si="7"/>
        <v>32.513595826357268</v>
      </c>
      <c r="CR16" s="142">
        <f t="shared" si="7"/>
        <v>34.106762021848773</v>
      </c>
      <c r="CS16" s="142">
        <f t="shared" si="7"/>
        <v>35.777993360919361</v>
      </c>
      <c r="CT16" s="142">
        <f t="shared" si="7"/>
        <v>37.531115035604408</v>
      </c>
      <c r="CU16" s="142">
        <f t="shared" si="7"/>
        <v>39.370139672349019</v>
      </c>
      <c r="CV16" s="142">
        <f t="shared" si="7"/>
        <v>41.299276516294121</v>
      </c>
      <c r="CW16" s="142">
        <f t="shared" si="7"/>
        <v>43.322941065592531</v>
      </c>
      <c r="CX16" s="142">
        <f t="shared" si="7"/>
        <v>45.445765177806564</v>
      </c>
      <c r="CY16" s="142">
        <f t="shared" si="7"/>
        <v>47.672607671519081</v>
      </c>
      <c r="CZ16" s="142">
        <f t="shared" si="7"/>
        <v>50.008565447423514</v>
      </c>
      <c r="DA16" s="142">
        <f t="shared" si="7"/>
        <v>52.458985154347261</v>
      </c>
      <c r="DB16" s="142">
        <f t="shared" si="7"/>
        <v>55.029475426910274</v>
      </c>
      <c r="DC16" s="142">
        <f t="shared" si="7"/>
        <v>57.725919722828877</v>
      </c>
      <c r="DD16" s="142">
        <f t="shared" si="7"/>
        <v>60.554489789247491</v>
      </c>
      <c r="DE16" s="142">
        <f t="shared" si="7"/>
        <v>63.521659788920616</v>
      </c>
      <c r="DF16" s="142">
        <f t="shared" si="7"/>
        <v>66.634221118577727</v>
      </c>
      <c r="DG16" s="142">
        <f t="shared" si="7"/>
        <v>69.899297953388029</v>
      </c>
      <c r="DH16" s="142">
        <f t="shared" si="7"/>
        <v>73.324363553104035</v>
      </c>
      <c r="DI16" s="142">
        <f t="shared" si="7"/>
        <v>76.917257367206133</v>
      </c>
      <c r="DJ16" s="142">
        <f t="shared" si="7"/>
        <v>80.686202978199233</v>
      </c>
      <c r="DK16" s="142">
        <f t="shared" si="7"/>
        <v>84.639826924130986</v>
      </c>
      <c r="DL16" s="142">
        <f t="shared" si="7"/>
        <v>88.787178443413396</v>
      </c>
      <c r="DM16" s="142">
        <f t="shared" si="7"/>
        <v>93.137750187140639</v>
      </c>
      <c r="DN16" s="142">
        <f t="shared" si="7"/>
        <v>97.70149994631052</v>
      </c>
      <c r="DO16" s="142">
        <f t="shared" si="7"/>
        <v>102.48887344367972</v>
      </c>
      <c r="DP16" s="142">
        <f t="shared" si="7"/>
        <v>107.51082824242002</v>
      </c>
      <c r="DQ16" s="142">
        <f t="shared" si="7"/>
        <v>112.77885882629859</v>
      </c>
      <c r="DR16" s="142">
        <f t="shared" si="7"/>
        <v>118.30502290878721</v>
      </c>
      <c r="DS16" s="142">
        <f t="shared" si="7"/>
        <v>124.10196903131778</v>
      </c>
      <c r="DT16" s="142">
        <f t="shared" si="7"/>
        <v>130.18296551385234</v>
      </c>
      <c r="DU16" s="142">
        <f t="shared" si="7"/>
        <v>136.56193082403109</v>
      </c>
      <c r="DV16" s="142">
        <f t="shared" si="7"/>
        <v>143.25346543440861</v>
      </c>
      <c r="DW16" s="142">
        <f t="shared" si="7"/>
        <v>150.27288524069462</v>
      </c>
      <c r="DX16" s="142">
        <f t="shared" si="7"/>
        <v>157.63625661748864</v>
      </c>
      <c r="DY16" s="142">
        <f t="shared" si="7"/>
        <v>165.36043319174559</v>
      </c>
      <c r="DZ16" s="142">
        <f t="shared" si="7"/>
        <v>173.46309441814111</v>
      </c>
      <c r="EA16" s="142">
        <f t="shared" si="7"/>
        <v>181.96278604463001</v>
      </c>
      <c r="EB16" s="142">
        <f t="shared" si="7"/>
        <v>190.87896256081686</v>
      </c>
      <c r="EC16" s="142">
        <f t="shared" si="7"/>
        <v>200.23203172629687</v>
      </c>
      <c r="ED16" s="142">
        <f t="shared" si="7"/>
        <v>210.0434012808854</v>
      </c>
      <c r="EE16" s="142">
        <f t="shared" si="7"/>
        <v>220.33552794364877</v>
      </c>
      <c r="EF16" s="142">
        <f t="shared" si="7"/>
        <v>231.13196881288755</v>
      </c>
      <c r="EG16" s="142">
        <f t="shared" si="7"/>
        <v>242.45743528471903</v>
      </c>
      <c r="EH16" s="142">
        <f t="shared" si="7"/>
        <v>254.33784961367024</v>
      </c>
      <c r="EI16" s="142">
        <f t="shared" si="7"/>
        <v>266.80040424474009</v>
      </c>
      <c r="EJ16" s="142">
        <f t="shared" si="7"/>
        <v>279.87362405273234</v>
      </c>
      <c r="EK16" s="142">
        <f t="shared" si="7"/>
        <v>293.58743163131618</v>
      </c>
      <c r="EL16" s="142">
        <f t="shared" si="7"/>
        <v>307.97321578125064</v>
      </c>
      <c r="EM16" s="142">
        <f t="shared" si="7"/>
        <v>323.06390335453193</v>
      </c>
      <c r="EN16" s="142">
        <f t="shared" si="7"/>
        <v>338.89403461890396</v>
      </c>
      <c r="EO16" s="142">
        <f t="shared" si="7"/>
        <v>355.49984231523024</v>
      </c>
      <c r="EP16" s="142">
        <f t="shared" si="7"/>
        <v>372.91933458867652</v>
      </c>
      <c r="EQ16" s="142">
        <f t="shared" si="7"/>
        <v>391.19238198352167</v>
      </c>
      <c r="ER16" s="142">
        <f t="shared" si="7"/>
        <v>410.36080870071419</v>
      </c>
      <c r="ES16" s="142">
        <f t="shared" si="7"/>
        <v>430.46848832704916</v>
      </c>
      <c r="ET16" s="142">
        <f t="shared" si="7"/>
        <v>451.56144425507455</v>
      </c>
      <c r="EU16" s="142">
        <f t="shared" si="7"/>
        <v>473.68795502357318</v>
      </c>
      <c r="EV16" s="142">
        <f t="shared" si="7"/>
        <v>496.89866481972825</v>
      </c>
      <c r="EW16" s="142">
        <f t="shared" ref="EW16" si="10">EV16*(1+$L16)</f>
        <v>521.24669939589489</v>
      </c>
      <c r="EX16" s="142">
        <f t="shared" si="8"/>
        <v>546.78778766629375</v>
      </c>
      <c r="EY16" s="142">
        <f t="shared" si="8"/>
        <v>573.58038926194206</v>
      </c>
      <c r="EZ16" s="142">
        <f t="shared" si="8"/>
        <v>601.68582833577716</v>
      </c>
      <c r="FA16" s="142">
        <f t="shared" si="8"/>
        <v>631.16843392423016</v>
      </c>
      <c r="FB16" s="142">
        <f t="shared" si="8"/>
        <v>662.09568718651735</v>
      </c>
      <c r="FC16" s="142">
        <f t="shared" si="8"/>
        <v>694.53837585865665</v>
      </c>
      <c r="FD16" s="142">
        <f t="shared" si="8"/>
        <v>728.57075627573079</v>
      </c>
      <c r="FE16" s="142">
        <f t="shared" si="8"/>
        <v>764.27072333324156</v>
      </c>
      <c r="FF16" s="142">
        <f t="shared" si="8"/>
        <v>801.7199887765704</v>
      </c>
      <c r="FG16" s="142">
        <f t="shared" si="8"/>
        <v>841.00426822662234</v>
      </c>
      <c r="FH16" s="142">
        <f t="shared" si="8"/>
        <v>882.21347736972677</v>
      </c>
      <c r="FI16" s="142">
        <f t="shared" si="8"/>
        <v>925.4419377608433</v>
      </c>
      <c r="FJ16" s="142">
        <f t="shared" si="8"/>
        <v>970.78859271112458</v>
      </c>
      <c r="FK16" s="142">
        <f t="shared" si="8"/>
        <v>1018.3572337539696</v>
      </c>
      <c r="FL16" s="142">
        <f t="shared" si="8"/>
        <v>1068.2567382079139</v>
      </c>
      <c r="FM16" s="142">
        <f t="shared" si="8"/>
        <v>1120.6013183801017</v>
      </c>
      <c r="FN16" s="142">
        <f t="shared" si="8"/>
        <v>1175.5107829807266</v>
      </c>
      <c r="FO16" s="142">
        <f t="shared" si="8"/>
        <v>1233.1108113467822</v>
      </c>
      <c r="FP16" s="142">
        <f t="shared" si="8"/>
        <v>1293.5332411027744</v>
      </c>
      <c r="FQ16" s="142">
        <f t="shared" si="8"/>
        <v>1356.9163699168103</v>
      </c>
      <c r="FR16" s="142">
        <f t="shared" si="8"/>
        <v>1423.4052720427339</v>
      </c>
      <c r="FS16" s="142">
        <f t="shared" si="8"/>
        <v>1493.1521303728277</v>
      </c>
      <c r="FT16" s="142">
        <f t="shared" si="8"/>
        <v>1566.3165847610962</v>
      </c>
      <c r="FU16" s="142">
        <f t="shared" si="8"/>
        <v>1643.0660974143898</v>
      </c>
      <c r="FV16" s="142">
        <f t="shared" si="8"/>
        <v>1723.5763361876948</v>
      </c>
      <c r="FW16" s="142">
        <f t="shared" si="8"/>
        <v>1808.0315766608917</v>
      </c>
      <c r="FX16" s="142">
        <f t="shared" si="8"/>
        <v>1896.6251239172752</v>
      </c>
      <c r="FY16" s="142">
        <f t="shared" si="8"/>
        <v>1989.5597549892216</v>
      </c>
      <c r="FZ16" s="142">
        <f t="shared" si="8"/>
        <v>2087.0481829836931</v>
      </c>
      <c r="GA16" s="142">
        <f t="shared" si="8"/>
        <v>2189.3135439498938</v>
      </c>
      <c r="GB16" s="142">
        <f t="shared" si="8"/>
        <v>2296.5899076034384</v>
      </c>
      <c r="GC16" s="142">
        <f t="shared" si="8"/>
        <v>2409.1228130760069</v>
      </c>
      <c r="GD16" s="142">
        <f t="shared" si="8"/>
        <v>2527.1698309167309</v>
      </c>
      <c r="GE16" s="142">
        <f t="shared" si="8"/>
        <v>2651.0011526316507</v>
      </c>
      <c r="GF16" s="142">
        <f t="shared" si="8"/>
        <v>2780.9002091106013</v>
      </c>
      <c r="GG16" s="142">
        <f t="shared" si="8"/>
        <v>2917.1643193570208</v>
      </c>
      <c r="GH16" s="142">
        <f t="shared" si="8"/>
        <v>3060.1053710055144</v>
      </c>
      <c r="GI16" s="142">
        <f t="shared" si="8"/>
        <v>3210.0505341847843</v>
      </c>
      <c r="GJ16" s="142">
        <f t="shared" si="8"/>
        <v>3367.3430103598384</v>
      </c>
      <c r="GK16" s="142">
        <f t="shared" si="8"/>
        <v>3532.3428178674703</v>
      </c>
      <c r="GL16" s="142">
        <f t="shared" si="8"/>
        <v>3705.427615942976</v>
      </c>
      <c r="GM16" s="142">
        <f t="shared" si="8"/>
        <v>3886.9935691241817</v>
      </c>
      <c r="GN16" s="142">
        <f t="shared" si="8"/>
        <v>4077.4562540112665</v>
      </c>
      <c r="GO16" s="142">
        <f t="shared" si="8"/>
        <v>4277.2516104578181</v>
      </c>
      <c r="GP16" s="142">
        <f t="shared" si="8"/>
        <v>4486.8369393702505</v>
      </c>
      <c r="GQ16" s="142">
        <f t="shared" si="8"/>
        <v>4706.6919493993928</v>
      </c>
      <c r="GR16" s="142">
        <f t="shared" si="8"/>
        <v>4937.3198549199624</v>
      </c>
      <c r="GS16" s="142">
        <f t="shared" si="8"/>
        <v>5179.2485278110398</v>
      </c>
      <c r="GT16" s="142">
        <f t="shared" si="8"/>
        <v>5433.0317056737804</v>
      </c>
      <c r="GU16" s="142">
        <f t="shared" si="8"/>
        <v>5699.2502592517949</v>
      </c>
      <c r="GV16" s="142">
        <f t="shared" si="8"/>
        <v>5978.5135219551321</v>
      </c>
      <c r="GW16" s="142">
        <f t="shared" si="8"/>
        <v>6271.4606845309336</v>
      </c>
      <c r="GX16" s="142">
        <f t="shared" si="8"/>
        <v>6578.7622580729485</v>
      </c>
      <c r="GY16" s="142">
        <f t="shared" si="8"/>
        <v>6901.1216087185221</v>
      </c>
      <c r="GZ16" s="142">
        <f t="shared" si="8"/>
        <v>7239.2765675457294</v>
      </c>
      <c r="HA16" s="142">
        <f t="shared" si="8"/>
        <v>7594.0011193554701</v>
      </c>
      <c r="HB16" s="142">
        <f t="shared" si="8"/>
        <v>7966.1071742038876</v>
      </c>
      <c r="HC16" s="142">
        <f t="shared" si="8"/>
        <v>8356.4464257398777</v>
      </c>
      <c r="HD16" s="142">
        <f t="shared" si="8"/>
        <v>8765.9123006011305</v>
      </c>
      <c r="HE16" s="142">
        <f t="shared" si="8"/>
        <v>9195.4420033305851</v>
      </c>
      <c r="HF16" s="142">
        <f t="shared" si="8"/>
        <v>9646.0186614937829</v>
      </c>
      <c r="HG16" s="142">
        <f t="shared" si="8"/>
        <v>10118.673575906978</v>
      </c>
    </row>
    <row r="17" spans="1:215" ht="16.5" customHeight="1">
      <c r="A17" s="24">
        <f>IF(B17=0,"N/A",MAX(A14:A16)+1)</f>
        <v>5</v>
      </c>
      <c r="B17" s="25" t="str">
        <f>'MPG-11'!B17</f>
        <v>OGE Energy</v>
      </c>
      <c r="C17" s="113"/>
      <c r="D17" s="110">
        <f>'MPG-7'!D17</f>
        <v>49.50615384615385</v>
      </c>
      <c r="E17" s="110">
        <f>'MPG-7'!F17</f>
        <v>1.5</v>
      </c>
      <c r="F17" s="114">
        <f>'MPG-6'!M16</f>
        <v>7.1233333333333329E-2</v>
      </c>
      <c r="G17" s="112">
        <f t="shared" si="0"/>
        <v>6.752777777777777E-2</v>
      </c>
      <c r="H17" s="112">
        <f t="shared" si="0"/>
        <v>6.3822222222222211E-2</v>
      </c>
      <c r="I17" s="112">
        <f t="shared" si="0"/>
        <v>6.0116666666666659E-2</v>
      </c>
      <c r="J17" s="112">
        <f t="shared" si="0"/>
        <v>5.6411111111111106E-2</v>
      </c>
      <c r="K17" s="112">
        <f t="shared" si="0"/>
        <v>5.2705555555555554E-2</v>
      </c>
      <c r="L17" s="128">
        <v>4.9000000000000002E-2</v>
      </c>
      <c r="M17" s="115">
        <f t="shared" si="1"/>
        <v>8.5561354285760532E-2</v>
      </c>
      <c r="O17" s="186">
        <f t="shared" si="2"/>
        <v>-49.50615384615385</v>
      </c>
      <c r="P17" s="142">
        <f t="shared" si="3"/>
        <v>1.6068499999999999</v>
      </c>
      <c r="Q17" s="142">
        <f t="shared" si="4"/>
        <v>1.7213112816666665</v>
      </c>
      <c r="R17" s="142">
        <f t="shared" si="4"/>
        <v>1.8439260219640552</v>
      </c>
      <c r="S17" s="142">
        <f t="shared" si="4"/>
        <v>1.9752750189286279</v>
      </c>
      <c r="T17" s="142">
        <f t="shared" si="4"/>
        <v>2.1159804427769768</v>
      </c>
      <c r="U17" s="142">
        <f t="shared" si="5"/>
        <v>2.2588678998989447</v>
      </c>
      <c r="V17" s="142">
        <f t="shared" si="5"/>
        <v>2.4030338689769395</v>
      </c>
      <c r="W17" s="142">
        <f t="shared" si="5"/>
        <v>2.5474962550669362</v>
      </c>
      <c r="X17" s="142">
        <f t="shared" si="5"/>
        <v>2.6912033493666567</v>
      </c>
      <c r="Y17" s="142">
        <f t="shared" si="5"/>
        <v>2.8330447170079984</v>
      </c>
      <c r="Z17" s="142">
        <f t="shared" ref="Z17:CK20" si="11">Y17*(1+$L17)</f>
        <v>2.97186390814139</v>
      </c>
      <c r="AA17" s="142">
        <f t="shared" si="11"/>
        <v>3.1174852396403181</v>
      </c>
      <c r="AB17" s="142">
        <f t="shared" si="11"/>
        <v>3.2702420163826935</v>
      </c>
      <c r="AC17" s="142">
        <f t="shared" si="11"/>
        <v>3.4304838751854452</v>
      </c>
      <c r="AD17" s="142">
        <f t="shared" si="11"/>
        <v>3.5985775850695316</v>
      </c>
      <c r="AE17" s="142">
        <f t="shared" si="11"/>
        <v>3.7749078867379384</v>
      </c>
      <c r="AF17" s="142">
        <f t="shared" si="11"/>
        <v>3.9598783731880971</v>
      </c>
      <c r="AG17" s="142">
        <f t="shared" si="11"/>
        <v>4.1539124134743135</v>
      </c>
      <c r="AH17" s="142">
        <f t="shared" si="11"/>
        <v>4.3574541217345546</v>
      </c>
      <c r="AI17" s="142">
        <f t="shared" si="11"/>
        <v>4.5709693736995476</v>
      </c>
      <c r="AJ17" s="142">
        <f t="shared" si="11"/>
        <v>4.7949468730108249</v>
      </c>
      <c r="AK17" s="142">
        <f t="shared" si="11"/>
        <v>5.0298992697883547</v>
      </c>
      <c r="AL17" s="142">
        <f t="shared" si="11"/>
        <v>5.276364334007984</v>
      </c>
      <c r="AM17" s="142">
        <f t="shared" si="11"/>
        <v>5.5349061863743749</v>
      </c>
      <c r="AN17" s="142">
        <f t="shared" si="11"/>
        <v>5.8061165895067193</v>
      </c>
      <c r="AO17" s="142">
        <f t="shared" si="11"/>
        <v>6.0906163023925481</v>
      </c>
      <c r="AP17" s="142">
        <f t="shared" si="11"/>
        <v>6.3890565012097822</v>
      </c>
      <c r="AQ17" s="142">
        <f t="shared" si="11"/>
        <v>6.7021202697690612</v>
      </c>
      <c r="AR17" s="142">
        <f t="shared" si="11"/>
        <v>7.0305241629877449</v>
      </c>
      <c r="AS17" s="142">
        <f t="shared" si="11"/>
        <v>7.3750198469741441</v>
      </c>
      <c r="AT17" s="142">
        <f t="shared" si="11"/>
        <v>7.7363958194758764</v>
      </c>
      <c r="AU17" s="142">
        <f t="shared" si="11"/>
        <v>8.1154792146301933</v>
      </c>
      <c r="AV17" s="142">
        <f t="shared" si="11"/>
        <v>8.5131376961470728</v>
      </c>
      <c r="AW17" s="142">
        <f t="shared" si="11"/>
        <v>8.9302814432582789</v>
      </c>
      <c r="AX17" s="142">
        <f t="shared" si="11"/>
        <v>9.367865233977934</v>
      </c>
      <c r="AY17" s="142">
        <f t="shared" si="11"/>
        <v>9.8268906304428523</v>
      </c>
      <c r="AZ17" s="142">
        <f t="shared" si="11"/>
        <v>10.308408271334551</v>
      </c>
      <c r="BA17" s="142">
        <f t="shared" si="11"/>
        <v>10.813520276629944</v>
      </c>
      <c r="BB17" s="142">
        <f t="shared" si="11"/>
        <v>11.34338277018481</v>
      </c>
      <c r="BC17" s="142">
        <f t="shared" si="11"/>
        <v>11.899208525923866</v>
      </c>
      <c r="BD17" s="142">
        <f t="shared" si="11"/>
        <v>12.482269743694134</v>
      </c>
      <c r="BE17" s="142">
        <f t="shared" si="11"/>
        <v>13.093900961135146</v>
      </c>
      <c r="BF17" s="142">
        <f t="shared" si="11"/>
        <v>13.735502108230767</v>
      </c>
      <c r="BG17" s="142">
        <f t="shared" si="11"/>
        <v>14.408541711534074</v>
      </c>
      <c r="BH17" s="142">
        <f t="shared" si="11"/>
        <v>15.114560255399242</v>
      </c>
      <c r="BI17" s="142">
        <f t="shared" si="11"/>
        <v>15.855173707913805</v>
      </c>
      <c r="BJ17" s="142">
        <f t="shared" si="11"/>
        <v>16.63207721960158</v>
      </c>
      <c r="BK17" s="142">
        <f t="shared" si="11"/>
        <v>17.447049003362057</v>
      </c>
      <c r="BL17" s="142">
        <f t="shared" si="11"/>
        <v>18.301954404526796</v>
      </c>
      <c r="BM17" s="142">
        <f t="shared" si="11"/>
        <v>19.198750170348607</v>
      </c>
      <c r="BN17" s="142">
        <f t="shared" si="11"/>
        <v>20.139488928695688</v>
      </c>
      <c r="BO17" s="142">
        <f t="shared" si="11"/>
        <v>21.126323886201774</v>
      </c>
      <c r="BP17" s="142">
        <f t="shared" si="11"/>
        <v>22.161513756625659</v>
      </c>
      <c r="BQ17" s="142">
        <f t="shared" si="11"/>
        <v>23.247427930700315</v>
      </c>
      <c r="BR17" s="142">
        <f t="shared" si="11"/>
        <v>24.386551899304628</v>
      </c>
      <c r="BS17" s="142">
        <f t="shared" si="11"/>
        <v>25.581492942370552</v>
      </c>
      <c r="BT17" s="142">
        <f t="shared" si="11"/>
        <v>26.834986096546707</v>
      </c>
      <c r="BU17" s="142">
        <f t="shared" si="11"/>
        <v>28.149900415277493</v>
      </c>
      <c r="BV17" s="142">
        <f t="shared" si="11"/>
        <v>29.529245535626089</v>
      </c>
      <c r="BW17" s="142">
        <f t="shared" si="11"/>
        <v>30.976178566871766</v>
      </c>
      <c r="BX17" s="142">
        <f t="shared" si="11"/>
        <v>32.494011316648482</v>
      </c>
      <c r="BY17" s="142">
        <f t="shared" si="11"/>
        <v>34.086217871164258</v>
      </c>
      <c r="BZ17" s="142">
        <f t="shared" si="11"/>
        <v>35.756442546851304</v>
      </c>
      <c r="CA17" s="142">
        <f t="shared" si="11"/>
        <v>37.508508231647014</v>
      </c>
      <c r="CB17" s="142">
        <f t="shared" si="11"/>
        <v>39.346425134997716</v>
      </c>
      <c r="CC17" s="142">
        <f t="shared" si="11"/>
        <v>41.274399966612599</v>
      </c>
      <c r="CD17" s="142">
        <f t="shared" si="11"/>
        <v>43.296845564976614</v>
      </c>
      <c r="CE17" s="142">
        <f t="shared" si="11"/>
        <v>45.418390997660467</v>
      </c>
      <c r="CF17" s="142">
        <f t="shared" si="11"/>
        <v>47.643892156545824</v>
      </c>
      <c r="CG17" s="142">
        <f t="shared" si="11"/>
        <v>49.978442872216569</v>
      </c>
      <c r="CH17" s="142">
        <f t="shared" si="11"/>
        <v>52.427386572955179</v>
      </c>
      <c r="CI17" s="142">
        <f t="shared" si="11"/>
        <v>54.99632851502998</v>
      </c>
      <c r="CJ17" s="142">
        <f t="shared" si="11"/>
        <v>57.691148612266446</v>
      </c>
      <c r="CK17" s="142">
        <f t="shared" si="11"/>
        <v>60.518014894267495</v>
      </c>
      <c r="CL17" s="142">
        <f t="shared" ref="CL17:EW20" si="12">CK17*(1+$L17)</f>
        <v>63.483397624086599</v>
      </c>
      <c r="CM17" s="142">
        <f t="shared" si="12"/>
        <v>66.594084107666845</v>
      </c>
      <c r="CN17" s="142">
        <f t="shared" si="12"/>
        <v>69.857194228942518</v>
      </c>
      <c r="CO17" s="142">
        <f t="shared" si="12"/>
        <v>73.280196746160698</v>
      </c>
      <c r="CP17" s="142">
        <f t="shared" si="12"/>
        <v>76.870926386722573</v>
      </c>
      <c r="CQ17" s="142">
        <f t="shared" si="12"/>
        <v>80.637601779671968</v>
      </c>
      <c r="CR17" s="142">
        <f t="shared" si="12"/>
        <v>84.588844266875896</v>
      </c>
      <c r="CS17" s="142">
        <f t="shared" si="12"/>
        <v>88.733697635952808</v>
      </c>
      <c r="CT17" s="142">
        <f t="shared" si="12"/>
        <v>93.081648820114495</v>
      </c>
      <c r="CU17" s="142">
        <f t="shared" si="12"/>
        <v>97.642649612300104</v>
      </c>
      <c r="CV17" s="142">
        <f t="shared" si="12"/>
        <v>102.42713944330281</v>
      </c>
      <c r="CW17" s="142">
        <f t="shared" si="12"/>
        <v>107.44606927602463</v>
      </c>
      <c r="CX17" s="142">
        <f t="shared" si="12"/>
        <v>112.71092667054982</v>
      </c>
      <c r="CY17" s="142">
        <f t="shared" si="12"/>
        <v>118.23376207740675</v>
      </c>
      <c r="CZ17" s="142">
        <f t="shared" si="12"/>
        <v>124.02721641919968</v>
      </c>
      <c r="DA17" s="142">
        <f t="shared" si="12"/>
        <v>130.10455002374044</v>
      </c>
      <c r="DB17" s="142">
        <f t="shared" si="12"/>
        <v>136.47967297490371</v>
      </c>
      <c r="DC17" s="142">
        <f t="shared" si="12"/>
        <v>143.16717695067399</v>
      </c>
      <c r="DD17" s="142">
        <f t="shared" si="12"/>
        <v>150.18236862125701</v>
      </c>
      <c r="DE17" s="142">
        <f t="shared" si="12"/>
        <v>157.5413046836986</v>
      </c>
      <c r="DF17" s="142">
        <f t="shared" si="12"/>
        <v>165.26082861319981</v>
      </c>
      <c r="DG17" s="142">
        <f t="shared" si="12"/>
        <v>173.35860921524659</v>
      </c>
      <c r="DH17" s="142">
        <f t="shared" si="12"/>
        <v>181.85318106679367</v>
      </c>
      <c r="DI17" s="142">
        <f t="shared" si="12"/>
        <v>190.76398693906654</v>
      </c>
      <c r="DJ17" s="142">
        <f t="shared" si="12"/>
        <v>200.1114222990808</v>
      </c>
      <c r="DK17" s="142">
        <f t="shared" si="12"/>
        <v>209.91688199173575</v>
      </c>
      <c r="DL17" s="142">
        <f t="shared" si="12"/>
        <v>220.20280920933078</v>
      </c>
      <c r="DM17" s="142">
        <f t="shared" si="12"/>
        <v>230.99274686058797</v>
      </c>
      <c r="DN17" s="142">
        <f t="shared" si="12"/>
        <v>242.31139145675675</v>
      </c>
      <c r="DO17" s="142">
        <f t="shared" si="12"/>
        <v>254.18464963813781</v>
      </c>
      <c r="DP17" s="142">
        <f t="shared" si="12"/>
        <v>266.63969747040653</v>
      </c>
      <c r="DQ17" s="142">
        <f t="shared" si="12"/>
        <v>279.70504264645643</v>
      </c>
      <c r="DR17" s="142">
        <f t="shared" si="12"/>
        <v>293.41058973613281</v>
      </c>
      <c r="DS17" s="142">
        <f t="shared" si="12"/>
        <v>307.78770863320329</v>
      </c>
      <c r="DT17" s="142">
        <f t="shared" si="12"/>
        <v>322.86930635623025</v>
      </c>
      <c r="DU17" s="142">
        <f t="shared" si="12"/>
        <v>338.68990236768553</v>
      </c>
      <c r="DV17" s="142">
        <f t="shared" si="12"/>
        <v>355.28570758370211</v>
      </c>
      <c r="DW17" s="142">
        <f t="shared" si="12"/>
        <v>372.69470725530351</v>
      </c>
      <c r="DX17" s="142">
        <f t="shared" si="12"/>
        <v>390.95674791081336</v>
      </c>
      <c r="DY17" s="142">
        <f t="shared" si="12"/>
        <v>410.11362855844317</v>
      </c>
      <c r="DZ17" s="142">
        <f t="shared" si="12"/>
        <v>430.20919635780683</v>
      </c>
      <c r="EA17" s="142">
        <f t="shared" si="12"/>
        <v>451.28944697933935</v>
      </c>
      <c r="EB17" s="142">
        <f t="shared" si="12"/>
        <v>473.40262988132696</v>
      </c>
      <c r="EC17" s="142">
        <f t="shared" si="12"/>
        <v>496.59935874551195</v>
      </c>
      <c r="ED17" s="142">
        <f t="shared" si="12"/>
        <v>520.93272732404205</v>
      </c>
      <c r="EE17" s="142">
        <f t="shared" si="12"/>
        <v>546.45843096292003</v>
      </c>
      <c r="EF17" s="142">
        <f t="shared" si="12"/>
        <v>573.23489408010312</v>
      </c>
      <c r="EG17" s="142">
        <f t="shared" si="12"/>
        <v>601.32340389002809</v>
      </c>
      <c r="EH17" s="142">
        <f t="shared" si="12"/>
        <v>630.78825068063941</v>
      </c>
      <c r="EI17" s="142">
        <f t="shared" si="12"/>
        <v>661.69687496399069</v>
      </c>
      <c r="EJ17" s="142">
        <f t="shared" si="12"/>
        <v>694.1200218372262</v>
      </c>
      <c r="EK17" s="142">
        <f t="shared" si="12"/>
        <v>728.13190290725026</v>
      </c>
      <c r="EL17" s="142">
        <f t="shared" si="12"/>
        <v>763.81036614970549</v>
      </c>
      <c r="EM17" s="142">
        <f t="shared" si="12"/>
        <v>801.23707409104099</v>
      </c>
      <c r="EN17" s="142">
        <f t="shared" si="12"/>
        <v>840.49769072150195</v>
      </c>
      <c r="EO17" s="142">
        <f t="shared" si="12"/>
        <v>881.68207756685547</v>
      </c>
      <c r="EP17" s="142">
        <f t="shared" si="12"/>
        <v>924.88449936763129</v>
      </c>
      <c r="EQ17" s="142">
        <f t="shared" si="12"/>
        <v>970.20383983664522</v>
      </c>
      <c r="ER17" s="142">
        <f t="shared" si="12"/>
        <v>1017.7438279886408</v>
      </c>
      <c r="ES17" s="142">
        <f t="shared" si="12"/>
        <v>1067.613275560084</v>
      </c>
      <c r="ET17" s="142">
        <f t="shared" si="12"/>
        <v>1119.926326062528</v>
      </c>
      <c r="EU17" s="142">
        <f t="shared" si="12"/>
        <v>1174.8027160395918</v>
      </c>
      <c r="EV17" s="142">
        <f t="shared" si="12"/>
        <v>1232.3680491255318</v>
      </c>
      <c r="EW17" s="142">
        <f t="shared" si="12"/>
        <v>1292.7540835326827</v>
      </c>
      <c r="EX17" s="142">
        <f t="shared" si="8"/>
        <v>1356.0990336257839</v>
      </c>
      <c r="EY17" s="142">
        <f t="shared" si="8"/>
        <v>1422.5478862734471</v>
      </c>
      <c r="EZ17" s="142">
        <f t="shared" si="8"/>
        <v>1492.2527327008459</v>
      </c>
      <c r="FA17" s="142">
        <f t="shared" si="8"/>
        <v>1565.3731166031871</v>
      </c>
      <c r="FB17" s="142">
        <f t="shared" si="8"/>
        <v>1642.0763993167432</v>
      </c>
      <c r="FC17" s="142">
        <f t="shared" si="8"/>
        <v>1722.5381428832634</v>
      </c>
      <c r="FD17" s="142">
        <f t="shared" si="8"/>
        <v>1806.9425118845431</v>
      </c>
      <c r="FE17" s="142">
        <f t="shared" ref="FE17:HG21" si="13">FD17*(1+$L17)</f>
        <v>1895.4826949668857</v>
      </c>
      <c r="FF17" s="142">
        <f t="shared" si="13"/>
        <v>1988.3613470202629</v>
      </c>
      <c r="FG17" s="142">
        <f t="shared" si="13"/>
        <v>2085.7910530242557</v>
      </c>
      <c r="FH17" s="142">
        <f t="shared" si="13"/>
        <v>2187.9948146224442</v>
      </c>
      <c r="FI17" s="142">
        <f t="shared" si="13"/>
        <v>2295.2065605389439</v>
      </c>
      <c r="FJ17" s="142">
        <f t="shared" si="13"/>
        <v>2407.6716820053521</v>
      </c>
      <c r="FK17" s="142">
        <f t="shared" si="13"/>
        <v>2525.647594423614</v>
      </c>
      <c r="FL17" s="142">
        <f t="shared" si="13"/>
        <v>2649.404326550371</v>
      </c>
      <c r="FM17" s="142">
        <f t="shared" si="13"/>
        <v>2779.2251385513391</v>
      </c>
      <c r="FN17" s="142">
        <f t="shared" si="13"/>
        <v>2915.4071703403547</v>
      </c>
      <c r="FO17" s="142">
        <f t="shared" si="13"/>
        <v>3058.262121687032</v>
      </c>
      <c r="FP17" s="142">
        <f t="shared" si="13"/>
        <v>3208.1169656496963</v>
      </c>
      <c r="FQ17" s="142">
        <f t="shared" si="13"/>
        <v>3365.3146969665313</v>
      </c>
      <c r="FR17" s="142">
        <f t="shared" si="13"/>
        <v>3530.2151171178912</v>
      </c>
      <c r="FS17" s="142">
        <f t="shared" si="13"/>
        <v>3703.1956578566678</v>
      </c>
      <c r="FT17" s="142">
        <f t="shared" si="13"/>
        <v>3884.6522450916441</v>
      </c>
      <c r="FU17" s="142">
        <f t="shared" si="13"/>
        <v>4075.0002051011343</v>
      </c>
      <c r="FV17" s="142">
        <f t="shared" si="13"/>
        <v>4274.67521515109</v>
      </c>
      <c r="FW17" s="142">
        <f t="shared" si="13"/>
        <v>4484.1343006934931</v>
      </c>
      <c r="FX17" s="142">
        <f t="shared" si="13"/>
        <v>4703.856881427474</v>
      </c>
      <c r="FY17" s="142">
        <f t="shared" si="13"/>
        <v>4934.3458686174199</v>
      </c>
      <c r="FZ17" s="142">
        <f t="shared" si="13"/>
        <v>5176.1288161796729</v>
      </c>
      <c r="GA17" s="142">
        <f t="shared" si="13"/>
        <v>5429.7591281724763</v>
      </c>
      <c r="GB17" s="142">
        <f t="shared" si="13"/>
        <v>5695.8173254529274</v>
      </c>
      <c r="GC17" s="142">
        <f t="shared" si="13"/>
        <v>5974.9123744001208</v>
      </c>
      <c r="GD17" s="142">
        <f t="shared" si="13"/>
        <v>6267.6830807457263</v>
      </c>
      <c r="GE17" s="142">
        <f t="shared" si="13"/>
        <v>6574.7995517022664</v>
      </c>
      <c r="GF17" s="142">
        <f t="shared" si="13"/>
        <v>6896.9647297356769</v>
      </c>
      <c r="GG17" s="142">
        <f t="shared" si="13"/>
        <v>7234.9160014927247</v>
      </c>
      <c r="GH17" s="142">
        <f t="shared" si="13"/>
        <v>7589.4268855658675</v>
      </c>
      <c r="GI17" s="142">
        <f t="shared" si="13"/>
        <v>7961.3088029585942</v>
      </c>
      <c r="GJ17" s="142">
        <f t="shared" si="13"/>
        <v>8351.4129343035656</v>
      </c>
      <c r="GK17" s="142">
        <f t="shared" si="13"/>
        <v>8760.6321680844394</v>
      </c>
      <c r="GL17" s="142">
        <f t="shared" si="13"/>
        <v>9189.9031443205768</v>
      </c>
      <c r="GM17" s="142">
        <f t="shared" si="13"/>
        <v>9640.2083983922839</v>
      </c>
      <c r="GN17" s="142">
        <f t="shared" si="13"/>
        <v>10112.578609913506</v>
      </c>
      <c r="GO17" s="142">
        <f t="shared" si="13"/>
        <v>10608.094961799266</v>
      </c>
      <c r="GP17" s="142">
        <f t="shared" si="13"/>
        <v>11127.89161492743</v>
      </c>
      <c r="GQ17" s="142">
        <f t="shared" si="13"/>
        <v>11673.158304058874</v>
      </c>
      <c r="GR17" s="142">
        <f t="shared" si="13"/>
        <v>12245.143060957758</v>
      </c>
      <c r="GS17" s="142">
        <f t="shared" si="13"/>
        <v>12845.155070944687</v>
      </c>
      <c r="GT17" s="142">
        <f t="shared" si="13"/>
        <v>13474.567669420976</v>
      </c>
      <c r="GU17" s="142">
        <f t="shared" si="13"/>
        <v>14134.821485222603</v>
      </c>
      <c r="GV17" s="142">
        <f t="shared" si="13"/>
        <v>14827.427737998509</v>
      </c>
      <c r="GW17" s="142">
        <f t="shared" si="13"/>
        <v>15553.971697160434</v>
      </c>
      <c r="GX17" s="142">
        <f t="shared" si="13"/>
        <v>16316.116310321295</v>
      </c>
      <c r="GY17" s="142">
        <f t="shared" si="13"/>
        <v>17115.606009527037</v>
      </c>
      <c r="GZ17" s="142">
        <f t="shared" si="13"/>
        <v>17954.270703993861</v>
      </c>
      <c r="HA17" s="142">
        <f t="shared" si="13"/>
        <v>18834.029968489558</v>
      </c>
      <c r="HB17" s="142">
        <f t="shared" si="13"/>
        <v>19756.897436945546</v>
      </c>
      <c r="HC17" s="142">
        <f t="shared" si="13"/>
        <v>20724.985411355876</v>
      </c>
      <c r="HD17" s="142">
        <f t="shared" si="13"/>
        <v>21740.509696512312</v>
      </c>
      <c r="HE17" s="142">
        <f t="shared" si="13"/>
        <v>22805.794671641415</v>
      </c>
      <c r="HF17" s="142">
        <f t="shared" si="13"/>
        <v>23923.278610551843</v>
      </c>
      <c r="HG17" s="142">
        <f t="shared" si="13"/>
        <v>25095.519262468883</v>
      </c>
    </row>
    <row r="18" spans="1:215" ht="16.5" customHeight="1">
      <c r="A18" s="24">
        <f>IF(B18=0,"N/A",MAX(A15:A17)+1)</f>
        <v>6</v>
      </c>
      <c r="B18" s="25" t="str">
        <f>'MPG-11'!B18</f>
        <v>Pinnacle West Capital</v>
      </c>
      <c r="C18" s="113"/>
      <c r="D18" s="110">
        <f>'MPG-7'!D18</f>
        <v>44.177692307692304</v>
      </c>
      <c r="E18" s="110">
        <f>'MPG-7'!F18</f>
        <v>2.1</v>
      </c>
      <c r="F18" s="114">
        <f>'MPG-6'!M17</f>
        <v>5.2666666666666667E-2</v>
      </c>
      <c r="G18" s="112">
        <f t="shared" si="0"/>
        <v>5.2055555555555556E-2</v>
      </c>
      <c r="H18" s="112">
        <f t="shared" si="0"/>
        <v>5.1444444444444445E-2</v>
      </c>
      <c r="I18" s="112">
        <f t="shared" si="0"/>
        <v>5.0833333333333335E-2</v>
      </c>
      <c r="J18" s="112">
        <f t="shared" si="0"/>
        <v>5.0222222222222224E-2</v>
      </c>
      <c r="K18" s="112">
        <f t="shared" si="0"/>
        <v>4.9611111111111113E-2</v>
      </c>
      <c r="L18" s="128">
        <v>4.9000000000000002E-2</v>
      </c>
      <c r="M18" s="115">
        <f t="shared" si="1"/>
        <v>9.9990216308811608E-2</v>
      </c>
      <c r="O18" s="186">
        <f t="shared" si="2"/>
        <v>-44.177692307692304</v>
      </c>
      <c r="P18" s="142">
        <f t="shared" si="3"/>
        <v>2.2105999999999999</v>
      </c>
      <c r="Q18" s="142">
        <f t="shared" si="4"/>
        <v>2.327024933333333</v>
      </c>
      <c r="R18" s="142">
        <f t="shared" si="4"/>
        <v>2.449581579822222</v>
      </c>
      <c r="S18" s="142">
        <f t="shared" si="4"/>
        <v>2.5785928763595258</v>
      </c>
      <c r="T18" s="142">
        <f t="shared" si="4"/>
        <v>2.7143987678477943</v>
      </c>
      <c r="U18" s="142">
        <f t="shared" si="5"/>
        <v>2.8556983037074266</v>
      </c>
      <c r="V18" s="142">
        <f t="shared" si="5"/>
        <v>3.0026081164425973</v>
      </c>
      <c r="W18" s="142">
        <f t="shared" si="5"/>
        <v>3.1552406956950958</v>
      </c>
      <c r="X18" s="142">
        <f t="shared" si="5"/>
        <v>3.313703895078894</v>
      </c>
      <c r="Y18" s="142">
        <f t="shared" si="5"/>
        <v>3.4781004272069747</v>
      </c>
      <c r="Z18" s="142">
        <f t="shared" si="11"/>
        <v>3.6485273481401164</v>
      </c>
      <c r="AA18" s="142">
        <f t="shared" si="11"/>
        <v>3.8273051881989817</v>
      </c>
      <c r="AB18" s="142">
        <f t="shared" si="11"/>
        <v>4.0148431424207311</v>
      </c>
      <c r="AC18" s="142">
        <f t="shared" si="11"/>
        <v>4.2115704563993468</v>
      </c>
      <c r="AD18" s="142">
        <f t="shared" si="11"/>
        <v>4.4179374087629144</v>
      </c>
      <c r="AE18" s="142">
        <f t="shared" si="11"/>
        <v>4.6344163417922966</v>
      </c>
      <c r="AF18" s="142">
        <f t="shared" si="11"/>
        <v>4.8615027425401189</v>
      </c>
      <c r="AG18" s="142">
        <f t="shared" si="11"/>
        <v>5.0997163769245848</v>
      </c>
      <c r="AH18" s="142">
        <f t="shared" si="11"/>
        <v>5.349602479393889</v>
      </c>
      <c r="AI18" s="142">
        <f t="shared" si="11"/>
        <v>5.6117330008841888</v>
      </c>
      <c r="AJ18" s="142">
        <f t="shared" si="11"/>
        <v>5.8867079179275139</v>
      </c>
      <c r="AK18" s="142">
        <f t="shared" si="11"/>
        <v>6.1751566059059613</v>
      </c>
      <c r="AL18" s="142">
        <f t="shared" si="11"/>
        <v>6.4777392795953528</v>
      </c>
      <c r="AM18" s="142">
        <f t="shared" si="11"/>
        <v>6.7951485042955246</v>
      </c>
      <c r="AN18" s="142">
        <f t="shared" si="11"/>
        <v>7.1281107810060051</v>
      </c>
      <c r="AO18" s="142">
        <f t="shared" si="11"/>
        <v>7.4773882092752988</v>
      </c>
      <c r="AP18" s="142">
        <f t="shared" si="11"/>
        <v>7.843780231529788</v>
      </c>
      <c r="AQ18" s="142">
        <f t="shared" si="11"/>
        <v>8.2281254628747469</v>
      </c>
      <c r="AR18" s="142">
        <f t="shared" si="11"/>
        <v>8.6313036105556087</v>
      </c>
      <c r="AS18" s="142">
        <f t="shared" si="11"/>
        <v>9.0542374874728324</v>
      </c>
      <c r="AT18" s="142">
        <f t="shared" si="11"/>
        <v>9.4978951243590011</v>
      </c>
      <c r="AU18" s="142">
        <f t="shared" si="11"/>
        <v>9.9632919854525923</v>
      </c>
      <c r="AV18" s="142">
        <f t="shared" si="11"/>
        <v>10.451493292739769</v>
      </c>
      <c r="AW18" s="142">
        <f t="shared" si="11"/>
        <v>10.963616464084017</v>
      </c>
      <c r="AX18" s="142">
        <f t="shared" si="11"/>
        <v>11.500833670824134</v>
      </c>
      <c r="AY18" s="142">
        <f t="shared" si="11"/>
        <v>12.064374520694516</v>
      </c>
      <c r="AZ18" s="142">
        <f t="shared" si="11"/>
        <v>12.655528872208546</v>
      </c>
      <c r="BA18" s="142">
        <f t="shared" si="11"/>
        <v>13.275649786946763</v>
      </c>
      <c r="BB18" s="142">
        <f t="shared" si="11"/>
        <v>13.926156626507154</v>
      </c>
      <c r="BC18" s="142">
        <f t="shared" si="11"/>
        <v>14.608538301206003</v>
      </c>
      <c r="BD18" s="142">
        <f t="shared" si="11"/>
        <v>15.324356677965097</v>
      </c>
      <c r="BE18" s="142">
        <f t="shared" si="11"/>
        <v>16.075250155185387</v>
      </c>
      <c r="BF18" s="142">
        <f t="shared" si="11"/>
        <v>16.862937412789471</v>
      </c>
      <c r="BG18" s="142">
        <f t="shared" si="11"/>
        <v>17.689221346016154</v>
      </c>
      <c r="BH18" s="142">
        <f t="shared" si="11"/>
        <v>18.555993191970945</v>
      </c>
      <c r="BI18" s="142">
        <f t="shared" si="11"/>
        <v>19.465236858377519</v>
      </c>
      <c r="BJ18" s="142">
        <f t="shared" si="11"/>
        <v>20.419033464438016</v>
      </c>
      <c r="BK18" s="142">
        <f t="shared" si="11"/>
        <v>21.419566104195479</v>
      </c>
      <c r="BL18" s="142">
        <f t="shared" si="11"/>
        <v>22.469124843301056</v>
      </c>
      <c r="BM18" s="142">
        <f t="shared" si="11"/>
        <v>23.570111960622807</v>
      </c>
      <c r="BN18" s="142">
        <f t="shared" si="11"/>
        <v>24.725047446693324</v>
      </c>
      <c r="BO18" s="142">
        <f t="shared" si="11"/>
        <v>25.936574771581295</v>
      </c>
      <c r="BP18" s="142">
        <f t="shared" si="11"/>
        <v>27.207466935388776</v>
      </c>
      <c r="BQ18" s="142">
        <f t="shared" si="11"/>
        <v>28.540632815222825</v>
      </c>
      <c r="BR18" s="142">
        <f t="shared" si="11"/>
        <v>29.939123823168742</v>
      </c>
      <c r="BS18" s="142">
        <f t="shared" si="11"/>
        <v>31.406140890504009</v>
      </c>
      <c r="BT18" s="142">
        <f t="shared" si="11"/>
        <v>32.945041794138703</v>
      </c>
      <c r="BU18" s="142">
        <f t="shared" si="11"/>
        <v>34.559348842051499</v>
      </c>
      <c r="BV18" s="142">
        <f t="shared" si="11"/>
        <v>36.252756935312021</v>
      </c>
      <c r="BW18" s="142">
        <f t="shared" si="11"/>
        <v>38.029142025142306</v>
      </c>
      <c r="BX18" s="142">
        <f t="shared" si="11"/>
        <v>39.892569984374276</v>
      </c>
      <c r="BY18" s="142">
        <f t="shared" si="11"/>
        <v>41.847305913608615</v>
      </c>
      <c r="BZ18" s="142">
        <f t="shared" si="11"/>
        <v>43.897823903375432</v>
      </c>
      <c r="CA18" s="142">
        <f t="shared" si="11"/>
        <v>46.048817274640825</v>
      </c>
      <c r="CB18" s="142">
        <f t="shared" si="11"/>
        <v>48.305209321098225</v>
      </c>
      <c r="CC18" s="142">
        <f t="shared" si="11"/>
        <v>50.672164577832035</v>
      </c>
      <c r="CD18" s="142">
        <f t="shared" si="11"/>
        <v>53.155100642145804</v>
      </c>
      <c r="CE18" s="142">
        <f t="shared" si="11"/>
        <v>55.759700573610942</v>
      </c>
      <c r="CF18" s="142">
        <f t="shared" si="11"/>
        <v>58.491925901717877</v>
      </c>
      <c r="CG18" s="142">
        <f t="shared" si="11"/>
        <v>61.358030270902049</v>
      </c>
      <c r="CH18" s="142">
        <f t="shared" si="11"/>
        <v>64.364573754176249</v>
      </c>
      <c r="CI18" s="142">
        <f t="shared" si="11"/>
        <v>67.518437868130874</v>
      </c>
      <c r="CJ18" s="142">
        <f t="shared" si="11"/>
        <v>70.826841323669285</v>
      </c>
      <c r="CK18" s="142">
        <f t="shared" si="11"/>
        <v>74.297356548529081</v>
      </c>
      <c r="CL18" s="142">
        <f t="shared" si="12"/>
        <v>77.937927019406999</v>
      </c>
      <c r="CM18" s="142">
        <f t="shared" si="12"/>
        <v>81.75688544335793</v>
      </c>
      <c r="CN18" s="142">
        <f t="shared" si="12"/>
        <v>85.762972830082461</v>
      </c>
      <c r="CO18" s="142">
        <f t="shared" si="12"/>
        <v>89.965358498756501</v>
      </c>
      <c r="CP18" s="142">
        <f t="shared" si="12"/>
        <v>94.373661065195563</v>
      </c>
      <c r="CQ18" s="142">
        <f t="shared" si="12"/>
        <v>98.997970457390139</v>
      </c>
      <c r="CR18" s="142">
        <f t="shared" si="12"/>
        <v>103.84887100980225</v>
      </c>
      <c r="CS18" s="142">
        <f t="shared" si="12"/>
        <v>108.93746568928256</v>
      </c>
      <c r="CT18" s="142">
        <f t="shared" si="12"/>
        <v>114.2754015080574</v>
      </c>
      <c r="CU18" s="142">
        <f t="shared" si="12"/>
        <v>119.87489618195221</v>
      </c>
      <c r="CV18" s="142">
        <f t="shared" si="12"/>
        <v>125.74876609486786</v>
      </c>
      <c r="CW18" s="142">
        <f t="shared" si="12"/>
        <v>131.91045563351636</v>
      </c>
      <c r="CX18" s="142">
        <f t="shared" si="12"/>
        <v>138.37406795955866</v>
      </c>
      <c r="CY18" s="142">
        <f t="shared" si="12"/>
        <v>145.15439728957702</v>
      </c>
      <c r="CZ18" s="142">
        <f t="shared" si="12"/>
        <v>152.26696275676628</v>
      </c>
      <c r="DA18" s="142">
        <f t="shared" si="12"/>
        <v>159.72804393184782</v>
      </c>
      <c r="DB18" s="142">
        <f t="shared" si="12"/>
        <v>167.55471808450835</v>
      </c>
      <c r="DC18" s="142">
        <f t="shared" si="12"/>
        <v>175.76489927064924</v>
      </c>
      <c r="DD18" s="142">
        <f t="shared" si="12"/>
        <v>184.37737933491104</v>
      </c>
      <c r="DE18" s="142">
        <f t="shared" si="12"/>
        <v>193.41187092232167</v>
      </c>
      <c r="DF18" s="142">
        <f t="shared" si="12"/>
        <v>202.88905259751542</v>
      </c>
      <c r="DG18" s="142">
        <f t="shared" si="12"/>
        <v>212.83061617479365</v>
      </c>
      <c r="DH18" s="142">
        <f t="shared" si="12"/>
        <v>223.25931636735851</v>
      </c>
      <c r="DI18" s="142">
        <f t="shared" si="12"/>
        <v>234.19902286935906</v>
      </c>
      <c r="DJ18" s="142">
        <f t="shared" si="12"/>
        <v>245.67477498995763</v>
      </c>
      <c r="DK18" s="142">
        <f t="shared" si="12"/>
        <v>257.71283896446556</v>
      </c>
      <c r="DL18" s="142">
        <f t="shared" si="12"/>
        <v>270.34076807372435</v>
      </c>
      <c r="DM18" s="142">
        <f t="shared" si="12"/>
        <v>283.58746570933681</v>
      </c>
      <c r="DN18" s="142">
        <f t="shared" si="12"/>
        <v>297.48325152909428</v>
      </c>
      <c r="DO18" s="142">
        <f t="shared" si="12"/>
        <v>312.05993085401985</v>
      </c>
      <c r="DP18" s="142">
        <f t="shared" si="12"/>
        <v>327.35086746586683</v>
      </c>
      <c r="DQ18" s="142">
        <f t="shared" si="12"/>
        <v>343.39105997169429</v>
      </c>
      <c r="DR18" s="142">
        <f t="shared" si="12"/>
        <v>360.21722191030727</v>
      </c>
      <c r="DS18" s="142">
        <f t="shared" si="12"/>
        <v>377.86786578391229</v>
      </c>
      <c r="DT18" s="142">
        <f t="shared" si="12"/>
        <v>396.383391207324</v>
      </c>
      <c r="DU18" s="142">
        <f t="shared" si="12"/>
        <v>415.80617737648282</v>
      </c>
      <c r="DV18" s="142">
        <f t="shared" si="12"/>
        <v>436.18068006793044</v>
      </c>
      <c r="DW18" s="142">
        <f t="shared" si="12"/>
        <v>457.55353339125901</v>
      </c>
      <c r="DX18" s="142">
        <f t="shared" si="12"/>
        <v>479.97365652743065</v>
      </c>
      <c r="DY18" s="142">
        <f t="shared" si="12"/>
        <v>503.49236569727469</v>
      </c>
      <c r="DZ18" s="142">
        <f t="shared" si="12"/>
        <v>528.16349161644109</v>
      </c>
      <c r="EA18" s="142">
        <f t="shared" si="12"/>
        <v>554.04350270564669</v>
      </c>
      <c r="EB18" s="142">
        <f t="shared" si="12"/>
        <v>581.19163433822337</v>
      </c>
      <c r="EC18" s="142">
        <f t="shared" si="12"/>
        <v>609.67002442079627</v>
      </c>
      <c r="ED18" s="142">
        <f t="shared" si="12"/>
        <v>639.54385561741526</v>
      </c>
      <c r="EE18" s="142">
        <f t="shared" si="12"/>
        <v>670.88150454266861</v>
      </c>
      <c r="EF18" s="142">
        <f t="shared" si="12"/>
        <v>703.75469826525932</v>
      </c>
      <c r="EG18" s="142">
        <f t="shared" si="12"/>
        <v>738.23867848025702</v>
      </c>
      <c r="EH18" s="142">
        <f t="shared" si="12"/>
        <v>774.41237372578962</v>
      </c>
      <c r="EI18" s="142">
        <f t="shared" si="12"/>
        <v>812.35858003835324</v>
      </c>
      <c r="EJ18" s="142">
        <f t="shared" si="12"/>
        <v>852.16415046023246</v>
      </c>
      <c r="EK18" s="142">
        <f t="shared" si="12"/>
        <v>893.92019383278375</v>
      </c>
      <c r="EL18" s="142">
        <f t="shared" si="12"/>
        <v>937.72228333059013</v>
      </c>
      <c r="EM18" s="142">
        <f t="shared" si="12"/>
        <v>983.67067521378897</v>
      </c>
      <c r="EN18" s="142">
        <f t="shared" si="12"/>
        <v>1031.8705382992646</v>
      </c>
      <c r="EO18" s="142">
        <f t="shared" si="12"/>
        <v>1082.4321946759285</v>
      </c>
      <c r="EP18" s="142">
        <f t="shared" si="12"/>
        <v>1135.4713722150489</v>
      </c>
      <c r="EQ18" s="142">
        <f t="shared" si="12"/>
        <v>1191.1094694535861</v>
      </c>
      <c r="ER18" s="142">
        <f t="shared" si="12"/>
        <v>1249.4738334568117</v>
      </c>
      <c r="ES18" s="142">
        <f t="shared" si="12"/>
        <v>1310.6980512961954</v>
      </c>
      <c r="ET18" s="142">
        <f t="shared" si="12"/>
        <v>1374.922255809709</v>
      </c>
      <c r="EU18" s="142">
        <f t="shared" si="12"/>
        <v>1442.2934463443846</v>
      </c>
      <c r="EV18" s="142">
        <f t="shared" si="12"/>
        <v>1512.9658252152594</v>
      </c>
      <c r="EW18" s="142">
        <f t="shared" si="12"/>
        <v>1587.1011506508071</v>
      </c>
      <c r="EX18" s="142">
        <f t="shared" ref="EX18:GC21" si="14">EW18*(1+$L18)</f>
        <v>1664.8691070326965</v>
      </c>
      <c r="EY18" s="142">
        <f t="shared" si="14"/>
        <v>1746.4476932772986</v>
      </c>
      <c r="EZ18" s="142">
        <f t="shared" si="14"/>
        <v>1832.0236302478861</v>
      </c>
      <c r="FA18" s="142">
        <f t="shared" si="14"/>
        <v>1921.7927881300325</v>
      </c>
      <c r="FB18" s="142">
        <f t="shared" si="14"/>
        <v>2015.9606347484039</v>
      </c>
      <c r="FC18" s="142">
        <f t="shared" si="14"/>
        <v>2114.7427058510757</v>
      </c>
      <c r="FD18" s="142">
        <f t="shared" si="14"/>
        <v>2218.3650984377782</v>
      </c>
      <c r="FE18" s="142">
        <f t="shared" si="14"/>
        <v>2327.0649882612292</v>
      </c>
      <c r="FF18" s="142">
        <f t="shared" si="14"/>
        <v>2441.0911726860295</v>
      </c>
      <c r="FG18" s="142">
        <f t="shared" si="14"/>
        <v>2560.7046401476446</v>
      </c>
      <c r="FH18" s="142">
        <f t="shared" si="14"/>
        <v>2686.1791675148788</v>
      </c>
      <c r="FI18" s="142">
        <f t="shared" si="14"/>
        <v>2817.8019467231079</v>
      </c>
      <c r="FJ18" s="142">
        <f t="shared" si="14"/>
        <v>2955.8742421125398</v>
      </c>
      <c r="FK18" s="142">
        <f t="shared" si="14"/>
        <v>3100.7120799760542</v>
      </c>
      <c r="FL18" s="142">
        <f t="shared" si="14"/>
        <v>3252.6469718948806</v>
      </c>
      <c r="FM18" s="142">
        <f t="shared" si="14"/>
        <v>3412.0266735177297</v>
      </c>
      <c r="FN18" s="142">
        <f t="shared" si="14"/>
        <v>3579.2159805200981</v>
      </c>
      <c r="FO18" s="142">
        <f t="shared" si="14"/>
        <v>3754.5975635655827</v>
      </c>
      <c r="FP18" s="142">
        <f t="shared" si="14"/>
        <v>3938.5728441802962</v>
      </c>
      <c r="FQ18" s="142">
        <f t="shared" si="14"/>
        <v>4131.5629135451309</v>
      </c>
      <c r="FR18" s="142">
        <f t="shared" si="14"/>
        <v>4334.0094963088422</v>
      </c>
      <c r="FS18" s="142">
        <f t="shared" si="14"/>
        <v>4546.3759616279749</v>
      </c>
      <c r="FT18" s="142">
        <f t="shared" si="14"/>
        <v>4769.1483837477454</v>
      </c>
      <c r="FU18" s="142">
        <f t="shared" si="14"/>
        <v>5002.8366545513845</v>
      </c>
      <c r="FV18" s="142">
        <f t="shared" si="14"/>
        <v>5247.9756506244021</v>
      </c>
      <c r="FW18" s="142">
        <f t="shared" si="14"/>
        <v>5505.1264575049972</v>
      </c>
      <c r="FX18" s="142">
        <f t="shared" si="14"/>
        <v>5774.877653922742</v>
      </c>
      <c r="FY18" s="142">
        <f t="shared" si="14"/>
        <v>6057.8466589649561</v>
      </c>
      <c r="FZ18" s="142">
        <f t="shared" si="14"/>
        <v>6354.6811452542388</v>
      </c>
      <c r="GA18" s="142">
        <f t="shared" si="14"/>
        <v>6666.0605213716963</v>
      </c>
      <c r="GB18" s="142">
        <f t="shared" si="14"/>
        <v>6992.6974869189089</v>
      </c>
      <c r="GC18" s="142">
        <f t="shared" si="14"/>
        <v>7335.3396637779351</v>
      </c>
      <c r="GD18" s="142">
        <f t="shared" si="13"/>
        <v>7694.7713073030536</v>
      </c>
      <c r="GE18" s="142">
        <f t="shared" si="13"/>
        <v>8071.8151013609031</v>
      </c>
      <c r="GF18" s="142">
        <f t="shared" si="13"/>
        <v>8467.3340413275873</v>
      </c>
      <c r="GG18" s="142">
        <f t="shared" si="13"/>
        <v>8882.2334093526388</v>
      </c>
      <c r="GH18" s="142">
        <f t="shared" si="13"/>
        <v>9317.4628464109173</v>
      </c>
      <c r="GI18" s="142">
        <f t="shared" si="13"/>
        <v>9774.0185258850524</v>
      </c>
      <c r="GJ18" s="142">
        <f t="shared" si="13"/>
        <v>10252.94543365342</v>
      </c>
      <c r="GK18" s="142">
        <f t="shared" si="13"/>
        <v>10755.339759902437</v>
      </c>
      <c r="GL18" s="142">
        <f t="shared" si="13"/>
        <v>11282.351408137656</v>
      </c>
      <c r="GM18" s="142">
        <f t="shared" si="13"/>
        <v>11835.1866271364</v>
      </c>
      <c r="GN18" s="142">
        <f t="shared" si="13"/>
        <v>12415.110771866082</v>
      </c>
      <c r="GO18" s="142">
        <f t="shared" si="13"/>
        <v>13023.451199687519</v>
      </c>
      <c r="GP18" s="142">
        <f t="shared" si="13"/>
        <v>13661.600308472207</v>
      </c>
      <c r="GQ18" s="142">
        <f t="shared" si="13"/>
        <v>14331.018723587344</v>
      </c>
      <c r="GR18" s="142">
        <f t="shared" si="13"/>
        <v>15033.238641043123</v>
      </c>
      <c r="GS18" s="142">
        <f t="shared" si="13"/>
        <v>15769.867334454235</v>
      </c>
      <c r="GT18" s="142">
        <f t="shared" si="13"/>
        <v>16542.590833842492</v>
      </c>
      <c r="GU18" s="142">
        <f t="shared" si="13"/>
        <v>17353.177784700772</v>
      </c>
      <c r="GV18" s="142">
        <f t="shared" si="13"/>
        <v>18203.483496151108</v>
      </c>
      <c r="GW18" s="142">
        <f t="shared" si="13"/>
        <v>19095.45418746251</v>
      </c>
      <c r="GX18" s="142">
        <f t="shared" si="13"/>
        <v>20031.131442648173</v>
      </c>
      <c r="GY18" s="142">
        <f t="shared" si="13"/>
        <v>21012.656883337932</v>
      </c>
      <c r="GZ18" s="142">
        <f t="shared" si="13"/>
        <v>22042.277070621487</v>
      </c>
      <c r="HA18" s="142">
        <f t="shared" si="13"/>
        <v>23122.348647081937</v>
      </c>
      <c r="HB18" s="142">
        <f t="shared" si="13"/>
        <v>24255.343730788951</v>
      </c>
      <c r="HC18" s="142">
        <f t="shared" si="13"/>
        <v>25443.855573597608</v>
      </c>
      <c r="HD18" s="142">
        <f t="shared" si="13"/>
        <v>26690.604496703891</v>
      </c>
      <c r="HE18" s="142">
        <f t="shared" si="13"/>
        <v>27998.444117042378</v>
      </c>
      <c r="HF18" s="142">
        <f t="shared" si="13"/>
        <v>29370.367878777452</v>
      </c>
      <c r="HG18" s="142">
        <f t="shared" si="13"/>
        <v>30809.515904837546</v>
      </c>
    </row>
    <row r="19" spans="1:215" ht="16.5" customHeight="1">
      <c r="A19" s="24">
        <f>IF(B19=0,"N/A",MAX(A17:A18)+1)</f>
        <v>7</v>
      </c>
      <c r="B19" s="25" t="str">
        <f>'MPG-11'!B19</f>
        <v>TECO Energy</v>
      </c>
      <c r="C19" s="113"/>
      <c r="D19" s="110">
        <f>'MPG-7'!D19</f>
        <v>17.881169230769231</v>
      </c>
      <c r="E19" s="110">
        <f>'MPG-7'!F19</f>
        <v>0.86</v>
      </c>
      <c r="F19" s="114">
        <f>'MPG-6'!M18</f>
        <v>5.093333333333333E-2</v>
      </c>
      <c r="G19" s="112">
        <f t="shared" si="0"/>
        <v>5.0611111111111107E-2</v>
      </c>
      <c r="H19" s="112">
        <f t="shared" si="0"/>
        <v>5.0288888888888883E-2</v>
      </c>
      <c r="I19" s="112">
        <f t="shared" si="0"/>
        <v>4.9966666666666659E-2</v>
      </c>
      <c r="J19" s="112">
        <f t="shared" si="0"/>
        <v>4.9644444444444435E-2</v>
      </c>
      <c r="K19" s="112">
        <f t="shared" si="0"/>
        <v>4.9322222222222212E-2</v>
      </c>
      <c r="L19" s="128">
        <v>4.9000000000000002E-2</v>
      </c>
      <c r="M19" s="115">
        <f t="shared" si="1"/>
        <v>0.10004759115843202</v>
      </c>
      <c r="O19" s="186">
        <f t="shared" si="2"/>
        <v>-17.881169230769231</v>
      </c>
      <c r="P19" s="142">
        <f t="shared" si="3"/>
        <v>0.90380266666666664</v>
      </c>
      <c r="Q19" s="142">
        <f t="shared" si="4"/>
        <v>0.94983634915555548</v>
      </c>
      <c r="R19" s="142">
        <f t="shared" si="4"/>
        <v>0.9982146805392117</v>
      </c>
      <c r="S19" s="142">
        <f t="shared" si="4"/>
        <v>1.0490570816013423</v>
      </c>
      <c r="T19" s="142">
        <f t="shared" si="4"/>
        <v>1.1024890556242373</v>
      </c>
      <c r="U19" s="142">
        <f t="shared" si="5"/>
        <v>1.1582872517172196</v>
      </c>
      <c r="V19" s="142">
        <f t="shared" si="5"/>
        <v>1.2165362306202432</v>
      </c>
      <c r="W19" s="142">
        <f t="shared" si="5"/>
        <v>1.2773224909435681</v>
      </c>
      <c r="X19" s="142">
        <f t="shared" si="5"/>
        <v>1.3407344563828554</v>
      </c>
      <c r="Y19" s="142">
        <f t="shared" si="5"/>
        <v>1.4068624591815608</v>
      </c>
      <c r="Z19" s="142">
        <f t="shared" si="11"/>
        <v>1.4757987196814573</v>
      </c>
      <c r="AA19" s="142">
        <f t="shared" si="11"/>
        <v>1.5481128569458487</v>
      </c>
      <c r="AB19" s="142">
        <f t="shared" si="11"/>
        <v>1.6239703869361952</v>
      </c>
      <c r="AC19" s="142">
        <f t="shared" si="11"/>
        <v>1.7035449358960686</v>
      </c>
      <c r="AD19" s="142">
        <f t="shared" si="11"/>
        <v>1.7870186377549759</v>
      </c>
      <c r="AE19" s="142">
        <f t="shared" si="11"/>
        <v>1.8745825510049696</v>
      </c>
      <c r="AF19" s="142">
        <f t="shared" si="11"/>
        <v>1.966437096004213</v>
      </c>
      <c r="AG19" s="142">
        <f t="shared" si="11"/>
        <v>2.0627925137084193</v>
      </c>
      <c r="AH19" s="142">
        <f t="shared" si="11"/>
        <v>2.1638693468801318</v>
      </c>
      <c r="AI19" s="142">
        <f t="shared" si="11"/>
        <v>2.2698989448772582</v>
      </c>
      <c r="AJ19" s="142">
        <f t="shared" si="11"/>
        <v>2.3811239931762436</v>
      </c>
      <c r="AK19" s="142">
        <f t="shared" si="11"/>
        <v>2.4977990688418794</v>
      </c>
      <c r="AL19" s="142">
        <f t="shared" si="11"/>
        <v>2.6201912232151314</v>
      </c>
      <c r="AM19" s="142">
        <f t="shared" si="11"/>
        <v>2.7485805931526728</v>
      </c>
      <c r="AN19" s="142">
        <f t="shared" si="11"/>
        <v>2.8832610422171534</v>
      </c>
      <c r="AO19" s="142">
        <f t="shared" si="11"/>
        <v>3.0245408332857937</v>
      </c>
      <c r="AP19" s="142">
        <f t="shared" si="11"/>
        <v>3.1727433341167974</v>
      </c>
      <c r="AQ19" s="142">
        <f t="shared" si="11"/>
        <v>3.3282077574885203</v>
      </c>
      <c r="AR19" s="142">
        <f t="shared" si="11"/>
        <v>3.4912899376054574</v>
      </c>
      <c r="AS19" s="142">
        <f t="shared" si="11"/>
        <v>3.6623631445481246</v>
      </c>
      <c r="AT19" s="142">
        <f t="shared" si="11"/>
        <v>3.8418189386309827</v>
      </c>
      <c r="AU19" s="142">
        <f t="shared" si="11"/>
        <v>4.0300680666239002</v>
      </c>
      <c r="AV19" s="142">
        <f t="shared" si="11"/>
        <v>4.2275414018884714</v>
      </c>
      <c r="AW19" s="142">
        <f t="shared" si="11"/>
        <v>4.4346909305810058</v>
      </c>
      <c r="AX19" s="142">
        <f t="shared" si="11"/>
        <v>4.6519907861794749</v>
      </c>
      <c r="AY19" s="142">
        <f t="shared" si="11"/>
        <v>4.8799383347022687</v>
      </c>
      <c r="AZ19" s="142">
        <f t="shared" si="11"/>
        <v>5.1190553131026792</v>
      </c>
      <c r="BA19" s="142">
        <f t="shared" si="11"/>
        <v>5.3698890234447099</v>
      </c>
      <c r="BB19" s="142">
        <f t="shared" si="11"/>
        <v>5.6330135855935</v>
      </c>
      <c r="BC19" s="142">
        <f t="shared" si="11"/>
        <v>5.9090312512875807</v>
      </c>
      <c r="BD19" s="142">
        <f t="shared" si="11"/>
        <v>6.1985737826006719</v>
      </c>
      <c r="BE19" s="142">
        <f t="shared" si="11"/>
        <v>6.5023038979481047</v>
      </c>
      <c r="BF19" s="142">
        <f t="shared" si="11"/>
        <v>6.820916788947561</v>
      </c>
      <c r="BG19" s="142">
        <f t="shared" si="11"/>
        <v>7.1551417116059914</v>
      </c>
      <c r="BH19" s="142">
        <f t="shared" si="11"/>
        <v>7.5057436554746841</v>
      </c>
      <c r="BI19" s="142">
        <f t="shared" si="11"/>
        <v>7.8735250945929431</v>
      </c>
      <c r="BJ19" s="142">
        <f t="shared" si="11"/>
        <v>8.2593278242279968</v>
      </c>
      <c r="BK19" s="142">
        <f t="shared" si="11"/>
        <v>8.664034887615168</v>
      </c>
      <c r="BL19" s="142">
        <f t="shared" si="11"/>
        <v>9.0885725971083104</v>
      </c>
      <c r="BM19" s="142">
        <f t="shared" si="11"/>
        <v>9.5339126543666168</v>
      </c>
      <c r="BN19" s="142">
        <f t="shared" si="11"/>
        <v>10.00107437443058</v>
      </c>
      <c r="BO19" s="142">
        <f t="shared" si="11"/>
        <v>10.491127018777677</v>
      </c>
      <c r="BP19" s="142">
        <f t="shared" si="11"/>
        <v>11.005192242697783</v>
      </c>
      <c r="BQ19" s="142">
        <f t="shared" si="11"/>
        <v>11.544446662589973</v>
      </c>
      <c r="BR19" s="142">
        <f t="shared" si="11"/>
        <v>12.110124549056881</v>
      </c>
      <c r="BS19" s="142">
        <f t="shared" si="11"/>
        <v>12.703520651960668</v>
      </c>
      <c r="BT19" s="142">
        <f t="shared" si="11"/>
        <v>13.325993163906739</v>
      </c>
      <c r="BU19" s="142">
        <f t="shared" si="11"/>
        <v>13.978966828938169</v>
      </c>
      <c r="BV19" s="142">
        <f t="shared" si="11"/>
        <v>14.663936203556139</v>
      </c>
      <c r="BW19" s="142">
        <f t="shared" si="11"/>
        <v>15.382469077530388</v>
      </c>
      <c r="BX19" s="142">
        <f t="shared" si="11"/>
        <v>16.136210062329376</v>
      </c>
      <c r="BY19" s="142">
        <f t="shared" si="11"/>
        <v>16.926884355383514</v>
      </c>
      <c r="BZ19" s="142">
        <f t="shared" si="11"/>
        <v>17.756301688797304</v>
      </c>
      <c r="CA19" s="142">
        <f t="shared" si="11"/>
        <v>18.62636047154837</v>
      </c>
      <c r="CB19" s="142">
        <f t="shared" si="11"/>
        <v>19.539052134654238</v>
      </c>
      <c r="CC19" s="142">
        <f t="shared" si="11"/>
        <v>20.496465689252293</v>
      </c>
      <c r="CD19" s="142">
        <f t="shared" si="11"/>
        <v>21.500792508025654</v>
      </c>
      <c r="CE19" s="142">
        <f t="shared" si="11"/>
        <v>22.55433134091891</v>
      </c>
      <c r="CF19" s="142">
        <f t="shared" si="11"/>
        <v>23.659493576623934</v>
      </c>
      <c r="CG19" s="142">
        <f t="shared" si="11"/>
        <v>24.818808761878504</v>
      </c>
      <c r="CH19" s="142">
        <f t="shared" si="11"/>
        <v>26.034930391210548</v>
      </c>
      <c r="CI19" s="142">
        <f t="shared" si="11"/>
        <v>27.310641980379863</v>
      </c>
      <c r="CJ19" s="142">
        <f t="shared" si="11"/>
        <v>28.648863437418473</v>
      </c>
      <c r="CK19" s="142">
        <f t="shared" si="11"/>
        <v>30.052657745851977</v>
      </c>
      <c r="CL19" s="142">
        <f t="shared" si="12"/>
        <v>31.525237975398721</v>
      </c>
      <c r="CM19" s="142">
        <f t="shared" si="12"/>
        <v>33.069974636193258</v>
      </c>
      <c r="CN19" s="142">
        <f t="shared" si="12"/>
        <v>34.690403393366722</v>
      </c>
      <c r="CO19" s="142">
        <f t="shared" si="12"/>
        <v>36.390233159641689</v>
      </c>
      <c r="CP19" s="142">
        <f t="shared" si="12"/>
        <v>38.173354584464128</v>
      </c>
      <c r="CQ19" s="142">
        <f t="shared" si="12"/>
        <v>40.043848959102867</v>
      </c>
      <c r="CR19" s="142">
        <f t="shared" si="12"/>
        <v>42.005997558098905</v>
      </c>
      <c r="CS19" s="142">
        <f t="shared" si="12"/>
        <v>44.06429143844575</v>
      </c>
      <c r="CT19" s="142">
        <f t="shared" si="12"/>
        <v>46.223441718929585</v>
      </c>
      <c r="CU19" s="142">
        <f t="shared" si="12"/>
        <v>48.48839036315713</v>
      </c>
      <c r="CV19" s="142">
        <f t="shared" si="12"/>
        <v>50.864321490951824</v>
      </c>
      <c r="CW19" s="142">
        <f t="shared" si="12"/>
        <v>53.356673244008462</v>
      </c>
      <c r="CX19" s="142">
        <f t="shared" si="12"/>
        <v>55.971150232964874</v>
      </c>
      <c r="CY19" s="142">
        <f t="shared" si="12"/>
        <v>58.713736594380151</v>
      </c>
      <c r="CZ19" s="142">
        <f t="shared" si="12"/>
        <v>61.590709687504777</v>
      </c>
      <c r="DA19" s="142">
        <f t="shared" si="12"/>
        <v>64.608654462192504</v>
      </c>
      <c r="DB19" s="142">
        <f t="shared" si="12"/>
        <v>67.774478530839929</v>
      </c>
      <c r="DC19" s="142">
        <f t="shared" si="12"/>
        <v>71.095427978851077</v>
      </c>
      <c r="DD19" s="142">
        <f t="shared" si="12"/>
        <v>74.57910394981478</v>
      </c>
      <c r="DE19" s="142">
        <f t="shared" si="12"/>
        <v>78.233480043355698</v>
      </c>
      <c r="DF19" s="142">
        <f t="shared" si="12"/>
        <v>82.066920565480117</v>
      </c>
      <c r="DG19" s="142">
        <f t="shared" si="12"/>
        <v>86.08819967318864</v>
      </c>
      <c r="DH19" s="142">
        <f t="shared" si="12"/>
        <v>90.306521457174881</v>
      </c>
      <c r="DI19" s="142">
        <f t="shared" si="12"/>
        <v>94.731541008576443</v>
      </c>
      <c r="DJ19" s="142">
        <f t="shared" si="12"/>
        <v>99.373386517996678</v>
      </c>
      <c r="DK19" s="142">
        <f t="shared" si="12"/>
        <v>104.24268245737851</v>
      </c>
      <c r="DL19" s="142">
        <f t="shared" si="12"/>
        <v>109.35057389779004</v>
      </c>
      <c r="DM19" s="142">
        <f t="shared" si="12"/>
        <v>114.70875201878175</v>
      </c>
      <c r="DN19" s="142">
        <f t="shared" si="12"/>
        <v>120.32948086770205</v>
      </c>
      <c r="DO19" s="142">
        <f t="shared" si="12"/>
        <v>126.22562543021944</v>
      </c>
      <c r="DP19" s="142">
        <f t="shared" si="12"/>
        <v>132.41068107630019</v>
      </c>
      <c r="DQ19" s="142">
        <f t="shared" si="12"/>
        <v>138.89880444903889</v>
      </c>
      <c r="DR19" s="142">
        <f t="shared" si="12"/>
        <v>145.7048458670418</v>
      </c>
      <c r="DS19" s="142">
        <f t="shared" si="12"/>
        <v>152.84438331452682</v>
      </c>
      <c r="DT19" s="142">
        <f t="shared" si="12"/>
        <v>160.33375809693862</v>
      </c>
      <c r="DU19" s="142">
        <f t="shared" si="12"/>
        <v>168.19011224368862</v>
      </c>
      <c r="DV19" s="142">
        <f t="shared" si="12"/>
        <v>176.43142774362934</v>
      </c>
      <c r="DW19" s="142">
        <f t="shared" si="12"/>
        <v>185.07656770306716</v>
      </c>
      <c r="DX19" s="142">
        <f t="shared" si="12"/>
        <v>194.14531952051743</v>
      </c>
      <c r="DY19" s="142">
        <f t="shared" si="12"/>
        <v>203.65844017702278</v>
      </c>
      <c r="DZ19" s="142">
        <f t="shared" si="12"/>
        <v>213.63770374569688</v>
      </c>
      <c r="EA19" s="142">
        <f t="shared" si="12"/>
        <v>224.10595122923601</v>
      </c>
      <c r="EB19" s="142">
        <f t="shared" si="12"/>
        <v>235.08714283946856</v>
      </c>
      <c r="EC19" s="142">
        <f t="shared" si="12"/>
        <v>246.60641283860249</v>
      </c>
      <c r="ED19" s="142">
        <f t="shared" si="12"/>
        <v>258.69012706769399</v>
      </c>
      <c r="EE19" s="142">
        <f t="shared" si="12"/>
        <v>271.365943294011</v>
      </c>
      <c r="EF19" s="142">
        <f t="shared" si="12"/>
        <v>284.66287451541751</v>
      </c>
      <c r="EG19" s="142">
        <f t="shared" si="12"/>
        <v>298.61135536667297</v>
      </c>
      <c r="EH19" s="142">
        <f t="shared" si="12"/>
        <v>313.2433117796399</v>
      </c>
      <c r="EI19" s="142">
        <f t="shared" si="12"/>
        <v>328.59223405684224</v>
      </c>
      <c r="EJ19" s="142">
        <f t="shared" si="12"/>
        <v>344.69325352562748</v>
      </c>
      <c r="EK19" s="142">
        <f t="shared" si="12"/>
        <v>361.5832229483832</v>
      </c>
      <c r="EL19" s="142">
        <f t="shared" si="12"/>
        <v>379.30080087285393</v>
      </c>
      <c r="EM19" s="142">
        <f t="shared" si="12"/>
        <v>397.88654011562375</v>
      </c>
      <c r="EN19" s="142">
        <f t="shared" si="12"/>
        <v>417.3829805812893</v>
      </c>
      <c r="EO19" s="142">
        <f t="shared" si="12"/>
        <v>437.83474662977244</v>
      </c>
      <c r="EP19" s="142">
        <f t="shared" si="12"/>
        <v>459.28864921463128</v>
      </c>
      <c r="EQ19" s="142">
        <f t="shared" si="12"/>
        <v>481.79379302614819</v>
      </c>
      <c r="ER19" s="142">
        <f t="shared" si="12"/>
        <v>505.4016888844294</v>
      </c>
      <c r="ES19" s="142">
        <f t="shared" si="12"/>
        <v>530.16637163976645</v>
      </c>
      <c r="ET19" s="142">
        <f t="shared" si="12"/>
        <v>556.14452385011498</v>
      </c>
      <c r="EU19" s="142">
        <f t="shared" si="12"/>
        <v>583.39560551877059</v>
      </c>
      <c r="EV19" s="142">
        <f t="shared" si="12"/>
        <v>611.98199018919036</v>
      </c>
      <c r="EW19" s="142">
        <f t="shared" si="12"/>
        <v>641.96910770846068</v>
      </c>
      <c r="EX19" s="142">
        <f t="shared" si="14"/>
        <v>673.42559398617516</v>
      </c>
      <c r="EY19" s="142">
        <f t="shared" si="14"/>
        <v>706.42344809149768</v>
      </c>
      <c r="EZ19" s="142">
        <f t="shared" si="14"/>
        <v>741.03819704798104</v>
      </c>
      <c r="FA19" s="142">
        <f t="shared" si="14"/>
        <v>777.34906870333202</v>
      </c>
      <c r="FB19" s="142">
        <f t="shared" si="14"/>
        <v>815.43917306979529</v>
      </c>
      <c r="FC19" s="142">
        <f t="shared" si="14"/>
        <v>855.39569255021524</v>
      </c>
      <c r="FD19" s="142">
        <f t="shared" si="14"/>
        <v>897.31008148517571</v>
      </c>
      <c r="FE19" s="142">
        <f t="shared" si="14"/>
        <v>941.27827547794925</v>
      </c>
      <c r="FF19" s="142">
        <f t="shared" si="14"/>
        <v>987.40091097636866</v>
      </c>
      <c r="FG19" s="142">
        <f t="shared" si="14"/>
        <v>1035.7835556142106</v>
      </c>
      <c r="FH19" s="142">
        <f t="shared" si="14"/>
        <v>1086.5369498393068</v>
      </c>
      <c r="FI19" s="142">
        <f t="shared" si="14"/>
        <v>1139.7772603814328</v>
      </c>
      <c r="FJ19" s="142">
        <f t="shared" si="14"/>
        <v>1195.6263461401229</v>
      </c>
      <c r="FK19" s="142">
        <f t="shared" si="14"/>
        <v>1254.2120371009889</v>
      </c>
      <c r="FL19" s="142">
        <f t="shared" si="14"/>
        <v>1315.6684269189373</v>
      </c>
      <c r="FM19" s="142">
        <f t="shared" si="14"/>
        <v>1380.1361798379651</v>
      </c>
      <c r="FN19" s="142">
        <f t="shared" si="14"/>
        <v>1447.7628526500253</v>
      </c>
      <c r="FO19" s="142">
        <f t="shared" si="14"/>
        <v>1518.7032324298764</v>
      </c>
      <c r="FP19" s="142">
        <f t="shared" si="14"/>
        <v>1593.1196908189402</v>
      </c>
      <c r="FQ19" s="142">
        <f t="shared" si="14"/>
        <v>1671.1825556690681</v>
      </c>
      <c r="FR19" s="142">
        <f t="shared" si="14"/>
        <v>1753.0705008968523</v>
      </c>
      <c r="FS19" s="142">
        <f t="shared" si="14"/>
        <v>1838.970955440798</v>
      </c>
      <c r="FT19" s="142">
        <f t="shared" si="14"/>
        <v>1929.080532257397</v>
      </c>
      <c r="FU19" s="142">
        <f t="shared" si="14"/>
        <v>2023.6054783380093</v>
      </c>
      <c r="FV19" s="142">
        <f t="shared" si="14"/>
        <v>2122.7621467765716</v>
      </c>
      <c r="FW19" s="142">
        <f t="shared" si="14"/>
        <v>2226.7774919686235</v>
      </c>
      <c r="FX19" s="142">
        <f t="shared" si="14"/>
        <v>2335.889589075086</v>
      </c>
      <c r="FY19" s="142">
        <f t="shared" si="14"/>
        <v>2450.3481789397651</v>
      </c>
      <c r="FZ19" s="142">
        <f t="shared" si="14"/>
        <v>2570.4152397078133</v>
      </c>
      <c r="GA19" s="142">
        <f t="shared" si="14"/>
        <v>2696.3655864534958</v>
      </c>
      <c r="GB19" s="142">
        <f t="shared" si="14"/>
        <v>2828.4875001897167</v>
      </c>
      <c r="GC19" s="142">
        <f t="shared" si="14"/>
        <v>2967.0833876990127</v>
      </c>
      <c r="GD19" s="142">
        <f t="shared" si="13"/>
        <v>3112.470473696264</v>
      </c>
      <c r="GE19" s="142">
        <f t="shared" si="13"/>
        <v>3264.9815269073806</v>
      </c>
      <c r="GF19" s="142">
        <f t="shared" si="13"/>
        <v>3424.9656217258421</v>
      </c>
      <c r="GG19" s="142">
        <f t="shared" si="13"/>
        <v>3592.788937190408</v>
      </c>
      <c r="GH19" s="142">
        <f t="shared" si="13"/>
        <v>3768.8355951127378</v>
      </c>
      <c r="GI19" s="142">
        <f t="shared" si="13"/>
        <v>3953.5085392732617</v>
      </c>
      <c r="GJ19" s="142">
        <f t="shared" si="13"/>
        <v>4147.2304576976512</v>
      </c>
      <c r="GK19" s="142">
        <f t="shared" si="13"/>
        <v>4350.444750124836</v>
      </c>
      <c r="GL19" s="142">
        <f t="shared" si="13"/>
        <v>4563.6165428809527</v>
      </c>
      <c r="GM19" s="142">
        <f t="shared" si="13"/>
        <v>4787.233753482119</v>
      </c>
      <c r="GN19" s="142">
        <f t="shared" si="13"/>
        <v>5021.8082074027425</v>
      </c>
      <c r="GO19" s="142">
        <f t="shared" si="13"/>
        <v>5267.8768095654768</v>
      </c>
      <c r="GP19" s="142">
        <f t="shared" si="13"/>
        <v>5526.002773234185</v>
      </c>
      <c r="GQ19" s="142">
        <f t="shared" si="13"/>
        <v>5796.7769091226601</v>
      </c>
      <c r="GR19" s="142">
        <f t="shared" si="13"/>
        <v>6080.8189776696699</v>
      </c>
      <c r="GS19" s="142">
        <f t="shared" si="13"/>
        <v>6378.7791075754831</v>
      </c>
      <c r="GT19" s="142">
        <f t="shared" si="13"/>
        <v>6691.3392838466816</v>
      </c>
      <c r="GU19" s="142">
        <f t="shared" si="13"/>
        <v>7019.2149087551688</v>
      </c>
      <c r="GV19" s="142">
        <f t="shared" si="13"/>
        <v>7363.1564392841719</v>
      </c>
      <c r="GW19" s="142">
        <f t="shared" si="13"/>
        <v>7723.9511048090963</v>
      </c>
      <c r="GX19" s="142">
        <f t="shared" si="13"/>
        <v>8102.4247089447417</v>
      </c>
      <c r="GY19" s="142">
        <f t="shared" si="13"/>
        <v>8499.4435196830327</v>
      </c>
      <c r="GZ19" s="142">
        <f t="shared" si="13"/>
        <v>8915.9162521475009</v>
      </c>
      <c r="HA19" s="142">
        <f t="shared" si="13"/>
        <v>9352.7961485027281</v>
      </c>
      <c r="HB19" s="142">
        <f t="shared" si="13"/>
        <v>9811.0831597793604</v>
      </c>
      <c r="HC19" s="142">
        <f t="shared" si="13"/>
        <v>10291.826234608548</v>
      </c>
      <c r="HD19" s="142">
        <f t="shared" si="13"/>
        <v>10796.125720104366</v>
      </c>
      <c r="HE19" s="142">
        <f t="shared" si="13"/>
        <v>11325.13588038948</v>
      </c>
      <c r="HF19" s="142">
        <f t="shared" si="13"/>
        <v>11880.067538528563</v>
      </c>
      <c r="HG19" s="142">
        <f t="shared" si="13"/>
        <v>12462.190847916461</v>
      </c>
    </row>
    <row r="20" spans="1:215" ht="16.5" customHeight="1">
      <c r="A20" s="24">
        <f>IF(B20=0,"N/A",MAX(A18:A19)+1)</f>
        <v>8</v>
      </c>
      <c r="B20" s="25" t="str">
        <f>'MPG-11'!B20</f>
        <v>Westar Energy</v>
      </c>
      <c r="C20" s="113"/>
      <c r="D20" s="110">
        <f>'MPG-7'!D20</f>
        <v>26.453188461538463</v>
      </c>
      <c r="E20" s="110">
        <f>'MPG-7'!F20</f>
        <v>1.28</v>
      </c>
      <c r="F20" s="114">
        <f>'MPG-6'!M19</f>
        <v>5.3433333333333333E-2</v>
      </c>
      <c r="G20" s="112">
        <f t="shared" si="0"/>
        <v>5.2694444444444447E-2</v>
      </c>
      <c r="H20" s="112">
        <f t="shared" si="0"/>
        <v>5.195555555555556E-2</v>
      </c>
      <c r="I20" s="112">
        <f t="shared" si="0"/>
        <v>5.1216666666666674E-2</v>
      </c>
      <c r="J20" s="112">
        <f t="shared" si="0"/>
        <v>5.0477777777777788E-2</v>
      </c>
      <c r="K20" s="112">
        <f t="shared" si="0"/>
        <v>4.9738888888888902E-2</v>
      </c>
      <c r="L20" s="128">
        <v>4.9000000000000002E-2</v>
      </c>
      <c r="M20" s="115">
        <f t="shared" si="1"/>
        <v>0.10114381673739707</v>
      </c>
      <c r="O20" s="186">
        <f t="shared" si="2"/>
        <v>-26.453188461538463</v>
      </c>
      <c r="P20" s="142">
        <f t="shared" si="3"/>
        <v>1.3483946666666669</v>
      </c>
      <c r="Q20" s="142">
        <f t="shared" si="4"/>
        <v>1.4204438883555559</v>
      </c>
      <c r="R20" s="142">
        <f t="shared" si="4"/>
        <v>1.4963429401233546</v>
      </c>
      <c r="S20" s="142">
        <f t="shared" si="4"/>
        <v>1.576297531223946</v>
      </c>
      <c r="T20" s="142">
        <f t="shared" si="4"/>
        <v>1.6605243626423456</v>
      </c>
      <c r="U20" s="142">
        <f t="shared" si="5"/>
        <v>1.7480247714182491</v>
      </c>
      <c r="V20" s="142">
        <f t="shared" si="5"/>
        <v>1.8388443695421572</v>
      </c>
      <c r="W20" s="142">
        <f t="shared" si="5"/>
        <v>1.9330238486688747</v>
      </c>
      <c r="X20" s="142">
        <f t="shared" si="5"/>
        <v>2.0305985969411271</v>
      </c>
      <c r="Y20" s="142">
        <f t="shared" si="5"/>
        <v>2.1315983149323157</v>
      </c>
      <c r="Z20" s="142">
        <f t="shared" si="11"/>
        <v>2.2360466323639989</v>
      </c>
      <c r="AA20" s="142">
        <f t="shared" si="11"/>
        <v>2.3456129173498348</v>
      </c>
      <c r="AB20" s="142">
        <f t="shared" si="11"/>
        <v>2.4605479502999765</v>
      </c>
      <c r="AC20" s="142">
        <f t="shared" si="11"/>
        <v>2.5811147998646753</v>
      </c>
      <c r="AD20" s="142">
        <f t="shared" si="11"/>
        <v>2.7075894250580443</v>
      </c>
      <c r="AE20" s="142">
        <f t="shared" si="11"/>
        <v>2.8402613068858882</v>
      </c>
      <c r="AF20" s="142">
        <f t="shared" si="11"/>
        <v>2.9794341109232967</v>
      </c>
      <c r="AG20" s="142">
        <f t="shared" si="11"/>
        <v>3.1254263823585382</v>
      </c>
      <c r="AH20" s="142">
        <f t="shared" si="11"/>
        <v>3.2785722750941062</v>
      </c>
      <c r="AI20" s="142">
        <f t="shared" si="11"/>
        <v>3.439222316573717</v>
      </c>
      <c r="AJ20" s="142">
        <f t="shared" si="11"/>
        <v>3.607744210085829</v>
      </c>
      <c r="AK20" s="142">
        <f t="shared" si="11"/>
        <v>3.7845236763800343</v>
      </c>
      <c r="AL20" s="142">
        <f t="shared" si="11"/>
        <v>3.9699653365226557</v>
      </c>
      <c r="AM20" s="142">
        <f t="shared" si="11"/>
        <v>4.1644936380122655</v>
      </c>
      <c r="AN20" s="142">
        <f t="shared" si="11"/>
        <v>4.3685538262748658</v>
      </c>
      <c r="AO20" s="142">
        <f t="shared" si="11"/>
        <v>4.5826129637623341</v>
      </c>
      <c r="AP20" s="142">
        <f t="shared" si="11"/>
        <v>4.8071609989866877</v>
      </c>
      <c r="AQ20" s="142">
        <f t="shared" si="11"/>
        <v>5.0427118879370347</v>
      </c>
      <c r="AR20" s="142">
        <f t="shared" si="11"/>
        <v>5.289804770445949</v>
      </c>
      <c r="AS20" s="142">
        <f t="shared" si="11"/>
        <v>5.5490052041978002</v>
      </c>
      <c r="AT20" s="142">
        <f t="shared" si="11"/>
        <v>5.820906459203492</v>
      </c>
      <c r="AU20" s="142">
        <f t="shared" si="11"/>
        <v>6.106130875704463</v>
      </c>
      <c r="AV20" s="142">
        <f t="shared" si="11"/>
        <v>6.405331288613981</v>
      </c>
      <c r="AW20" s="142">
        <f t="shared" si="11"/>
        <v>6.7191925217560655</v>
      </c>
      <c r="AX20" s="142">
        <f t="shared" si="11"/>
        <v>7.0484329553221121</v>
      </c>
      <c r="AY20" s="142">
        <f t="shared" si="11"/>
        <v>7.393806170132895</v>
      </c>
      <c r="AZ20" s="142">
        <f t="shared" si="11"/>
        <v>7.7561026724694067</v>
      </c>
      <c r="BA20" s="142">
        <f t="shared" si="11"/>
        <v>8.1361517034204063</v>
      </c>
      <c r="BB20" s="142">
        <f t="shared" si="11"/>
        <v>8.5348231368880061</v>
      </c>
      <c r="BC20" s="142">
        <f t="shared" si="11"/>
        <v>8.9530294705955171</v>
      </c>
      <c r="BD20" s="142">
        <f t="shared" si="11"/>
        <v>9.3917279146546964</v>
      </c>
      <c r="BE20" s="142">
        <f t="shared" si="11"/>
        <v>9.8519225824727759</v>
      </c>
      <c r="BF20" s="142">
        <f t="shared" si="11"/>
        <v>10.334666789013941</v>
      </c>
      <c r="BG20" s="142">
        <f t="shared" si="11"/>
        <v>10.841065461675623</v>
      </c>
      <c r="BH20" s="142">
        <f t="shared" si="11"/>
        <v>11.372277669297727</v>
      </c>
      <c r="BI20" s="142">
        <f t="shared" si="11"/>
        <v>11.929519275093314</v>
      </c>
      <c r="BJ20" s="142">
        <f t="shared" si="11"/>
        <v>12.514065719572885</v>
      </c>
      <c r="BK20" s="142">
        <f t="shared" si="11"/>
        <v>13.127254939831955</v>
      </c>
      <c r="BL20" s="142">
        <f t="shared" si="11"/>
        <v>13.77049043188372</v>
      </c>
      <c r="BM20" s="142">
        <f t="shared" si="11"/>
        <v>14.445244463046022</v>
      </c>
      <c r="BN20" s="142">
        <f t="shared" si="11"/>
        <v>15.153061441735275</v>
      </c>
      <c r="BO20" s="142">
        <f t="shared" si="11"/>
        <v>15.895561452380303</v>
      </c>
      <c r="BP20" s="142">
        <f t="shared" si="11"/>
        <v>16.674443963546938</v>
      </c>
      <c r="BQ20" s="142">
        <f t="shared" si="11"/>
        <v>17.491491717760738</v>
      </c>
      <c r="BR20" s="142">
        <f t="shared" si="11"/>
        <v>18.348574811931012</v>
      </c>
      <c r="BS20" s="142">
        <f t="shared" si="11"/>
        <v>19.24765497771563</v>
      </c>
      <c r="BT20" s="142">
        <f t="shared" si="11"/>
        <v>20.190790071623695</v>
      </c>
      <c r="BU20" s="142">
        <f t="shared" si="11"/>
        <v>21.180138785133256</v>
      </c>
      <c r="BV20" s="142">
        <f t="shared" si="11"/>
        <v>22.217965585604784</v>
      </c>
      <c r="BW20" s="142">
        <f t="shared" si="11"/>
        <v>23.306645899299415</v>
      </c>
      <c r="BX20" s="142">
        <f t="shared" si="11"/>
        <v>24.448671548365084</v>
      </c>
      <c r="BY20" s="142">
        <f t="shared" si="11"/>
        <v>25.646656454234972</v>
      </c>
      <c r="BZ20" s="142">
        <f t="shared" si="11"/>
        <v>26.903342620492484</v>
      </c>
      <c r="CA20" s="142">
        <f t="shared" si="11"/>
        <v>28.221606408896616</v>
      </c>
      <c r="CB20" s="142">
        <f t="shared" si="11"/>
        <v>29.604465122932549</v>
      </c>
      <c r="CC20" s="142">
        <f t="shared" si="11"/>
        <v>31.055083913956242</v>
      </c>
      <c r="CD20" s="142">
        <f t="shared" si="11"/>
        <v>32.576783025740099</v>
      </c>
      <c r="CE20" s="142">
        <f t="shared" si="11"/>
        <v>34.173045394001363</v>
      </c>
      <c r="CF20" s="142">
        <f t="shared" si="11"/>
        <v>35.847524618307425</v>
      </c>
      <c r="CG20" s="142">
        <f t="shared" si="11"/>
        <v>37.604053324604486</v>
      </c>
      <c r="CH20" s="142">
        <f t="shared" si="11"/>
        <v>39.446651937510104</v>
      </c>
      <c r="CI20" s="142">
        <f t="shared" si="11"/>
        <v>41.379537882448098</v>
      </c>
      <c r="CJ20" s="142">
        <f t="shared" si="11"/>
        <v>43.407135238688049</v>
      </c>
      <c r="CK20" s="142">
        <f t="shared" ref="CK20" si="15">CJ20*(1+$L20)</f>
        <v>45.534084865383761</v>
      </c>
      <c r="CL20" s="142">
        <f t="shared" si="12"/>
        <v>47.76525502378756</v>
      </c>
      <c r="CM20" s="142">
        <f t="shared" si="12"/>
        <v>50.10575251995315</v>
      </c>
      <c r="CN20" s="142">
        <f t="shared" si="12"/>
        <v>52.560934393430848</v>
      </c>
      <c r="CO20" s="142">
        <f t="shared" si="12"/>
        <v>55.13642017870896</v>
      </c>
      <c r="CP20" s="142">
        <f t="shared" si="12"/>
        <v>57.838104767465694</v>
      </c>
      <c r="CQ20" s="142">
        <f t="shared" si="12"/>
        <v>60.672171901071508</v>
      </c>
      <c r="CR20" s="142">
        <f t="shared" si="12"/>
        <v>63.645108324224005</v>
      </c>
      <c r="CS20" s="142">
        <f t="shared" si="12"/>
        <v>66.763718632110979</v>
      </c>
      <c r="CT20" s="142">
        <f t="shared" si="12"/>
        <v>70.035140845084413</v>
      </c>
      <c r="CU20" s="142">
        <f t="shared" si="12"/>
        <v>73.466862746493547</v>
      </c>
      <c r="CV20" s="142">
        <f t="shared" si="12"/>
        <v>77.066739021071726</v>
      </c>
      <c r="CW20" s="142">
        <f t="shared" si="12"/>
        <v>80.84300923310424</v>
      </c>
      <c r="CX20" s="142">
        <f t="shared" si="12"/>
        <v>84.804316685526345</v>
      </c>
      <c r="CY20" s="142">
        <f t="shared" si="12"/>
        <v>88.959728203117123</v>
      </c>
      <c r="CZ20" s="142">
        <f t="shared" si="12"/>
        <v>93.318754885069851</v>
      </c>
      <c r="DA20" s="142">
        <f t="shared" si="12"/>
        <v>97.891373874438273</v>
      </c>
      <c r="DB20" s="142">
        <f t="shared" si="12"/>
        <v>102.68805119428575</v>
      </c>
      <c r="DC20" s="142">
        <f t="shared" si="12"/>
        <v>107.71976570280574</v>
      </c>
      <c r="DD20" s="142">
        <f t="shared" si="12"/>
        <v>112.99803422224322</v>
      </c>
      <c r="DE20" s="142">
        <f t="shared" si="12"/>
        <v>118.53493789913313</v>
      </c>
      <c r="DF20" s="142">
        <f t="shared" si="12"/>
        <v>124.34314985619064</v>
      </c>
      <c r="DG20" s="142">
        <f t="shared" si="12"/>
        <v>130.43596419914397</v>
      </c>
      <c r="DH20" s="142">
        <f t="shared" si="12"/>
        <v>136.82732644490201</v>
      </c>
      <c r="DI20" s="142">
        <f t="shared" si="12"/>
        <v>143.53186544070221</v>
      </c>
      <c r="DJ20" s="142">
        <f t="shared" si="12"/>
        <v>150.56492684729659</v>
      </c>
      <c r="DK20" s="142">
        <f t="shared" si="12"/>
        <v>157.9426082628141</v>
      </c>
      <c r="DL20" s="142">
        <f t="shared" si="12"/>
        <v>165.68179606769198</v>
      </c>
      <c r="DM20" s="142">
        <f t="shared" si="12"/>
        <v>173.80020407500888</v>
      </c>
      <c r="DN20" s="142">
        <f t="shared" si="12"/>
        <v>182.3164140746843</v>
      </c>
      <c r="DO20" s="142">
        <f t="shared" si="12"/>
        <v>191.24991836434381</v>
      </c>
      <c r="DP20" s="142">
        <f t="shared" si="12"/>
        <v>200.62116436419666</v>
      </c>
      <c r="DQ20" s="142">
        <f t="shared" si="12"/>
        <v>210.45160141804229</v>
      </c>
      <c r="DR20" s="142">
        <f t="shared" si="12"/>
        <v>220.76372988752635</v>
      </c>
      <c r="DS20" s="142">
        <f t="shared" si="12"/>
        <v>231.58115265201513</v>
      </c>
      <c r="DT20" s="142">
        <f t="shared" si="12"/>
        <v>242.92862913196387</v>
      </c>
      <c r="DU20" s="142">
        <f t="shared" si="12"/>
        <v>254.83213195943009</v>
      </c>
      <c r="DV20" s="142">
        <f t="shared" si="12"/>
        <v>267.31890642544215</v>
      </c>
      <c r="DW20" s="142">
        <f t="shared" si="12"/>
        <v>280.4175328402888</v>
      </c>
      <c r="DX20" s="142">
        <f t="shared" si="12"/>
        <v>294.15799194946294</v>
      </c>
      <c r="DY20" s="142">
        <f t="shared" si="12"/>
        <v>308.57173355498662</v>
      </c>
      <c r="DZ20" s="142">
        <f t="shared" si="12"/>
        <v>323.69174849918096</v>
      </c>
      <c r="EA20" s="142">
        <f t="shared" si="12"/>
        <v>339.55264417564081</v>
      </c>
      <c r="EB20" s="142">
        <f t="shared" si="12"/>
        <v>356.19072374024717</v>
      </c>
      <c r="EC20" s="142">
        <f t="shared" si="12"/>
        <v>373.64406920351928</v>
      </c>
      <c r="ED20" s="142">
        <f t="shared" si="12"/>
        <v>391.95262859449167</v>
      </c>
      <c r="EE20" s="142">
        <f t="shared" si="12"/>
        <v>411.15830739562176</v>
      </c>
      <c r="EF20" s="142">
        <f t="shared" si="12"/>
        <v>431.30506445800722</v>
      </c>
      <c r="EG20" s="142">
        <f t="shared" si="12"/>
        <v>452.43901261644953</v>
      </c>
      <c r="EH20" s="142">
        <f t="shared" si="12"/>
        <v>474.60852423465553</v>
      </c>
      <c r="EI20" s="142">
        <f t="shared" si="12"/>
        <v>497.86434192215364</v>
      </c>
      <c r="EJ20" s="142">
        <f t="shared" si="12"/>
        <v>522.25969467633911</v>
      </c>
      <c r="EK20" s="142">
        <f t="shared" si="12"/>
        <v>547.85041971547969</v>
      </c>
      <c r="EL20" s="142">
        <f t="shared" si="12"/>
        <v>574.69509028153811</v>
      </c>
      <c r="EM20" s="142">
        <f t="shared" si="12"/>
        <v>602.85514970533347</v>
      </c>
      <c r="EN20" s="142">
        <f t="shared" si="12"/>
        <v>632.39505204089483</v>
      </c>
      <c r="EO20" s="142">
        <f t="shared" si="12"/>
        <v>663.38240959089865</v>
      </c>
      <c r="EP20" s="142">
        <f t="shared" si="12"/>
        <v>695.88814766085261</v>
      </c>
      <c r="EQ20" s="142">
        <f t="shared" si="12"/>
        <v>729.9866668962344</v>
      </c>
      <c r="ER20" s="142">
        <f t="shared" si="12"/>
        <v>765.75601357414985</v>
      </c>
      <c r="ES20" s="142">
        <f t="shared" si="12"/>
        <v>803.27805823928315</v>
      </c>
      <c r="ET20" s="142">
        <f t="shared" si="12"/>
        <v>842.63868309300801</v>
      </c>
      <c r="EU20" s="142">
        <f t="shared" si="12"/>
        <v>883.92797856456536</v>
      </c>
      <c r="EV20" s="142">
        <f t="shared" si="12"/>
        <v>927.240449514229</v>
      </c>
      <c r="EW20" s="142">
        <f t="shared" ref="EW20" si="16">EV20*(1+$L20)</f>
        <v>972.67523154042613</v>
      </c>
      <c r="EX20" s="142">
        <f t="shared" si="14"/>
        <v>1020.336317885907</v>
      </c>
      <c r="EY20" s="142">
        <f t="shared" si="14"/>
        <v>1070.3327974623164</v>
      </c>
      <c r="EZ20" s="142">
        <f t="shared" si="14"/>
        <v>1122.7791045379699</v>
      </c>
      <c r="FA20" s="142">
        <f t="shared" si="14"/>
        <v>1177.7952806603305</v>
      </c>
      <c r="FB20" s="142">
        <f t="shared" si="14"/>
        <v>1235.5072494126866</v>
      </c>
      <c r="FC20" s="142">
        <f t="shared" si="14"/>
        <v>1296.0471046339082</v>
      </c>
      <c r="FD20" s="142">
        <f t="shared" si="14"/>
        <v>1359.5534127609696</v>
      </c>
      <c r="FE20" s="142">
        <f t="shared" si="14"/>
        <v>1426.1715299862572</v>
      </c>
      <c r="FF20" s="142">
        <f t="shared" si="14"/>
        <v>1496.0539349555836</v>
      </c>
      <c r="FG20" s="142">
        <f t="shared" si="14"/>
        <v>1569.360577768407</v>
      </c>
      <c r="FH20" s="142">
        <f t="shared" si="14"/>
        <v>1646.2592460790588</v>
      </c>
      <c r="FI20" s="142">
        <f t="shared" si="14"/>
        <v>1726.9259491369326</v>
      </c>
      <c r="FJ20" s="142">
        <f t="shared" si="14"/>
        <v>1811.5453206446421</v>
      </c>
      <c r="FK20" s="142">
        <f t="shared" si="14"/>
        <v>1900.3110413562295</v>
      </c>
      <c r="FL20" s="142">
        <f t="shared" si="14"/>
        <v>1993.4262823826846</v>
      </c>
      <c r="FM20" s="142">
        <f t="shared" si="14"/>
        <v>2091.1041702194361</v>
      </c>
      <c r="FN20" s="142">
        <f t="shared" si="14"/>
        <v>2193.5682745601885</v>
      </c>
      <c r="FO20" s="142">
        <f t="shared" si="14"/>
        <v>2301.0531200136375</v>
      </c>
      <c r="FP20" s="142">
        <f t="shared" si="14"/>
        <v>2413.8047228943055</v>
      </c>
      <c r="FQ20" s="142">
        <f t="shared" si="14"/>
        <v>2532.0811543161262</v>
      </c>
      <c r="FR20" s="142">
        <f t="shared" si="14"/>
        <v>2656.1531308776161</v>
      </c>
      <c r="FS20" s="142">
        <f t="shared" si="14"/>
        <v>2786.3046342906191</v>
      </c>
      <c r="FT20" s="142">
        <f t="shared" si="14"/>
        <v>2922.8335613708591</v>
      </c>
      <c r="FU20" s="142">
        <f t="shared" si="14"/>
        <v>3066.0524058780311</v>
      </c>
      <c r="FV20" s="142">
        <f t="shared" si="14"/>
        <v>3216.2889737660544</v>
      </c>
      <c r="FW20" s="142">
        <f t="shared" si="14"/>
        <v>3373.8871334805908</v>
      </c>
      <c r="FX20" s="142">
        <f t="shared" si="14"/>
        <v>3539.2076030211397</v>
      </c>
      <c r="FY20" s="142">
        <f t="shared" si="14"/>
        <v>3712.6287755691751</v>
      </c>
      <c r="FZ20" s="142">
        <f t="shared" si="14"/>
        <v>3894.5475855720642</v>
      </c>
      <c r="GA20" s="142">
        <f t="shared" si="14"/>
        <v>4085.3804172650953</v>
      </c>
      <c r="GB20" s="142">
        <f t="shared" si="14"/>
        <v>4285.5640577110844</v>
      </c>
      <c r="GC20" s="142">
        <f t="shared" si="14"/>
        <v>4495.5566965389271</v>
      </c>
      <c r="GD20" s="142">
        <f t="shared" si="13"/>
        <v>4715.8389746693347</v>
      </c>
      <c r="GE20" s="142">
        <f t="shared" si="13"/>
        <v>4946.9150844281321</v>
      </c>
      <c r="GF20" s="142">
        <f t="shared" si="13"/>
        <v>5189.3139235651106</v>
      </c>
      <c r="GG20" s="142">
        <f t="shared" si="13"/>
        <v>5443.590305819801</v>
      </c>
      <c r="GH20" s="142">
        <f t="shared" si="13"/>
        <v>5710.3262308049707</v>
      </c>
      <c r="GI20" s="142">
        <f t="shared" si="13"/>
        <v>5990.1322161144135</v>
      </c>
      <c r="GJ20" s="142">
        <f t="shared" si="13"/>
        <v>6283.6486947040194</v>
      </c>
      <c r="GK20" s="142">
        <f t="shared" si="13"/>
        <v>6591.5474807445162</v>
      </c>
      <c r="GL20" s="142">
        <f t="shared" si="13"/>
        <v>6914.533307300997</v>
      </c>
      <c r="GM20" s="142">
        <f t="shared" si="13"/>
        <v>7253.3454393587454</v>
      </c>
      <c r="GN20" s="142">
        <f t="shared" si="13"/>
        <v>7608.7593658873238</v>
      </c>
      <c r="GO20" s="142">
        <f t="shared" si="13"/>
        <v>7981.5885748158025</v>
      </c>
      <c r="GP20" s="142">
        <f t="shared" si="13"/>
        <v>8372.6864149817757</v>
      </c>
      <c r="GQ20" s="142">
        <f t="shared" si="13"/>
        <v>8782.9480493158826</v>
      </c>
      <c r="GR20" s="142">
        <f t="shared" si="13"/>
        <v>9213.3125037323607</v>
      </c>
      <c r="GS20" s="142">
        <f t="shared" si="13"/>
        <v>9664.7648164152451</v>
      </c>
      <c r="GT20" s="142">
        <f t="shared" si="13"/>
        <v>10138.338292419592</v>
      </c>
      <c r="GU20" s="142">
        <f t="shared" si="13"/>
        <v>10635.116868748151</v>
      </c>
      <c r="GV20" s="142">
        <f t="shared" si="13"/>
        <v>11156.23759531681</v>
      </c>
      <c r="GW20" s="142">
        <f t="shared" si="13"/>
        <v>11702.893237487333</v>
      </c>
      <c r="GX20" s="142">
        <f t="shared" si="13"/>
        <v>12276.335006124211</v>
      </c>
      <c r="GY20" s="142">
        <f t="shared" si="13"/>
        <v>12877.875421424296</v>
      </c>
      <c r="GZ20" s="142">
        <f t="shared" si="13"/>
        <v>13508.891317074085</v>
      </c>
      <c r="HA20" s="142">
        <f t="shared" si="13"/>
        <v>14170.826991610715</v>
      </c>
      <c r="HB20" s="142">
        <f t="shared" si="13"/>
        <v>14865.197514199639</v>
      </c>
      <c r="HC20" s="142">
        <f t="shared" si="13"/>
        <v>15593.592192395421</v>
      </c>
      <c r="HD20" s="142">
        <f t="shared" si="13"/>
        <v>16357.678209822796</v>
      </c>
      <c r="HE20" s="142">
        <f t="shared" si="13"/>
        <v>17159.20444210411</v>
      </c>
      <c r="HF20" s="142">
        <f t="shared" si="13"/>
        <v>18000.00545976721</v>
      </c>
      <c r="HG20" s="142">
        <f t="shared" si="13"/>
        <v>18882.0057272958</v>
      </c>
    </row>
    <row r="21" spans="1:215" ht="16.5" customHeight="1">
      <c r="A21" s="24">
        <f>IF(B21=0,"N/A",MAX(A19:A20)+1)</f>
        <v>9</v>
      </c>
      <c r="B21" s="25" t="str">
        <f>'MPG-11'!B21</f>
        <v>Wisconsin Energy</v>
      </c>
      <c r="C21" s="113"/>
      <c r="D21" s="110">
        <f>'MPG-7'!D21</f>
        <v>31.687330769230769</v>
      </c>
      <c r="E21" s="110">
        <f>'MPG-7'!F21</f>
        <v>1.04</v>
      </c>
      <c r="F21" s="114">
        <f>'MPG-6'!M20</f>
        <v>7.7200000000000005E-2</v>
      </c>
      <c r="G21" s="112">
        <f t="shared" si="0"/>
        <v>7.2500000000000009E-2</v>
      </c>
      <c r="H21" s="112">
        <f t="shared" si="0"/>
        <v>6.7800000000000013E-2</v>
      </c>
      <c r="I21" s="112">
        <f t="shared" si="0"/>
        <v>6.3100000000000017E-2</v>
      </c>
      <c r="J21" s="112">
        <f t="shared" si="0"/>
        <v>5.8400000000000014E-2</v>
      </c>
      <c r="K21" s="112">
        <f t="shared" si="0"/>
        <v>5.3700000000000012E-2</v>
      </c>
      <c r="L21" s="128">
        <v>4.9000000000000002E-2</v>
      </c>
      <c r="M21" s="115">
        <f t="shared" si="1"/>
        <v>9.005461377296517E-2</v>
      </c>
      <c r="O21" s="186">
        <f t="shared" si="2"/>
        <v>-31.687330769230769</v>
      </c>
      <c r="P21" s="142">
        <f t="shared" si="3"/>
        <v>1.120288</v>
      </c>
      <c r="Q21" s="142">
        <f t="shared" si="4"/>
        <v>1.2067742335999998</v>
      </c>
      <c r="R21" s="142">
        <f t="shared" si="4"/>
        <v>1.2999372044339197</v>
      </c>
      <c r="S21" s="142">
        <f t="shared" si="4"/>
        <v>1.4002923566162182</v>
      </c>
      <c r="T21" s="142">
        <f t="shared" si="4"/>
        <v>1.5083949265469903</v>
      </c>
      <c r="U21" s="142">
        <f t="shared" si="5"/>
        <v>1.6177535587216472</v>
      </c>
      <c r="V21" s="142">
        <f t="shared" si="5"/>
        <v>1.7274372500029749</v>
      </c>
      <c r="W21" s="142">
        <f t="shared" si="5"/>
        <v>1.8364385404781625</v>
      </c>
      <c r="X21" s="142">
        <f t="shared" si="5"/>
        <v>1.9436865512420871</v>
      </c>
      <c r="Y21" s="142">
        <f t="shared" si="5"/>
        <v>2.0480625190437873</v>
      </c>
      <c r="Z21" s="142">
        <f t="shared" ref="Z21:CK21" si="17">Y21*(1+$L21)</f>
        <v>2.1484175824769327</v>
      </c>
      <c r="AA21" s="142">
        <f t="shared" si="17"/>
        <v>2.2536900440183021</v>
      </c>
      <c r="AB21" s="142">
        <f t="shared" si="17"/>
        <v>2.3641208561751985</v>
      </c>
      <c r="AC21" s="142">
        <f t="shared" si="17"/>
        <v>2.4799627781277831</v>
      </c>
      <c r="AD21" s="142">
        <f t="shared" si="17"/>
        <v>2.6014809542560444</v>
      </c>
      <c r="AE21" s="142">
        <f t="shared" si="17"/>
        <v>2.7289535210145903</v>
      </c>
      <c r="AF21" s="142">
        <f t="shared" si="17"/>
        <v>2.8626722435443051</v>
      </c>
      <c r="AG21" s="142">
        <f t="shared" si="17"/>
        <v>3.0029431834779756</v>
      </c>
      <c r="AH21" s="142">
        <f t="shared" si="17"/>
        <v>3.1500873994683962</v>
      </c>
      <c r="AI21" s="142">
        <f t="shared" si="17"/>
        <v>3.3044416820423472</v>
      </c>
      <c r="AJ21" s="142">
        <f t="shared" si="17"/>
        <v>3.466359324462422</v>
      </c>
      <c r="AK21" s="142">
        <f t="shared" si="17"/>
        <v>3.6362109313610804</v>
      </c>
      <c r="AL21" s="142">
        <f t="shared" si="17"/>
        <v>3.8143852669977729</v>
      </c>
      <c r="AM21" s="142">
        <f t="shared" si="17"/>
        <v>4.0012901450806639</v>
      </c>
      <c r="AN21" s="142">
        <f t="shared" si="17"/>
        <v>4.1973533621896166</v>
      </c>
      <c r="AO21" s="142">
        <f t="shared" si="17"/>
        <v>4.4030236769369075</v>
      </c>
      <c r="AP21" s="142">
        <f t="shared" si="17"/>
        <v>4.6187718371068156</v>
      </c>
      <c r="AQ21" s="142">
        <f t="shared" si="17"/>
        <v>4.8450916571250495</v>
      </c>
      <c r="AR21" s="142">
        <f t="shared" si="17"/>
        <v>5.0825011483241767</v>
      </c>
      <c r="AS21" s="142">
        <f t="shared" si="17"/>
        <v>5.3315437045920611</v>
      </c>
      <c r="AT21" s="142">
        <f t="shared" si="17"/>
        <v>5.5927893461170717</v>
      </c>
      <c r="AU21" s="142">
        <f t="shared" si="17"/>
        <v>5.8668360240768074</v>
      </c>
      <c r="AV21" s="142">
        <f t="shared" si="17"/>
        <v>6.1543109892565706</v>
      </c>
      <c r="AW21" s="142">
        <f t="shared" si="17"/>
        <v>6.4558722277301426</v>
      </c>
      <c r="AX21" s="142">
        <f t="shared" si="17"/>
        <v>6.7722099668889193</v>
      </c>
      <c r="AY21" s="142">
        <f t="shared" si="17"/>
        <v>7.1040482552664761</v>
      </c>
      <c r="AZ21" s="142">
        <f t="shared" si="17"/>
        <v>7.452146619774533</v>
      </c>
      <c r="BA21" s="142">
        <f t="shared" si="17"/>
        <v>7.8173018041434847</v>
      </c>
      <c r="BB21" s="142">
        <f t="shared" si="17"/>
        <v>8.2003495925465142</v>
      </c>
      <c r="BC21" s="142">
        <f t="shared" si="17"/>
        <v>8.602166722581293</v>
      </c>
      <c r="BD21" s="142">
        <f t="shared" si="17"/>
        <v>9.0236728919877756</v>
      </c>
      <c r="BE21" s="142">
        <f t="shared" si="17"/>
        <v>9.4658328636951765</v>
      </c>
      <c r="BF21" s="142">
        <f t="shared" si="17"/>
        <v>9.92965867401624</v>
      </c>
      <c r="BG21" s="142">
        <f t="shared" si="17"/>
        <v>10.416211949043035</v>
      </c>
      <c r="BH21" s="142">
        <f t="shared" si="17"/>
        <v>10.926606334546143</v>
      </c>
      <c r="BI21" s="142">
        <f t="shared" si="17"/>
        <v>11.462010044938904</v>
      </c>
      <c r="BJ21" s="142">
        <f t="shared" si="17"/>
        <v>12.023648537140909</v>
      </c>
      <c r="BK21" s="142">
        <f t="shared" si="17"/>
        <v>12.612807315460813</v>
      </c>
      <c r="BL21" s="142">
        <f t="shared" si="17"/>
        <v>13.230834873918392</v>
      </c>
      <c r="BM21" s="142">
        <f t="shared" si="17"/>
        <v>13.879145782740393</v>
      </c>
      <c r="BN21" s="142">
        <f t="shared" si="17"/>
        <v>14.559223926094671</v>
      </c>
      <c r="BO21" s="142">
        <f t="shared" si="17"/>
        <v>15.272625898473308</v>
      </c>
      <c r="BP21" s="142">
        <f t="shared" si="17"/>
        <v>16.020984567498498</v>
      </c>
      <c r="BQ21" s="142">
        <f t="shared" si="17"/>
        <v>16.806012811305923</v>
      </c>
      <c r="BR21" s="142">
        <f t="shared" si="17"/>
        <v>17.62950743905991</v>
      </c>
      <c r="BS21" s="142">
        <f t="shared" si="17"/>
        <v>18.493353303573844</v>
      </c>
      <c r="BT21" s="142">
        <f t="shared" si="17"/>
        <v>19.39952761544896</v>
      </c>
      <c r="BU21" s="142">
        <f t="shared" si="17"/>
        <v>20.350104468605959</v>
      </c>
      <c r="BV21" s="142">
        <f t="shared" si="17"/>
        <v>21.347259587567649</v>
      </c>
      <c r="BW21" s="142">
        <f t="shared" si="17"/>
        <v>22.393275307358461</v>
      </c>
      <c r="BX21" s="142">
        <f t="shared" si="17"/>
        <v>23.490545797419024</v>
      </c>
      <c r="BY21" s="142">
        <f t="shared" si="17"/>
        <v>24.641582541492554</v>
      </c>
      <c r="BZ21" s="142">
        <f t="shared" si="17"/>
        <v>25.849020086025686</v>
      </c>
      <c r="CA21" s="142">
        <f t="shared" si="17"/>
        <v>27.115622070240942</v>
      </c>
      <c r="CB21" s="142">
        <f t="shared" si="17"/>
        <v>28.444287551682745</v>
      </c>
      <c r="CC21" s="142">
        <f t="shared" si="17"/>
        <v>29.838057641715199</v>
      </c>
      <c r="CD21" s="142">
        <f t="shared" si="17"/>
        <v>31.300122466159241</v>
      </c>
      <c r="CE21" s="142">
        <f t="shared" si="17"/>
        <v>32.833828467001041</v>
      </c>
      <c r="CF21" s="142">
        <f t="shared" si="17"/>
        <v>34.442686061884089</v>
      </c>
      <c r="CG21" s="142">
        <f t="shared" si="17"/>
        <v>36.13037767891641</v>
      </c>
      <c r="CH21" s="142">
        <f t="shared" si="17"/>
        <v>37.900766185183315</v>
      </c>
      <c r="CI21" s="142">
        <f t="shared" si="17"/>
        <v>39.757903728257297</v>
      </c>
      <c r="CJ21" s="142">
        <f t="shared" si="17"/>
        <v>41.706041010941902</v>
      </c>
      <c r="CK21" s="142">
        <f t="shared" si="17"/>
        <v>43.749637020478055</v>
      </c>
      <c r="CL21" s="142">
        <f t="shared" ref="CL21:EW21" si="18">CK21*(1+$L21)</f>
        <v>45.893369234481476</v>
      </c>
      <c r="CM21" s="142">
        <f t="shared" si="18"/>
        <v>48.142144326971064</v>
      </c>
      <c r="CN21" s="142">
        <f t="shared" si="18"/>
        <v>50.501109398992639</v>
      </c>
      <c r="CO21" s="142">
        <f t="shared" si="18"/>
        <v>52.975663759543274</v>
      </c>
      <c r="CP21" s="142">
        <f t="shared" si="18"/>
        <v>55.571471283760893</v>
      </c>
      <c r="CQ21" s="142">
        <f t="shared" si="18"/>
        <v>58.294473376665174</v>
      </c>
      <c r="CR21" s="142">
        <f t="shared" si="18"/>
        <v>61.150902572121765</v>
      </c>
      <c r="CS21" s="142">
        <f t="shared" si="18"/>
        <v>64.147296798155722</v>
      </c>
      <c r="CT21" s="142">
        <f t="shared" si="18"/>
        <v>67.29051434126535</v>
      </c>
      <c r="CU21" s="142">
        <f t="shared" si="18"/>
        <v>70.587749543987343</v>
      </c>
      <c r="CV21" s="142">
        <f t="shared" si="18"/>
        <v>74.046549271642718</v>
      </c>
      <c r="CW21" s="142">
        <f t="shared" si="18"/>
        <v>77.674830185953212</v>
      </c>
      <c r="CX21" s="142">
        <f t="shared" si="18"/>
        <v>81.480896865064921</v>
      </c>
      <c r="CY21" s="142">
        <f t="shared" si="18"/>
        <v>85.473460811453094</v>
      </c>
      <c r="CZ21" s="142">
        <f t="shared" si="18"/>
        <v>89.661660391214284</v>
      </c>
      <c r="DA21" s="142">
        <f t="shared" si="18"/>
        <v>94.055081750383778</v>
      </c>
      <c r="DB21" s="142">
        <f t="shared" si="18"/>
        <v>98.663780756152576</v>
      </c>
      <c r="DC21" s="142">
        <f t="shared" si="18"/>
        <v>103.49830601320404</v>
      </c>
      <c r="DD21" s="142">
        <f t="shared" si="18"/>
        <v>108.56972300785104</v>
      </c>
      <c r="DE21" s="142">
        <f t="shared" si="18"/>
        <v>113.88963943523574</v>
      </c>
      <c r="DF21" s="142">
        <f t="shared" si="18"/>
        <v>119.47023176756228</v>
      </c>
      <c r="DG21" s="142">
        <f t="shared" si="18"/>
        <v>125.32427312417282</v>
      </c>
      <c r="DH21" s="142">
        <f t="shared" si="18"/>
        <v>131.46516250725728</v>
      </c>
      <c r="DI21" s="142">
        <f t="shared" si="18"/>
        <v>137.90695547011288</v>
      </c>
      <c r="DJ21" s="142">
        <f t="shared" si="18"/>
        <v>144.6643962881484</v>
      </c>
      <c r="DK21" s="142">
        <f t="shared" si="18"/>
        <v>151.75295170626765</v>
      </c>
      <c r="DL21" s="142">
        <f t="shared" si="18"/>
        <v>159.18884633987474</v>
      </c>
      <c r="DM21" s="142">
        <f t="shared" si="18"/>
        <v>166.98909981052859</v>
      </c>
      <c r="DN21" s="142">
        <f t="shared" si="18"/>
        <v>175.17156570124448</v>
      </c>
      <c r="DO21" s="142">
        <f t="shared" si="18"/>
        <v>183.75497242060544</v>
      </c>
      <c r="DP21" s="142">
        <f t="shared" si="18"/>
        <v>192.75896606921509</v>
      </c>
      <c r="DQ21" s="142">
        <f t="shared" si="18"/>
        <v>202.20415540660662</v>
      </c>
      <c r="DR21" s="142">
        <f t="shared" si="18"/>
        <v>212.11215902153032</v>
      </c>
      <c r="DS21" s="142">
        <f t="shared" si="18"/>
        <v>222.50565481358529</v>
      </c>
      <c r="DT21" s="142">
        <f t="shared" si="18"/>
        <v>233.40843189945096</v>
      </c>
      <c r="DU21" s="142">
        <f t="shared" si="18"/>
        <v>244.84544506252405</v>
      </c>
      <c r="DV21" s="142">
        <f t="shared" si="18"/>
        <v>256.84287187058771</v>
      </c>
      <c r="DW21" s="142">
        <f t="shared" si="18"/>
        <v>269.42817259224648</v>
      </c>
      <c r="DX21" s="142">
        <f t="shared" si="18"/>
        <v>282.63015304926654</v>
      </c>
      <c r="DY21" s="142">
        <f t="shared" si="18"/>
        <v>296.47903054868056</v>
      </c>
      <c r="DZ21" s="142">
        <f t="shared" si="18"/>
        <v>311.00650304556586</v>
      </c>
      <c r="EA21" s="142">
        <f t="shared" si="18"/>
        <v>326.24582169479856</v>
      </c>
      <c r="EB21" s="142">
        <f t="shared" si="18"/>
        <v>342.23186695784369</v>
      </c>
      <c r="EC21" s="142">
        <f t="shared" si="18"/>
        <v>359.00122843877801</v>
      </c>
      <c r="ED21" s="142">
        <f t="shared" si="18"/>
        <v>376.5922886322781</v>
      </c>
      <c r="EE21" s="142">
        <f t="shared" si="18"/>
        <v>395.04531077525968</v>
      </c>
      <c r="EF21" s="142">
        <f t="shared" si="18"/>
        <v>414.40253100324736</v>
      </c>
      <c r="EG21" s="142">
        <f t="shared" si="18"/>
        <v>434.70825502240643</v>
      </c>
      <c r="EH21" s="142">
        <f t="shared" si="18"/>
        <v>456.0089595185043</v>
      </c>
      <c r="EI21" s="142">
        <f t="shared" si="18"/>
        <v>478.35339853491098</v>
      </c>
      <c r="EJ21" s="142">
        <f t="shared" si="18"/>
        <v>501.79271506312159</v>
      </c>
      <c r="EK21" s="142">
        <f t="shared" si="18"/>
        <v>526.38055810121455</v>
      </c>
      <c r="EL21" s="142">
        <f t="shared" si="18"/>
        <v>552.17320544817403</v>
      </c>
      <c r="EM21" s="142">
        <f t="shared" si="18"/>
        <v>579.2296925151345</v>
      </c>
      <c r="EN21" s="142">
        <f t="shared" si="18"/>
        <v>607.6119474483761</v>
      </c>
      <c r="EO21" s="142">
        <f t="shared" si="18"/>
        <v>637.38493287334654</v>
      </c>
      <c r="EP21" s="142">
        <f t="shared" si="18"/>
        <v>668.61679458414051</v>
      </c>
      <c r="EQ21" s="142">
        <f t="shared" si="18"/>
        <v>701.37901751876336</v>
      </c>
      <c r="ER21" s="142">
        <f t="shared" si="18"/>
        <v>735.74658937718277</v>
      </c>
      <c r="ES21" s="142">
        <f t="shared" si="18"/>
        <v>771.79817225666466</v>
      </c>
      <c r="ET21" s="142">
        <f t="shared" si="18"/>
        <v>809.61628269724122</v>
      </c>
      <c r="EU21" s="142">
        <f t="shared" si="18"/>
        <v>849.28748054940593</v>
      </c>
      <c r="EV21" s="142">
        <f t="shared" si="18"/>
        <v>890.90256709632672</v>
      </c>
      <c r="EW21" s="142">
        <f t="shared" si="18"/>
        <v>934.55679288404667</v>
      </c>
      <c r="EX21" s="142">
        <f t="shared" si="14"/>
        <v>980.35007573536484</v>
      </c>
      <c r="EY21" s="142">
        <f t="shared" si="14"/>
        <v>1028.3872294463977</v>
      </c>
      <c r="EZ21" s="142">
        <f t="shared" si="14"/>
        <v>1078.7782036892711</v>
      </c>
      <c r="FA21" s="142">
        <f t="shared" si="14"/>
        <v>1131.6383356700453</v>
      </c>
      <c r="FB21" s="142">
        <f t="shared" si="14"/>
        <v>1187.0886141178773</v>
      </c>
      <c r="FC21" s="142">
        <f t="shared" si="14"/>
        <v>1245.2559562096533</v>
      </c>
      <c r="FD21" s="142">
        <f t="shared" si="14"/>
        <v>1306.2734980639261</v>
      </c>
      <c r="FE21" s="142">
        <f t="shared" si="14"/>
        <v>1370.2808994690583</v>
      </c>
      <c r="FF21" s="142">
        <f t="shared" si="14"/>
        <v>1437.424663543042</v>
      </c>
      <c r="FG21" s="142">
        <f t="shared" si="14"/>
        <v>1507.858472056651</v>
      </c>
      <c r="FH21" s="142">
        <f t="shared" si="14"/>
        <v>1581.7435371874267</v>
      </c>
      <c r="FI21" s="142">
        <f t="shared" si="14"/>
        <v>1659.2489705096104</v>
      </c>
      <c r="FJ21" s="142">
        <f t="shared" si="14"/>
        <v>1740.5521700645813</v>
      </c>
      <c r="FK21" s="142">
        <f t="shared" si="14"/>
        <v>1825.8392263977457</v>
      </c>
      <c r="FL21" s="142">
        <f t="shared" si="14"/>
        <v>1915.3053484912352</v>
      </c>
      <c r="FM21" s="142">
        <f t="shared" si="14"/>
        <v>2009.1553105673056</v>
      </c>
      <c r="FN21" s="142">
        <f t="shared" si="14"/>
        <v>2107.6039207851036</v>
      </c>
      <c r="FO21" s="142">
        <f t="shared" si="14"/>
        <v>2210.8765129035737</v>
      </c>
      <c r="FP21" s="142">
        <f t="shared" si="14"/>
        <v>2319.2094620358489</v>
      </c>
      <c r="FQ21" s="142">
        <f t="shared" si="14"/>
        <v>2432.8507256756052</v>
      </c>
      <c r="FR21" s="142">
        <f t="shared" si="14"/>
        <v>2552.0604112337096</v>
      </c>
      <c r="FS21" s="142">
        <f t="shared" si="14"/>
        <v>2677.111371384161</v>
      </c>
      <c r="FT21" s="142">
        <f t="shared" si="14"/>
        <v>2808.2898285819847</v>
      </c>
      <c r="FU21" s="142">
        <f t="shared" si="14"/>
        <v>2945.8960301825018</v>
      </c>
      <c r="FV21" s="142">
        <f t="shared" si="14"/>
        <v>3090.2449356614443</v>
      </c>
      <c r="FW21" s="142">
        <f t="shared" si="14"/>
        <v>3241.666937508855</v>
      </c>
      <c r="FX21" s="142">
        <f t="shared" si="14"/>
        <v>3400.5086174467888</v>
      </c>
      <c r="FY21" s="142">
        <f t="shared" si="14"/>
        <v>3567.133539701681</v>
      </c>
      <c r="FZ21" s="142">
        <f t="shared" si="14"/>
        <v>3741.9230831470632</v>
      </c>
      <c r="GA21" s="142">
        <f t="shared" si="14"/>
        <v>3925.2773142212691</v>
      </c>
      <c r="GB21" s="142">
        <f t="shared" si="14"/>
        <v>4117.6159026181112</v>
      </c>
      <c r="GC21" s="142">
        <f t="shared" si="14"/>
        <v>4319.3790818463985</v>
      </c>
      <c r="GD21" s="142">
        <f t="shared" si="13"/>
        <v>4531.0286568568717</v>
      </c>
      <c r="GE21" s="142">
        <f t="shared" si="13"/>
        <v>4753.0490610428578</v>
      </c>
      <c r="GF21" s="142">
        <f t="shared" si="13"/>
        <v>4985.9484650339573</v>
      </c>
      <c r="GG21" s="142">
        <f t="shared" si="13"/>
        <v>5230.2599398206212</v>
      </c>
      <c r="GH21" s="142">
        <f t="shared" si="13"/>
        <v>5486.5426768718316</v>
      </c>
      <c r="GI21" s="142">
        <f t="shared" si="13"/>
        <v>5755.3832680385513</v>
      </c>
      <c r="GJ21" s="142">
        <f t="shared" si="13"/>
        <v>6037.39704817244</v>
      </c>
      <c r="GK21" s="142">
        <f t="shared" si="13"/>
        <v>6333.2295035328889</v>
      </c>
      <c r="GL21" s="142">
        <f t="shared" si="13"/>
        <v>6643.5577492060002</v>
      </c>
      <c r="GM21" s="142">
        <f t="shared" si="13"/>
        <v>6969.0920789170941</v>
      </c>
      <c r="GN21" s="142">
        <f t="shared" si="13"/>
        <v>7310.5775907840316</v>
      </c>
      <c r="GO21" s="142">
        <f t="shared" si="13"/>
        <v>7668.7958927324489</v>
      </c>
      <c r="GP21" s="142">
        <f t="shared" si="13"/>
        <v>8044.5668914763382</v>
      </c>
      <c r="GQ21" s="142">
        <f t="shared" si="13"/>
        <v>8438.7506691586786</v>
      </c>
      <c r="GR21" s="142">
        <f t="shared" si="13"/>
        <v>8852.2494519474531</v>
      </c>
      <c r="GS21" s="142">
        <f t="shared" si="13"/>
        <v>9286.0096750928769</v>
      </c>
      <c r="GT21" s="142">
        <f t="shared" si="13"/>
        <v>9741.0241491724264</v>
      </c>
      <c r="GU21" s="142">
        <f t="shared" si="13"/>
        <v>10218.334332481874</v>
      </c>
      <c r="GV21" s="142">
        <f t="shared" si="13"/>
        <v>10719.032714773486</v>
      </c>
      <c r="GW21" s="142">
        <f t="shared" si="13"/>
        <v>11244.265317797386</v>
      </c>
      <c r="GX21" s="142">
        <f t="shared" si="13"/>
        <v>11795.234318369457</v>
      </c>
      <c r="GY21" s="142">
        <f t="shared" si="13"/>
        <v>12373.20079996956</v>
      </c>
      <c r="GZ21" s="142">
        <f t="shared" si="13"/>
        <v>12979.487639168068</v>
      </c>
      <c r="HA21" s="142">
        <f t="shared" si="13"/>
        <v>13615.482533487302</v>
      </c>
      <c r="HB21" s="142">
        <f t="shared" si="13"/>
        <v>14282.641177628178</v>
      </c>
      <c r="HC21" s="142">
        <f t="shared" si="13"/>
        <v>14982.490595331958</v>
      </c>
      <c r="HD21" s="142">
        <f t="shared" si="13"/>
        <v>15716.632634503223</v>
      </c>
      <c r="HE21" s="142">
        <f t="shared" si="13"/>
        <v>16486.747633593881</v>
      </c>
      <c r="HF21" s="142">
        <f t="shared" si="13"/>
        <v>17294.59826763998</v>
      </c>
      <c r="HG21" s="142">
        <f t="shared" si="13"/>
        <v>18142.033582754339</v>
      </c>
    </row>
    <row r="22" spans="1:215" ht="15">
      <c r="B22" s="113"/>
      <c r="C22" s="113"/>
      <c r="D22" s="110"/>
      <c r="E22" s="110"/>
      <c r="F22" s="114"/>
      <c r="G22" s="112"/>
      <c r="H22" s="112"/>
      <c r="I22" s="112"/>
      <c r="J22" s="112"/>
      <c r="K22" s="112"/>
      <c r="L22" s="128"/>
      <c r="M22" s="124"/>
      <c r="O22" s="186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2"/>
      <c r="EX22" s="142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2"/>
      <c r="GY22" s="142"/>
      <c r="GZ22" s="142"/>
      <c r="HA22" s="142"/>
      <c r="HB22" s="142"/>
      <c r="HC22" s="142"/>
      <c r="HD22" s="142"/>
      <c r="HE22" s="142"/>
      <c r="HF22" s="142"/>
      <c r="HG22" s="142"/>
    </row>
    <row r="23" spans="1:215" ht="15">
      <c r="A23" s="99">
        <f>MAX(A17:A22)+1</f>
        <v>10</v>
      </c>
      <c r="B23" s="120" t="s">
        <v>16</v>
      </c>
      <c r="C23" s="120"/>
      <c r="D23" s="121">
        <f t="shared" ref="D23:M23" si="19">AVERAGE(D13:D21)</f>
        <v>29.383623931623934</v>
      </c>
      <c r="E23" s="121">
        <f t="shared" si="19"/>
        <v>1.181111111111111</v>
      </c>
      <c r="F23" s="122">
        <f t="shared" si="19"/>
        <v>6.4348148148148154E-2</v>
      </c>
      <c r="G23" s="122">
        <f t="shared" si="19"/>
        <v>6.1790123456790108E-2</v>
      </c>
      <c r="H23" s="122">
        <f t="shared" si="19"/>
        <v>5.923209876543209E-2</v>
      </c>
      <c r="I23" s="122">
        <f t="shared" si="19"/>
        <v>5.6674074074074071E-2</v>
      </c>
      <c r="J23" s="122">
        <f t="shared" si="19"/>
        <v>5.4116049382716053E-2</v>
      </c>
      <c r="K23" s="122">
        <f t="shared" si="19"/>
        <v>5.1558024691358027E-2</v>
      </c>
      <c r="L23" s="122">
        <f t="shared" si="19"/>
        <v>4.8999999999999995E-2</v>
      </c>
      <c r="M23" s="122">
        <f t="shared" si="19"/>
        <v>9.5423006388908826E-2</v>
      </c>
      <c r="O23" s="186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</row>
    <row r="24" spans="1:215" ht="15">
      <c r="A24" s="99">
        <f>MAX(A17:A23)+1</f>
        <v>11</v>
      </c>
      <c r="B24" s="120" t="s">
        <v>142</v>
      </c>
      <c r="C24" s="120"/>
      <c r="D24" s="121"/>
      <c r="E24" s="121"/>
      <c r="F24" s="122"/>
      <c r="G24" s="107"/>
      <c r="H24" s="107"/>
      <c r="I24" s="107"/>
      <c r="J24" s="107"/>
      <c r="K24" s="107"/>
      <c r="L24" s="132"/>
      <c r="M24" s="124">
        <f>MEDIAN(M13:M21)</f>
        <v>9.6199765048315566E-2</v>
      </c>
      <c r="O24" s="186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</row>
    <row r="25" spans="1:215">
      <c r="B25" s="113"/>
      <c r="C25" s="113"/>
      <c r="D25" s="110"/>
      <c r="E25" s="110"/>
      <c r="F25" s="114"/>
    </row>
    <row r="26" spans="1:215">
      <c r="B26" s="40"/>
      <c r="C26" s="20"/>
    </row>
    <row r="27" spans="1:215">
      <c r="B27" t="s">
        <v>159</v>
      </c>
      <c r="C27" s="20"/>
    </row>
    <row r="28" spans="1:215" ht="16.5">
      <c r="B28" s="127" t="s">
        <v>160</v>
      </c>
      <c r="C28" s="129"/>
    </row>
    <row r="29" spans="1:215" ht="16.5">
      <c r="B29" s="471" t="s">
        <v>751</v>
      </c>
    </row>
    <row r="30" spans="1:215" s="129" customFormat="1" ht="16.5">
      <c r="A30" s="100"/>
      <c r="B30" s="130" t="s">
        <v>161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215" ht="16.5">
      <c r="B31" s="187" t="s">
        <v>430</v>
      </c>
    </row>
    <row r="32" spans="1:215">
      <c r="A32" s="97"/>
      <c r="B32" s="96"/>
      <c r="D32" s="97"/>
      <c r="E32" s="97"/>
      <c r="F32" s="97"/>
      <c r="G32" s="97"/>
      <c r="H32" s="97"/>
      <c r="I32" s="97"/>
      <c r="J32" s="97"/>
      <c r="K32" s="97"/>
      <c r="L32" s="97"/>
      <c r="M32" s="97"/>
    </row>
  </sheetData>
  <mergeCells count="4">
    <mergeCell ref="A1:M1"/>
    <mergeCell ref="A5:M5"/>
    <mergeCell ref="G9:K9"/>
    <mergeCell ref="B10:C10"/>
  </mergeCells>
  <printOptions horizontalCentered="1"/>
  <pageMargins left="0.7" right="0.7" top="1" bottom="0.75" header="0.3" footer="0.51"/>
  <pageSetup scale="70" orientation="landscape" r:id="rId1"/>
  <headerFooter>
    <oddHeader>&amp;R&amp;12Exhibit No.___(MPG-12)
Page 1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zoomScale="80" zoomScaleNormal="80" zoomScaleSheetLayoutView="70" zoomScalePageLayoutView="70" workbookViewId="0">
      <selection activeCell="A2" sqref="A2"/>
    </sheetView>
  </sheetViews>
  <sheetFormatPr defaultRowHeight="14.25"/>
  <cols>
    <col min="1" max="1" width="9.625" style="188" customWidth="1"/>
    <col min="2" max="2" width="10.25" style="188" customWidth="1"/>
    <col min="3" max="3" width="10.875" style="213" customWidth="1"/>
    <col min="4" max="4" width="10" style="192" customWidth="1"/>
    <col min="5" max="5" width="15.875" style="192" customWidth="1"/>
    <col min="6" max="16384" width="9" style="188"/>
  </cols>
  <sheetData>
    <row r="1" spans="1:5" ht="23.25">
      <c r="A1" s="494" t="str">
        <f>'MPG-12'!A1:M1</f>
        <v>Puget Sound Energy</v>
      </c>
      <c r="B1" s="495"/>
      <c r="C1" s="495"/>
      <c r="D1" s="495"/>
      <c r="E1" s="495"/>
    </row>
    <row r="2" spans="1:5">
      <c r="A2" s="189"/>
      <c r="B2" s="190"/>
      <c r="C2" s="191"/>
      <c r="E2" s="193"/>
    </row>
    <row r="3" spans="1:5" ht="18">
      <c r="A3" s="493" t="s">
        <v>431</v>
      </c>
      <c r="B3" s="493"/>
      <c r="C3" s="493"/>
      <c r="D3" s="493"/>
      <c r="E3" s="493"/>
    </row>
    <row r="4" spans="1:5">
      <c r="A4" s="99"/>
      <c r="B4" s="194"/>
      <c r="C4" s="195"/>
      <c r="D4" s="196"/>
      <c r="E4" s="197"/>
    </row>
    <row r="5" spans="1:5">
      <c r="A5" s="99"/>
      <c r="B5" s="194"/>
      <c r="C5" s="195"/>
      <c r="D5" s="196"/>
      <c r="E5" s="197"/>
    </row>
    <row r="6" spans="1:5" ht="15">
      <c r="A6" s="99"/>
      <c r="B6" s="194"/>
      <c r="C6" s="198"/>
      <c r="D6" s="199"/>
      <c r="E6" s="200"/>
    </row>
    <row r="7" spans="1:5" ht="15">
      <c r="A7" s="101"/>
      <c r="B7" s="201"/>
      <c r="C7" s="198" t="s">
        <v>175</v>
      </c>
      <c r="D7" s="202" t="s">
        <v>432</v>
      </c>
      <c r="E7" s="200" t="s">
        <v>433</v>
      </c>
    </row>
    <row r="8" spans="1:5" ht="15">
      <c r="A8" s="102" t="s">
        <v>3</v>
      </c>
      <c r="B8" s="203" t="s">
        <v>434</v>
      </c>
      <c r="C8" s="204" t="s">
        <v>229</v>
      </c>
      <c r="D8" s="205" t="s">
        <v>435</v>
      </c>
      <c r="E8" s="206" t="s">
        <v>436</v>
      </c>
    </row>
    <row r="9" spans="1:5" ht="15">
      <c r="A9" s="103"/>
      <c r="B9" s="103"/>
      <c r="C9" s="198" t="s">
        <v>6</v>
      </c>
      <c r="D9" s="200" t="s">
        <v>7</v>
      </c>
      <c r="E9" s="200" t="s">
        <v>8</v>
      </c>
    </row>
    <row r="10" spans="1:5" ht="15">
      <c r="A10" s="103"/>
      <c r="B10" s="103"/>
      <c r="C10" s="198"/>
      <c r="D10" s="200"/>
      <c r="E10" s="200"/>
    </row>
    <row r="11" spans="1:5">
      <c r="A11" s="207">
        <f>MAX(A7:A10)+1</f>
        <v>1</v>
      </c>
      <c r="B11" s="99">
        <v>1980</v>
      </c>
      <c r="C11" s="208">
        <v>54.42</v>
      </c>
      <c r="D11" s="208">
        <v>83.82</v>
      </c>
      <c r="E11" s="209">
        <f>C11/D11</f>
        <v>0.64924838940586982</v>
      </c>
    </row>
    <row r="12" spans="1:5">
      <c r="A12" s="207">
        <f t="shared" ref="A12:A42" si="0">MAX(A8:A11)+1</f>
        <v>2</v>
      </c>
      <c r="B12" s="99">
        <v>1981</v>
      </c>
      <c r="C12" s="208">
        <v>57.2</v>
      </c>
      <c r="D12" s="208">
        <v>81.91</v>
      </c>
      <c r="E12" s="209">
        <f t="shared" ref="E12:E31" si="1">C12/D12</f>
        <v>0.69832743254791851</v>
      </c>
    </row>
    <row r="13" spans="1:5">
      <c r="A13" s="207">
        <f t="shared" si="0"/>
        <v>3</v>
      </c>
      <c r="B13" s="99">
        <v>1982</v>
      </c>
      <c r="C13" s="208">
        <v>70.260000000000005</v>
      </c>
      <c r="D13" s="208">
        <v>82.77</v>
      </c>
      <c r="E13" s="209">
        <f t="shared" si="1"/>
        <v>0.84885828198622704</v>
      </c>
    </row>
    <row r="14" spans="1:5">
      <c r="A14" s="207">
        <f t="shared" si="0"/>
        <v>4</v>
      </c>
      <c r="B14" s="99">
        <v>1983</v>
      </c>
      <c r="C14" s="208">
        <v>72.03</v>
      </c>
      <c r="D14" s="208">
        <v>82.9</v>
      </c>
      <c r="E14" s="209">
        <f t="shared" si="1"/>
        <v>0.86887816646562122</v>
      </c>
    </row>
    <row r="15" spans="1:5">
      <c r="A15" s="207">
        <f t="shared" si="0"/>
        <v>5</v>
      </c>
      <c r="B15" s="99">
        <v>1984</v>
      </c>
      <c r="C15" s="208">
        <v>80.16</v>
      </c>
      <c r="D15" s="208">
        <v>85.08</v>
      </c>
      <c r="E15" s="209">
        <f t="shared" si="1"/>
        <v>0.94217207334273623</v>
      </c>
    </row>
    <row r="16" spans="1:5">
      <c r="A16" s="207">
        <f t="shared" si="0"/>
        <v>6</v>
      </c>
      <c r="B16" s="99">
        <v>1985</v>
      </c>
      <c r="C16" s="208">
        <v>94.98</v>
      </c>
      <c r="D16" s="208">
        <v>87.76</v>
      </c>
      <c r="E16" s="209">
        <f t="shared" si="1"/>
        <v>1.0822698268003645</v>
      </c>
    </row>
    <row r="17" spans="1:5">
      <c r="A17" s="207">
        <f t="shared" si="0"/>
        <v>7</v>
      </c>
      <c r="B17" s="99">
        <v>1986</v>
      </c>
      <c r="C17" s="208">
        <v>113.66</v>
      </c>
      <c r="D17" s="208">
        <v>90.35</v>
      </c>
      <c r="E17" s="208">
        <f t="shared" si="1"/>
        <v>1.2579966795794135</v>
      </c>
    </row>
    <row r="18" spans="1:5">
      <c r="A18" s="207">
        <f t="shared" si="0"/>
        <v>8</v>
      </c>
      <c r="B18" s="99">
        <v>1987</v>
      </c>
      <c r="C18" s="208">
        <v>94.24</v>
      </c>
      <c r="D18" s="208">
        <v>90.12</v>
      </c>
      <c r="E18" s="208">
        <f t="shared" si="1"/>
        <v>1.045716822015091</v>
      </c>
    </row>
    <row r="19" spans="1:5">
      <c r="A19" s="207">
        <f t="shared" si="0"/>
        <v>9</v>
      </c>
      <c r="B19" s="99">
        <v>1988</v>
      </c>
      <c r="C19" s="209">
        <v>100.94</v>
      </c>
      <c r="D19" s="208">
        <v>88.04</v>
      </c>
      <c r="E19" s="208">
        <f t="shared" si="1"/>
        <v>1.1465243071331213</v>
      </c>
    </row>
    <row r="20" spans="1:5">
      <c r="A20" s="207">
        <f t="shared" si="0"/>
        <v>10</v>
      </c>
      <c r="B20" s="99">
        <v>1989</v>
      </c>
      <c r="C20" s="208">
        <v>122.52</v>
      </c>
      <c r="D20" s="208">
        <v>89.41</v>
      </c>
      <c r="E20" s="208">
        <f t="shared" si="1"/>
        <v>1.3703165194049882</v>
      </c>
    </row>
    <row r="21" spans="1:5">
      <c r="A21" s="207">
        <f t="shared" si="0"/>
        <v>11</v>
      </c>
      <c r="B21" s="99">
        <v>1990</v>
      </c>
      <c r="C21" s="208">
        <v>117.77</v>
      </c>
      <c r="D21" s="208">
        <v>84.45</v>
      </c>
      <c r="E21" s="208">
        <f t="shared" si="1"/>
        <v>1.3945529899348725</v>
      </c>
    </row>
    <row r="22" spans="1:5">
      <c r="A22" s="207">
        <f t="shared" si="0"/>
        <v>12</v>
      </c>
      <c r="B22" s="99">
        <v>1991</v>
      </c>
      <c r="C22" s="208">
        <v>144.02000000000001</v>
      </c>
      <c r="D22" s="208">
        <v>91.07</v>
      </c>
      <c r="E22" s="208">
        <f t="shared" si="1"/>
        <v>1.581420885033491</v>
      </c>
    </row>
    <row r="23" spans="1:5">
      <c r="A23" s="207">
        <f t="shared" si="0"/>
        <v>13</v>
      </c>
      <c r="B23" s="99">
        <v>1992</v>
      </c>
      <c r="C23" s="208">
        <v>141.06</v>
      </c>
      <c r="D23" s="208">
        <v>93.68</v>
      </c>
      <c r="E23" s="208">
        <f t="shared" si="1"/>
        <v>1.5057643040136635</v>
      </c>
    </row>
    <row r="24" spans="1:5">
      <c r="A24" s="207">
        <f t="shared" si="0"/>
        <v>14</v>
      </c>
      <c r="B24" s="99">
        <v>1993</v>
      </c>
      <c r="C24" s="208">
        <v>146.69999999999999</v>
      </c>
      <c r="D24" s="208">
        <v>92.42</v>
      </c>
      <c r="E24" s="208">
        <f t="shared" si="1"/>
        <v>1.5873187621726896</v>
      </c>
    </row>
    <row r="25" spans="1:5">
      <c r="A25" s="207">
        <f t="shared" si="0"/>
        <v>15</v>
      </c>
      <c r="B25" s="99">
        <v>1994</v>
      </c>
      <c r="C25" s="208">
        <v>115.5</v>
      </c>
      <c r="D25" s="208">
        <v>93.8</v>
      </c>
      <c r="E25" s="208">
        <f t="shared" si="1"/>
        <v>1.2313432835820897</v>
      </c>
    </row>
    <row r="26" spans="1:5">
      <c r="A26" s="207">
        <f t="shared" si="0"/>
        <v>16</v>
      </c>
      <c r="B26" s="99">
        <v>1995</v>
      </c>
      <c r="C26" s="208">
        <v>142.9</v>
      </c>
      <c r="D26" s="208">
        <v>93.71</v>
      </c>
      <c r="E26" s="208">
        <f t="shared" si="1"/>
        <v>1.524917298047167</v>
      </c>
    </row>
    <row r="27" spans="1:5">
      <c r="A27" s="207">
        <f t="shared" si="0"/>
        <v>17</v>
      </c>
      <c r="B27" s="99">
        <v>1996</v>
      </c>
      <c r="C27" s="208">
        <v>136</v>
      </c>
      <c r="D27" s="208">
        <v>98.63</v>
      </c>
      <c r="E27" s="208">
        <f t="shared" si="1"/>
        <v>1.3788908040150056</v>
      </c>
    </row>
    <row r="28" spans="1:5">
      <c r="A28" s="207">
        <f t="shared" si="0"/>
        <v>18</v>
      </c>
      <c r="B28" s="99">
        <v>1997</v>
      </c>
      <c r="C28" s="208">
        <v>155.72999999999999</v>
      </c>
      <c r="D28" s="208">
        <v>103.06</v>
      </c>
      <c r="E28" s="208">
        <f t="shared" si="1"/>
        <v>1.5110615175625848</v>
      </c>
    </row>
    <row r="29" spans="1:5">
      <c r="A29" s="207">
        <f t="shared" si="0"/>
        <v>19</v>
      </c>
      <c r="B29" s="99">
        <v>1998</v>
      </c>
      <c r="C29" s="208">
        <v>181.84</v>
      </c>
      <c r="D29" s="208">
        <v>92.11</v>
      </c>
      <c r="E29" s="208">
        <f t="shared" si="1"/>
        <v>1.9741613288459452</v>
      </c>
    </row>
    <row r="30" spans="1:5">
      <c r="A30" s="207">
        <f t="shared" si="0"/>
        <v>20</v>
      </c>
      <c r="B30" s="99">
        <v>1999</v>
      </c>
      <c r="C30" s="208">
        <v>137.30000000000001</v>
      </c>
      <c r="D30" s="208">
        <v>128.25</v>
      </c>
      <c r="E30" s="208">
        <f t="shared" si="1"/>
        <v>1.0705653021442496</v>
      </c>
    </row>
    <row r="31" spans="1:5">
      <c r="A31" s="207">
        <f t="shared" si="0"/>
        <v>21</v>
      </c>
      <c r="B31" s="99">
        <v>2000</v>
      </c>
      <c r="C31" s="208">
        <v>227.09</v>
      </c>
      <c r="D31" s="208">
        <v>166.4</v>
      </c>
      <c r="E31" s="208">
        <f t="shared" si="1"/>
        <v>1.3647235576923076</v>
      </c>
    </row>
    <row r="32" spans="1:5" ht="15">
      <c r="A32" s="207">
        <f t="shared" si="0"/>
        <v>22</v>
      </c>
      <c r="B32" s="99">
        <v>2001</v>
      </c>
      <c r="C32" s="210"/>
      <c r="D32" s="196"/>
      <c r="E32" s="168">
        <v>1.73</v>
      </c>
    </row>
    <row r="33" spans="1:5" ht="15">
      <c r="A33" s="207">
        <f t="shared" si="0"/>
        <v>23</v>
      </c>
      <c r="B33" s="99">
        <v>2002</v>
      </c>
      <c r="C33" s="198"/>
      <c r="D33" s="200"/>
      <c r="E33" s="168">
        <v>1.27</v>
      </c>
    </row>
    <row r="34" spans="1:5" ht="15">
      <c r="A34" s="207">
        <f t="shared" si="0"/>
        <v>24</v>
      </c>
      <c r="B34" s="99">
        <v>2003</v>
      </c>
      <c r="C34" s="198"/>
      <c r="D34" s="200"/>
      <c r="E34" s="211">
        <v>1.58</v>
      </c>
    </row>
    <row r="35" spans="1:5" ht="15">
      <c r="A35" s="207">
        <f t="shared" si="0"/>
        <v>25</v>
      </c>
      <c r="B35" s="99">
        <v>2004</v>
      </c>
      <c r="C35" s="198"/>
      <c r="D35" s="200"/>
      <c r="E35" s="168">
        <v>1.68</v>
      </c>
    </row>
    <row r="36" spans="1:5" ht="15">
      <c r="A36" s="207">
        <f t="shared" si="0"/>
        <v>26</v>
      </c>
      <c r="B36" s="99">
        <v>2005</v>
      </c>
      <c r="C36" s="212"/>
      <c r="D36" s="197"/>
      <c r="E36" s="168">
        <v>1.74</v>
      </c>
    </row>
    <row r="37" spans="1:5" ht="15">
      <c r="A37" s="207">
        <f t="shared" si="0"/>
        <v>27</v>
      </c>
      <c r="B37" s="99">
        <v>2006</v>
      </c>
      <c r="C37" s="212"/>
      <c r="D37" s="197"/>
      <c r="E37" s="168">
        <v>1.93</v>
      </c>
    </row>
    <row r="38" spans="1:5" ht="15">
      <c r="A38" s="207">
        <f t="shared" si="0"/>
        <v>28</v>
      </c>
      <c r="B38" s="99">
        <v>2007</v>
      </c>
      <c r="C38" s="212"/>
      <c r="D38" s="197"/>
      <c r="E38" s="168">
        <v>1.6</v>
      </c>
    </row>
    <row r="39" spans="1:5" ht="15">
      <c r="A39" s="207">
        <f t="shared" si="0"/>
        <v>29</v>
      </c>
      <c r="B39" s="99">
        <v>2008</v>
      </c>
      <c r="C39" s="212"/>
      <c r="D39" s="197"/>
      <c r="E39" s="168">
        <v>1.18</v>
      </c>
    </row>
    <row r="40" spans="1:5" ht="15">
      <c r="A40" s="207">
        <f t="shared" si="0"/>
        <v>30</v>
      </c>
      <c r="B40" s="99">
        <v>2009</v>
      </c>
      <c r="C40" s="212"/>
      <c r="D40" s="197"/>
      <c r="E40" s="211">
        <v>1.36</v>
      </c>
    </row>
    <row r="41" spans="1:5" ht="15">
      <c r="A41" s="207">
        <f t="shared" si="0"/>
        <v>31</v>
      </c>
      <c r="B41" s="99">
        <v>2010</v>
      </c>
      <c r="C41" s="212"/>
      <c r="D41" s="197"/>
      <c r="E41" s="211">
        <v>1.427</v>
      </c>
    </row>
    <row r="42" spans="1:5" ht="15">
      <c r="A42" s="207">
        <f t="shared" si="0"/>
        <v>32</v>
      </c>
      <c r="B42" s="99">
        <v>2011</v>
      </c>
      <c r="C42" s="212"/>
      <c r="D42" s="196"/>
      <c r="E42" s="211">
        <v>1.502</v>
      </c>
    </row>
    <row r="43" spans="1:5">
      <c r="A43" s="97"/>
      <c r="B43" s="113"/>
      <c r="C43" s="212"/>
      <c r="D43" s="196"/>
      <c r="E43" s="196"/>
    </row>
    <row r="44" spans="1:5">
      <c r="A44" s="97"/>
      <c r="B44" s="113"/>
      <c r="C44" s="195"/>
      <c r="D44" s="196"/>
      <c r="E44" s="196"/>
    </row>
    <row r="45" spans="1:5">
      <c r="A45" s="97"/>
      <c r="B45" s="113"/>
      <c r="C45" s="210"/>
      <c r="D45" s="196"/>
      <c r="E45" s="196"/>
    </row>
  </sheetData>
  <mergeCells count="2">
    <mergeCell ref="A1:E1"/>
    <mergeCell ref="A3:E3"/>
  </mergeCells>
  <printOptions horizontalCentered="1"/>
  <pageMargins left="0.7" right="0.7" top="1.06" bottom="0.75" header="0.3" footer="0.51"/>
  <pageSetup scale="96" orientation="landscape" r:id="rId1"/>
  <headerFooter>
    <oddHeader>&amp;C
&amp;"Arial,Bold"&amp;20Puget Sound Energy&amp;R&amp;12Exhibit No.___(MPG-13)
Page 1 of 1</oddHeader>
    <oddFooter xml:space="preserve">&amp;L__________
Sources:
2001 - 2011: &amp;"Arial,Italic"AUS Utility Reports.&amp;"Arial,Regular"
1980 - 2000: Mergent Public Utility Manual, 2003.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A3B387-A099-41CE-8D8D-CF6D96C2F03F}"/>
</file>

<file path=customXml/itemProps2.xml><?xml version="1.0" encoding="utf-8"?>
<ds:datastoreItem xmlns:ds="http://schemas.openxmlformats.org/officeDocument/2006/customXml" ds:itemID="{B35FDD16-0030-45A4-B5A1-16F98E0CE376}"/>
</file>

<file path=customXml/itemProps3.xml><?xml version="1.0" encoding="utf-8"?>
<ds:datastoreItem xmlns:ds="http://schemas.openxmlformats.org/officeDocument/2006/customXml" ds:itemID="{205A31C7-5A5D-4C52-8EA9-143AA9037D14}"/>
</file>

<file path=customXml/itemProps4.xml><?xml version="1.0" encoding="utf-8"?>
<ds:datastoreItem xmlns:ds="http://schemas.openxmlformats.org/officeDocument/2006/customXml" ds:itemID="{94CA94A1-08C2-4A2C-ABEC-0B966040FA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46" baseType="lpstr">
      <vt:lpstr>MPG-5</vt:lpstr>
      <vt:lpstr>MPG-6</vt:lpstr>
      <vt:lpstr>MPG-7</vt:lpstr>
      <vt:lpstr>MPG-8</vt:lpstr>
      <vt:lpstr>MPG-9</vt:lpstr>
      <vt:lpstr>MPG-10a&amp;b</vt:lpstr>
      <vt:lpstr>MPG-11</vt:lpstr>
      <vt:lpstr>MPG-12</vt:lpstr>
      <vt:lpstr>MPG-13</vt:lpstr>
      <vt:lpstr>MPG-14</vt:lpstr>
      <vt:lpstr>MPG-15</vt:lpstr>
      <vt:lpstr>MPG-16</vt:lpstr>
      <vt:lpstr>MPG-17a</vt:lpstr>
      <vt:lpstr>MPG-18</vt:lpstr>
      <vt:lpstr>MPG-19</vt:lpstr>
      <vt:lpstr>Workpaper 1</vt:lpstr>
      <vt:lpstr>Workpaper 2</vt:lpstr>
      <vt:lpstr>Workpaper 3</vt:lpstr>
      <vt:lpstr>Workpaper 4</vt:lpstr>
      <vt:lpstr>Workpaper 5</vt:lpstr>
      <vt:lpstr>Workpaper 6</vt:lpstr>
      <vt:lpstr>Workpaper 7</vt:lpstr>
      <vt:lpstr>Workpaper 8</vt:lpstr>
      <vt:lpstr>MPG-17b</vt:lpstr>
      <vt:lpstr>MPG-17c</vt:lpstr>
      <vt:lpstr>'MPG-10a&amp;b'!Print_Area</vt:lpstr>
      <vt:lpstr>'MPG-11'!Print_Area</vt:lpstr>
      <vt:lpstr>'MPG-12'!Print_Area</vt:lpstr>
      <vt:lpstr>'MPG-13'!Print_Area</vt:lpstr>
      <vt:lpstr>'MPG-14'!Print_Area</vt:lpstr>
      <vt:lpstr>'MPG-15'!Print_Area</vt:lpstr>
      <vt:lpstr>'MPG-16'!Print_Area</vt:lpstr>
      <vt:lpstr>'MPG-17a'!Print_Area</vt:lpstr>
      <vt:lpstr>'MPG-18'!Print_Area</vt:lpstr>
      <vt:lpstr>'MPG-19'!Print_Area</vt:lpstr>
      <vt:lpstr>'MPG-5'!Print_Area</vt:lpstr>
      <vt:lpstr>'MPG-7'!Print_Area</vt:lpstr>
      <vt:lpstr>'MPG-8'!Print_Area</vt:lpstr>
      <vt:lpstr>'MPG-9'!Print_Area</vt:lpstr>
      <vt:lpstr>'Workpaper 1'!Print_Area</vt:lpstr>
      <vt:lpstr>'Workpaper 2'!Print_Area</vt:lpstr>
      <vt:lpstr>'Workpaper 4'!Print_Area</vt:lpstr>
      <vt:lpstr>'Workpaper 5'!Print_Area</vt:lpstr>
      <vt:lpstr>'Workpaper 6'!Print_Area</vt:lpstr>
      <vt:lpstr>'Workpaper 7'!Print_Area</vt:lpstr>
      <vt:lpstr>'Workpaper 1'!Print_Titles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Leyko</dc:creator>
  <cp:lastModifiedBy>James Leyko</cp:lastModifiedBy>
  <cp:lastPrinted>2011-12-05T17:23:00Z</cp:lastPrinted>
  <dcterms:created xsi:type="dcterms:W3CDTF">2011-11-17T20:48:44Z</dcterms:created>
  <dcterms:modified xsi:type="dcterms:W3CDTF">2011-12-05T22:31:52Z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