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15" windowWidth="16560" windowHeight="8445" tabRatio="881"/>
  </bookViews>
  <sheets>
    <sheet name="MPG-3" sheetId="1" r:id="rId1"/>
    <sheet name="MPG-20a" sheetId="2" r:id="rId2"/>
    <sheet name="MPG-20b" sheetId="3" r:id="rId3"/>
    <sheet name="MPG-20c" sheetId="4" r:id="rId4"/>
    <sheet name="MPG-20d" sheetId="5" r:id="rId5"/>
    <sheet name="MPG-21a" sheetId="7" r:id="rId6"/>
    <sheet name="MPG-21b" sheetId="8" r:id="rId7"/>
  </sheets>
  <externalReferences>
    <externalReference r:id="rId8"/>
    <externalReference r:id="rId9"/>
    <externalReference r:id="rId10"/>
    <externalReference r:id="rId11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WRK1" localSheetId="2">#REF!</definedName>
    <definedName name="_WRK1" localSheetId="4">#REF!</definedName>
    <definedName name="_WRK1" localSheetId="6">#REF!</definedName>
    <definedName name="_WRK1">#REF!</definedName>
    <definedName name="_WRK2" localSheetId="2">#REF!</definedName>
    <definedName name="_WRK2" localSheetId="6">#REF!</definedName>
    <definedName name="_WRK2">#REF!</definedName>
    <definedName name="A">#REF!</definedName>
    <definedName name="B">#REF!</definedName>
    <definedName name="bruce">#REF!</definedName>
    <definedName name="C_">#REF!</definedName>
    <definedName name="CH_COS">#REF!</definedName>
    <definedName name="DATA">#N/A</definedName>
    <definedName name="DLX1.USE">#REF!</definedName>
    <definedName name="DLX2.USE">#REF!</definedName>
    <definedName name="dsfsd">'[1]Credit Ratings-DO Not'!$E$5:$F$23</definedName>
    <definedName name="EV__LASTREFTIME__" hidden="1">39198.5712152778</definedName>
    <definedName name="m">'[2]Credit Ratings-DO Not'!$E$5:$F$23</definedName>
    <definedName name="Moodys">#REF!</definedName>
    <definedName name="N">#REF!</definedName>
    <definedName name="NAME">#N/A</definedName>
    <definedName name="NOTBALANCED" localSheetId="2">#REF!</definedName>
    <definedName name="NOTBALANCED" localSheetId="4">#REF!</definedName>
    <definedName name="NOTBALANCED" localSheetId="6">#REF!</definedName>
    <definedName name="NOTBALANCED" localSheetId="0">#REF!</definedName>
    <definedName name="NOTBALANCED">#REF!</definedName>
    <definedName name="NSP_COS">#REF!</definedName>
    <definedName name="NvsASD">"V1999-12-31"</definedName>
    <definedName name="NvsAutoDrillOk">"VN"</definedName>
    <definedName name="NvsElapsedTime">0.0136769675955293</definedName>
    <definedName name="NvsEndTime">36546.4462868056</definedName>
    <definedName name="NvsInstSpec">"%"</definedName>
    <definedName name="NvsLayoutType">"M3"</definedName>
    <definedName name="NvsNplSpec">"%,X,RZF..,CZF.."</definedName>
    <definedName name="NvsPanelEffdt">"V1990-01-01"</definedName>
    <definedName name="NvsPanelSetid">"VAEP"</definedName>
    <definedName name="NvsReqBU">"VX60"</definedName>
    <definedName name="NvsReqBUOnly">"VN"</definedName>
    <definedName name="NvsTransLed">"VN"</definedName>
    <definedName name="NvsTreeASD">"V2020-01-01"</definedName>
    <definedName name="NvsValTbl.CURRENCY_CD">"CURRENCY_CD_TBL"</definedName>
    <definedName name="PAGE3" localSheetId="2">#REF!</definedName>
    <definedName name="PAGE3" localSheetId="4">#REF!</definedName>
    <definedName name="PAGE3" localSheetId="6">#REF!</definedName>
    <definedName name="PAGE3" localSheetId="0">#REF!</definedName>
    <definedName name="PAGE3">#REF!</definedName>
    <definedName name="PAGE4" localSheetId="2">#REF!</definedName>
    <definedName name="PAGE4" localSheetId="6">#REF!</definedName>
    <definedName name="PAGE4">#REF!</definedName>
    <definedName name="_xlnm.Print_Area" localSheetId="2">'MPG-20b'!$A$1:$H$23</definedName>
    <definedName name="_xlnm.Print_Area" localSheetId="6">'MPG-21b'!$A$1:$H$23</definedName>
    <definedName name="Print_Area_MI">#REF!</definedName>
    <definedName name="Print1">#REF!</definedName>
    <definedName name="Print3">#REF!</definedName>
    <definedName name="Print4">#REF!</definedName>
    <definedName name="Print5">#REF!</definedName>
    <definedName name="PRINTJE1" localSheetId="2">#REF!</definedName>
    <definedName name="PRINTJE1" localSheetId="4">#REF!</definedName>
    <definedName name="PRINTJE1" localSheetId="6">#REF!</definedName>
    <definedName name="PRINTJE1" localSheetId="0">#REF!</definedName>
    <definedName name="PRINTJE1">#REF!</definedName>
    <definedName name="PRINTJE2" localSheetId="2">#REF!</definedName>
    <definedName name="PRINTJE2" localSheetId="6">#REF!</definedName>
    <definedName name="PRINTJE2">#REF!</definedName>
    <definedName name="PRTWORK" localSheetId="2">#REF!</definedName>
    <definedName name="PRTWORK" localSheetId="6">#REF!</definedName>
    <definedName name="PRTWORK">#REF!</definedName>
    <definedName name="PSCo_COS">#REF!</definedName>
    <definedName name="revreq">#REF!</definedName>
    <definedName name="s">'[3]Credit Ratings-DO Not'!$B$5:$C$26</definedName>
    <definedName name="SAP">#REF!</definedName>
    <definedName name="SPS_COS">#REF!</definedName>
    <definedName name="SPWS_WBID">"5C3BEB3C-3631-11D4-B07C-00104BC5D17F"</definedName>
    <definedName name="START">#REF!</definedName>
    <definedName name="temp">#REF!</definedName>
    <definedName name="Ticker">""</definedName>
    <definedName name="WORKSHEET" localSheetId="2">#REF!</definedName>
    <definedName name="WORKSHEET" localSheetId="6">#REF!</definedName>
    <definedName name="WORKSHEET">#REF!</definedName>
    <definedName name="X">#REF!</definedName>
    <definedName name="Xcel">'[4]Data Entry and Forecaster'!#REF!</definedName>
    <definedName name="Xcel_COS">#REF!</definedName>
    <definedName name="Z">#REF!</definedName>
  </definedNames>
  <calcPr calcId="125725"/>
</workbook>
</file>

<file path=xl/calcChain.xml><?xml version="1.0" encoding="utf-8"?>
<calcChain xmlns="http://schemas.openxmlformats.org/spreadsheetml/2006/main">
  <c r="H18" i="8"/>
  <c r="D22" i="7"/>
  <c r="D19"/>
  <c r="D16" i="8"/>
  <c r="G15"/>
  <c r="E15"/>
  <c r="D15"/>
  <c r="B15"/>
  <c r="F14"/>
  <c r="E14"/>
  <c r="G14" s="1"/>
  <c r="H14" s="1"/>
  <c r="D14"/>
  <c r="B14"/>
  <c r="F13"/>
  <c r="E13"/>
  <c r="E16" s="1"/>
  <c r="D13"/>
  <c r="B13"/>
  <c r="A13"/>
  <c r="A4"/>
  <c r="D20" i="7"/>
  <c r="D18"/>
  <c r="D14"/>
  <c r="D16" s="1"/>
  <c r="D21" s="1"/>
  <c r="A14"/>
  <c r="D13"/>
  <c r="A13"/>
  <c r="A1"/>
  <c r="A1" i="8" s="1"/>
  <c r="E27" i="5"/>
  <c r="G13" i="8" l="1"/>
  <c r="G16" s="1"/>
  <c r="H15"/>
  <c r="A14"/>
  <c r="A15" s="1"/>
  <c r="A15" i="7"/>
  <c r="H13" i="8" l="1"/>
  <c r="H16" s="1"/>
  <c r="D15" i="7" s="1"/>
  <c r="D17" s="1"/>
  <c r="D23" s="1"/>
  <c r="A16" i="8"/>
  <c r="A18" s="1"/>
  <c r="A16" i="7"/>
  <c r="A17" l="1"/>
  <c r="A18" l="1"/>
  <c r="A19"/>
  <c r="A21" l="1"/>
  <c r="A20"/>
  <c r="A22" l="1"/>
  <c r="A23" l="1"/>
  <c r="A25" s="1"/>
  <c r="A26" l="1"/>
  <c r="A27"/>
  <c r="E15" i="1" l="1"/>
  <c r="D15"/>
  <c r="D16" i="3" s="1"/>
  <c r="D14" i="4"/>
  <c r="K18" i="3"/>
  <c r="J18"/>
  <c r="K16"/>
  <c r="J16"/>
  <c r="L18" s="1"/>
  <c r="H18" s="1"/>
  <c r="L17"/>
  <c r="H13" i="1"/>
  <c r="H14"/>
  <c r="H12"/>
  <c r="D13" i="2"/>
  <c r="E28" i="5"/>
  <c r="E26"/>
  <c r="D18" i="2"/>
  <c r="D20"/>
  <c r="A1"/>
  <c r="F14" i="3"/>
  <c r="F15"/>
  <c r="F13"/>
  <c r="E14"/>
  <c r="E15"/>
  <c r="E13"/>
  <c r="G13" s="1"/>
  <c r="B14"/>
  <c r="B15"/>
  <c r="B13"/>
  <c r="D13" i="1" l="1"/>
  <c r="D14" i="3" s="1"/>
  <c r="G14"/>
  <c r="G15"/>
  <c r="D14" i="2" s="1"/>
  <c r="D16" s="1"/>
  <c r="D12" i="1"/>
  <c r="D13" i="3" s="1"/>
  <c r="D12" i="4" s="1"/>
  <c r="D14" i="1"/>
  <c r="D15" i="3" s="1"/>
  <c r="D19" i="2"/>
  <c r="A12" i="4"/>
  <c r="A13" s="1"/>
  <c r="B17"/>
  <c r="D13"/>
  <c r="B13"/>
  <c r="B12"/>
  <c r="A4" i="3"/>
  <c r="A4" i="4" s="1"/>
  <c r="A13" i="2"/>
  <c r="A1" i="4"/>
  <c r="A1" i="5" s="1"/>
  <c r="H15" i="1"/>
  <c r="A12"/>
  <c r="A13" s="1"/>
  <c r="A14" l="1"/>
  <c r="D15" i="4"/>
  <c r="D22" i="2"/>
  <c r="A14" i="4"/>
  <c r="A15" i="1"/>
  <c r="A14" i="2"/>
  <c r="A1" i="3"/>
  <c r="A13"/>
  <c r="H14"/>
  <c r="D17" i="4"/>
  <c r="A15" l="1"/>
  <c r="A14" i="3"/>
  <c r="A15" i="2"/>
  <c r="A17" i="4"/>
  <c r="A18" s="1"/>
  <c r="D18"/>
  <c r="A15" i="3" l="1"/>
  <c r="A16" s="1"/>
  <c r="A18" s="1"/>
  <c r="E12" i="4"/>
  <c r="E14"/>
  <c r="E13"/>
  <c r="D21" i="2"/>
  <c r="H15" i="3"/>
  <c r="G16"/>
  <c r="H13"/>
  <c r="E17" i="4"/>
  <c r="A16" i="2"/>
  <c r="E16" i="3"/>
  <c r="E15" i="4" l="1"/>
  <c r="H16" i="3"/>
  <c r="D15" i="2" s="1"/>
  <c r="D17" s="1"/>
  <c r="D23" s="1"/>
  <c r="A15" i="5"/>
  <c r="A16" s="1"/>
  <c r="A17" i="2"/>
  <c r="D25" l="1"/>
  <c r="D25" i="7"/>
  <c r="D26" i="2"/>
  <c r="A17" i="5"/>
  <c r="A18" i="2"/>
  <c r="E18" i="4"/>
  <c r="A19" i="2"/>
  <c r="D27" i="7" l="1"/>
  <c r="D26"/>
  <c r="A19" i="5"/>
  <c r="D27" i="2"/>
  <c r="A20"/>
  <c r="A20" i="5" l="1"/>
  <c r="A21" i="2"/>
  <c r="A21" i="5" l="1"/>
  <c r="A22" i="2"/>
  <c r="A23" l="1"/>
  <c r="A25" s="1"/>
  <c r="A26" s="1"/>
  <c r="A26" i="5" l="1"/>
  <c r="A27" i="2"/>
  <c r="A27" i="5" l="1"/>
  <c r="A28" s="1"/>
</calcChain>
</file>

<file path=xl/sharedStrings.xml><?xml version="1.0" encoding="utf-8"?>
<sst xmlns="http://schemas.openxmlformats.org/spreadsheetml/2006/main" count="209" uniqueCount="94">
  <si>
    <t>Rate of Return</t>
  </si>
  <si>
    <t>Weighted</t>
  </si>
  <si>
    <t>Line</t>
  </si>
  <si>
    <t>Description</t>
  </si>
  <si>
    <t>Amount (000)</t>
  </si>
  <si>
    <t>Weight</t>
  </si>
  <si>
    <t>Cost</t>
  </si>
  <si>
    <t>(1)</t>
  </si>
  <si>
    <t>(2)</t>
  </si>
  <si>
    <t>(3)</t>
  </si>
  <si>
    <t>(4)</t>
  </si>
  <si>
    <t>Long-Term Debt</t>
  </si>
  <si>
    <t>Common Equity</t>
  </si>
  <si>
    <t>Total</t>
  </si>
  <si>
    <t>Source:</t>
  </si>
  <si>
    <t>Standard &amp; Poor's Credit Metrics</t>
  </si>
  <si>
    <t>Retail</t>
  </si>
  <si>
    <t>Cost of Service</t>
  </si>
  <si>
    <r>
      <t>S&amp;P Benchmark</t>
    </r>
    <r>
      <rPr>
        <b/>
        <vertAlign val="superscript"/>
        <sz val="12"/>
        <rFont val="Arial"/>
        <family val="2"/>
      </rPr>
      <t>1/2</t>
    </r>
  </si>
  <si>
    <t>Intermediate</t>
  </si>
  <si>
    <t>Significant</t>
  </si>
  <si>
    <t>Aggressive</t>
  </si>
  <si>
    <t>Reference</t>
  </si>
  <si>
    <t>(5)</t>
  </si>
  <si>
    <t>Rate Base</t>
  </si>
  <si>
    <t>Weighted Common Return</t>
  </si>
  <si>
    <t>Pre-Tax Rate of Return</t>
  </si>
  <si>
    <t>Income to Common</t>
  </si>
  <si>
    <t>Line 1 x Line 2.</t>
  </si>
  <si>
    <t>EBIT</t>
  </si>
  <si>
    <t>Line 1 x Line 3.</t>
  </si>
  <si>
    <t>Depreciation &amp; Amortization</t>
  </si>
  <si>
    <t>Imputed Amortization</t>
  </si>
  <si>
    <t>Page 4, Line 9, Col 1.</t>
  </si>
  <si>
    <t>Deferred Income Taxes &amp; ITC</t>
  </si>
  <si>
    <t>Funds from Operations (FFO)</t>
  </si>
  <si>
    <t>Sum of Lines 4, and 6 to 8.</t>
  </si>
  <si>
    <t>Imputed Interest Expense</t>
  </si>
  <si>
    <t>Page 4, Line 8, Col 1.</t>
  </si>
  <si>
    <t>EBITDA</t>
  </si>
  <si>
    <t>Sum of Lines 5 through 7 and Line 10.</t>
  </si>
  <si>
    <t>Total Debt Ratio</t>
  </si>
  <si>
    <t>35% - 45%</t>
  </si>
  <si>
    <t>45% - 50%</t>
  </si>
  <si>
    <t>50% - 60%</t>
  </si>
  <si>
    <t>Debt to EBITDA</t>
  </si>
  <si>
    <t>2.0x - 3.0x</t>
  </si>
  <si>
    <t>3.0x - 4.0x</t>
  </si>
  <si>
    <t>4.0x - 5.0x</t>
  </si>
  <si>
    <t>(Line 1 x Line 12) / Line 11.</t>
  </si>
  <si>
    <t>FFO to Total Debt</t>
  </si>
  <si>
    <t>30% - 45%</t>
  </si>
  <si>
    <t>20% - 30%</t>
  </si>
  <si>
    <t>12% - 20%</t>
  </si>
  <si>
    <t>Line 9 / (Line 1 x Line 12).</t>
  </si>
  <si>
    <t>Sources: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</si>
  <si>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Standard &amp; Poor's: "Criteria Methodology: Business Risk/Financial Risk Matrix Expanded," May 27, 2009.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</si>
  <si>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 xml:space="preserve">S&amp;P RatingsDirect: </t>
    </r>
    <r>
      <rPr>
        <sz val="12"/>
        <color theme="1"/>
        <rFont val="Arial"/>
        <family val="2"/>
      </rPr>
      <t>"U.S. Regulated Electric Utilities, Strongest to Weakest," October 4, 2011.</t>
    </r>
  </si>
  <si>
    <t>Note:</t>
  </si>
  <si>
    <t>(Pre-Tax Rate of Return)</t>
  </si>
  <si>
    <t>Pre-Tax</t>
  </si>
  <si>
    <t>Tax Conversion Factor*</t>
  </si>
  <si>
    <t>(Financial Capital Structure)</t>
  </si>
  <si>
    <r>
      <t>Off Balance Sheet Debt</t>
    </r>
    <r>
      <rPr>
        <vertAlign val="superscript"/>
        <sz val="11"/>
        <color theme="1"/>
        <rFont val="Arial"/>
        <family val="2"/>
      </rPr>
      <t>1</t>
    </r>
  </si>
  <si>
    <t>Total Long-Term Debt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</si>
  <si>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Hadaway Direct, Schedule SCH2010-2, page 8 of 16.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</si>
  <si>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Page 4, Line 7, Col. 1.</t>
    </r>
  </si>
  <si>
    <t>Total Company</t>
  </si>
  <si>
    <t>Operating Leases</t>
  </si>
  <si>
    <t xml:space="preserve">   Imputed Interest Expense</t>
  </si>
  <si>
    <t xml:space="preserve">   Imputed Amortization Expense</t>
  </si>
  <si>
    <t>Total Off Balance Sheet Debt</t>
  </si>
  <si>
    <t>Short-Term Debt</t>
  </si>
  <si>
    <t>Puget Sound Energy</t>
  </si>
  <si>
    <t>Purchase Power Agreements</t>
  </si>
  <si>
    <t>Allocation</t>
  </si>
  <si>
    <t>(Off Balance Sheet Debt)</t>
  </si>
  <si>
    <t xml:space="preserve">  February 24, 2011 at 6.</t>
  </si>
  <si>
    <r>
      <rPr>
        <vertAlign val="superscript"/>
        <sz val="11"/>
        <color theme="1"/>
        <rFont val="Arial"/>
        <family val="2"/>
      </rPr>
      <t xml:space="preserve">1 </t>
    </r>
    <r>
      <rPr>
        <i/>
        <sz val="11"/>
        <color theme="1"/>
        <rFont val="Arial"/>
        <family val="2"/>
      </rPr>
      <t>Standard &amp; Poor's RatingsDirect,</t>
    </r>
    <r>
      <rPr>
        <sz val="11"/>
        <color theme="1"/>
        <rFont val="Arial"/>
        <family val="2"/>
      </rPr>
      <t xml:space="preserve"> "Puget Sound Energy Inc."</t>
    </r>
  </si>
  <si>
    <t>Gaines Direct at 5.</t>
  </si>
  <si>
    <t>Based on the May 2009 S&amp;P metrics, Puget Sound Energy Inc. has an "Excellent" business profile and an "Aggressive" financial profile.</t>
  </si>
  <si>
    <t>* Exhibit Nos.___(MJS-7) and (JSH-7).</t>
  </si>
  <si>
    <t>Exhibit No.___(MPG-3).</t>
  </si>
  <si>
    <t>Ex. No.___(MPG-20) Page 4, Line 9, Col 1.</t>
  </si>
  <si>
    <t>Ex. No.___(MPG-20) Page 4, Line 8, Col 1.</t>
  </si>
  <si>
    <t>(9.70% Return on Equity)</t>
  </si>
  <si>
    <t>(9.50% Return on Equity)</t>
  </si>
  <si>
    <t>Page 2.</t>
  </si>
  <si>
    <t>Page 3, Line 4, Col. 1.</t>
  </si>
  <si>
    <t>Ex. No.___(MPG-20) Page 3, Line 4, Col. 1.</t>
  </si>
  <si>
    <t>Exhibit Nos.___(MJS-7) and (JSH-7).</t>
  </si>
  <si>
    <t>Exhibit Nos.___(MJS-3) and (JSH-3).</t>
  </si>
  <si>
    <t>Page 2, Line 3, Col. 3.</t>
  </si>
  <si>
    <t>Page 2, Line 4, Col. 4.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</si>
</sst>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\x"/>
    <numFmt numFmtId="167" formatCode="0.000%"/>
    <numFmt numFmtId="168" formatCode="0.0000"/>
    <numFmt numFmtId="169" formatCode="&quot;$&quot;#,##0.00"/>
    <numFmt numFmtId="170" formatCode="0.0"/>
    <numFmt numFmtId="171" formatCode="_(* #,##0.0000_);_(* \(#,##0.0000\);_(* &quot;-&quot;??_);_(@_)"/>
  </numFmts>
  <fonts count="65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Accounting"/>
      <sz val="11"/>
      <name val="Arial"/>
      <family val="2"/>
    </font>
    <font>
      <u/>
      <sz val="11"/>
      <name val="Arial"/>
      <family val="2"/>
    </font>
    <font>
      <b/>
      <sz val="24"/>
      <color theme="1"/>
      <name val="Arial"/>
      <family val="2"/>
    </font>
    <font>
      <b/>
      <u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vertAlign val="superscript"/>
      <sz val="1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21" borderId="10" applyNumberFormat="0" applyAlignment="0" applyProtection="0"/>
    <xf numFmtId="0" fontId="34" fillId="21" borderId="10" applyNumberFormat="0" applyAlignment="0" applyProtection="0"/>
    <xf numFmtId="0" fontId="34" fillId="21" borderId="10" applyNumberFormat="0" applyAlignment="0" applyProtection="0"/>
    <xf numFmtId="0" fontId="34" fillId="21" borderId="10" applyNumberFormat="0" applyAlignment="0" applyProtection="0"/>
    <xf numFmtId="0" fontId="34" fillId="21" borderId="10" applyNumberFormat="0" applyAlignment="0" applyProtection="0"/>
    <xf numFmtId="0" fontId="35" fillId="22" borderId="11" applyNumberFormat="0" applyAlignment="0" applyProtection="0"/>
    <xf numFmtId="0" fontId="35" fillId="22" borderId="11" applyNumberFormat="0" applyAlignment="0" applyProtection="0"/>
    <xf numFmtId="0" fontId="35" fillId="22" borderId="11" applyNumberFormat="0" applyAlignment="0" applyProtection="0"/>
    <xf numFmtId="0" fontId="35" fillId="22" borderId="11" applyNumberFormat="0" applyAlignment="0" applyProtection="0"/>
    <xf numFmtId="0" fontId="35" fillId="22" borderId="11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horizontal="justify" vertical="top" wrapText="1"/>
    </xf>
    <xf numFmtId="0" fontId="42" fillId="8" borderId="10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43" fillId="23" borderId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36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1" fillId="0" borderId="0"/>
    <xf numFmtId="0" fontId="9" fillId="0" borderId="0"/>
    <xf numFmtId="169" fontId="47" fillId="0" borderId="0" applyProtection="0"/>
    <xf numFmtId="0" fontId="9" fillId="25" borderId="16" applyNumberFormat="0" applyFont="0" applyAlignment="0" applyProtection="0"/>
    <xf numFmtId="0" fontId="9" fillId="25" borderId="16" applyNumberFormat="0" applyFont="0" applyAlignment="0" applyProtection="0"/>
    <xf numFmtId="0" fontId="9" fillId="25" borderId="16" applyNumberFormat="0" applyFont="0" applyAlignment="0" applyProtection="0"/>
    <xf numFmtId="0" fontId="9" fillId="25" borderId="16" applyNumberFormat="0" applyFont="0" applyAlignment="0" applyProtection="0"/>
    <xf numFmtId="0" fontId="9" fillId="25" borderId="16" applyNumberFormat="0" applyFont="0" applyAlignment="0" applyProtection="0"/>
    <xf numFmtId="0" fontId="48" fillId="21" borderId="17" applyNumberFormat="0" applyAlignment="0" applyProtection="0"/>
    <xf numFmtId="0" fontId="48" fillId="21" borderId="17" applyNumberFormat="0" applyAlignment="0" applyProtection="0"/>
    <xf numFmtId="0" fontId="48" fillId="21" borderId="17" applyNumberFormat="0" applyAlignment="0" applyProtection="0"/>
    <xf numFmtId="0" fontId="48" fillId="21" borderId="17" applyNumberFormat="0" applyAlignment="0" applyProtection="0"/>
    <xf numFmtId="0" fontId="48" fillId="21" borderId="17" applyNumberFormat="0" applyAlignment="0" applyProtection="0"/>
    <xf numFmtId="40" fontId="49" fillId="26" borderId="0">
      <alignment horizontal="right"/>
    </xf>
    <xf numFmtId="0" fontId="50" fillId="26" borderId="0">
      <alignment horizontal="right"/>
    </xf>
    <xf numFmtId="0" fontId="51" fillId="26" borderId="18"/>
    <xf numFmtId="0" fontId="51" fillId="0" borderId="0" applyBorder="0">
      <alignment horizontal="centerContinuous"/>
    </xf>
    <xf numFmtId="0" fontId="52" fillId="0" borderId="0" applyBorder="0">
      <alignment horizontal="centerContinuous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54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Protection="0">
      <alignment horizontal="center"/>
    </xf>
    <xf numFmtId="0" fontId="60" fillId="29" borderId="0" applyNumberFormat="0" applyBorder="0" applyAlignment="0" applyProtection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30" borderId="0" applyNumberFormat="0" applyFont="0" applyBorder="0" applyAlignment="0" applyProtection="0"/>
    <xf numFmtId="168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8" applyNumberFormat="0" applyFon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31">
    <xf numFmtId="0" fontId="0" fillId="0" borderId="0" xfId="0"/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164" fontId="6" fillId="0" borderId="0" xfId="2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6" fillId="0" borderId="0" xfId="2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0" fontId="8" fillId="0" borderId="0" xfId="3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4" fontId="8" fillId="0" borderId="0" xfId="2" applyNumberFormat="1" applyFont="1" applyAlignment="1">
      <alignment vertical="center"/>
    </xf>
    <xf numFmtId="10" fontId="8" fillId="0" borderId="0" xfId="4" applyNumberFormat="1" applyFont="1" applyAlignment="1">
      <alignment horizontal="center" vertical="center"/>
    </xf>
    <xf numFmtId="10" fontId="11" fillId="0" borderId="0" xfId="4" applyNumberFormat="1" applyFont="1" applyAlignment="1">
      <alignment horizontal="center" vertical="center"/>
    </xf>
    <xf numFmtId="10" fontId="6" fillId="0" borderId="0" xfId="4" applyNumberFormat="1" applyFont="1" applyBorder="1" applyAlignment="1">
      <alignment horizontal="center" vertical="center"/>
    </xf>
    <xf numFmtId="165" fontId="0" fillId="0" borderId="0" xfId="1" applyNumberFormat="1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0" fontId="6" fillId="0" borderId="0" xfId="4" applyNumberFormat="1" applyFont="1" applyAlignment="1">
      <alignment horizontal="center" vertical="center"/>
    </xf>
    <xf numFmtId="10" fontId="8" fillId="0" borderId="0" xfId="3" applyNumberFormat="1" applyFont="1" applyFill="1" applyAlignment="1">
      <alignment horizontal="center" vertical="center"/>
    </xf>
    <xf numFmtId="10" fontId="8" fillId="0" borderId="0" xfId="3" applyNumberFormat="1" applyFont="1" applyAlignment="1">
      <alignment horizontal="center" vertical="center"/>
    </xf>
    <xf numFmtId="10" fontId="6" fillId="0" borderId="0" xfId="3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/>
    <xf numFmtId="0" fontId="8" fillId="0" borderId="0" xfId="0" applyFont="1" applyFill="1"/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2" applyNumberFormat="1" applyFont="1" applyFill="1"/>
    <xf numFmtId="0" fontId="15" fillId="0" borderId="0" xfId="0" applyFont="1" applyFill="1"/>
    <xf numFmtId="10" fontId="15" fillId="0" borderId="0" xfId="0" applyNumberFormat="1" applyFont="1"/>
    <xf numFmtId="0" fontId="15" fillId="0" borderId="0" xfId="0" applyFont="1" applyFill="1" applyAlignment="1"/>
    <xf numFmtId="164" fontId="15" fillId="0" borderId="0" xfId="2" applyNumberFormat="1" applyFont="1"/>
    <xf numFmtId="0" fontId="15" fillId="0" borderId="0" xfId="0" applyFont="1" applyAlignment="1"/>
    <xf numFmtId="10" fontId="15" fillId="0" borderId="0" xfId="3" applyNumberFormat="1" applyFont="1" applyFill="1"/>
    <xf numFmtId="164" fontId="15" fillId="0" borderId="0" xfId="2" applyNumberFormat="1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9" fontId="18" fillId="0" borderId="2" xfId="5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6" fontId="18" fillId="0" borderId="5" xfId="6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9" fontId="18" fillId="0" borderId="7" xfId="5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65" fontId="15" fillId="0" borderId="0" xfId="1" applyNumberFormat="1" applyFont="1"/>
    <xf numFmtId="0" fontId="15" fillId="0" borderId="1" xfId="0" applyFont="1" applyBorder="1"/>
    <xf numFmtId="10" fontId="15" fillId="0" borderId="0" xfId="3" applyNumberFormat="1" applyFont="1"/>
    <xf numFmtId="0" fontId="18" fillId="0" borderId="0" xfId="0" applyFont="1"/>
    <xf numFmtId="0" fontId="0" fillId="0" borderId="0" xfId="0" applyFill="1"/>
    <xf numFmtId="0" fontId="15" fillId="0" borderId="1" xfId="0" applyFont="1" applyFill="1" applyBorder="1"/>
    <xf numFmtId="10" fontId="11" fillId="0" borderId="0" xfId="3" applyNumberFormat="1" applyFont="1" applyAlignment="1">
      <alignment horizontal="center" vertical="center"/>
    </xf>
    <xf numFmtId="0" fontId="3" fillId="0" borderId="0" xfId="0" applyFont="1"/>
    <xf numFmtId="10" fontId="8" fillId="0" borderId="0" xfId="0" applyNumberFormat="1" applyFont="1" applyAlignment="1">
      <alignment horizontal="center" vertical="center"/>
    </xf>
    <xf numFmtId="167" fontId="6" fillId="0" borderId="0" xfId="3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8" fillId="0" borderId="0" xfId="2" applyNumberFormat="1" applyFont="1" applyFill="1" applyAlignment="1">
      <alignment vertical="center"/>
    </xf>
    <xf numFmtId="167" fontId="8" fillId="0" borderId="0" xfId="3" applyNumberFormat="1" applyFont="1" applyFill="1" applyAlignment="1">
      <alignment horizontal="center" vertical="center"/>
    </xf>
    <xf numFmtId="168" fontId="8" fillId="0" borderId="0" xfId="0" applyNumberFormat="1" applyFont="1" applyFill="1" applyAlignment="1">
      <alignment horizontal="center" vertical="center"/>
    </xf>
    <xf numFmtId="164" fontId="8" fillId="0" borderId="0" xfId="2" applyNumberFormat="1" applyFont="1"/>
    <xf numFmtId="167" fontId="8" fillId="0" borderId="0" xfId="3" applyNumberFormat="1" applyFont="1" applyAlignment="1">
      <alignment horizontal="center"/>
    </xf>
    <xf numFmtId="168" fontId="0" fillId="0" borderId="0" xfId="0" applyNumberFormat="1"/>
    <xf numFmtId="168" fontId="8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3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10" fontId="0" fillId="0" borderId="0" xfId="3" applyNumberFormat="1" applyFont="1" applyFill="1" applyAlignment="1">
      <alignment horizontal="center" vertical="center"/>
    </xf>
    <xf numFmtId="10" fontId="27" fillId="0" borderId="0" xfId="3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0" fontId="3" fillId="0" borderId="0" xfId="3" applyNumberFormat="1" applyFont="1" applyAlignment="1">
      <alignment horizontal="center" vertical="center"/>
    </xf>
    <xf numFmtId="10" fontId="27" fillId="0" borderId="0" xfId="3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2" borderId="0" xfId="0" applyFill="1"/>
    <xf numFmtId="0" fontId="2" fillId="0" borderId="0" xfId="0" applyFont="1" applyFill="1"/>
    <xf numFmtId="0" fontId="3" fillId="0" borderId="1" xfId="0" applyFont="1" applyBorder="1" applyAlignment="1"/>
    <xf numFmtId="0" fontId="3" fillId="0" borderId="0" xfId="0" applyFont="1" applyBorder="1" applyAlignment="1"/>
    <xf numFmtId="0" fontId="29" fillId="0" borderId="0" xfId="0" applyFont="1"/>
    <xf numFmtId="0" fontId="0" fillId="0" borderId="0" xfId="0" applyAlignment="1">
      <alignment horizontal="left"/>
    </xf>
    <xf numFmtId="164" fontId="0" fillId="0" borderId="0" xfId="2" applyNumberFormat="1" applyFont="1"/>
    <xf numFmtId="164" fontId="1" fillId="0" borderId="0" xfId="2" applyNumberFormat="1" applyFont="1"/>
    <xf numFmtId="0" fontId="3" fillId="0" borderId="1" xfId="0" applyFont="1" applyBorder="1" applyAlignment="1">
      <alignment vertical="center"/>
    </xf>
    <xf numFmtId="10" fontId="6" fillId="0" borderId="20" xfId="4" applyNumberFormat="1" applyFont="1" applyFill="1" applyBorder="1" applyAlignment="1">
      <alignment horizontal="center" vertical="center"/>
    </xf>
    <xf numFmtId="164" fontId="8" fillId="2" borderId="0" xfId="2" applyNumberFormat="1" applyFont="1" applyFill="1" applyAlignment="1">
      <alignment vertical="center"/>
    </xf>
    <xf numFmtId="165" fontId="8" fillId="2" borderId="0" xfId="1" applyNumberFormat="1" applyFont="1" applyFill="1" applyAlignment="1">
      <alignment vertical="center"/>
    </xf>
    <xf numFmtId="165" fontId="10" fillId="2" borderId="0" xfId="1" applyNumberFormat="1" applyFont="1" applyFill="1" applyAlignment="1">
      <alignment vertical="center"/>
    </xf>
    <xf numFmtId="164" fontId="6" fillId="2" borderId="0" xfId="2" applyNumberFormat="1" applyFont="1" applyFill="1" applyAlignment="1">
      <alignment vertical="center"/>
    </xf>
    <xf numFmtId="0" fontId="25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164" fontId="0" fillId="2" borderId="0" xfId="2" applyNumberFormat="1" applyFont="1" applyFill="1" applyAlignment="1">
      <alignment vertical="center"/>
    </xf>
    <xf numFmtId="165" fontId="0" fillId="2" borderId="0" xfId="1" applyNumberFormat="1" applyFont="1" applyFill="1" applyAlignment="1">
      <alignment vertical="center"/>
    </xf>
    <xf numFmtId="165" fontId="27" fillId="2" borderId="0" xfId="1" applyNumberFormat="1" applyFont="1" applyFill="1" applyAlignment="1">
      <alignment vertical="center"/>
    </xf>
    <xf numFmtId="164" fontId="3" fillId="2" borderId="0" xfId="2" applyNumberFormat="1" applyFont="1" applyFill="1" applyAlignment="1">
      <alignment vertical="center"/>
    </xf>
    <xf numFmtId="165" fontId="27" fillId="2" borderId="0" xfId="2" applyNumberFormat="1" applyFont="1" applyFill="1" applyAlignment="1">
      <alignment vertical="center"/>
    </xf>
    <xf numFmtId="43" fontId="0" fillId="0" borderId="0" xfId="1" applyFont="1"/>
    <xf numFmtId="165" fontId="3" fillId="0" borderId="0" xfId="1" applyNumberFormat="1" applyFont="1"/>
    <xf numFmtId="171" fontId="0" fillId="0" borderId="0" xfId="1" applyNumberFormat="1" applyFont="1"/>
    <xf numFmtId="49" fontId="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8" fillId="2" borderId="0" xfId="0" applyFont="1" applyFill="1"/>
    <xf numFmtId="0" fontId="15" fillId="0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8" fillId="2" borderId="0" xfId="2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303">
    <cellStyle name="20% - Accent1 2" xfId="7"/>
    <cellStyle name="20% - Accent1 3" xfId="8"/>
    <cellStyle name="20% - Accent1 4" xfId="9"/>
    <cellStyle name="20% - Accent1 5" xfId="10"/>
    <cellStyle name="20% - Accent1 6" xfId="11"/>
    <cellStyle name="20% - Accent2 2" xfId="12"/>
    <cellStyle name="20% - Accent2 3" xfId="13"/>
    <cellStyle name="20% - Accent2 4" xfId="14"/>
    <cellStyle name="20% - Accent2 5" xfId="15"/>
    <cellStyle name="20% - Accent2 6" xfId="16"/>
    <cellStyle name="20% - Accent3 2" xfId="17"/>
    <cellStyle name="20% - Accent3 3" xfId="18"/>
    <cellStyle name="20% - Accent3 4" xfId="19"/>
    <cellStyle name="20% - Accent3 5" xfId="20"/>
    <cellStyle name="20% - Accent3 6" xfId="21"/>
    <cellStyle name="20% - Accent4 2" xfId="22"/>
    <cellStyle name="20% - Accent4 3" xfId="23"/>
    <cellStyle name="20% - Accent4 4" xfId="24"/>
    <cellStyle name="20% - Accent4 5" xfId="25"/>
    <cellStyle name="20% - Accent4 6" xfId="26"/>
    <cellStyle name="20% - Accent5 2" xfId="27"/>
    <cellStyle name="20% - Accent5 3" xfId="28"/>
    <cellStyle name="20% - Accent5 4" xfId="29"/>
    <cellStyle name="20% - Accent5 5" xfId="30"/>
    <cellStyle name="20% - Accent5 6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2 2" xfId="42"/>
    <cellStyle name="40% - Accent2 3" xfId="43"/>
    <cellStyle name="40% - Accent2 4" xfId="44"/>
    <cellStyle name="40% - Accent2 5" xfId="45"/>
    <cellStyle name="40% - Accent2 6" xfId="46"/>
    <cellStyle name="40% - Accent3 2" xfId="47"/>
    <cellStyle name="40% - Accent3 3" xfId="48"/>
    <cellStyle name="40% - Accent3 4" xfId="49"/>
    <cellStyle name="40% - Accent3 5" xfId="50"/>
    <cellStyle name="40% - Accent3 6" xfId="51"/>
    <cellStyle name="40% - Accent4 2" xfId="52"/>
    <cellStyle name="40% - Accent4 3" xfId="53"/>
    <cellStyle name="40% - Accent4 4" xfId="54"/>
    <cellStyle name="40% - Accent4 5" xfId="55"/>
    <cellStyle name="40% - Accent4 6" xfId="56"/>
    <cellStyle name="40% - Accent5 2" xfId="57"/>
    <cellStyle name="40% - Accent5 3" xfId="58"/>
    <cellStyle name="40% - Accent5 4" xfId="59"/>
    <cellStyle name="40% - Accent5 5" xfId="60"/>
    <cellStyle name="40% - Accent5 6" xfId="61"/>
    <cellStyle name="40% - Accent6 2" xfId="62"/>
    <cellStyle name="40% - Accent6 3" xfId="63"/>
    <cellStyle name="40% - Accent6 4" xfId="64"/>
    <cellStyle name="40% - Accent6 5" xfId="65"/>
    <cellStyle name="40% - Accent6 6" xfId="66"/>
    <cellStyle name="60% - Accent1 2" xfId="67"/>
    <cellStyle name="60% - Accent1 3" xfId="68"/>
    <cellStyle name="60% - Accent1 4" xfId="69"/>
    <cellStyle name="60% - Accent1 5" xfId="70"/>
    <cellStyle name="60% - Accent1 6" xfId="71"/>
    <cellStyle name="60% - Accent2 2" xfId="72"/>
    <cellStyle name="60% - Accent2 3" xfId="73"/>
    <cellStyle name="60% - Accent2 4" xfId="74"/>
    <cellStyle name="60% - Accent2 5" xfId="75"/>
    <cellStyle name="60% - Accent2 6" xfId="76"/>
    <cellStyle name="60% - Accent3 2" xfId="77"/>
    <cellStyle name="60% - Accent3 3" xfId="78"/>
    <cellStyle name="60% - Accent3 4" xfId="79"/>
    <cellStyle name="60% - Accent3 5" xfId="80"/>
    <cellStyle name="60% - Accent3 6" xfId="81"/>
    <cellStyle name="60% - Accent4 2" xfId="82"/>
    <cellStyle name="60% - Accent4 3" xfId="83"/>
    <cellStyle name="60% - Accent4 4" xfId="84"/>
    <cellStyle name="60% - Accent4 5" xfId="85"/>
    <cellStyle name="60% - Accent4 6" xfId="86"/>
    <cellStyle name="60% - Accent5 2" xfId="87"/>
    <cellStyle name="60% - Accent5 3" xfId="88"/>
    <cellStyle name="60% - Accent5 4" xfId="89"/>
    <cellStyle name="60% - Accent5 5" xfId="90"/>
    <cellStyle name="60% - Accent5 6" xfId="91"/>
    <cellStyle name="60% - Accent6 2" xfId="92"/>
    <cellStyle name="60% - Accent6 3" xfId="93"/>
    <cellStyle name="60% - Accent6 4" xfId="94"/>
    <cellStyle name="60% - Accent6 5" xfId="95"/>
    <cellStyle name="60% - Accent6 6" xfId="96"/>
    <cellStyle name="Accent1 2" xfId="97"/>
    <cellStyle name="Accent1 3" xfId="98"/>
    <cellStyle name="Accent1 4" xfId="99"/>
    <cellStyle name="Accent1 5" xfId="100"/>
    <cellStyle name="Accent1 6" xfId="101"/>
    <cellStyle name="Accent2 2" xfId="102"/>
    <cellStyle name="Accent2 3" xfId="103"/>
    <cellStyle name="Accent2 4" xfId="104"/>
    <cellStyle name="Accent2 5" xfId="105"/>
    <cellStyle name="Accent2 6" xfId="106"/>
    <cellStyle name="Accent3 2" xfId="107"/>
    <cellStyle name="Accent3 3" xfId="108"/>
    <cellStyle name="Accent3 4" xfId="109"/>
    <cellStyle name="Accent3 5" xfId="110"/>
    <cellStyle name="Accent3 6" xfId="111"/>
    <cellStyle name="Accent4 2" xfId="112"/>
    <cellStyle name="Accent4 3" xfId="113"/>
    <cellStyle name="Accent4 4" xfId="114"/>
    <cellStyle name="Accent4 5" xfId="115"/>
    <cellStyle name="Accent4 6" xfId="116"/>
    <cellStyle name="Accent5 2" xfId="117"/>
    <cellStyle name="Accent5 3" xfId="118"/>
    <cellStyle name="Accent5 4" xfId="119"/>
    <cellStyle name="Accent5 5" xfId="120"/>
    <cellStyle name="Accent5 6" xfId="121"/>
    <cellStyle name="Accent6 2" xfId="122"/>
    <cellStyle name="Accent6 3" xfId="123"/>
    <cellStyle name="Accent6 4" xfId="124"/>
    <cellStyle name="Accent6 5" xfId="125"/>
    <cellStyle name="Accent6 6" xfId="126"/>
    <cellStyle name="Bad 2" xfId="127"/>
    <cellStyle name="Bad 3" xfId="128"/>
    <cellStyle name="Bad 4" xfId="129"/>
    <cellStyle name="Bad 5" xfId="130"/>
    <cellStyle name="Bad 6" xfId="131"/>
    <cellStyle name="Calculation 2" xfId="132"/>
    <cellStyle name="Calculation 3" xfId="133"/>
    <cellStyle name="Calculation 4" xfId="134"/>
    <cellStyle name="Calculation 5" xfId="135"/>
    <cellStyle name="Calculation 6" xfId="136"/>
    <cellStyle name="Check Cell 2" xfId="137"/>
    <cellStyle name="Check Cell 3" xfId="138"/>
    <cellStyle name="Check Cell 4" xfId="139"/>
    <cellStyle name="Check Cell 5" xfId="140"/>
    <cellStyle name="Check Cell 6" xfId="141"/>
    <cellStyle name="Comma" xfId="1" builtinId="3"/>
    <cellStyle name="Comma 2" xfId="142"/>
    <cellStyle name="Comma 2 2" xfId="143"/>
    <cellStyle name="Comma 3" xfId="144"/>
    <cellStyle name="Comma 3 2" xfId="145"/>
    <cellStyle name="Currency" xfId="2" builtinId="4"/>
    <cellStyle name="Currency 10" xfId="146"/>
    <cellStyle name="Currency 11" xfId="147"/>
    <cellStyle name="Currency 2" xfId="148"/>
    <cellStyle name="Currency 2 2" xfId="149"/>
    <cellStyle name="Currency 3" xfId="150"/>
    <cellStyle name="Currency 4" xfId="151"/>
    <cellStyle name="Currency 5" xfId="152"/>
    <cellStyle name="Currency 6" xfId="153"/>
    <cellStyle name="Currency 7" xfId="154"/>
    <cellStyle name="Currency 8" xfId="155"/>
    <cellStyle name="Explanatory Text 2" xfId="156"/>
    <cellStyle name="Explanatory Text 3" xfId="157"/>
    <cellStyle name="Explanatory Text 4" xfId="158"/>
    <cellStyle name="Explanatory Text 5" xfId="159"/>
    <cellStyle name="Explanatory Text 6" xfId="160"/>
    <cellStyle name="Good 2" xfId="161"/>
    <cellStyle name="Good 3" xfId="162"/>
    <cellStyle name="Good 4" xfId="163"/>
    <cellStyle name="Good 5" xfId="164"/>
    <cellStyle name="Good 6" xfId="165"/>
    <cellStyle name="Heading 1 2" xfId="166"/>
    <cellStyle name="Heading 1 3" xfId="167"/>
    <cellStyle name="Heading 1 4" xfId="168"/>
    <cellStyle name="Heading 1 5" xfId="169"/>
    <cellStyle name="Heading 1 6" xfId="170"/>
    <cellStyle name="Heading 2 2" xfId="171"/>
    <cellStyle name="Heading 2 3" xfId="172"/>
    <cellStyle name="Heading 2 4" xfId="173"/>
    <cellStyle name="Heading 2 5" xfId="174"/>
    <cellStyle name="Heading 2 6" xfId="175"/>
    <cellStyle name="Heading 3 2" xfId="176"/>
    <cellStyle name="Heading 3 3" xfId="177"/>
    <cellStyle name="Heading 3 4" xfId="178"/>
    <cellStyle name="Heading 3 5" xfId="179"/>
    <cellStyle name="Heading 3 6" xfId="180"/>
    <cellStyle name="Heading 4 2" xfId="181"/>
    <cellStyle name="Heading 4 3" xfId="182"/>
    <cellStyle name="Heading 4 4" xfId="183"/>
    <cellStyle name="Heading 4 5" xfId="184"/>
    <cellStyle name="Heading 4 6" xfId="185"/>
    <cellStyle name="HeadlineStyle" xfId="186"/>
    <cellStyle name="HeadlineStyleJustified" xfId="187"/>
    <cellStyle name="Input 2" xfId="188"/>
    <cellStyle name="Input 3" xfId="189"/>
    <cellStyle name="Input 4" xfId="190"/>
    <cellStyle name="Input 5" xfId="191"/>
    <cellStyle name="Input 6" xfId="192"/>
    <cellStyle name="Lines" xfId="193"/>
    <cellStyle name="Linked Cell 2" xfId="194"/>
    <cellStyle name="Linked Cell 3" xfId="195"/>
    <cellStyle name="Linked Cell 4" xfId="196"/>
    <cellStyle name="Linked Cell 5" xfId="197"/>
    <cellStyle name="Linked Cell 6" xfId="198"/>
    <cellStyle name="Neutral 2" xfId="199"/>
    <cellStyle name="Neutral 3" xfId="200"/>
    <cellStyle name="Neutral 4" xfId="201"/>
    <cellStyle name="Neutral 5" xfId="202"/>
    <cellStyle name="Neutral 6" xfId="203"/>
    <cellStyle name="Normal" xfId="0" builtinId="0"/>
    <cellStyle name="Normal 10" xfId="204"/>
    <cellStyle name="Normal 11" xfId="205"/>
    <cellStyle name="Normal 12" xfId="206"/>
    <cellStyle name="Normal 12 2" xfId="207"/>
    <cellStyle name="Normal 13" xfId="208"/>
    <cellStyle name="Normal 13 2" xfId="209"/>
    <cellStyle name="Normal 14 2" xfId="210"/>
    <cellStyle name="Normal 14 2 2" xfId="211"/>
    <cellStyle name="Normal 15" xfId="212"/>
    <cellStyle name="Normal 2" xfId="213"/>
    <cellStyle name="Normal 2 10" xfId="214"/>
    <cellStyle name="Normal 2 11" xfId="215"/>
    <cellStyle name="Normal 2 12" xfId="216"/>
    <cellStyle name="Normal 2 13" xfId="217"/>
    <cellStyle name="Normal 2 2" xfId="6"/>
    <cellStyle name="Normal 2 3" xfId="218"/>
    <cellStyle name="Normal 2 4" xfId="219"/>
    <cellStyle name="Normal 2 5" xfId="220"/>
    <cellStyle name="Normal 2 6" xfId="221"/>
    <cellStyle name="Normal 2 7" xfId="222"/>
    <cellStyle name="Normal 2 8" xfId="223"/>
    <cellStyle name="Normal 2 9" xfId="224"/>
    <cellStyle name="Normal 3" xfId="225"/>
    <cellStyle name="Normal 3 2" xfId="226"/>
    <cellStyle name="Normal 3 2 10" xfId="227"/>
    <cellStyle name="Normal 3 2 2" xfId="228"/>
    <cellStyle name="Normal 4" xfId="229"/>
    <cellStyle name="Normal 4 2" xfId="230"/>
    <cellStyle name="Normal 4 3" xfId="231"/>
    <cellStyle name="Normal 5" xfId="232"/>
    <cellStyle name="Normal 5 2" xfId="233"/>
    <cellStyle name="Normal 6" xfId="234"/>
    <cellStyle name="Normal 6 2" xfId="235"/>
    <cellStyle name="Normal 7" xfId="236"/>
    <cellStyle name="Normal 7 2" xfId="237"/>
    <cellStyle name="Normal 8" xfId="238"/>
    <cellStyle name="Normal 8 2" xfId="239"/>
    <cellStyle name="Normal 8 3" xfId="240"/>
    <cellStyle name="Normal 9" xfId="241"/>
    <cellStyle name="Note 2" xfId="242"/>
    <cellStyle name="Note 3" xfId="243"/>
    <cellStyle name="Note 4" xfId="244"/>
    <cellStyle name="Note 5" xfId="245"/>
    <cellStyle name="Note 6" xfId="246"/>
    <cellStyle name="Output 2" xfId="247"/>
    <cellStyle name="Output 3" xfId="248"/>
    <cellStyle name="Output 4" xfId="249"/>
    <cellStyle name="Output 5" xfId="250"/>
    <cellStyle name="Output 6" xfId="251"/>
    <cellStyle name="Output Amounts" xfId="252"/>
    <cellStyle name="Output Column Headings" xfId="253"/>
    <cellStyle name="Output Line Items" xfId="254"/>
    <cellStyle name="Output Report Heading" xfId="255"/>
    <cellStyle name="Output Report Title" xfId="256"/>
    <cellStyle name="Percent" xfId="3" builtinId="5"/>
    <cellStyle name="Percent 2" xfId="5"/>
    <cellStyle name="Percent 2 2" xfId="257"/>
    <cellStyle name="Percent 3" xfId="258"/>
    <cellStyle name="Percent 3 2" xfId="259"/>
    <cellStyle name="Percent 4" xfId="260"/>
    <cellStyle name="Percent 4 2" xfId="261"/>
    <cellStyle name="Percent 5" xfId="262"/>
    <cellStyle name="Percent 6" xfId="263"/>
    <cellStyle name="Percent 7" xfId="264"/>
    <cellStyle name="Percent 8" xfId="4"/>
    <cellStyle name="PSChar" xfId="265"/>
    <cellStyle name="PSDate" xfId="266"/>
    <cellStyle name="PSDec" xfId="267"/>
    <cellStyle name="PSHeading" xfId="268"/>
    <cellStyle name="PSInt" xfId="269"/>
    <cellStyle name="PSSpacer" xfId="270"/>
    <cellStyle name="Style 21" xfId="271"/>
    <cellStyle name="Style 22" xfId="272"/>
    <cellStyle name="Style 23" xfId="273"/>
    <cellStyle name="Style 24" xfId="274"/>
    <cellStyle name="Style 25" xfId="275"/>
    <cellStyle name="Style 26" xfId="276"/>
    <cellStyle name="Style 27" xfId="277"/>
    <cellStyle name="Style 28" xfId="278"/>
    <cellStyle name="Style 29" xfId="279"/>
    <cellStyle name="Style 30" xfId="280"/>
    <cellStyle name="Style 31" xfId="281"/>
    <cellStyle name="Style 32" xfId="282"/>
    <cellStyle name="Style 33" xfId="283"/>
    <cellStyle name="Style 34" xfId="284"/>
    <cellStyle name="Style 35" xfId="285"/>
    <cellStyle name="Style 36" xfId="286"/>
    <cellStyle name="Style 39" xfId="287"/>
    <cellStyle name="Title 2" xfId="288"/>
    <cellStyle name="Title 3" xfId="289"/>
    <cellStyle name="Title 4" xfId="290"/>
    <cellStyle name="Title 5" xfId="291"/>
    <cellStyle name="Title 6" xfId="292"/>
    <cellStyle name="Total 2" xfId="293"/>
    <cellStyle name="Total 3" xfId="294"/>
    <cellStyle name="Total 4" xfId="295"/>
    <cellStyle name="Total 5" xfId="296"/>
    <cellStyle name="Total 6" xfId="297"/>
    <cellStyle name="Warning Text 2" xfId="298"/>
    <cellStyle name="Warning Text 3" xfId="299"/>
    <cellStyle name="Warning Text 4" xfId="300"/>
    <cellStyle name="Warning Text 5" xfId="301"/>
    <cellStyle name="Warning Text 6" xfId="3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\Shares\Shares\PLDocs\JAL\8975\Database\1310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\Shares\Shares\Documents%20and%20Settings\Mga\Local%20Settings\Temporary%20Internet%20Files\OLK1A\Selection_sk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\Shares\Shares\PLDocs\JAL\8767\Exhibit\Selection%20-%20Wepc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A</v>
          </cell>
          <cell r="C5">
            <v>16</v>
          </cell>
        </row>
        <row r="6">
          <cell r="B6" t="str">
            <v>A-</v>
          </cell>
          <cell r="C6">
            <v>15</v>
          </cell>
        </row>
        <row r="7">
          <cell r="B7" t="str">
            <v>A+</v>
          </cell>
          <cell r="C7">
            <v>17</v>
          </cell>
        </row>
        <row r="8">
          <cell r="B8" t="str">
            <v>AA</v>
          </cell>
          <cell r="C8">
            <v>19</v>
          </cell>
        </row>
        <row r="9">
          <cell r="B9" t="str">
            <v>AA-</v>
          </cell>
          <cell r="C9">
            <v>18</v>
          </cell>
        </row>
        <row r="10">
          <cell r="B10" t="str">
            <v>AA+</v>
          </cell>
          <cell r="C10">
            <v>20</v>
          </cell>
        </row>
        <row r="11">
          <cell r="B11" t="str">
            <v>AAA</v>
          </cell>
          <cell r="C11">
            <v>21</v>
          </cell>
        </row>
        <row r="12">
          <cell r="B12" t="str">
            <v>B</v>
          </cell>
          <cell r="C12">
            <v>7</v>
          </cell>
        </row>
        <row r="13">
          <cell r="B13" t="str">
            <v>B-</v>
          </cell>
          <cell r="C13">
            <v>6</v>
          </cell>
        </row>
        <row r="14">
          <cell r="B14" t="str">
            <v>B+</v>
          </cell>
          <cell r="C14">
            <v>8</v>
          </cell>
        </row>
        <row r="15">
          <cell r="B15" t="str">
            <v>BB</v>
          </cell>
          <cell r="C15">
            <v>10</v>
          </cell>
        </row>
        <row r="16">
          <cell r="B16" t="str">
            <v>BB-</v>
          </cell>
          <cell r="C16">
            <v>9</v>
          </cell>
        </row>
        <row r="17">
          <cell r="B17" t="str">
            <v>BB+</v>
          </cell>
          <cell r="C17">
            <v>11</v>
          </cell>
        </row>
        <row r="18">
          <cell r="B18" t="str">
            <v>BBB</v>
          </cell>
          <cell r="C18">
            <v>13</v>
          </cell>
        </row>
        <row r="19">
          <cell r="B19" t="str">
            <v>BBB-</v>
          </cell>
          <cell r="C19">
            <v>12</v>
          </cell>
        </row>
        <row r="20">
          <cell r="B20" t="str">
            <v>BBB+</v>
          </cell>
          <cell r="C20">
            <v>14</v>
          </cell>
        </row>
        <row r="21">
          <cell r="B21" t="str">
            <v>C</v>
          </cell>
          <cell r="C21">
            <v>1</v>
          </cell>
        </row>
        <row r="22">
          <cell r="B22" t="str">
            <v>CC</v>
          </cell>
          <cell r="C22">
            <v>2</v>
          </cell>
        </row>
        <row r="23">
          <cell r="B23" t="str">
            <v>CCC</v>
          </cell>
          <cell r="C23">
            <v>4</v>
          </cell>
        </row>
        <row r="24">
          <cell r="B24" t="str">
            <v>CCC-</v>
          </cell>
          <cell r="C24">
            <v>3</v>
          </cell>
        </row>
        <row r="25">
          <cell r="B25" t="str">
            <v>CCC+</v>
          </cell>
          <cell r="C25">
            <v>5</v>
          </cell>
        </row>
        <row r="26">
          <cell r="B26" t="str">
            <v>NR</v>
          </cell>
          <cell r="C26">
            <v>0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80" zoomScaleNormal="80" zoomScalePageLayoutView="80" workbookViewId="0">
      <selection activeCell="A2" sqref="A2"/>
    </sheetView>
  </sheetViews>
  <sheetFormatPr defaultRowHeight="14.25"/>
  <cols>
    <col min="1" max="1" width="6.375" customWidth="1"/>
    <col min="3" max="3" width="10.875" customWidth="1"/>
    <col min="4" max="4" width="16.75" hidden="1" customWidth="1"/>
    <col min="5" max="6" width="10.625" customWidth="1"/>
    <col min="7" max="7" width="1.875" customWidth="1"/>
    <col min="8" max="8" width="10.5" customWidth="1"/>
    <col min="9" max="9" width="1.75" customWidth="1"/>
    <col min="12" max="12" width="14.875" bestFit="1" customWidth="1"/>
  </cols>
  <sheetData>
    <row r="1" spans="1:12" ht="26.25">
      <c r="A1" s="121" t="s">
        <v>73</v>
      </c>
      <c r="B1" s="121"/>
      <c r="C1" s="121"/>
      <c r="D1" s="121"/>
      <c r="E1" s="121"/>
      <c r="F1" s="121"/>
      <c r="G1" s="121"/>
      <c r="H1" s="121"/>
      <c r="I1" s="121"/>
    </row>
    <row r="4" spans="1:12" ht="20.25">
      <c r="A4" s="122" t="s">
        <v>0</v>
      </c>
      <c r="B4" s="122"/>
      <c r="C4" s="122"/>
      <c r="D4" s="122"/>
      <c r="E4" s="122"/>
      <c r="F4" s="122"/>
      <c r="G4" s="122"/>
      <c r="H4" s="122"/>
      <c r="I4" s="122"/>
    </row>
    <row r="8" spans="1:12" ht="15">
      <c r="A8" s="1"/>
      <c r="B8" s="2"/>
      <c r="C8" s="2"/>
      <c r="D8" s="3"/>
      <c r="E8" s="1"/>
      <c r="F8" s="4"/>
      <c r="G8" s="4"/>
      <c r="H8" s="4" t="s">
        <v>1</v>
      </c>
    </row>
    <row r="9" spans="1:12" ht="15">
      <c r="A9" s="5" t="s">
        <v>2</v>
      </c>
      <c r="B9" s="123" t="s">
        <v>3</v>
      </c>
      <c r="C9" s="123"/>
      <c r="D9" s="118" t="s">
        <v>4</v>
      </c>
      <c r="E9" s="5" t="s">
        <v>5</v>
      </c>
      <c r="F9" s="6" t="s">
        <v>6</v>
      </c>
      <c r="G9" s="6"/>
      <c r="H9" s="6" t="s">
        <v>6</v>
      </c>
    </row>
    <row r="10" spans="1:12" ht="15">
      <c r="A10" s="1"/>
      <c r="B10" s="1"/>
      <c r="C10" s="1"/>
      <c r="D10" s="119"/>
      <c r="E10" s="7" t="s">
        <v>7</v>
      </c>
      <c r="F10" s="7" t="s">
        <v>8</v>
      </c>
      <c r="G10" s="7"/>
      <c r="H10" s="7" t="s">
        <v>9</v>
      </c>
    </row>
    <row r="11" spans="1:12">
      <c r="A11" s="8"/>
      <c r="B11" s="9"/>
      <c r="C11" s="9"/>
      <c r="D11" s="116"/>
      <c r="E11" s="8"/>
      <c r="G11" s="10"/>
      <c r="H11" s="11"/>
    </row>
    <row r="12" spans="1:12" ht="21" customHeight="1">
      <c r="A12" s="12">
        <f>MAX(A7:A11)+1</f>
        <v>1</v>
      </c>
      <c r="B12" s="13" t="s">
        <v>11</v>
      </c>
      <c r="C12" s="14"/>
      <c r="D12" s="100">
        <f>E12*D15</f>
        <v>3281531.2350000003</v>
      </c>
      <c r="E12" s="16">
        <v>0.5</v>
      </c>
      <c r="F12" s="16">
        <v>6.3700000000000007E-2</v>
      </c>
      <c r="G12" s="16"/>
      <c r="H12" s="16">
        <f>ROUND(E12*F12,4)</f>
        <v>3.1899999999999998E-2</v>
      </c>
    </row>
    <row r="13" spans="1:12" ht="21" customHeight="1">
      <c r="A13" s="12">
        <f>MAX(A7:A12)+1</f>
        <v>2</v>
      </c>
      <c r="B13" s="13" t="s">
        <v>72</v>
      </c>
      <c r="C13" s="14"/>
      <c r="D13" s="101">
        <f>E13*D15</f>
        <v>262522.49880000006</v>
      </c>
      <c r="E13" s="16">
        <v>0.04</v>
      </c>
      <c r="F13" s="16">
        <v>4.6199999999999998E-2</v>
      </c>
      <c r="G13" s="16"/>
      <c r="H13" s="16">
        <f t="shared" ref="H13:H14" si="0">ROUND(E13*F13,4)</f>
        <v>1.8E-3</v>
      </c>
    </row>
    <row r="14" spans="1:12" ht="21" customHeight="1">
      <c r="A14" s="12">
        <f>MAX(A7:A13)+1</f>
        <v>3</v>
      </c>
      <c r="B14" s="13" t="s">
        <v>12</v>
      </c>
      <c r="C14" s="14"/>
      <c r="D14" s="102">
        <f>E14*D15</f>
        <v>3019008.7362000006</v>
      </c>
      <c r="E14" s="17">
        <v>0.46</v>
      </c>
      <c r="F14" s="99">
        <v>9.7000000000000003E-2</v>
      </c>
      <c r="G14" s="18"/>
      <c r="H14" s="17">
        <f t="shared" si="0"/>
        <v>4.4600000000000001E-2</v>
      </c>
      <c r="L14" s="19"/>
    </row>
    <row r="15" spans="1:12" ht="21" customHeight="1">
      <c r="A15" s="12">
        <f>MAX(A8:A14)+1</f>
        <v>4</v>
      </c>
      <c r="B15" s="20" t="s">
        <v>13</v>
      </c>
      <c r="C15" s="21"/>
      <c r="D15" s="103">
        <f>'MPG-20a'!D13</f>
        <v>6563062.4700000007</v>
      </c>
      <c r="E15" s="22">
        <f>SUM(E12:E14)</f>
        <v>1</v>
      </c>
      <c r="F15" s="23"/>
      <c r="G15" s="24"/>
      <c r="H15" s="25">
        <f>SUM(H12:H14)</f>
        <v>7.8300000000000008E-2</v>
      </c>
      <c r="I15" s="26"/>
      <c r="L15" s="19"/>
    </row>
    <row r="18" spans="2:5">
      <c r="B18" s="27"/>
    </row>
    <row r="19" spans="2:5">
      <c r="B19" s="9" t="s">
        <v>14</v>
      </c>
    </row>
    <row r="20" spans="2:5">
      <c r="B20" s="28" t="s">
        <v>79</v>
      </c>
    </row>
    <row r="21" spans="2:5">
      <c r="D21" s="111"/>
      <c r="E21" s="111"/>
    </row>
  </sheetData>
  <mergeCells count="3">
    <mergeCell ref="A1:I1"/>
    <mergeCell ref="A4:I4"/>
    <mergeCell ref="B9:C9"/>
  </mergeCells>
  <printOptions horizontalCentered="1"/>
  <pageMargins left="0.7" right="0.7" top="1" bottom="0.75" header="0.3" footer="0.3"/>
  <pageSetup orientation="portrait" r:id="rId1"/>
  <headerFooter>
    <oddHeader>&amp;RExhibit No.___(MPG-3)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80" zoomScaleNormal="80" workbookViewId="0">
      <selection activeCell="A2" sqref="A2"/>
    </sheetView>
  </sheetViews>
  <sheetFormatPr defaultRowHeight="14.25"/>
  <cols>
    <col min="1" max="1" width="6.125" customWidth="1"/>
    <col min="3" max="3" width="19.5" customWidth="1"/>
    <col min="4" max="4" width="17.875" bestFit="1" customWidth="1"/>
    <col min="5" max="7" width="13.5" customWidth="1"/>
    <col min="8" max="8" width="1.875" customWidth="1"/>
    <col min="9" max="9" width="40.75" customWidth="1"/>
  </cols>
  <sheetData>
    <row r="1" spans="1:9" ht="30">
      <c r="A1" s="124" t="str">
        <f>'MPG-3'!A1</f>
        <v>Puget Sound Energy</v>
      </c>
      <c r="B1" s="124"/>
      <c r="C1" s="124"/>
      <c r="D1" s="124"/>
      <c r="E1" s="124"/>
      <c r="F1" s="124"/>
      <c r="G1" s="124"/>
      <c r="H1" s="124"/>
      <c r="I1" s="124"/>
    </row>
    <row r="4" spans="1:9" ht="23.25">
      <c r="A4" s="125" t="s">
        <v>15</v>
      </c>
      <c r="B4" s="125"/>
      <c r="C4" s="125"/>
      <c r="D4" s="125"/>
      <c r="E4" s="125"/>
      <c r="F4" s="125"/>
      <c r="G4" s="125"/>
      <c r="H4" s="125"/>
      <c r="I4" s="125"/>
    </row>
    <row r="5" spans="1:9" ht="20.25">
      <c r="A5" s="128" t="s">
        <v>85</v>
      </c>
      <c r="B5" s="128"/>
      <c r="C5" s="128"/>
      <c r="D5" s="128"/>
      <c r="E5" s="128"/>
      <c r="F5" s="128"/>
      <c r="G5" s="128"/>
      <c r="H5" s="128"/>
      <c r="I5" s="128"/>
    </row>
    <row r="8" spans="1:9" ht="15.75">
      <c r="A8" s="29"/>
      <c r="B8" s="29"/>
      <c r="C8" s="29"/>
      <c r="D8" s="29" t="s">
        <v>16</v>
      </c>
      <c r="E8" s="29"/>
      <c r="F8" s="30"/>
      <c r="G8" s="31"/>
      <c r="H8" s="29"/>
      <c r="I8" s="29"/>
    </row>
    <row r="9" spans="1:9" ht="18.75">
      <c r="A9" s="29"/>
      <c r="B9" s="29"/>
      <c r="C9" s="29"/>
      <c r="D9" s="29" t="s">
        <v>17</v>
      </c>
      <c r="E9" s="126" t="s">
        <v>18</v>
      </c>
      <c r="F9" s="126"/>
      <c r="G9" s="126"/>
      <c r="H9" s="29"/>
      <c r="I9" s="29"/>
    </row>
    <row r="10" spans="1:9" ht="15.75">
      <c r="A10" s="32" t="s">
        <v>2</v>
      </c>
      <c r="B10" s="127" t="s">
        <v>3</v>
      </c>
      <c r="C10" s="127"/>
      <c r="D10" s="32" t="s">
        <v>4</v>
      </c>
      <c r="E10" s="32" t="s">
        <v>19</v>
      </c>
      <c r="F10" s="32" t="s">
        <v>20</v>
      </c>
      <c r="G10" s="32" t="s">
        <v>21</v>
      </c>
      <c r="H10" s="32"/>
      <c r="I10" s="32" t="s">
        <v>22</v>
      </c>
    </row>
    <row r="11" spans="1:9" ht="15.75">
      <c r="A11" s="30"/>
      <c r="B11" s="30"/>
      <c r="C11" s="30"/>
      <c r="D11" s="33" t="s">
        <v>7</v>
      </c>
      <c r="E11" s="33" t="s">
        <v>8</v>
      </c>
      <c r="F11" s="33" t="s">
        <v>9</v>
      </c>
      <c r="G11" s="33" t="s">
        <v>10</v>
      </c>
      <c r="H11" s="29"/>
      <c r="I11" s="33" t="s">
        <v>23</v>
      </c>
    </row>
    <row r="12" spans="1:9" ht="15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23.25" customHeight="1">
      <c r="A13" s="34">
        <f>MAX(A8:A12)+1</f>
        <v>1</v>
      </c>
      <c r="B13" s="30" t="s">
        <v>24</v>
      </c>
      <c r="C13" s="30"/>
      <c r="D13" s="35">
        <f>4904756.946+1658305.524</f>
        <v>6563062.4700000007</v>
      </c>
      <c r="E13" s="35"/>
      <c r="F13" s="36"/>
      <c r="G13" s="36"/>
      <c r="H13" s="36"/>
      <c r="I13" s="117" t="s">
        <v>90</v>
      </c>
    </row>
    <row r="14" spans="1:9" ht="23.25" customHeight="1">
      <c r="A14" s="34">
        <f t="shared" ref="A14:A27" si="0">MAX(A9:A13)+1</f>
        <v>2</v>
      </c>
      <c r="B14" s="30" t="s">
        <v>25</v>
      </c>
      <c r="C14" s="30"/>
      <c r="D14" s="37">
        <f>'MPG-20b'!G15</f>
        <v>4.4600000000000001E-2</v>
      </c>
      <c r="E14" s="37"/>
      <c r="F14" s="30"/>
      <c r="G14" s="30"/>
      <c r="H14" s="30"/>
      <c r="I14" s="38" t="s">
        <v>92</v>
      </c>
    </row>
    <row r="15" spans="1:9" ht="23.25" customHeight="1">
      <c r="A15" s="34">
        <f t="shared" si="0"/>
        <v>3</v>
      </c>
      <c r="B15" s="30" t="s">
        <v>26</v>
      </c>
      <c r="C15" s="30"/>
      <c r="D15" s="37">
        <f>'MPG-20b'!H16</f>
        <v>0.10553453868864654</v>
      </c>
      <c r="E15" s="37"/>
      <c r="F15" s="30"/>
      <c r="G15" s="30"/>
      <c r="H15" s="30"/>
      <c r="I15" s="38" t="s">
        <v>93</v>
      </c>
    </row>
    <row r="16" spans="1:9" ht="23.25" customHeight="1">
      <c r="A16" s="34">
        <f t="shared" si="0"/>
        <v>4</v>
      </c>
      <c r="B16" s="30" t="s">
        <v>27</v>
      </c>
      <c r="C16" s="30"/>
      <c r="D16" s="39">
        <f>D13*D14</f>
        <v>292712.58616200002</v>
      </c>
      <c r="E16" s="39"/>
      <c r="F16" s="30"/>
      <c r="G16" s="30"/>
      <c r="H16" s="30"/>
      <c r="I16" s="38" t="s">
        <v>28</v>
      </c>
    </row>
    <row r="17" spans="1:9" ht="23.25" customHeight="1">
      <c r="A17" s="34">
        <f t="shared" si="0"/>
        <v>5</v>
      </c>
      <c r="B17" s="30" t="s">
        <v>29</v>
      </c>
      <c r="C17" s="30"/>
      <c r="D17" s="39">
        <f>D13*D15</f>
        <v>692629.77015621914</v>
      </c>
      <c r="E17" s="39"/>
      <c r="F17" s="30"/>
      <c r="G17" s="30"/>
      <c r="H17" s="30"/>
      <c r="I17" s="38" t="s">
        <v>30</v>
      </c>
    </row>
    <row r="18" spans="1:9" ht="23.25" customHeight="1">
      <c r="A18" s="34">
        <f t="shared" si="0"/>
        <v>6</v>
      </c>
      <c r="B18" s="30" t="s">
        <v>31</v>
      </c>
      <c r="C18" s="30"/>
      <c r="D18" s="35">
        <f>190245.449+40184.321+102386.843+12778.12</f>
        <v>345594.73300000001</v>
      </c>
      <c r="E18" s="35"/>
      <c r="F18" s="41"/>
      <c r="G18" s="36"/>
      <c r="H18" s="36"/>
      <c r="I18" s="117" t="s">
        <v>91</v>
      </c>
    </row>
    <row r="19" spans="1:9" ht="23.25" customHeight="1">
      <c r="A19" s="34">
        <f t="shared" si="0"/>
        <v>7</v>
      </c>
      <c r="B19" s="30" t="s">
        <v>32</v>
      </c>
      <c r="C19" s="30"/>
      <c r="D19" s="35">
        <f>'MPG-20d'!E28</f>
        <v>9900</v>
      </c>
      <c r="E19" s="35"/>
      <c r="F19" s="36"/>
      <c r="G19" s="36"/>
      <c r="H19" s="36"/>
      <c r="I19" s="38" t="s">
        <v>33</v>
      </c>
    </row>
    <row r="20" spans="1:9" ht="23.25" customHeight="1">
      <c r="A20" s="34">
        <f t="shared" si="0"/>
        <v>8</v>
      </c>
      <c r="B20" s="30" t="s">
        <v>34</v>
      </c>
      <c r="C20" s="30"/>
      <c r="D20" s="42">
        <f>-32436.237-3067.771</f>
        <v>-35504.008000000002</v>
      </c>
      <c r="E20" s="35"/>
      <c r="F20" s="36"/>
      <c r="G20" s="36"/>
      <c r="H20" s="36"/>
      <c r="I20" s="117" t="s">
        <v>91</v>
      </c>
    </row>
    <row r="21" spans="1:9" ht="23.25" customHeight="1">
      <c r="A21" s="34">
        <f>MAX(A16:A20)+1</f>
        <v>9</v>
      </c>
      <c r="B21" s="30" t="s">
        <v>35</v>
      </c>
      <c r="C21" s="30"/>
      <c r="D21" s="39">
        <f>D16+SUM(D18:D20)</f>
        <v>612703.31116200006</v>
      </c>
      <c r="E21" s="39"/>
      <c r="F21" s="30"/>
      <c r="G21" s="30"/>
      <c r="H21" s="30"/>
      <c r="I21" s="40" t="s">
        <v>36</v>
      </c>
    </row>
    <row r="22" spans="1:9" ht="23.25" customHeight="1">
      <c r="A22" s="34">
        <f>MAX(A17:A21)+1</f>
        <v>10</v>
      </c>
      <c r="B22" s="30" t="s">
        <v>37</v>
      </c>
      <c r="C22" s="30"/>
      <c r="D22" s="35">
        <f>'MPG-20d'!E27</f>
        <v>20500</v>
      </c>
      <c r="E22" s="35"/>
      <c r="F22" s="36"/>
      <c r="G22" s="36"/>
      <c r="H22" s="36"/>
      <c r="I22" s="38" t="s">
        <v>38</v>
      </c>
    </row>
    <row r="23" spans="1:9" ht="23.25" customHeight="1">
      <c r="A23" s="34">
        <f>MAX(A18:A22)+1</f>
        <v>11</v>
      </c>
      <c r="B23" s="30" t="s">
        <v>39</v>
      </c>
      <c r="C23" s="30"/>
      <c r="D23" s="39">
        <f>SUM(D17:D19)+D22</f>
        <v>1068624.5031562191</v>
      </c>
      <c r="E23" s="39"/>
      <c r="F23" s="30"/>
      <c r="G23" s="30"/>
      <c r="H23" s="30"/>
      <c r="I23" s="40" t="s">
        <v>40</v>
      </c>
    </row>
    <row r="24" spans="1:9" ht="9.75" customHeight="1" thickBot="1">
      <c r="A24" s="34"/>
      <c r="B24" s="30"/>
      <c r="C24" s="30"/>
      <c r="D24" s="39"/>
      <c r="E24" s="39"/>
      <c r="F24" s="30"/>
      <c r="G24" s="30"/>
      <c r="H24" s="30"/>
      <c r="I24" s="30"/>
    </row>
    <row r="25" spans="1:9" s="26" customFormat="1" ht="23.25" customHeight="1">
      <c r="A25" s="43">
        <f t="shared" si="0"/>
        <v>12</v>
      </c>
      <c r="B25" s="44" t="s">
        <v>41</v>
      </c>
      <c r="C25" s="44"/>
      <c r="D25" s="45">
        <f>'MPG-20c'!E15</f>
        <v>0.56228884295307957</v>
      </c>
      <c r="E25" s="45" t="s">
        <v>42</v>
      </c>
      <c r="F25" s="46" t="s">
        <v>43</v>
      </c>
      <c r="G25" s="47" t="s">
        <v>44</v>
      </c>
      <c r="H25" s="44"/>
      <c r="I25" s="48" t="s">
        <v>88</v>
      </c>
    </row>
    <row r="26" spans="1:9" s="26" customFormat="1" ht="23.25" customHeight="1">
      <c r="A26" s="43">
        <f t="shared" si="0"/>
        <v>13</v>
      </c>
      <c r="B26" s="44" t="s">
        <v>45</v>
      </c>
      <c r="C26" s="44"/>
      <c r="D26" s="49">
        <f>(D13*D25)/D23</f>
        <v>3.4533522220251776</v>
      </c>
      <c r="E26" s="50" t="s">
        <v>46</v>
      </c>
      <c r="F26" s="51" t="s">
        <v>47</v>
      </c>
      <c r="G26" s="52" t="s">
        <v>48</v>
      </c>
      <c r="H26" s="44"/>
      <c r="I26" s="44" t="s">
        <v>49</v>
      </c>
    </row>
    <row r="27" spans="1:9" s="26" customFormat="1" ht="23.25" customHeight="1" thickBot="1">
      <c r="A27" s="43">
        <f t="shared" si="0"/>
        <v>14</v>
      </c>
      <c r="B27" s="44" t="s">
        <v>50</v>
      </c>
      <c r="C27" s="44"/>
      <c r="D27" s="53">
        <f>D21/(D13*D25)</f>
        <v>0.16602910356296052</v>
      </c>
      <c r="E27" s="53" t="s">
        <v>51</v>
      </c>
      <c r="F27" s="54" t="s">
        <v>52</v>
      </c>
      <c r="G27" s="55" t="s">
        <v>53</v>
      </c>
      <c r="H27" s="48"/>
      <c r="I27" s="44" t="s">
        <v>54</v>
      </c>
    </row>
    <row r="28" spans="1:9" ht="1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5">
      <c r="A29" s="30"/>
      <c r="B29" s="30"/>
      <c r="C29" s="30"/>
      <c r="D29" s="56"/>
      <c r="E29" s="56"/>
      <c r="F29" s="30"/>
      <c r="G29" s="30"/>
      <c r="H29" s="30"/>
      <c r="I29" s="30"/>
    </row>
    <row r="30" spans="1:9" ht="15">
      <c r="A30" s="30"/>
      <c r="B30" s="57"/>
      <c r="C30" s="30"/>
      <c r="D30" s="56"/>
      <c r="E30" s="56"/>
      <c r="F30" s="58"/>
      <c r="G30" s="30"/>
      <c r="H30" s="30"/>
      <c r="I30" s="30"/>
    </row>
    <row r="31" spans="1:9" ht="15">
      <c r="A31" s="30"/>
      <c r="B31" s="30" t="s">
        <v>55</v>
      </c>
      <c r="C31" s="30"/>
      <c r="D31" s="30"/>
      <c r="E31" s="30"/>
      <c r="F31" s="30"/>
      <c r="G31" s="30"/>
      <c r="H31" s="30"/>
      <c r="I31" s="30"/>
    </row>
    <row r="32" spans="1:9" ht="18">
      <c r="A32" s="30"/>
      <c r="B32" s="59" t="s">
        <v>56</v>
      </c>
      <c r="C32" s="30"/>
      <c r="D32" s="30"/>
      <c r="E32" s="30"/>
      <c r="F32" s="30"/>
      <c r="G32" s="30"/>
      <c r="H32" s="30"/>
      <c r="I32" s="30"/>
    </row>
    <row r="33" spans="1:9" s="60" customFormat="1" ht="18">
      <c r="A33" s="36"/>
      <c r="B33" s="36" t="s">
        <v>57</v>
      </c>
      <c r="C33" s="36"/>
      <c r="D33" s="36"/>
      <c r="E33" s="36"/>
      <c r="F33" s="36"/>
      <c r="G33" s="36"/>
      <c r="H33" s="36"/>
      <c r="I33" s="36"/>
    </row>
    <row r="34" spans="1:9" ht="1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5">
      <c r="A35" s="36"/>
      <c r="B35" s="61"/>
      <c r="C35" s="36"/>
      <c r="D35" s="36"/>
      <c r="E35" s="36"/>
      <c r="F35" s="36"/>
      <c r="G35" s="36"/>
      <c r="H35" s="36"/>
      <c r="I35" s="36"/>
    </row>
    <row r="36" spans="1:9" ht="15">
      <c r="A36" s="36"/>
      <c r="B36" s="36" t="s">
        <v>58</v>
      </c>
      <c r="C36" s="36"/>
      <c r="D36" s="36"/>
      <c r="E36" s="36"/>
      <c r="F36" s="36"/>
      <c r="G36" s="36"/>
      <c r="H36" s="36"/>
      <c r="I36" s="36"/>
    </row>
    <row r="37" spans="1:9" s="60" customFormat="1" ht="15">
      <c r="A37" s="36"/>
      <c r="B37" s="36" t="s">
        <v>80</v>
      </c>
      <c r="C37" s="36"/>
      <c r="D37" s="36"/>
      <c r="E37" s="36"/>
      <c r="F37" s="36"/>
      <c r="G37" s="36"/>
      <c r="H37" s="36"/>
      <c r="I37" s="36"/>
    </row>
  </sheetData>
  <mergeCells count="5">
    <mergeCell ref="A1:I1"/>
    <mergeCell ref="A4:I4"/>
    <mergeCell ref="E9:G9"/>
    <mergeCell ref="B10:C10"/>
    <mergeCell ref="A5:I5"/>
  </mergeCells>
  <printOptions horizontalCentered="1"/>
  <pageMargins left="0.7" right="0.7" top="1" bottom="0.75" header="0.3" footer="0.3"/>
  <pageSetup scale="61" orientation="portrait" r:id="rId1"/>
  <headerFooter>
    <oddHeader>&amp;RExhibit No.___(MPG-20)
Page 1 of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80" zoomScaleNormal="80" zoomScalePageLayoutView="80" workbookViewId="0">
      <selection activeCell="A2" sqref="A2"/>
    </sheetView>
  </sheetViews>
  <sheetFormatPr defaultRowHeight="14.25"/>
  <cols>
    <col min="1" max="1" width="9.125" bestFit="1" customWidth="1"/>
    <col min="3" max="3" width="11.5" customWidth="1"/>
    <col min="4" max="4" width="14.375" hidden="1" customWidth="1"/>
    <col min="5" max="8" width="12.5" customWidth="1"/>
    <col min="10" max="10" width="11" bestFit="1" customWidth="1"/>
    <col min="11" max="11" width="10.875" bestFit="1" customWidth="1"/>
    <col min="12" max="12" width="15" bestFit="1" customWidth="1"/>
    <col min="13" max="14" width="14.875" bestFit="1" customWidth="1"/>
  </cols>
  <sheetData>
    <row r="1" spans="1:12" ht="26.25">
      <c r="A1" s="121" t="str">
        <f>'MPG-20a'!A1:I1</f>
        <v>Puget Sound Energy</v>
      </c>
      <c r="B1" s="121"/>
      <c r="C1" s="121"/>
      <c r="D1" s="121"/>
      <c r="E1" s="121"/>
      <c r="F1" s="121"/>
      <c r="G1" s="121"/>
      <c r="H1" s="121"/>
    </row>
    <row r="4" spans="1:12" ht="20.25">
      <c r="A4" s="128" t="str">
        <f>'MPG-20a'!A4:I4</f>
        <v>Standard &amp; Poor's Credit Metrics</v>
      </c>
      <c r="B4" s="128"/>
      <c r="C4" s="128"/>
      <c r="D4" s="128"/>
      <c r="E4" s="128"/>
      <c r="F4" s="128"/>
      <c r="G4" s="128"/>
      <c r="H4" s="128"/>
    </row>
    <row r="5" spans="1:12" ht="18">
      <c r="A5" s="129" t="s">
        <v>59</v>
      </c>
      <c r="B5" s="129"/>
      <c r="C5" s="129"/>
      <c r="D5" s="129"/>
      <c r="E5" s="129"/>
      <c r="F5" s="129"/>
      <c r="G5" s="129"/>
      <c r="H5" s="129"/>
    </row>
    <row r="8" spans="1:12" ht="15">
      <c r="A8" s="1"/>
      <c r="B8" s="2"/>
      <c r="C8" s="2"/>
      <c r="D8" s="3"/>
      <c r="E8" s="1"/>
      <c r="F8" s="4"/>
      <c r="G8" s="4"/>
      <c r="H8" s="1" t="s">
        <v>60</v>
      </c>
    </row>
    <row r="9" spans="1:12" ht="15">
      <c r="A9" s="1"/>
      <c r="B9" s="2"/>
      <c r="C9" s="2"/>
      <c r="D9" s="3"/>
      <c r="E9" s="1"/>
      <c r="F9" s="4"/>
      <c r="G9" s="4" t="s">
        <v>1</v>
      </c>
      <c r="H9" s="1" t="s">
        <v>1</v>
      </c>
    </row>
    <row r="10" spans="1:12" ht="15">
      <c r="A10" s="5" t="s">
        <v>2</v>
      </c>
      <c r="B10" s="123" t="s">
        <v>3</v>
      </c>
      <c r="C10" s="123"/>
      <c r="D10" s="118" t="s">
        <v>4</v>
      </c>
      <c r="E10" s="5" t="s">
        <v>5</v>
      </c>
      <c r="F10" s="6" t="s">
        <v>6</v>
      </c>
      <c r="G10" s="6" t="s">
        <v>6</v>
      </c>
      <c r="H10" s="5" t="s">
        <v>6</v>
      </c>
    </row>
    <row r="11" spans="1:12" ht="15">
      <c r="A11" s="1"/>
      <c r="B11" s="1"/>
      <c r="C11" s="1"/>
      <c r="D11" s="90"/>
      <c r="E11" s="7" t="s">
        <v>7</v>
      </c>
      <c r="F11" s="7" t="s">
        <v>8</v>
      </c>
      <c r="G11" s="7" t="s">
        <v>9</v>
      </c>
      <c r="H11" s="7" t="s">
        <v>10</v>
      </c>
    </row>
    <row r="12" spans="1:12">
      <c r="A12" s="8"/>
      <c r="B12" s="9"/>
      <c r="C12" s="9"/>
      <c r="D12" s="120"/>
      <c r="E12" s="8"/>
      <c r="F12" s="10"/>
      <c r="G12" s="11"/>
      <c r="H12" s="8"/>
    </row>
    <row r="13" spans="1:12" ht="21" customHeight="1">
      <c r="A13" s="12">
        <f>MAX(A3:A12)+1</f>
        <v>1</v>
      </c>
      <c r="B13" s="13" t="str">
        <f>'MPG-3'!B12</f>
        <v>Long-Term Debt</v>
      </c>
      <c r="C13" s="14"/>
      <c r="D13" s="100">
        <f>'MPG-3'!D12</f>
        <v>3281531.2350000003</v>
      </c>
      <c r="E13" s="16">
        <f>'MPG-3'!E12</f>
        <v>0.5</v>
      </c>
      <c r="F13" s="16">
        <f>'MPG-3'!F12</f>
        <v>6.3700000000000007E-2</v>
      </c>
      <c r="G13" s="16">
        <f>ROUND(E13*F13,4)</f>
        <v>3.1899999999999998E-2</v>
      </c>
      <c r="H13" s="24">
        <f>G13</f>
        <v>3.1899999999999998E-2</v>
      </c>
    </row>
    <row r="14" spans="1:12" ht="21" customHeight="1">
      <c r="A14" s="12">
        <f>MAX(A5:A13)+1</f>
        <v>2</v>
      </c>
      <c r="B14" s="13" t="str">
        <f>'MPG-3'!B13</f>
        <v>Short-Term Debt</v>
      </c>
      <c r="C14" s="14"/>
      <c r="D14" s="101">
        <f>'MPG-3'!D13</f>
        <v>262522.49880000006</v>
      </c>
      <c r="E14" s="16">
        <f>'MPG-3'!E13</f>
        <v>0.04</v>
      </c>
      <c r="F14" s="16">
        <f>'MPG-3'!F13</f>
        <v>4.6199999999999998E-2</v>
      </c>
      <c r="G14" s="16">
        <f t="shared" ref="G14:G15" si="0">ROUND(E14*F14,4)</f>
        <v>1.8E-3</v>
      </c>
      <c r="H14" s="24">
        <f>G14</f>
        <v>1.8E-3</v>
      </c>
    </row>
    <row r="15" spans="1:12" ht="21" customHeight="1">
      <c r="A15" s="12">
        <f>MAX(A9:A14)+1</f>
        <v>3</v>
      </c>
      <c r="B15" s="13" t="str">
        <f>'MPG-3'!B14</f>
        <v>Common Equity</v>
      </c>
      <c r="C15" s="14"/>
      <c r="D15" s="102">
        <f>'MPG-3'!D14</f>
        <v>3019008.7362000006</v>
      </c>
      <c r="E15" s="17">
        <f>'MPG-3'!E14</f>
        <v>0.46</v>
      </c>
      <c r="F15" s="99">
        <f>'MPG-3'!F14</f>
        <v>9.7000000000000003E-2</v>
      </c>
      <c r="G15" s="17">
        <f t="shared" si="0"/>
        <v>4.4600000000000001E-2</v>
      </c>
      <c r="H15" s="62">
        <f>G15*$H$18</f>
        <v>7.1834538688646532E-2</v>
      </c>
    </row>
    <row r="16" spans="1:12" ht="21" customHeight="1">
      <c r="A16" s="12">
        <f>MAX(A10:A15)+1</f>
        <v>4</v>
      </c>
      <c r="B16" s="21" t="s">
        <v>13</v>
      </c>
      <c r="C16" s="21"/>
      <c r="D16" s="103">
        <f>'MPG-3'!D15</f>
        <v>6563062.4700000007</v>
      </c>
      <c r="E16" s="22">
        <f>SUM(E13:E15)</f>
        <v>1</v>
      </c>
      <c r="F16" s="24"/>
      <c r="G16" s="25">
        <f>SUM(G13:G15)</f>
        <v>7.8300000000000008E-2</v>
      </c>
      <c r="H16" s="25">
        <f>SUM(H13:H15)</f>
        <v>0.10553453868864654</v>
      </c>
      <c r="J16" s="111">
        <f>J17/L17</f>
        <v>0.8348526078580033</v>
      </c>
      <c r="K16" s="111">
        <f>K17/L17</f>
        <v>0.1651473921419967</v>
      </c>
      <c r="L16" s="63"/>
    </row>
    <row r="17" spans="1:14" ht="21" customHeight="1">
      <c r="A17" s="12"/>
      <c r="B17" s="14"/>
      <c r="C17" s="14"/>
      <c r="D17" s="15"/>
      <c r="E17" s="64"/>
      <c r="F17" s="24"/>
      <c r="G17" s="65"/>
      <c r="H17" s="25"/>
      <c r="J17" s="19">
        <v>100111.641</v>
      </c>
      <c r="K17" s="19">
        <v>19803.706999999999</v>
      </c>
      <c r="L17" s="112">
        <f>SUM(J17:K17)</f>
        <v>119915.348</v>
      </c>
    </row>
    <row r="18" spans="1:14" ht="21" customHeight="1">
      <c r="A18" s="66">
        <f>MAX(A9:A17)+1</f>
        <v>5</v>
      </c>
      <c r="B18" s="67" t="s">
        <v>61</v>
      </c>
      <c r="C18" s="67"/>
      <c r="D18" s="68"/>
      <c r="E18" s="23"/>
      <c r="F18" s="23"/>
      <c r="G18" s="69"/>
      <c r="H18" s="70">
        <f>L18</f>
        <v>1.6106398809113573</v>
      </c>
      <c r="J18" s="113">
        <f>1/0.620749</f>
        <v>1.6109570857141937</v>
      </c>
      <c r="K18" s="113">
        <f>1/0.62149</f>
        <v>1.6090363481311043</v>
      </c>
      <c r="L18" s="113">
        <f>J18*J16+K18*K16</f>
        <v>1.6106398809113573</v>
      </c>
    </row>
    <row r="19" spans="1:14">
      <c r="A19" s="12"/>
      <c r="C19" s="9"/>
      <c r="D19" s="71"/>
      <c r="E19" s="10"/>
      <c r="F19" s="10"/>
      <c r="G19" s="72"/>
      <c r="H19" s="73"/>
    </row>
    <row r="20" spans="1:14">
      <c r="B20" s="27"/>
      <c r="H20" s="74"/>
      <c r="L20" s="75"/>
      <c r="M20" s="75"/>
      <c r="N20" s="75"/>
    </row>
    <row r="21" spans="1:14">
      <c r="B21" s="9" t="s">
        <v>55</v>
      </c>
      <c r="H21" s="73"/>
      <c r="K21" s="76"/>
      <c r="L21" s="19"/>
      <c r="M21" s="19"/>
      <c r="N21" s="19"/>
    </row>
    <row r="22" spans="1:14">
      <c r="A22" s="60"/>
      <c r="B22" s="28" t="s">
        <v>82</v>
      </c>
      <c r="C22" s="60"/>
      <c r="D22" s="60"/>
      <c r="E22" s="60"/>
      <c r="F22" s="60"/>
      <c r="G22" s="60"/>
      <c r="H22" s="60"/>
      <c r="K22" s="76"/>
      <c r="L22" s="19"/>
      <c r="M22" s="19"/>
      <c r="N22" s="19"/>
    </row>
    <row r="23" spans="1:14">
      <c r="A23" s="60"/>
      <c r="B23" s="28" t="s">
        <v>81</v>
      </c>
      <c r="C23" s="60"/>
      <c r="D23" s="60"/>
      <c r="E23" s="60"/>
      <c r="F23" s="60"/>
      <c r="G23" s="60"/>
      <c r="H23" s="60"/>
      <c r="L23" s="19"/>
      <c r="M23" s="19"/>
      <c r="N23" s="19"/>
    </row>
  </sheetData>
  <mergeCells count="4">
    <mergeCell ref="A1:H1"/>
    <mergeCell ref="A4:H4"/>
    <mergeCell ref="A5:H5"/>
    <mergeCell ref="B10:C10"/>
  </mergeCells>
  <printOptions horizontalCentered="1"/>
  <pageMargins left="0.7" right="0.7" top="1" bottom="0.75" header="0.3" footer="0.3"/>
  <pageSetup orientation="portrait" r:id="rId1"/>
  <headerFooter>
    <oddHeader>&amp;RExhibit No.___(MPG-20)
Page 2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80" zoomScaleNormal="80" workbookViewId="0">
      <selection activeCell="A2" sqref="A2"/>
    </sheetView>
  </sheetViews>
  <sheetFormatPr defaultRowHeight="14.25"/>
  <cols>
    <col min="2" max="2" width="11.5" customWidth="1"/>
    <col min="3" max="3" width="13.5" customWidth="1"/>
    <col min="4" max="4" width="18.75" hidden="1" customWidth="1"/>
    <col min="5" max="5" width="22.625" customWidth="1"/>
  </cols>
  <sheetData>
    <row r="1" spans="1:5" ht="26.25">
      <c r="A1" s="121" t="str">
        <f>'MPG-20a'!A1:I1</f>
        <v>Puget Sound Energy</v>
      </c>
      <c r="B1" s="121"/>
      <c r="C1" s="121"/>
      <c r="D1" s="121"/>
      <c r="E1" s="121"/>
    </row>
    <row r="4" spans="1:5" ht="20.25">
      <c r="A4" s="128" t="str">
        <f>'MPG-20b'!A4:H4</f>
        <v>Standard &amp; Poor's Credit Metrics</v>
      </c>
      <c r="B4" s="128"/>
      <c r="C4" s="128"/>
      <c r="D4" s="128"/>
      <c r="E4" s="128"/>
    </row>
    <row r="5" spans="1:5" ht="18">
      <c r="A5" s="129" t="s">
        <v>62</v>
      </c>
      <c r="B5" s="129"/>
      <c r="C5" s="129"/>
      <c r="D5" s="129"/>
      <c r="E5" s="129"/>
    </row>
    <row r="7" spans="1:5" ht="15">
      <c r="D7" s="3"/>
    </row>
    <row r="8" spans="1:5" ht="15">
      <c r="A8" s="77"/>
      <c r="B8" s="77"/>
      <c r="C8" s="77"/>
      <c r="D8" s="3"/>
      <c r="E8" s="77"/>
    </row>
    <row r="9" spans="1:5" ht="15">
      <c r="A9" s="78" t="s">
        <v>2</v>
      </c>
      <c r="B9" s="130" t="s">
        <v>3</v>
      </c>
      <c r="C9" s="130"/>
      <c r="D9" s="104" t="s">
        <v>4</v>
      </c>
      <c r="E9" s="78" t="s">
        <v>5</v>
      </c>
    </row>
    <row r="10" spans="1:5" ht="15">
      <c r="A10" s="77"/>
      <c r="B10" s="77"/>
      <c r="C10" s="77"/>
      <c r="D10" s="105"/>
      <c r="E10" s="79" t="s">
        <v>7</v>
      </c>
    </row>
    <row r="11" spans="1:5">
      <c r="D11" s="90"/>
    </row>
    <row r="12" spans="1:5" ht="22.5" customHeight="1">
      <c r="A12" s="80">
        <f>MAX(A8:A11)+1</f>
        <v>1</v>
      </c>
      <c r="B12" s="26" t="str">
        <f>'MPG-20b'!B13</f>
        <v>Long-Term Debt</v>
      </c>
      <c r="C12" s="26"/>
      <c r="D12" s="106">
        <f>'MPG-20b'!D13</f>
        <v>3281531.2350000003</v>
      </c>
      <c r="E12" s="81">
        <f>D12/$D$18</f>
        <v>0.47577299679013085</v>
      </c>
    </row>
    <row r="13" spans="1:5" ht="22.5" customHeight="1">
      <c r="A13" s="80">
        <f>MAX(A10:A12)+1</f>
        <v>2</v>
      </c>
      <c r="B13" s="26" t="str">
        <f>'MPG-20b'!B14</f>
        <v>Short-Term Debt</v>
      </c>
      <c r="C13" s="82"/>
      <c r="D13" s="107">
        <f>'MPG-20b'!D14</f>
        <v>262522.49880000006</v>
      </c>
      <c r="E13" s="83">
        <f>D13/$D$18</f>
        <v>3.8061839743210472E-2</v>
      </c>
    </row>
    <row r="14" spans="1:5" ht="22.5" customHeight="1">
      <c r="A14" s="80">
        <f>MAX(A13:A13)+1</f>
        <v>3</v>
      </c>
      <c r="B14" s="82" t="s">
        <v>63</v>
      </c>
      <c r="C14" s="82"/>
      <c r="D14" s="108">
        <f>'MPG-20d'!E26</f>
        <v>334200</v>
      </c>
      <c r="E14" s="84">
        <f>D14/$D$18</f>
        <v>4.8454006419738287E-2</v>
      </c>
    </row>
    <row r="15" spans="1:5" ht="22.5" customHeight="1">
      <c r="A15" s="80">
        <f>MAX(A14:A14)+1</f>
        <v>4</v>
      </c>
      <c r="B15" s="85" t="s">
        <v>64</v>
      </c>
      <c r="C15" s="85"/>
      <c r="D15" s="109">
        <f>SUM(D12:D14)</f>
        <v>3878253.7338000005</v>
      </c>
      <c r="E15" s="86">
        <f>SUM(E12:E14)</f>
        <v>0.56228884295307957</v>
      </c>
    </row>
    <row r="16" spans="1:5" ht="11.25" customHeight="1">
      <c r="A16" s="80"/>
      <c r="B16" s="26"/>
      <c r="C16" s="26"/>
      <c r="D16" s="106"/>
      <c r="E16" s="81"/>
    </row>
    <row r="17" spans="1:5" ht="22.5" customHeight="1">
      <c r="A17" s="80">
        <f>MAX(A13:A16)+1</f>
        <v>5</v>
      </c>
      <c r="B17" s="26" t="str">
        <f>'MPG-20b'!B15</f>
        <v>Common Equity</v>
      </c>
      <c r="C17" s="26"/>
      <c r="D17" s="110">
        <f>'MPG-20b'!D15</f>
        <v>3019008.7362000006</v>
      </c>
      <c r="E17" s="87">
        <f>D17/$D$18</f>
        <v>0.43771115704692043</v>
      </c>
    </row>
    <row r="18" spans="1:5" ht="22.5" customHeight="1">
      <c r="A18" s="80">
        <f t="shared" ref="A18" si="0">MAX(A14:A17)+1</f>
        <v>6</v>
      </c>
      <c r="B18" s="85" t="s">
        <v>13</v>
      </c>
      <c r="C18" s="85"/>
      <c r="D18" s="109">
        <f>SUM(D15:D17)</f>
        <v>6897262.4700000007</v>
      </c>
      <c r="E18" s="86">
        <f>SUM(E15:E17)</f>
        <v>1</v>
      </c>
    </row>
    <row r="19" spans="1:5">
      <c r="E19" s="88"/>
    </row>
    <row r="21" spans="1:5">
      <c r="B21" s="89"/>
    </row>
    <row r="22" spans="1:5">
      <c r="B22" t="s">
        <v>55</v>
      </c>
    </row>
    <row r="23" spans="1:5">
      <c r="B23" s="28" t="s">
        <v>87</v>
      </c>
      <c r="C23" s="60"/>
      <c r="D23" s="60"/>
    </row>
    <row r="24" spans="1:5" ht="16.5" hidden="1">
      <c r="B24" s="90" t="s">
        <v>65</v>
      </c>
      <c r="C24" s="90"/>
      <c r="D24" s="90"/>
      <c r="E24" s="90"/>
    </row>
    <row r="25" spans="1:5" s="60" customFormat="1" ht="16.5">
      <c r="B25" s="28" t="s">
        <v>66</v>
      </c>
      <c r="C25" s="91"/>
      <c r="D25" s="91"/>
    </row>
  </sheetData>
  <mergeCells count="4">
    <mergeCell ref="A1:E1"/>
    <mergeCell ref="A4:E4"/>
    <mergeCell ref="A5:E5"/>
    <mergeCell ref="B9:C9"/>
  </mergeCells>
  <printOptions horizontalCentered="1"/>
  <pageMargins left="0.7" right="0.7" top="1" bottom="0.75" header="0.3" footer="0.3"/>
  <pageSetup orientation="portrait" r:id="rId1"/>
  <headerFooter>
    <oddHeader>&amp;RExhibit No.___(MPG-20)
Page 3 of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80" zoomScaleNormal="80" workbookViewId="0">
      <selection activeCell="A2" sqref="A2"/>
    </sheetView>
  </sheetViews>
  <sheetFormatPr defaultRowHeight="14.25"/>
  <cols>
    <col min="1" max="1" width="6.375" customWidth="1"/>
    <col min="3" max="3" width="38.75" customWidth="1"/>
    <col min="4" max="4" width="1.875" customWidth="1"/>
    <col min="5" max="5" width="16.125" customWidth="1"/>
  </cols>
  <sheetData>
    <row r="1" spans="1:5" ht="26.25">
      <c r="A1" s="121" t="str">
        <f>'MPG-20c'!A1:E1</f>
        <v>Puget Sound Energy</v>
      </c>
      <c r="B1" s="121"/>
      <c r="C1" s="121"/>
      <c r="D1" s="121"/>
      <c r="E1" s="121"/>
    </row>
    <row r="5" spans="1:5" ht="20.25">
      <c r="A5" s="128" t="s">
        <v>15</v>
      </c>
      <c r="B5" s="128"/>
      <c r="C5" s="128"/>
      <c r="D5" s="128"/>
      <c r="E5" s="128"/>
    </row>
    <row r="6" spans="1:5" ht="18">
      <c r="A6" s="129" t="s">
        <v>76</v>
      </c>
      <c r="B6" s="129"/>
      <c r="C6" s="129"/>
      <c r="D6" s="129"/>
      <c r="E6" s="129"/>
    </row>
    <row r="10" spans="1:5" ht="15">
      <c r="A10" s="78" t="s">
        <v>2</v>
      </c>
      <c r="B10" s="130" t="s">
        <v>3</v>
      </c>
      <c r="C10" s="130"/>
      <c r="D10" s="78"/>
      <c r="E10" s="78" t="s">
        <v>4</v>
      </c>
    </row>
    <row r="11" spans="1:5" ht="15">
      <c r="A11" s="78"/>
      <c r="B11" s="78"/>
      <c r="C11" s="78"/>
      <c r="D11" s="78"/>
      <c r="E11" s="79" t="s">
        <v>7</v>
      </c>
    </row>
    <row r="13" spans="1:5" ht="16.5" customHeight="1">
      <c r="A13" s="88"/>
      <c r="B13" s="92" t="s">
        <v>67</v>
      </c>
      <c r="C13" s="92"/>
      <c r="D13" s="93"/>
    </row>
    <row r="14" spans="1:5" s="94" customFormat="1" ht="16.5" customHeight="1">
      <c r="A14" s="88"/>
    </row>
    <row r="15" spans="1:5" ht="16.5" customHeight="1">
      <c r="A15" s="88">
        <f>MAX(A13:A14)+1</f>
        <v>1</v>
      </c>
      <c r="B15" s="95" t="s">
        <v>68</v>
      </c>
      <c r="E15" s="97">
        <v>99300</v>
      </c>
    </row>
    <row r="16" spans="1:5" ht="16.5" customHeight="1">
      <c r="A16" s="88">
        <f>MAX(A13:A15)+1</f>
        <v>2</v>
      </c>
      <c r="B16" t="s">
        <v>69</v>
      </c>
      <c r="E16" s="97">
        <v>6100</v>
      </c>
    </row>
    <row r="17" spans="1:5" ht="16.5" customHeight="1">
      <c r="A17" s="88">
        <f>MAX(A13:A16)+1</f>
        <v>3</v>
      </c>
      <c r="B17" t="s">
        <v>70</v>
      </c>
      <c r="E17" s="97">
        <v>6500</v>
      </c>
    </row>
    <row r="18" spans="1:5" ht="16.5" customHeight="1">
      <c r="A18" s="88"/>
      <c r="E18" s="97"/>
    </row>
    <row r="19" spans="1:5" ht="16.5" customHeight="1">
      <c r="A19" s="88">
        <f t="shared" ref="A19:A28" si="0">MAX(A14:A18)+1</f>
        <v>4</v>
      </c>
      <c r="B19" s="95" t="s">
        <v>74</v>
      </c>
      <c r="E19" s="97">
        <v>234900</v>
      </c>
    </row>
    <row r="20" spans="1:5" ht="16.5" customHeight="1">
      <c r="A20" s="88">
        <f t="shared" si="0"/>
        <v>5</v>
      </c>
      <c r="B20" t="s">
        <v>69</v>
      </c>
      <c r="E20" s="97">
        <v>14400</v>
      </c>
    </row>
    <row r="21" spans="1:5" ht="16.5" customHeight="1">
      <c r="A21" s="88">
        <f t="shared" si="0"/>
        <v>6</v>
      </c>
      <c r="B21" t="s">
        <v>70</v>
      </c>
      <c r="E21" s="97">
        <v>3400</v>
      </c>
    </row>
    <row r="22" spans="1:5" ht="16.5" customHeight="1">
      <c r="A22" s="88"/>
      <c r="E22" s="97"/>
    </row>
    <row r="23" spans="1:5" ht="16.5" customHeight="1">
      <c r="A23" s="88"/>
      <c r="E23" s="96"/>
    </row>
    <row r="24" spans="1:5" ht="16.5" customHeight="1">
      <c r="A24" s="88"/>
      <c r="B24" s="98" t="s">
        <v>75</v>
      </c>
      <c r="C24" s="92"/>
      <c r="D24" s="93"/>
    </row>
    <row r="25" spans="1:5" s="94" customFormat="1" ht="16.5" customHeight="1">
      <c r="A25" s="88"/>
      <c r="E25"/>
    </row>
    <row r="26" spans="1:5" ht="16.5" customHeight="1">
      <c r="A26" s="88">
        <f t="shared" si="0"/>
        <v>7</v>
      </c>
      <c r="B26" t="s">
        <v>71</v>
      </c>
      <c r="E26" s="96">
        <f>(E15+E19)</f>
        <v>334200</v>
      </c>
    </row>
    <row r="27" spans="1:5" ht="16.5" customHeight="1">
      <c r="A27" s="88">
        <f t="shared" si="0"/>
        <v>8</v>
      </c>
      <c r="B27" t="s">
        <v>69</v>
      </c>
      <c r="E27" s="96">
        <f>(E16+E20)</f>
        <v>20500</v>
      </c>
    </row>
    <row r="28" spans="1:5" ht="16.5" customHeight="1">
      <c r="A28" s="88">
        <f t="shared" si="0"/>
        <v>9</v>
      </c>
      <c r="B28" t="s">
        <v>70</v>
      </c>
      <c r="E28" s="96">
        <f t="shared" ref="E28" si="1">(E17+E21)</f>
        <v>9900</v>
      </c>
    </row>
    <row r="29" spans="1:5">
      <c r="E29" s="96"/>
    </row>
    <row r="31" spans="1:5">
      <c r="B31" s="89"/>
    </row>
    <row r="32" spans="1:5">
      <c r="B32" t="s">
        <v>14</v>
      </c>
    </row>
    <row r="33" spans="2:5" s="60" customFormat="1" ht="16.5">
      <c r="B33" s="60" t="s">
        <v>78</v>
      </c>
    </row>
    <row r="34" spans="2:5">
      <c r="B34" s="60" t="s">
        <v>77</v>
      </c>
      <c r="C34" s="60"/>
      <c r="D34" s="60"/>
      <c r="E34" s="60"/>
    </row>
  </sheetData>
  <mergeCells count="4">
    <mergeCell ref="A1:E1"/>
    <mergeCell ref="A5:E5"/>
    <mergeCell ref="A6:E6"/>
    <mergeCell ref="B10:C10"/>
  </mergeCells>
  <printOptions horizontalCentered="1"/>
  <pageMargins left="0.7" right="0.7" top="1" bottom="0.75" header="0.3" footer="0.3"/>
  <pageSetup orientation="portrait" r:id="rId1"/>
  <headerFooter>
    <oddHeader>&amp;RExhibit No.___(MPG-20)
Page 4 of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80" zoomScaleNormal="80" workbookViewId="0">
      <selection activeCell="A2" sqref="A2"/>
    </sheetView>
  </sheetViews>
  <sheetFormatPr defaultRowHeight="14.25"/>
  <cols>
    <col min="1" max="1" width="6.125" customWidth="1"/>
    <col min="3" max="3" width="19.5" customWidth="1"/>
    <col min="4" max="4" width="17.875" bestFit="1" customWidth="1"/>
    <col min="5" max="7" width="13.5" customWidth="1"/>
    <col min="8" max="8" width="1.875" customWidth="1"/>
    <col min="9" max="9" width="39.75" customWidth="1"/>
  </cols>
  <sheetData>
    <row r="1" spans="1:9" ht="30">
      <c r="A1" s="124" t="str">
        <f>'MPG-3'!A1</f>
        <v>Puget Sound Energy</v>
      </c>
      <c r="B1" s="124"/>
      <c r="C1" s="124"/>
      <c r="D1" s="124"/>
      <c r="E1" s="124"/>
      <c r="F1" s="124"/>
      <c r="G1" s="124"/>
      <c r="H1" s="124"/>
      <c r="I1" s="124"/>
    </row>
    <row r="4" spans="1:9" ht="23.25">
      <c r="A4" s="125" t="s">
        <v>15</v>
      </c>
      <c r="B4" s="125"/>
      <c r="C4" s="125"/>
      <c r="D4" s="125"/>
      <c r="E4" s="125"/>
      <c r="F4" s="125"/>
      <c r="G4" s="125"/>
      <c r="H4" s="125"/>
      <c r="I4" s="125"/>
    </row>
    <row r="5" spans="1:9" ht="20.25">
      <c r="A5" s="128" t="s">
        <v>86</v>
      </c>
      <c r="B5" s="128"/>
      <c r="C5" s="128"/>
      <c r="D5" s="128"/>
      <c r="E5" s="128"/>
      <c r="F5" s="128"/>
      <c r="G5" s="128"/>
      <c r="H5" s="128"/>
      <c r="I5" s="128"/>
    </row>
    <row r="8" spans="1:9" ht="15.75">
      <c r="A8" s="29"/>
      <c r="B8" s="29"/>
      <c r="C8" s="29"/>
      <c r="D8" s="29" t="s">
        <v>16</v>
      </c>
      <c r="E8" s="29"/>
      <c r="F8" s="30"/>
      <c r="G8" s="31"/>
      <c r="H8" s="29"/>
      <c r="I8" s="29"/>
    </row>
    <row r="9" spans="1:9" ht="18.75">
      <c r="A9" s="29"/>
      <c r="B9" s="29"/>
      <c r="C9" s="29"/>
      <c r="D9" s="29" t="s">
        <v>17</v>
      </c>
      <c r="E9" s="126" t="s">
        <v>18</v>
      </c>
      <c r="F9" s="126"/>
      <c r="G9" s="126"/>
      <c r="H9" s="29"/>
      <c r="I9" s="29"/>
    </row>
    <row r="10" spans="1:9" ht="15.75">
      <c r="A10" s="115" t="s">
        <v>2</v>
      </c>
      <c r="B10" s="127" t="s">
        <v>3</v>
      </c>
      <c r="C10" s="127"/>
      <c r="D10" s="115" t="s">
        <v>4</v>
      </c>
      <c r="E10" s="115" t="s">
        <v>19</v>
      </c>
      <c r="F10" s="115" t="s">
        <v>20</v>
      </c>
      <c r="G10" s="115" t="s">
        <v>21</v>
      </c>
      <c r="H10" s="115"/>
      <c r="I10" s="115" t="s">
        <v>22</v>
      </c>
    </row>
    <row r="11" spans="1:9" ht="15.75">
      <c r="A11" s="30"/>
      <c r="B11" s="30"/>
      <c r="C11" s="30"/>
      <c r="D11" s="33" t="s">
        <v>7</v>
      </c>
      <c r="E11" s="33" t="s">
        <v>8</v>
      </c>
      <c r="F11" s="33" t="s">
        <v>9</v>
      </c>
      <c r="G11" s="33" t="s">
        <v>10</v>
      </c>
      <c r="H11" s="29"/>
      <c r="I11" s="33" t="s">
        <v>23</v>
      </c>
    </row>
    <row r="12" spans="1:9" ht="15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23.25" customHeight="1">
      <c r="A13" s="34">
        <f>MAX(A8:A12)+1</f>
        <v>1</v>
      </c>
      <c r="B13" s="30" t="s">
        <v>24</v>
      </c>
      <c r="C13" s="30"/>
      <c r="D13" s="35">
        <f>4904756.946+1658305.524</f>
        <v>6563062.4700000007</v>
      </c>
      <c r="E13" s="35"/>
      <c r="F13" s="36"/>
      <c r="G13" s="36"/>
      <c r="H13" s="36"/>
      <c r="I13" s="117" t="s">
        <v>90</v>
      </c>
    </row>
    <row r="14" spans="1:9" ht="23.25" customHeight="1">
      <c r="A14" s="34">
        <f t="shared" ref="A14:A27" si="0">MAX(A9:A13)+1</f>
        <v>2</v>
      </c>
      <c r="B14" s="30" t="s">
        <v>25</v>
      </c>
      <c r="C14" s="30"/>
      <c r="D14" s="37">
        <f>'MPG-21b'!G15</f>
        <v>4.3700000000000003E-2</v>
      </c>
      <c r="E14" s="37"/>
      <c r="F14" s="30"/>
      <c r="G14" s="30"/>
      <c r="H14" s="30"/>
      <c r="I14" s="38" t="s">
        <v>92</v>
      </c>
    </row>
    <row r="15" spans="1:9" ht="23.25" customHeight="1">
      <c r="A15" s="34">
        <f t="shared" si="0"/>
        <v>3</v>
      </c>
      <c r="B15" s="30" t="s">
        <v>26</v>
      </c>
      <c r="C15" s="30"/>
      <c r="D15" s="37">
        <f>'MPG-21b'!H16</f>
        <v>0.10408496279582632</v>
      </c>
      <c r="E15" s="37"/>
      <c r="F15" s="30"/>
      <c r="G15" s="30"/>
      <c r="H15" s="30"/>
      <c r="I15" s="38" t="s">
        <v>93</v>
      </c>
    </row>
    <row r="16" spans="1:9" ht="23.25" customHeight="1">
      <c r="A16" s="34">
        <f t="shared" si="0"/>
        <v>4</v>
      </c>
      <c r="B16" s="30" t="s">
        <v>27</v>
      </c>
      <c r="C16" s="30"/>
      <c r="D16" s="39">
        <f>D13*D14</f>
        <v>286805.82993900008</v>
      </c>
      <c r="E16" s="39"/>
      <c r="F16" s="30"/>
      <c r="G16" s="30"/>
      <c r="H16" s="30"/>
      <c r="I16" s="38" t="s">
        <v>28</v>
      </c>
    </row>
    <row r="17" spans="1:9" ht="23.25" customHeight="1">
      <c r="A17" s="34">
        <f t="shared" si="0"/>
        <v>5</v>
      </c>
      <c r="B17" s="30" t="s">
        <v>29</v>
      </c>
      <c r="C17" s="30"/>
      <c r="D17" s="39">
        <f>D13*D15</f>
        <v>683116.11301663413</v>
      </c>
      <c r="E17" s="39"/>
      <c r="F17" s="30"/>
      <c r="G17" s="30"/>
      <c r="H17" s="30"/>
      <c r="I17" s="38" t="s">
        <v>30</v>
      </c>
    </row>
    <row r="18" spans="1:9" ht="23.25" customHeight="1">
      <c r="A18" s="34">
        <f t="shared" si="0"/>
        <v>6</v>
      </c>
      <c r="B18" s="30" t="s">
        <v>31</v>
      </c>
      <c r="C18" s="30"/>
      <c r="D18" s="35">
        <f>190245.449+40184.321+102386.843+12778.12</f>
        <v>345594.73300000001</v>
      </c>
      <c r="E18" s="35"/>
      <c r="F18" s="41"/>
      <c r="G18" s="36"/>
      <c r="H18" s="36"/>
      <c r="I18" s="117" t="s">
        <v>91</v>
      </c>
    </row>
    <row r="19" spans="1:9" ht="23.25" customHeight="1">
      <c r="A19" s="34">
        <f t="shared" si="0"/>
        <v>7</v>
      </c>
      <c r="B19" s="30" t="s">
        <v>32</v>
      </c>
      <c r="C19" s="30"/>
      <c r="D19" s="35">
        <f>'MPG-20d'!E28</f>
        <v>9900</v>
      </c>
      <c r="E19" s="35"/>
      <c r="F19" s="36"/>
      <c r="G19" s="36"/>
      <c r="H19" s="36"/>
      <c r="I19" s="38" t="s">
        <v>83</v>
      </c>
    </row>
    <row r="20" spans="1:9" ht="23.25" customHeight="1">
      <c r="A20" s="34">
        <f t="shared" si="0"/>
        <v>8</v>
      </c>
      <c r="B20" s="30" t="s">
        <v>34</v>
      </c>
      <c r="C20" s="30"/>
      <c r="D20" s="42">
        <f>-32436.237-3067.771</f>
        <v>-35504.008000000002</v>
      </c>
      <c r="E20" s="35"/>
      <c r="F20" s="36"/>
      <c r="G20" s="36"/>
      <c r="H20" s="36"/>
      <c r="I20" s="117" t="s">
        <v>91</v>
      </c>
    </row>
    <row r="21" spans="1:9" ht="23.25" customHeight="1">
      <c r="A21" s="34">
        <f>MAX(A16:A20)+1</f>
        <v>9</v>
      </c>
      <c r="B21" s="30" t="s">
        <v>35</v>
      </c>
      <c r="C21" s="30"/>
      <c r="D21" s="39">
        <f>D16+SUM(D18:D20)</f>
        <v>606796.55493900005</v>
      </c>
      <c r="E21" s="39"/>
      <c r="F21" s="30"/>
      <c r="G21" s="30"/>
      <c r="H21" s="30"/>
      <c r="I21" s="40" t="s">
        <v>36</v>
      </c>
    </row>
    <row r="22" spans="1:9" ht="23.25" customHeight="1">
      <c r="A22" s="34">
        <f>MAX(A17:A21)+1</f>
        <v>10</v>
      </c>
      <c r="B22" s="30" t="s">
        <v>37</v>
      </c>
      <c r="C22" s="30"/>
      <c r="D22" s="35">
        <f>'MPG-20d'!E27</f>
        <v>20500</v>
      </c>
      <c r="E22" s="35"/>
      <c r="F22" s="36"/>
      <c r="G22" s="36"/>
      <c r="H22" s="36"/>
      <c r="I22" s="38" t="s">
        <v>84</v>
      </c>
    </row>
    <row r="23" spans="1:9" ht="23.25" customHeight="1">
      <c r="A23" s="34">
        <f>MAX(A18:A22)+1</f>
        <v>11</v>
      </c>
      <c r="B23" s="30" t="s">
        <v>39</v>
      </c>
      <c r="C23" s="30"/>
      <c r="D23" s="39">
        <f>SUM(D17:D19)+D22</f>
        <v>1059110.8460166343</v>
      </c>
      <c r="E23" s="39"/>
      <c r="F23" s="30"/>
      <c r="G23" s="30"/>
      <c r="H23" s="30"/>
      <c r="I23" s="40" t="s">
        <v>40</v>
      </c>
    </row>
    <row r="24" spans="1:9" ht="9.75" customHeight="1" thickBot="1">
      <c r="A24" s="34"/>
      <c r="B24" s="30"/>
      <c r="C24" s="30"/>
      <c r="D24" s="39"/>
      <c r="E24" s="39"/>
      <c r="F24" s="30"/>
      <c r="G24" s="30"/>
      <c r="H24" s="30"/>
      <c r="I24" s="30"/>
    </row>
    <row r="25" spans="1:9" s="26" customFormat="1" ht="23.25" customHeight="1">
      <c r="A25" s="43">
        <f t="shared" si="0"/>
        <v>12</v>
      </c>
      <c r="B25" s="44" t="s">
        <v>41</v>
      </c>
      <c r="C25" s="44"/>
      <c r="D25" s="45">
        <f>'MPG-20c'!E15</f>
        <v>0.56228884295307957</v>
      </c>
      <c r="E25" s="45" t="s">
        <v>42</v>
      </c>
      <c r="F25" s="46" t="s">
        <v>43</v>
      </c>
      <c r="G25" s="47" t="s">
        <v>44</v>
      </c>
      <c r="H25" s="44"/>
      <c r="I25" s="48" t="s">
        <v>89</v>
      </c>
    </row>
    <row r="26" spans="1:9" s="26" customFormat="1" ht="23.25" customHeight="1">
      <c r="A26" s="43">
        <f t="shared" si="0"/>
        <v>13</v>
      </c>
      <c r="B26" s="44" t="s">
        <v>45</v>
      </c>
      <c r="C26" s="44"/>
      <c r="D26" s="49">
        <f>(D13*D25)/D23</f>
        <v>3.484372590805402</v>
      </c>
      <c r="E26" s="50" t="s">
        <v>46</v>
      </c>
      <c r="F26" s="51" t="s">
        <v>47</v>
      </c>
      <c r="G26" s="52" t="s">
        <v>48</v>
      </c>
      <c r="H26" s="44"/>
      <c r="I26" s="44" t="s">
        <v>49</v>
      </c>
    </row>
    <row r="27" spans="1:9" s="26" customFormat="1" ht="23.25" customHeight="1" thickBot="1">
      <c r="A27" s="43">
        <f t="shared" si="0"/>
        <v>14</v>
      </c>
      <c r="B27" s="44" t="s">
        <v>50</v>
      </c>
      <c r="C27" s="44"/>
      <c r="D27" s="53">
        <f>D21/(D13*D25)</f>
        <v>0.1644285027129182</v>
      </c>
      <c r="E27" s="53" t="s">
        <v>51</v>
      </c>
      <c r="F27" s="54" t="s">
        <v>52</v>
      </c>
      <c r="G27" s="55" t="s">
        <v>53</v>
      </c>
      <c r="H27" s="48"/>
      <c r="I27" s="44" t="s">
        <v>54</v>
      </c>
    </row>
    <row r="28" spans="1:9" ht="1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5">
      <c r="A29" s="30"/>
      <c r="B29" s="30"/>
      <c r="C29" s="30"/>
      <c r="D29" s="56"/>
      <c r="E29" s="56"/>
      <c r="F29" s="30"/>
      <c r="G29" s="30"/>
      <c r="H29" s="30"/>
      <c r="I29" s="30"/>
    </row>
    <row r="30" spans="1:9" ht="15">
      <c r="A30" s="30"/>
      <c r="B30" s="57"/>
      <c r="C30" s="30"/>
      <c r="D30" s="56"/>
      <c r="E30" s="56"/>
      <c r="F30" s="58"/>
      <c r="G30" s="30"/>
      <c r="H30" s="30"/>
      <c r="I30" s="30"/>
    </row>
    <row r="31" spans="1:9" ht="15">
      <c r="A31" s="30"/>
      <c r="B31" s="30" t="s">
        <v>55</v>
      </c>
      <c r="C31" s="30"/>
      <c r="D31" s="30"/>
      <c r="E31" s="30"/>
      <c r="F31" s="30"/>
      <c r="G31" s="30"/>
      <c r="H31" s="30"/>
      <c r="I31" s="30"/>
    </row>
    <row r="32" spans="1:9" ht="18">
      <c r="A32" s="30"/>
      <c r="B32" s="59" t="s">
        <v>56</v>
      </c>
      <c r="C32" s="30"/>
      <c r="D32" s="30"/>
      <c r="E32" s="30"/>
      <c r="F32" s="30"/>
      <c r="G32" s="30"/>
      <c r="H32" s="30"/>
      <c r="I32" s="30"/>
    </row>
    <row r="33" spans="1:9" s="60" customFormat="1" ht="18">
      <c r="A33" s="36"/>
      <c r="B33" s="36" t="s">
        <v>57</v>
      </c>
      <c r="C33" s="36"/>
      <c r="D33" s="36"/>
      <c r="E33" s="36"/>
      <c r="F33" s="36"/>
      <c r="G33" s="36"/>
      <c r="H33" s="36"/>
      <c r="I33" s="36"/>
    </row>
    <row r="34" spans="1:9" ht="1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5">
      <c r="A35" s="36"/>
      <c r="B35" s="61"/>
      <c r="C35" s="36"/>
      <c r="D35" s="36"/>
      <c r="E35" s="36"/>
      <c r="F35" s="36"/>
      <c r="G35" s="36"/>
      <c r="H35" s="36"/>
      <c r="I35" s="36"/>
    </row>
    <row r="36" spans="1:9" ht="15">
      <c r="A36" s="36"/>
      <c r="B36" s="36" t="s">
        <v>58</v>
      </c>
      <c r="C36" s="36"/>
      <c r="D36" s="36"/>
      <c r="E36" s="36"/>
      <c r="F36" s="36"/>
      <c r="G36" s="36"/>
      <c r="H36" s="36"/>
      <c r="I36" s="36"/>
    </row>
    <row r="37" spans="1:9" s="60" customFormat="1" ht="15">
      <c r="A37" s="36"/>
      <c r="B37" s="36" t="s">
        <v>80</v>
      </c>
      <c r="C37" s="36"/>
      <c r="D37" s="36"/>
      <c r="E37" s="36"/>
      <c r="F37" s="36"/>
      <c r="G37" s="36"/>
      <c r="H37" s="36"/>
      <c r="I37" s="36"/>
    </row>
  </sheetData>
  <mergeCells count="5">
    <mergeCell ref="A1:I1"/>
    <mergeCell ref="A4:I4"/>
    <mergeCell ref="E9:G9"/>
    <mergeCell ref="B10:C10"/>
    <mergeCell ref="A5:I5"/>
  </mergeCells>
  <printOptions horizontalCentered="1"/>
  <pageMargins left="0.7" right="0.7" top="1" bottom="0.75" header="0.3" footer="0.3"/>
  <pageSetup scale="61" orientation="portrait" r:id="rId1"/>
  <headerFooter>
    <oddHeader>&amp;RExhibit No.___(MPG-21)
Page 1 of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80" zoomScaleNormal="80" zoomScalePageLayoutView="80" workbookViewId="0">
      <selection activeCell="A2" sqref="A2"/>
    </sheetView>
  </sheetViews>
  <sheetFormatPr defaultRowHeight="14.25"/>
  <cols>
    <col min="1" max="1" width="9.125" bestFit="1" customWidth="1"/>
    <col min="3" max="3" width="11.5" customWidth="1"/>
    <col min="4" max="4" width="14.375" hidden="1" customWidth="1"/>
    <col min="5" max="8" width="12.5" customWidth="1"/>
    <col min="10" max="10" width="11" bestFit="1" customWidth="1"/>
    <col min="11" max="11" width="10.875" bestFit="1" customWidth="1"/>
    <col min="12" max="12" width="15" bestFit="1" customWidth="1"/>
    <col min="13" max="14" width="14.875" bestFit="1" customWidth="1"/>
  </cols>
  <sheetData>
    <row r="1" spans="1:12" ht="26.25">
      <c r="A1" s="121" t="str">
        <f>'MPG-21a'!A1:I1</f>
        <v>Puget Sound Energy</v>
      </c>
      <c r="B1" s="121"/>
      <c r="C1" s="121"/>
      <c r="D1" s="121"/>
      <c r="E1" s="121"/>
      <c r="F1" s="121"/>
      <c r="G1" s="121"/>
      <c r="H1" s="121"/>
    </row>
    <row r="4" spans="1:12" ht="20.25">
      <c r="A4" s="128" t="str">
        <f>'MPG-21a'!A4:I4</f>
        <v>Standard &amp; Poor's Credit Metrics</v>
      </c>
      <c r="B4" s="128"/>
      <c r="C4" s="128"/>
      <c r="D4" s="128"/>
      <c r="E4" s="128"/>
      <c r="F4" s="128"/>
      <c r="G4" s="128"/>
      <c r="H4" s="128"/>
    </row>
    <row r="5" spans="1:12" ht="18">
      <c r="A5" s="129" t="s">
        <v>59</v>
      </c>
      <c r="B5" s="129"/>
      <c r="C5" s="129"/>
      <c r="D5" s="129"/>
      <c r="E5" s="129"/>
      <c r="F5" s="129"/>
      <c r="G5" s="129"/>
      <c r="H5" s="129"/>
    </row>
    <row r="8" spans="1:12" ht="15">
      <c r="A8" s="1"/>
      <c r="B8" s="2"/>
      <c r="C8" s="2"/>
      <c r="D8" s="3"/>
      <c r="E8" s="1"/>
      <c r="F8" s="4"/>
      <c r="G8" s="4"/>
      <c r="H8" s="1" t="s">
        <v>60</v>
      </c>
    </row>
    <row r="9" spans="1:12" ht="15">
      <c r="A9" s="1"/>
      <c r="B9" s="2"/>
      <c r="C9" s="2"/>
      <c r="D9" s="3"/>
      <c r="E9" s="1"/>
      <c r="F9" s="4"/>
      <c r="G9" s="4" t="s">
        <v>1</v>
      </c>
      <c r="H9" s="1" t="s">
        <v>1</v>
      </c>
    </row>
    <row r="10" spans="1:12" ht="15">
      <c r="A10" s="114" t="s">
        <v>2</v>
      </c>
      <c r="B10" s="123" t="s">
        <v>3</v>
      </c>
      <c r="C10" s="123"/>
      <c r="D10" s="118" t="s">
        <v>4</v>
      </c>
      <c r="E10" s="114" t="s">
        <v>5</v>
      </c>
      <c r="F10" s="6" t="s">
        <v>6</v>
      </c>
      <c r="G10" s="6" t="s">
        <v>6</v>
      </c>
      <c r="H10" s="114" t="s">
        <v>6</v>
      </c>
    </row>
    <row r="11" spans="1:12" ht="15">
      <c r="A11" s="1"/>
      <c r="B11" s="1"/>
      <c r="C11" s="1"/>
      <c r="D11" s="90"/>
      <c r="E11" s="7" t="s">
        <v>7</v>
      </c>
      <c r="F11" s="7" t="s">
        <v>8</v>
      </c>
      <c r="G11" s="7" t="s">
        <v>9</v>
      </c>
      <c r="H11" s="7" t="s">
        <v>10</v>
      </c>
    </row>
    <row r="12" spans="1:12">
      <c r="A12" s="8"/>
      <c r="B12" s="9"/>
      <c r="C12" s="9"/>
      <c r="D12" s="120"/>
      <c r="E12" s="8"/>
      <c r="F12" s="10"/>
      <c r="G12" s="11"/>
      <c r="H12" s="8"/>
    </row>
    <row r="13" spans="1:12" ht="21" customHeight="1">
      <c r="A13" s="12">
        <f>MAX(A3:A12)+1</f>
        <v>1</v>
      </c>
      <c r="B13" s="13" t="str">
        <f>'MPG-3'!B12</f>
        <v>Long-Term Debt</v>
      </c>
      <c r="C13" s="14"/>
      <c r="D13" s="100">
        <f>'MPG-3'!D12</f>
        <v>3281531.2350000003</v>
      </c>
      <c r="E13" s="16">
        <f>'MPG-3'!E12</f>
        <v>0.5</v>
      </c>
      <c r="F13" s="16">
        <f>'MPG-3'!F12</f>
        <v>6.3700000000000007E-2</v>
      </c>
      <c r="G13" s="16">
        <f>ROUND(E13*F13,4)</f>
        <v>3.1899999999999998E-2</v>
      </c>
      <c r="H13" s="24">
        <f>G13</f>
        <v>3.1899999999999998E-2</v>
      </c>
    </row>
    <row r="14" spans="1:12" ht="21" customHeight="1">
      <c r="A14" s="12">
        <f>MAX(A5:A13)+1</f>
        <v>2</v>
      </c>
      <c r="B14" s="13" t="str">
        <f>'MPG-3'!B13</f>
        <v>Short-Term Debt</v>
      </c>
      <c r="C14" s="14"/>
      <c r="D14" s="101">
        <f>'MPG-3'!D13</f>
        <v>262522.49880000006</v>
      </c>
      <c r="E14" s="16">
        <f>'MPG-3'!E13</f>
        <v>0.04</v>
      </c>
      <c r="F14" s="16">
        <f>'MPG-3'!F13</f>
        <v>4.6199999999999998E-2</v>
      </c>
      <c r="G14" s="16">
        <f t="shared" ref="G14:G15" si="0">ROUND(E14*F14,4)</f>
        <v>1.8E-3</v>
      </c>
      <c r="H14" s="24">
        <f>G14</f>
        <v>1.8E-3</v>
      </c>
    </row>
    <row r="15" spans="1:12" ht="21" customHeight="1">
      <c r="A15" s="12">
        <f>MAX(A9:A14)+1</f>
        <v>3</v>
      </c>
      <c r="B15" s="13" t="str">
        <f>'MPG-3'!B14</f>
        <v>Common Equity</v>
      </c>
      <c r="C15" s="14"/>
      <c r="D15" s="102">
        <f>'MPG-3'!D14</f>
        <v>3019008.7362000006</v>
      </c>
      <c r="E15" s="17">
        <f>'MPG-3'!E14</f>
        <v>0.46</v>
      </c>
      <c r="F15" s="99">
        <v>9.5000000000000001E-2</v>
      </c>
      <c r="G15" s="17">
        <f t="shared" si="0"/>
        <v>4.3700000000000003E-2</v>
      </c>
      <c r="H15" s="62">
        <f>G15*$H$18</f>
        <v>7.0384962795826317E-2</v>
      </c>
    </row>
    <row r="16" spans="1:12" ht="21" customHeight="1">
      <c r="A16" s="12">
        <f>MAX(A10:A15)+1</f>
        <v>4</v>
      </c>
      <c r="B16" s="21" t="s">
        <v>13</v>
      </c>
      <c r="C16" s="21"/>
      <c r="D16" s="103">
        <f>'MPG-3'!D15</f>
        <v>6563062.4700000007</v>
      </c>
      <c r="E16" s="22">
        <f>SUM(E13:E15)</f>
        <v>1</v>
      </c>
      <c r="F16" s="24"/>
      <c r="G16" s="25">
        <f>SUM(G13:G15)</f>
        <v>7.7399999999999997E-2</v>
      </c>
      <c r="H16" s="25">
        <f>SUM(H13:H15)</f>
        <v>0.10408496279582632</v>
      </c>
      <c r="J16" s="111"/>
      <c r="K16" s="111"/>
      <c r="L16" s="63"/>
    </row>
    <row r="17" spans="1:14" ht="21" customHeight="1">
      <c r="A17" s="12"/>
      <c r="B17" s="14"/>
      <c r="C17" s="14"/>
      <c r="D17" s="15"/>
      <c r="E17" s="64"/>
      <c r="F17" s="24"/>
      <c r="G17" s="65"/>
      <c r="H17" s="25"/>
      <c r="J17" s="19"/>
      <c r="K17" s="19"/>
      <c r="L17" s="112"/>
    </row>
    <row r="18" spans="1:14" ht="21" customHeight="1">
      <c r="A18" s="66">
        <f>MAX(A9:A17)+1</f>
        <v>5</v>
      </c>
      <c r="B18" s="67" t="s">
        <v>61</v>
      </c>
      <c r="C18" s="67"/>
      <c r="D18" s="68"/>
      <c r="E18" s="23"/>
      <c r="F18" s="23"/>
      <c r="G18" s="69"/>
      <c r="H18" s="70">
        <f>'MPG-20b'!H18</f>
        <v>1.6106398809113573</v>
      </c>
      <c r="J18" s="113"/>
      <c r="K18" s="113"/>
      <c r="L18" s="113"/>
    </row>
    <row r="19" spans="1:14">
      <c r="A19" s="12"/>
      <c r="C19" s="9"/>
      <c r="D19" s="71"/>
      <c r="E19" s="10"/>
      <c r="F19" s="10"/>
      <c r="G19" s="72"/>
      <c r="H19" s="73"/>
    </row>
    <row r="20" spans="1:14">
      <c r="B20" s="27"/>
      <c r="H20" s="74"/>
      <c r="L20" s="75"/>
      <c r="M20" s="75"/>
      <c r="N20" s="75"/>
    </row>
    <row r="21" spans="1:14">
      <c r="B21" s="9" t="s">
        <v>55</v>
      </c>
      <c r="H21" s="73"/>
      <c r="K21" s="76"/>
      <c r="L21" s="19"/>
      <c r="M21" s="19"/>
      <c r="N21" s="19"/>
    </row>
    <row r="22" spans="1:14">
      <c r="A22" s="60"/>
      <c r="B22" s="28" t="s">
        <v>82</v>
      </c>
      <c r="C22" s="60"/>
      <c r="D22" s="60"/>
      <c r="E22" s="60"/>
      <c r="F22" s="60"/>
      <c r="G22" s="60"/>
      <c r="H22" s="60"/>
      <c r="K22" s="76"/>
      <c r="L22" s="19"/>
      <c r="M22" s="19"/>
      <c r="N22" s="19"/>
    </row>
    <row r="23" spans="1:14">
      <c r="A23" s="60"/>
      <c r="B23" s="28" t="s">
        <v>81</v>
      </c>
      <c r="C23" s="60"/>
      <c r="D23" s="60"/>
      <c r="E23" s="60"/>
      <c r="F23" s="60"/>
      <c r="G23" s="60"/>
      <c r="H23" s="60"/>
      <c r="L23" s="19"/>
      <c r="M23" s="19"/>
      <c r="N23" s="19"/>
    </row>
  </sheetData>
  <mergeCells count="4">
    <mergeCell ref="A1:H1"/>
    <mergeCell ref="A4:H4"/>
    <mergeCell ref="A5:H5"/>
    <mergeCell ref="B10:C10"/>
  </mergeCells>
  <printOptions horizontalCentered="1"/>
  <pageMargins left="0.7" right="0.7" top="1" bottom="0.75" header="0.3" footer="0.3"/>
  <pageSetup orientation="portrait" r:id="rId1"/>
  <headerFooter>
    <oddHeader>&amp;RExhibit No.___(MPG-21)
Page 2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156C7FF-F4C3-4877-BEA4-EBDB0E5207A9}"/>
</file>

<file path=customXml/itemProps2.xml><?xml version="1.0" encoding="utf-8"?>
<ds:datastoreItem xmlns:ds="http://schemas.openxmlformats.org/officeDocument/2006/customXml" ds:itemID="{B5AA6F80-DBF8-4BDD-9941-1D49D5639628}"/>
</file>

<file path=customXml/itemProps3.xml><?xml version="1.0" encoding="utf-8"?>
<ds:datastoreItem xmlns:ds="http://schemas.openxmlformats.org/officeDocument/2006/customXml" ds:itemID="{FD11C4FA-02A9-4704-9443-18D258D67F1D}"/>
</file>

<file path=customXml/itemProps4.xml><?xml version="1.0" encoding="utf-8"?>
<ds:datastoreItem xmlns:ds="http://schemas.openxmlformats.org/officeDocument/2006/customXml" ds:itemID="{66650CB2-BAB1-4B83-9F40-E0E723B4E8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MPG-3</vt:lpstr>
      <vt:lpstr>MPG-20a</vt:lpstr>
      <vt:lpstr>MPG-20b</vt:lpstr>
      <vt:lpstr>MPG-20c</vt:lpstr>
      <vt:lpstr>MPG-20d</vt:lpstr>
      <vt:lpstr>MPG-21a</vt:lpstr>
      <vt:lpstr>MPG-21b</vt:lpstr>
      <vt:lpstr>'MPG-20b'!Print_Area</vt:lpstr>
      <vt:lpstr>'MPG-21b'!Print_Area</vt:lpstr>
    </vt:vector>
  </TitlesOfParts>
  <Company>Brubaker &amp;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Leyko</dc:creator>
  <cp:lastModifiedBy>James Leyko</cp:lastModifiedBy>
  <cp:lastPrinted>2011-11-30T22:40:27Z</cp:lastPrinted>
  <dcterms:created xsi:type="dcterms:W3CDTF">2011-11-23T22:45:05Z</dcterms:created>
  <dcterms:modified xsi:type="dcterms:W3CDTF">2011-12-05T20:16:08Z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