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comments5.xml" ContentType="application/vnd.openxmlformats-officedocument.spreadsheetml.comments+xml"/>
  <Override PartName="/xl/comments1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omments4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11.xml" ContentType="application/vnd.openxmlformats-officedocument.spreadsheetml.comments+xml"/>
  <Override PartName="/xl/comments2.xml" ContentType="application/vnd.openxmlformats-officedocument.spreadsheetml.comments+xml"/>
  <Override PartName="/xl/comments15.xml" ContentType="application/vnd.openxmlformats-officedocument.spreadsheetml.comments+xml"/>
  <Override PartName="/xl/comments14.xml" ContentType="application/vnd.openxmlformats-officedocument.spreadsheetml.comments+xml"/>
  <Override PartName="/xl/comments3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6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680" yWindow="-192" windowWidth="29040" windowHeight="15840" tabRatio="754"/>
  </bookViews>
  <sheets>
    <sheet name="Revision 08.20.20 minus %" sheetId="20" r:id="rId1"/>
    <sheet name="Revision 08.20.20" sheetId="16" r:id="rId2"/>
    <sheet name="Compare 08.20.20" sheetId="19" r:id="rId3"/>
    <sheet name="Revision 07.06.20" sheetId="18" r:id="rId4"/>
    <sheet name="Compare 07.06.20" sheetId="17" r:id="rId5"/>
    <sheet name="Revision 06.16.20" sheetId="15" r:id="rId6"/>
    <sheet name="Revision 04.23.20" sheetId="13" r:id="rId7"/>
    <sheet name="Compare 6.16.20" sheetId="14" r:id="rId8"/>
    <sheet name="Revision 12.10.19" sheetId="11" r:id="rId9"/>
    <sheet name="Revision 11.20.19" sheetId="10" r:id="rId10"/>
    <sheet name="Comparison 12.10.19 w.$763k adj" sheetId="12" r:id="rId11"/>
    <sheet name="Comparison 12.10.19" sheetId="8" r:id="rId12"/>
    <sheet name="Revision 11.01.19" sheetId="9" r:id="rId13"/>
    <sheet name="Revision 07.17.19" sheetId="6" r:id="rId14"/>
    <sheet name="Revision 06.01.19 " sheetId="4" r:id="rId15"/>
    <sheet name="Comparison 06.01.19" sheetId="5" r:id="rId16"/>
    <sheet name="Revision 05.01.19" sheetId="1" r:id="rId17"/>
    <sheet name="Comparison 05.01.19" sheetId="3" r:id="rId18"/>
    <sheet name="Revision 01.10.19" sheetId="2" r:id="rId19"/>
  </sheets>
  <definedNames>
    <definedName name="_xlnm.Print_Area" localSheetId="0">'Revision 08.20.20 minus %'!$A$1:$AA$195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174" i="20" l="1"/>
  <c r="R186" i="20" l="1"/>
  <c r="N184" i="20"/>
  <c r="L184" i="20"/>
  <c r="I184" i="20"/>
  <c r="C184" i="20"/>
  <c r="L174" i="20"/>
  <c r="I174" i="20"/>
  <c r="AB172" i="20"/>
  <c r="AC172" i="20" s="1"/>
  <c r="Y163" i="20"/>
  <c r="W163" i="20"/>
  <c r="R163" i="20"/>
  <c r="P163" i="20"/>
  <c r="N163" i="20"/>
  <c r="L163" i="20"/>
  <c r="I163" i="20"/>
  <c r="G163" i="20"/>
  <c r="E163" i="20"/>
  <c r="C163" i="20"/>
  <c r="X157" i="20"/>
  <c r="X160" i="20" s="1"/>
  <c r="X162" i="20" s="1"/>
  <c r="V157" i="20"/>
  <c r="V160" i="20" s="1"/>
  <c r="V162" i="20" s="1"/>
  <c r="T157" i="20"/>
  <c r="T160" i="20" s="1"/>
  <c r="T162" i="20" s="1"/>
  <c r="T163" i="20" s="1"/>
  <c r="S163" i="20" s="1"/>
  <c r="R157" i="20"/>
  <c r="R160" i="20" s="1"/>
  <c r="R162" i="20" s="1"/>
  <c r="R165" i="20" s="1"/>
  <c r="P157" i="20"/>
  <c r="P160" i="20" s="1"/>
  <c r="P162" i="20" s="1"/>
  <c r="N157" i="20"/>
  <c r="N160" i="20" s="1"/>
  <c r="N162" i="20" s="1"/>
  <c r="L157" i="20"/>
  <c r="L160" i="20" s="1"/>
  <c r="L162" i="20" s="1"/>
  <c r="L165" i="20" s="1"/>
  <c r="L186" i="20" s="1"/>
  <c r="I157" i="20"/>
  <c r="I160" i="20" s="1"/>
  <c r="I162" i="20" s="1"/>
  <c r="I165" i="20" s="1"/>
  <c r="I186" i="20" s="1"/>
  <c r="G157" i="20"/>
  <c r="G160" i="20" s="1"/>
  <c r="G162" i="20" s="1"/>
  <c r="E157" i="20"/>
  <c r="E160" i="20" s="1"/>
  <c r="E162" i="20" s="1"/>
  <c r="C157" i="20"/>
  <c r="C160" i="20" s="1"/>
  <c r="C162" i="20" s="1"/>
  <c r="C165" i="20" s="1"/>
  <c r="C186" i="20" s="1"/>
  <c r="Z154" i="20"/>
  <c r="AA154" i="20" s="1"/>
  <c r="AB154" i="20" s="1"/>
  <c r="AC154" i="20" s="1"/>
  <c r="Z152" i="20"/>
  <c r="Y145" i="20"/>
  <c r="W145" i="20"/>
  <c r="R145" i="20"/>
  <c r="P145" i="20"/>
  <c r="N145" i="20"/>
  <c r="L145" i="20"/>
  <c r="I145" i="20"/>
  <c r="G145" i="20"/>
  <c r="E145" i="20"/>
  <c r="C145" i="20"/>
  <c r="D145" i="20" s="1"/>
  <c r="G143" i="20"/>
  <c r="X140" i="20"/>
  <c r="X142" i="20" s="1"/>
  <c r="X144" i="20" s="1"/>
  <c r="V140" i="20"/>
  <c r="V142" i="20" s="1"/>
  <c r="V144" i="20" s="1"/>
  <c r="L140" i="20"/>
  <c r="L142" i="20" s="1"/>
  <c r="L144" i="20" s="1"/>
  <c r="L147" i="20" s="1"/>
  <c r="L185" i="20" s="1"/>
  <c r="E140" i="20"/>
  <c r="E142" i="20" s="1"/>
  <c r="E144" i="20" s="1"/>
  <c r="C140" i="20"/>
  <c r="C142" i="20" s="1"/>
  <c r="C144" i="20" s="1"/>
  <c r="Z139" i="20"/>
  <c r="AA139" i="20" s="1"/>
  <c r="AB139" i="20" s="1"/>
  <c r="AC139" i="20" s="1"/>
  <c r="T139" i="20"/>
  <c r="R139" i="20"/>
  <c r="P139" i="20"/>
  <c r="P140" i="20" s="1"/>
  <c r="P142" i="20" s="1"/>
  <c r="P144" i="20" s="1"/>
  <c r="P147" i="20" s="1"/>
  <c r="N139" i="20"/>
  <c r="N140" i="20" s="1"/>
  <c r="N142" i="20" s="1"/>
  <c r="N144" i="20" s="1"/>
  <c r="N147" i="20" s="1"/>
  <c r="N185" i="20" s="1"/>
  <c r="I139" i="20"/>
  <c r="I140" i="20" s="1"/>
  <c r="I142" i="20" s="1"/>
  <c r="I144" i="20" s="1"/>
  <c r="I147" i="20" s="1"/>
  <c r="I185" i="20" s="1"/>
  <c r="G139" i="20"/>
  <c r="G140" i="20" s="1"/>
  <c r="G142" i="20" s="1"/>
  <c r="Z137" i="20"/>
  <c r="T137" i="20"/>
  <c r="R137" i="20"/>
  <c r="T136" i="20"/>
  <c r="R136" i="20"/>
  <c r="Z135" i="20"/>
  <c r="AC132" i="20"/>
  <c r="AB132" i="20"/>
  <c r="G130" i="20"/>
  <c r="G184" i="20" s="1"/>
  <c r="E130" i="20"/>
  <c r="E184" i="20" s="1"/>
  <c r="Y128" i="20"/>
  <c r="W128" i="20"/>
  <c r="V128" i="20"/>
  <c r="T128" i="20"/>
  <c r="S128" i="20" s="1"/>
  <c r="R128" i="20"/>
  <c r="P128" i="20"/>
  <c r="Q128" i="20" s="1"/>
  <c r="F128" i="20"/>
  <c r="D128" i="20"/>
  <c r="R127" i="20"/>
  <c r="R130" i="20" s="1"/>
  <c r="R184" i="20" s="1"/>
  <c r="I126" i="20"/>
  <c r="G126" i="20"/>
  <c r="C126" i="20"/>
  <c r="V125" i="20"/>
  <c r="X124" i="20"/>
  <c r="X122" i="20"/>
  <c r="V122" i="20"/>
  <c r="V124" i="20" s="1"/>
  <c r="I122" i="20"/>
  <c r="I124" i="20" s="1"/>
  <c r="E122" i="20"/>
  <c r="E124" i="20" s="1"/>
  <c r="E126" i="20" s="1"/>
  <c r="C122" i="20"/>
  <c r="C124" i="20" s="1"/>
  <c r="C127" i="20" s="1"/>
  <c r="Z121" i="20"/>
  <c r="AA121" i="20" s="1"/>
  <c r="AB121" i="20" s="1"/>
  <c r="AC121" i="20" s="1"/>
  <c r="T121" i="20"/>
  <c r="N121" i="20"/>
  <c r="L121" i="20"/>
  <c r="G121" i="20"/>
  <c r="Z120" i="20"/>
  <c r="AA120" i="20" s="1"/>
  <c r="AB120" i="20" s="1"/>
  <c r="AC120" i="20" s="1"/>
  <c r="T120" i="20"/>
  <c r="T122" i="20" s="1"/>
  <c r="T124" i="20" s="1"/>
  <c r="R120" i="20"/>
  <c r="R122" i="20" s="1"/>
  <c r="R124" i="20" s="1"/>
  <c r="R126" i="20" s="1"/>
  <c r="P120" i="20"/>
  <c r="N120" i="20"/>
  <c r="L120" i="20"/>
  <c r="G120" i="20"/>
  <c r="G122" i="20" s="1"/>
  <c r="G124" i="20" s="1"/>
  <c r="G127" i="20" s="1"/>
  <c r="Z119" i="20"/>
  <c r="AA119" i="20" s="1"/>
  <c r="AC118" i="20"/>
  <c r="AC136" i="20" s="1"/>
  <c r="AB118" i="20"/>
  <c r="AB59" i="20" s="1"/>
  <c r="AA118" i="20"/>
  <c r="AA136" i="20" s="1"/>
  <c r="Z118" i="20"/>
  <c r="Z136" i="20" s="1"/>
  <c r="Z117" i="20"/>
  <c r="Z122" i="20" s="1"/>
  <c r="Z124" i="20" s="1"/>
  <c r="P117" i="20"/>
  <c r="AC114" i="20"/>
  <c r="AB114" i="20"/>
  <c r="R111" i="20"/>
  <c r="R179" i="20" s="1"/>
  <c r="N111" i="20"/>
  <c r="N179" i="20" s="1"/>
  <c r="I111" i="20"/>
  <c r="I179" i="20" s="1"/>
  <c r="G111" i="20"/>
  <c r="G179" i="20" s="1"/>
  <c r="Y108" i="20"/>
  <c r="W108" i="20"/>
  <c r="X108" i="20" s="1"/>
  <c r="T108" i="20"/>
  <c r="R108" i="20"/>
  <c r="P108" i="20"/>
  <c r="Q108" i="20" s="1"/>
  <c r="L108" i="20"/>
  <c r="L111" i="20" s="1"/>
  <c r="L179" i="20" s="1"/>
  <c r="I108" i="20"/>
  <c r="H108" i="20" s="1"/>
  <c r="E108" i="20"/>
  <c r="C108" i="20"/>
  <c r="C111" i="20" s="1"/>
  <c r="C179" i="20" s="1"/>
  <c r="V101" i="20"/>
  <c r="V108" i="20" s="1"/>
  <c r="AC97" i="20"/>
  <c r="AB97" i="20"/>
  <c r="AA97" i="20"/>
  <c r="Z97" i="20"/>
  <c r="Y93" i="20"/>
  <c r="W93" i="20"/>
  <c r="R93" i="20"/>
  <c r="Q93" i="20" s="1"/>
  <c r="P93" i="20"/>
  <c r="M93" i="20"/>
  <c r="K93" i="20"/>
  <c r="I93" i="20"/>
  <c r="H93" i="20" s="1"/>
  <c r="F93" i="20"/>
  <c r="D93" i="20"/>
  <c r="L92" i="20"/>
  <c r="L95" i="20" s="1"/>
  <c r="L178" i="20" s="1"/>
  <c r="L90" i="20"/>
  <c r="N88" i="20"/>
  <c r="N90" i="20" s="1"/>
  <c r="N92" i="20" s="1"/>
  <c r="N95" i="20" s="1"/>
  <c r="N178" i="20" s="1"/>
  <c r="T85" i="20"/>
  <c r="T88" i="20" s="1"/>
  <c r="T90" i="20" s="1"/>
  <c r="T92" i="20" s="1"/>
  <c r="N85" i="20"/>
  <c r="L85" i="20"/>
  <c r="AC82" i="20"/>
  <c r="AB82" i="20"/>
  <c r="AA82" i="20"/>
  <c r="Z82" i="20"/>
  <c r="X82" i="20"/>
  <c r="V82" i="20"/>
  <c r="V85" i="20" s="1"/>
  <c r="V88" i="20" s="1"/>
  <c r="V90" i="20" s="1"/>
  <c r="V92" i="20" s="1"/>
  <c r="T82" i="20"/>
  <c r="R82" i="20"/>
  <c r="R85" i="20" s="1"/>
  <c r="R88" i="20" s="1"/>
  <c r="R90" i="20" s="1"/>
  <c r="R92" i="20" s="1"/>
  <c r="P82" i="20"/>
  <c r="P85" i="20" s="1"/>
  <c r="P88" i="20" s="1"/>
  <c r="P90" i="20" s="1"/>
  <c r="P92" i="20" s="1"/>
  <c r="P95" i="20" s="1"/>
  <c r="I82" i="20"/>
  <c r="G82" i="20"/>
  <c r="E82" i="20"/>
  <c r="C82" i="20"/>
  <c r="G81" i="20"/>
  <c r="G85" i="20" s="1"/>
  <c r="G88" i="20" s="1"/>
  <c r="G90" i="20" s="1"/>
  <c r="G92" i="20" s="1"/>
  <c r="G95" i="20" s="1"/>
  <c r="G178" i="20" s="1"/>
  <c r="E81" i="20"/>
  <c r="C81" i="20"/>
  <c r="Z80" i="20"/>
  <c r="AA80" i="20" s="1"/>
  <c r="X80" i="20"/>
  <c r="Y73" i="20"/>
  <c r="W73" i="20"/>
  <c r="R73" i="20"/>
  <c r="Q73" i="20" s="1"/>
  <c r="P73" i="20"/>
  <c r="N73" i="20"/>
  <c r="M73" i="20" s="1"/>
  <c r="L73" i="20"/>
  <c r="I73" i="20"/>
  <c r="I81" i="20" s="1"/>
  <c r="I85" i="20" s="1"/>
  <c r="I88" i="20" s="1"/>
  <c r="I90" i="20" s="1"/>
  <c r="I92" i="20" s="1"/>
  <c r="I95" i="20" s="1"/>
  <c r="I178" i="20" s="1"/>
  <c r="F73" i="20"/>
  <c r="D73" i="20"/>
  <c r="R69" i="20"/>
  <c r="P69" i="20"/>
  <c r="N69" i="20"/>
  <c r="L69" i="20"/>
  <c r="I69" i="20"/>
  <c r="G69" i="20"/>
  <c r="C69" i="20"/>
  <c r="L66" i="20"/>
  <c r="I66" i="20"/>
  <c r="G66" i="20"/>
  <c r="E66" i="20"/>
  <c r="C66" i="20"/>
  <c r="Z64" i="20"/>
  <c r="AA64" i="20" s="1"/>
  <c r="AB64" i="20" s="1"/>
  <c r="AC64" i="20" s="1"/>
  <c r="V64" i="20"/>
  <c r="T64" i="20"/>
  <c r="R64" i="20"/>
  <c r="N64" i="20"/>
  <c r="I64" i="20"/>
  <c r="G64" i="20"/>
  <c r="X62" i="20"/>
  <c r="X65" i="20" s="1"/>
  <c r="X68" i="20" s="1"/>
  <c r="V62" i="20"/>
  <c r="P62" i="20"/>
  <c r="N62" i="20"/>
  <c r="L62" i="20"/>
  <c r="L65" i="20" s="1"/>
  <c r="L68" i="20" s="1"/>
  <c r="L70" i="20" s="1"/>
  <c r="L72" i="20" s="1"/>
  <c r="L75" i="20" s="1"/>
  <c r="L177" i="20" s="1"/>
  <c r="I62" i="20"/>
  <c r="G62" i="20"/>
  <c r="G65" i="20" s="1"/>
  <c r="G68" i="20" s="1"/>
  <c r="G70" i="20" s="1"/>
  <c r="G72" i="20" s="1"/>
  <c r="G75" i="20" s="1"/>
  <c r="G177" i="20" s="1"/>
  <c r="E62" i="20"/>
  <c r="E65" i="20" s="1"/>
  <c r="E68" i="20" s="1"/>
  <c r="E70" i="20" s="1"/>
  <c r="E72" i="20" s="1"/>
  <c r="E75" i="20" s="1"/>
  <c r="E177" i="20" s="1"/>
  <c r="C62" i="20"/>
  <c r="C65" i="20" s="1"/>
  <c r="C68" i="20" s="1"/>
  <c r="C70" i="20" s="1"/>
  <c r="C72" i="20" s="1"/>
  <c r="C75" i="20" s="1"/>
  <c r="C177" i="20" s="1"/>
  <c r="T60" i="20"/>
  <c r="T62" i="20" s="1"/>
  <c r="T65" i="20" s="1"/>
  <c r="T68" i="20" s="1"/>
  <c r="R60" i="20"/>
  <c r="R62" i="20" s="1"/>
  <c r="R65" i="20" s="1"/>
  <c r="R68" i="20" s="1"/>
  <c r="AA59" i="20"/>
  <c r="Z59" i="20"/>
  <c r="Z57" i="20"/>
  <c r="AC55" i="20"/>
  <c r="AB55" i="20"/>
  <c r="Y51" i="20"/>
  <c r="W51" i="20"/>
  <c r="P51" i="20"/>
  <c r="N51" i="20"/>
  <c r="M51" i="20" s="1"/>
  <c r="L51" i="20"/>
  <c r="I51" i="20"/>
  <c r="H51" i="20" s="1"/>
  <c r="E51" i="20"/>
  <c r="C51" i="20"/>
  <c r="X47" i="20"/>
  <c r="Z47" i="20" s="1"/>
  <c r="AA47" i="20" s="1"/>
  <c r="AB47" i="20" s="1"/>
  <c r="AC47" i="20" s="1"/>
  <c r="T47" i="20"/>
  <c r="R47" i="20"/>
  <c r="P47" i="20"/>
  <c r="N47" i="20"/>
  <c r="L47" i="20"/>
  <c r="L48" i="20" s="1"/>
  <c r="L50" i="20" s="1"/>
  <c r="L53" i="20" s="1"/>
  <c r="L176" i="20" s="1"/>
  <c r="I47" i="20"/>
  <c r="G47" i="20"/>
  <c r="E47" i="20"/>
  <c r="C47" i="20"/>
  <c r="R46" i="20"/>
  <c r="L46" i="20"/>
  <c r="G46" i="20"/>
  <c r="G48" i="20" s="1"/>
  <c r="G50" i="20" s="1"/>
  <c r="G53" i="20" s="1"/>
  <c r="G176" i="20" s="1"/>
  <c r="E46" i="20"/>
  <c r="E48" i="20" s="1"/>
  <c r="E50" i="20" s="1"/>
  <c r="E53" i="20" s="1"/>
  <c r="E176" i="20" s="1"/>
  <c r="C46" i="20"/>
  <c r="C48" i="20" s="1"/>
  <c r="C50" i="20" s="1"/>
  <c r="C53" i="20" s="1"/>
  <c r="C176" i="20" s="1"/>
  <c r="Z45" i="20"/>
  <c r="AA45" i="20" s="1"/>
  <c r="V45" i="20"/>
  <c r="V46" i="20" s="1"/>
  <c r="V47" i="20" s="1"/>
  <c r="T45" i="20"/>
  <c r="T46" i="20" s="1"/>
  <c r="P45" i="20"/>
  <c r="P46" i="20" s="1"/>
  <c r="P48" i="20" s="1"/>
  <c r="P50" i="20" s="1"/>
  <c r="P53" i="20" s="1"/>
  <c r="N45" i="20"/>
  <c r="N46" i="20" s="1"/>
  <c r="L45" i="20"/>
  <c r="I45" i="20"/>
  <c r="I46" i="20" s="1"/>
  <c r="I48" i="20" s="1"/>
  <c r="I50" i="20" s="1"/>
  <c r="AC41" i="20"/>
  <c r="AB41" i="20"/>
  <c r="AA41" i="20"/>
  <c r="Z41" i="20"/>
  <c r="AC40" i="20"/>
  <c r="AB40" i="20"/>
  <c r="AA40" i="20"/>
  <c r="Z40" i="20"/>
  <c r="AC39" i="20"/>
  <c r="AB39" i="20"/>
  <c r="AA39" i="20"/>
  <c r="Z39" i="20"/>
  <c r="X39" i="20"/>
  <c r="X46" i="20" s="1"/>
  <c r="X48" i="20" s="1"/>
  <c r="X50" i="20" s="1"/>
  <c r="AC34" i="20"/>
  <c r="AB34" i="20"/>
  <c r="V30" i="20"/>
  <c r="X30" i="20" s="1"/>
  <c r="Z30" i="20" s="1"/>
  <c r="AA30" i="20" s="1"/>
  <c r="AB30" i="20" s="1"/>
  <c r="AC30" i="20" s="1"/>
  <c r="T30" i="20"/>
  <c r="S30" i="20" s="1"/>
  <c r="R30" i="20"/>
  <c r="P30" i="20"/>
  <c r="N30" i="20"/>
  <c r="E29" i="20"/>
  <c r="E32" i="20" s="1"/>
  <c r="E174" i="20" s="1"/>
  <c r="I26" i="20"/>
  <c r="G26" i="20"/>
  <c r="C26" i="20"/>
  <c r="V25" i="20"/>
  <c r="X22" i="20"/>
  <c r="X24" i="20" s="1"/>
  <c r="V22" i="20"/>
  <c r="V24" i="20" s="1"/>
  <c r="I22" i="20"/>
  <c r="I24" i="20" s="1"/>
  <c r="G22" i="20"/>
  <c r="G24" i="20" s="1"/>
  <c r="G27" i="20" s="1"/>
  <c r="G29" i="20" s="1"/>
  <c r="G32" i="20" s="1"/>
  <c r="G174" i="20" s="1"/>
  <c r="G181" i="20" s="1"/>
  <c r="E22" i="20"/>
  <c r="E24" i="20" s="1"/>
  <c r="E26" i="20" s="1"/>
  <c r="C22" i="20"/>
  <c r="C24" i="20" s="1"/>
  <c r="C27" i="20" s="1"/>
  <c r="C29" i="20" s="1"/>
  <c r="C32" i="20" s="1"/>
  <c r="C174" i="20" s="1"/>
  <c r="AA21" i="20"/>
  <c r="AB21" i="20" s="1"/>
  <c r="AC21" i="20" s="1"/>
  <c r="Z21" i="20"/>
  <c r="T21" i="20"/>
  <c r="R21" i="20"/>
  <c r="P21" i="20"/>
  <c r="N21" i="20"/>
  <c r="N22" i="20" s="1"/>
  <c r="N24" i="20" s="1"/>
  <c r="N26" i="20" s="1"/>
  <c r="L21" i="20"/>
  <c r="AB20" i="20"/>
  <c r="AC20" i="20" s="1"/>
  <c r="AA20" i="20"/>
  <c r="Z20" i="20"/>
  <c r="T20" i="20"/>
  <c r="T22" i="20" s="1"/>
  <c r="T24" i="20" s="1"/>
  <c r="R20" i="20"/>
  <c r="P20" i="20"/>
  <c r="P22" i="20" s="1"/>
  <c r="P24" i="20" s="1"/>
  <c r="N20" i="20"/>
  <c r="L20" i="20"/>
  <c r="L22" i="20" s="1"/>
  <c r="L24" i="20" s="1"/>
  <c r="Z19" i="20"/>
  <c r="Z13" i="20"/>
  <c r="V7" i="20"/>
  <c r="X7" i="20" s="1"/>
  <c r="Z7" i="20" s="1"/>
  <c r="AA7" i="20" s="1"/>
  <c r="AB7" i="20" s="1"/>
  <c r="AC7" i="20" s="1"/>
  <c r="Z6" i="20"/>
  <c r="AA6" i="20" s="1"/>
  <c r="AB6" i="20" s="1"/>
  <c r="AC6" i="20" s="1"/>
  <c r="V6" i="20"/>
  <c r="X6" i="20" s="1"/>
  <c r="V5" i="20"/>
  <c r="X5" i="20" s="1"/>
  <c r="Z5" i="20" s="1"/>
  <c r="AA5" i="20" s="1"/>
  <c r="AB5" i="20" s="1"/>
  <c r="AC5" i="20" s="1"/>
  <c r="Z3" i="20"/>
  <c r="AC3" i="20" s="1"/>
  <c r="I65" i="20" l="1"/>
  <c r="I68" i="20" s="1"/>
  <c r="I70" i="20" s="1"/>
  <c r="I72" i="20" s="1"/>
  <c r="I75" i="20" s="1"/>
  <c r="I177" i="20" s="1"/>
  <c r="I53" i="20"/>
  <c r="I176" i="20" s="1"/>
  <c r="R95" i="20"/>
  <c r="R178" i="20" s="1"/>
  <c r="N122" i="20"/>
  <c r="N124" i="20" s="1"/>
  <c r="X128" i="20"/>
  <c r="T140" i="20"/>
  <c r="T142" i="20" s="1"/>
  <c r="T144" i="20" s="1"/>
  <c r="T145" i="20" s="1"/>
  <c r="S145" i="20" s="1"/>
  <c r="E165" i="20"/>
  <c r="E186" i="20" s="1"/>
  <c r="E189" i="20" s="1"/>
  <c r="N165" i="20"/>
  <c r="N186" i="20" s="1"/>
  <c r="Q30" i="20"/>
  <c r="D51" i="20"/>
  <c r="AC59" i="20"/>
  <c r="N65" i="20"/>
  <c r="N68" i="20" s="1"/>
  <c r="N70" i="20" s="1"/>
  <c r="N72" i="20" s="1"/>
  <c r="N75" i="20" s="1"/>
  <c r="N177" i="20" s="1"/>
  <c r="I127" i="20"/>
  <c r="I128" i="20" s="1"/>
  <c r="H128" i="20" s="1"/>
  <c r="AB136" i="20"/>
  <c r="G144" i="20"/>
  <c r="G147" i="20" s="1"/>
  <c r="G185" i="20" s="1"/>
  <c r="G189" i="20" s="1"/>
  <c r="G191" i="20" s="1"/>
  <c r="C147" i="20"/>
  <c r="C185" i="20" s="1"/>
  <c r="C189" i="20" s="1"/>
  <c r="Q145" i="20"/>
  <c r="AA152" i="20"/>
  <c r="AB152" i="20" s="1"/>
  <c r="G165" i="20"/>
  <c r="G186" i="20" s="1"/>
  <c r="P165" i="20"/>
  <c r="P186" i="20" s="1"/>
  <c r="Q163" i="20"/>
  <c r="L122" i="20"/>
  <c r="L124" i="20" s="1"/>
  <c r="AA3" i="20"/>
  <c r="O30" i="20"/>
  <c r="T48" i="20"/>
  <c r="T50" i="20" s="1"/>
  <c r="T51" i="20" s="1"/>
  <c r="S51" i="20" s="1"/>
  <c r="K51" i="20"/>
  <c r="V65" i="20"/>
  <c r="V66" i="20" s="1"/>
  <c r="V68" i="20" s="1"/>
  <c r="K73" i="20"/>
  <c r="O73" i="20"/>
  <c r="C85" i="20"/>
  <c r="C88" i="20" s="1"/>
  <c r="C90" i="20" s="1"/>
  <c r="C92" i="20" s="1"/>
  <c r="C95" i="20" s="1"/>
  <c r="C178" i="20" s="1"/>
  <c r="C181" i="20" s="1"/>
  <c r="C191" i="20" s="1"/>
  <c r="C193" i="20" s="1"/>
  <c r="AA13" i="20"/>
  <c r="Z37" i="20"/>
  <c r="N48" i="20"/>
  <c r="N50" i="20" s="1"/>
  <c r="N53" i="20" s="1"/>
  <c r="N176" i="20" s="1"/>
  <c r="R48" i="20"/>
  <c r="R50" i="20" s="1"/>
  <c r="R53" i="20" s="1"/>
  <c r="R176" i="20" s="1"/>
  <c r="R70" i="20"/>
  <c r="R72" i="20" s="1"/>
  <c r="R75" i="20" s="1"/>
  <c r="R177" i="20" s="1"/>
  <c r="H73" i="20"/>
  <c r="X85" i="20"/>
  <c r="X88" i="20" s="1"/>
  <c r="X90" i="20" s="1"/>
  <c r="X92" i="20" s="1"/>
  <c r="K108" i="20"/>
  <c r="U128" i="20"/>
  <c r="E147" i="20"/>
  <c r="E185" i="20" s="1"/>
  <c r="Z157" i="20"/>
  <c r="Z160" i="20" s="1"/>
  <c r="Z162" i="20" s="1"/>
  <c r="Z108" i="20"/>
  <c r="Z128" i="20"/>
  <c r="AA128" i="20" s="1"/>
  <c r="AB128" i="20" s="1"/>
  <c r="AC128" i="20" s="1"/>
  <c r="L26" i="20"/>
  <c r="L27" i="20" s="1"/>
  <c r="L29" i="20" s="1"/>
  <c r="L30" i="20" s="1"/>
  <c r="T26" i="20"/>
  <c r="T27" i="20" s="1"/>
  <c r="T29" i="20" s="1"/>
  <c r="T32" i="20" s="1"/>
  <c r="T174" i="20" s="1"/>
  <c r="V26" i="20"/>
  <c r="X26" i="20" s="1"/>
  <c r="Z26" i="20" s="1"/>
  <c r="AA26" i="20" s="1"/>
  <c r="AB26" i="20" s="1"/>
  <c r="AC26" i="20" s="1"/>
  <c r="P176" i="20"/>
  <c r="O51" i="20"/>
  <c r="R51" i="20"/>
  <c r="Q51" i="20" s="1"/>
  <c r="V93" i="20"/>
  <c r="AB3" i="20"/>
  <c r="Z22" i="20"/>
  <c r="Z24" i="20" s="1"/>
  <c r="Z27" i="20" s="1"/>
  <c r="Z29" i="20" s="1"/>
  <c r="Z32" i="20" s="1"/>
  <c r="P26" i="20"/>
  <c r="P27" i="20"/>
  <c r="P29" i="20" s="1"/>
  <c r="P32" i="20" s="1"/>
  <c r="P174" i="20" s="1"/>
  <c r="I27" i="20"/>
  <c r="I29" i="20" s="1"/>
  <c r="I30" i="20" s="1"/>
  <c r="H30" i="20" s="1"/>
  <c r="L181" i="20"/>
  <c r="T69" i="20"/>
  <c r="T70" i="20"/>
  <c r="T72" i="20" s="1"/>
  <c r="AB80" i="20"/>
  <c r="AA85" i="20"/>
  <c r="AA88" i="20" s="1"/>
  <c r="AA90" i="20" s="1"/>
  <c r="AA92" i="20" s="1"/>
  <c r="L126" i="20"/>
  <c r="L127" i="20" s="1"/>
  <c r="L128" i="20" s="1"/>
  <c r="K128" i="20" s="1"/>
  <c r="Z60" i="20"/>
  <c r="Z61" i="20" s="1"/>
  <c r="Z62" i="20" s="1"/>
  <c r="Z65" i="20" s="1"/>
  <c r="Z68" i="20" s="1"/>
  <c r="AA19" i="20"/>
  <c r="R22" i="20"/>
  <c r="R24" i="20" s="1"/>
  <c r="N27" i="20"/>
  <c r="N29" i="20" s="1"/>
  <c r="N32" i="20" s="1"/>
  <c r="N174" i="20" s="1"/>
  <c r="N181" i="20" s="1"/>
  <c r="Z42" i="20"/>
  <c r="Z46" i="20" s="1"/>
  <c r="Z48" i="20" s="1"/>
  <c r="Z50" i="20" s="1"/>
  <c r="AB45" i="20"/>
  <c r="N126" i="20"/>
  <c r="N127" i="20" s="1"/>
  <c r="N128" i="20" s="1"/>
  <c r="O145" i="20"/>
  <c r="P185" i="20"/>
  <c r="P64" i="20"/>
  <c r="P65" i="20" s="1"/>
  <c r="P68" i="20" s="1"/>
  <c r="P70" i="20" s="1"/>
  <c r="P72" i="20" s="1"/>
  <c r="P75" i="20" s="1"/>
  <c r="P177" i="20" s="1"/>
  <c r="Z85" i="20"/>
  <c r="Z88" i="20" s="1"/>
  <c r="Z90" i="20" s="1"/>
  <c r="Z92" i="20" s="1"/>
  <c r="E111" i="20"/>
  <c r="E179" i="20" s="1"/>
  <c r="D108" i="20"/>
  <c r="F108" i="20"/>
  <c r="AA108" i="20"/>
  <c r="P121" i="20"/>
  <c r="P122" i="20" s="1"/>
  <c r="P124" i="20" s="1"/>
  <c r="Z140" i="20"/>
  <c r="Z142" i="20" s="1"/>
  <c r="Z144" i="20" s="1"/>
  <c r="AA135" i="20"/>
  <c r="V163" i="20"/>
  <c r="V165" i="20" s="1"/>
  <c r="V186" i="20" s="1"/>
  <c r="D163" i="20"/>
  <c r="F163" i="20"/>
  <c r="M163" i="20"/>
  <c r="O163" i="20"/>
  <c r="U30" i="20"/>
  <c r="V48" i="20"/>
  <c r="V50" i="20" s="1"/>
  <c r="F51" i="20"/>
  <c r="AA57" i="20"/>
  <c r="V111" i="20"/>
  <c r="V179" i="20" s="1"/>
  <c r="U108" i="20"/>
  <c r="V126" i="20"/>
  <c r="X126" i="20" s="1"/>
  <c r="Z126" i="20" s="1"/>
  <c r="AA126" i="20" s="1"/>
  <c r="AB126" i="20" s="1"/>
  <c r="AC126" i="20" s="1"/>
  <c r="R140" i="20"/>
  <c r="R142" i="20" s="1"/>
  <c r="R144" i="20" s="1"/>
  <c r="R147" i="20" s="1"/>
  <c r="R185" i="20" s="1"/>
  <c r="R189" i="20" s="1"/>
  <c r="S108" i="20"/>
  <c r="T111" i="20"/>
  <c r="T179" i="20" s="1"/>
  <c r="P111" i="20"/>
  <c r="T126" i="20"/>
  <c r="T127" i="20"/>
  <c r="T130" i="20" s="1"/>
  <c r="T184" i="20" s="1"/>
  <c r="L189" i="20"/>
  <c r="F145" i="20"/>
  <c r="H145" i="20"/>
  <c r="N189" i="20"/>
  <c r="E85" i="20"/>
  <c r="E88" i="20" s="1"/>
  <c r="E90" i="20" s="1"/>
  <c r="E92" i="20" s="1"/>
  <c r="E95" i="20" s="1"/>
  <c r="E178" i="20" s="1"/>
  <c r="E181" i="20" s="1"/>
  <c r="T93" i="20"/>
  <c r="S93" i="20" s="1"/>
  <c r="T95" i="20"/>
  <c r="T178" i="20" s="1"/>
  <c r="P178" i="20"/>
  <c r="O93" i="20"/>
  <c r="AB119" i="20"/>
  <c r="AA137" i="20"/>
  <c r="V147" i="20"/>
  <c r="V185" i="20" s="1"/>
  <c r="V145" i="20"/>
  <c r="X101" i="20"/>
  <c r="Z101" i="20" s="1"/>
  <c r="AA101" i="20" s="1"/>
  <c r="AB101" i="20" s="1"/>
  <c r="AC101" i="20" s="1"/>
  <c r="T165" i="20"/>
  <c r="T186" i="20" s="1"/>
  <c r="I181" i="20"/>
  <c r="M108" i="20"/>
  <c r="AA117" i="20"/>
  <c r="K145" i="20"/>
  <c r="M145" i="20"/>
  <c r="H163" i="20"/>
  <c r="K163" i="20"/>
  <c r="I189" i="20"/>
  <c r="I44" i="19"/>
  <c r="M45" i="19"/>
  <c r="M50" i="19"/>
  <c r="X127" i="20" l="1"/>
  <c r="X130" i="20" s="1"/>
  <c r="X184" i="20" s="1"/>
  <c r="X27" i="20"/>
  <c r="X29" i="20" s="1"/>
  <c r="X32" i="20" s="1"/>
  <c r="X174" i="20" s="1"/>
  <c r="AA157" i="20"/>
  <c r="AA160" i="20" s="1"/>
  <c r="AA162" i="20" s="1"/>
  <c r="V27" i="20"/>
  <c r="V29" i="20" s="1"/>
  <c r="V32" i="20" s="1"/>
  <c r="V174" i="20" s="1"/>
  <c r="K30" i="20"/>
  <c r="M30" i="20"/>
  <c r="M128" i="20"/>
  <c r="O128" i="20"/>
  <c r="V69" i="20"/>
  <c r="X69" i="20" s="1"/>
  <c r="P126" i="20"/>
  <c r="P127" i="20" s="1"/>
  <c r="P130" i="20" s="1"/>
  <c r="P184" i="20" s="1"/>
  <c r="P189" i="20" s="1"/>
  <c r="T147" i="20"/>
  <c r="T185" i="20" s="1"/>
  <c r="AA111" i="20"/>
  <c r="AA179" i="20" s="1"/>
  <c r="AB108" i="20"/>
  <c r="I191" i="20"/>
  <c r="I193" i="20" s="1"/>
  <c r="AA60" i="20"/>
  <c r="AA61" i="20" s="1"/>
  <c r="AA62" i="20" s="1"/>
  <c r="AA65" i="20" s="1"/>
  <c r="AA68" i="20" s="1"/>
  <c r="AB19" i="20"/>
  <c r="AA42" i="20"/>
  <c r="AA22" i="20"/>
  <c r="AA24" i="20" s="1"/>
  <c r="AA27" i="20" s="1"/>
  <c r="AA29" i="20" s="1"/>
  <c r="AA32" i="20" s="1"/>
  <c r="AA174" i="20" s="1"/>
  <c r="T73" i="20"/>
  <c r="S73" i="20" s="1"/>
  <c r="X93" i="20"/>
  <c r="U93" i="20"/>
  <c r="T53" i="20"/>
  <c r="T176" i="20" s="1"/>
  <c r="U145" i="20"/>
  <c r="X145" i="20"/>
  <c r="AB137" i="20"/>
  <c r="AC119" i="20"/>
  <c r="AC137" i="20" s="1"/>
  <c r="V51" i="20"/>
  <c r="X111" i="20"/>
  <c r="AB13" i="20"/>
  <c r="V95" i="20"/>
  <c r="V178" i="20" s="1"/>
  <c r="AA37" i="20"/>
  <c r="AA140" i="20"/>
  <c r="AA142" i="20" s="1"/>
  <c r="AA144" i="20" s="1"/>
  <c r="AB135" i="20"/>
  <c r="R26" i="20"/>
  <c r="R27" i="20" s="1"/>
  <c r="R29" i="20" s="1"/>
  <c r="R32" i="20" s="1"/>
  <c r="R174" i="20" s="1"/>
  <c r="R181" i="20" s="1"/>
  <c r="R191" i="20" s="1"/>
  <c r="E191" i="20"/>
  <c r="E193" i="20" s="1"/>
  <c r="AC80" i="20"/>
  <c r="AC85" i="20" s="1"/>
  <c r="AC88" i="20" s="1"/>
  <c r="AC90" i="20" s="1"/>
  <c r="AC92" i="20" s="1"/>
  <c r="AB85" i="20"/>
  <c r="AB88" i="20" s="1"/>
  <c r="AB90" i="20" s="1"/>
  <c r="AB92" i="20" s="1"/>
  <c r="T189" i="20"/>
  <c r="U163" i="20"/>
  <c r="X163" i="20"/>
  <c r="N191" i="20"/>
  <c r="AB157" i="20"/>
  <c r="AB160" i="20" s="1"/>
  <c r="AB162" i="20" s="1"/>
  <c r="AC152" i="20"/>
  <c r="AC157" i="20" s="1"/>
  <c r="AC160" i="20" s="1"/>
  <c r="AC162" i="20" s="1"/>
  <c r="AB117" i="20"/>
  <c r="AA122" i="20"/>
  <c r="AA124" i="20" s="1"/>
  <c r="AA127" i="20" s="1"/>
  <c r="AA130" i="20" s="1"/>
  <c r="AA184" i="20" s="1"/>
  <c r="P179" i="20"/>
  <c r="P181" i="20" s="1"/>
  <c r="P191" i="20" s="1"/>
  <c r="O108" i="20"/>
  <c r="V127" i="20"/>
  <c r="V130" i="20" s="1"/>
  <c r="V184" i="20" s="1"/>
  <c r="V189" i="20" s="1"/>
  <c r="Z111" i="20"/>
  <c r="Z179" i="20" s="1"/>
  <c r="Z127" i="20"/>
  <c r="Z130" i="20" s="1"/>
  <c r="Z184" i="20" s="1"/>
  <c r="AC45" i="20"/>
  <c r="L191" i="20"/>
  <c r="K48" i="19"/>
  <c r="H48" i="19"/>
  <c r="M48" i="19" s="1"/>
  <c r="D48" i="19"/>
  <c r="E48" i="19" s="1"/>
  <c r="AB57" i="20" l="1"/>
  <c r="V70" i="20"/>
  <c r="V72" i="20" s="1"/>
  <c r="R193" i="20"/>
  <c r="R195" i="20"/>
  <c r="P195" i="20"/>
  <c r="P193" i="20"/>
  <c r="T181" i="20"/>
  <c r="T191" i="20" s="1"/>
  <c r="U51" i="20"/>
  <c r="X51" i="20"/>
  <c r="V73" i="20"/>
  <c r="AB122" i="20"/>
  <c r="AB124" i="20" s="1"/>
  <c r="AB127" i="20" s="1"/>
  <c r="AB130" i="20" s="1"/>
  <c r="AB184" i="20" s="1"/>
  <c r="AC117" i="20"/>
  <c r="AC122" i="20" s="1"/>
  <c r="AC124" i="20" s="1"/>
  <c r="AC127" i="20" s="1"/>
  <c r="AC130" i="20" s="1"/>
  <c r="AC184" i="20" s="1"/>
  <c r="AC19" i="20"/>
  <c r="AB42" i="20"/>
  <c r="AB60" i="20"/>
  <c r="AC13" i="20"/>
  <c r="AC22" i="20" s="1"/>
  <c r="AC24" i="20" s="1"/>
  <c r="AC27" i="20" s="1"/>
  <c r="AC29" i="20" s="1"/>
  <c r="AC32" i="20" s="1"/>
  <c r="AC174" i="20" s="1"/>
  <c r="AB22" i="20"/>
  <c r="AB24" i="20" s="1"/>
  <c r="AB27" i="20" s="1"/>
  <c r="AB29" i="20" s="1"/>
  <c r="AB32" i="20" s="1"/>
  <c r="AB174" i="20" s="1"/>
  <c r="Z93" i="20"/>
  <c r="X95" i="20"/>
  <c r="X178" i="20" s="1"/>
  <c r="N193" i="20"/>
  <c r="N195" i="20"/>
  <c r="AB37" i="20"/>
  <c r="AA46" i="20"/>
  <c r="AA48" i="20" s="1"/>
  <c r="AA50" i="20" s="1"/>
  <c r="X179" i="20"/>
  <c r="T75" i="20"/>
  <c r="T177" i="20" s="1"/>
  <c r="AB111" i="20"/>
  <c r="AB179" i="20" s="1"/>
  <c r="AC108" i="20"/>
  <c r="AC111" i="20" s="1"/>
  <c r="AC179" i="20" s="1"/>
  <c r="G193" i="20"/>
  <c r="L193" i="20"/>
  <c r="L195" i="20"/>
  <c r="Z163" i="20"/>
  <c r="X165" i="20"/>
  <c r="X186" i="20" s="1"/>
  <c r="AB140" i="20"/>
  <c r="AB142" i="20" s="1"/>
  <c r="AB144" i="20" s="1"/>
  <c r="AC135" i="20"/>
  <c r="AC140" i="20" s="1"/>
  <c r="AC142" i="20" s="1"/>
  <c r="AC144" i="20" s="1"/>
  <c r="V53" i="20"/>
  <c r="V176" i="20" s="1"/>
  <c r="Z145" i="20"/>
  <c r="X147" i="20"/>
  <c r="X185" i="20" s="1"/>
  <c r="Z69" i="20"/>
  <c r="X70" i="20"/>
  <c r="X72" i="20" s="1"/>
  <c r="I48" i="19"/>
  <c r="E44" i="19"/>
  <c r="E45" i="19"/>
  <c r="E47" i="19"/>
  <c r="E50" i="19"/>
  <c r="E51" i="19"/>
  <c r="E53" i="19"/>
  <c r="M47" i="19"/>
  <c r="X113" i="20" l="1"/>
  <c r="X189" i="20"/>
  <c r="U73" i="20"/>
  <c r="X73" i="20"/>
  <c r="Z73" i="20" s="1"/>
  <c r="AA73" i="20" s="1"/>
  <c r="AB73" i="20" s="1"/>
  <c r="AC73" i="20" s="1"/>
  <c r="Z51" i="20"/>
  <c r="X53" i="20"/>
  <c r="X176" i="20" s="1"/>
  <c r="AA145" i="20"/>
  <c r="Z147" i="20"/>
  <c r="Z185" i="20" s="1"/>
  <c r="AB61" i="20"/>
  <c r="AB62" i="20" s="1"/>
  <c r="AB65" i="20" s="1"/>
  <c r="AB68" i="20" s="1"/>
  <c r="AA69" i="20"/>
  <c r="Z70" i="20"/>
  <c r="Z72" i="20" s="1"/>
  <c r="AA93" i="20"/>
  <c r="Z95" i="20"/>
  <c r="Z178" i="20" s="1"/>
  <c r="AC57" i="20"/>
  <c r="AC37" i="20"/>
  <c r="AB46" i="20"/>
  <c r="AB48" i="20" s="1"/>
  <c r="AB50" i="20" s="1"/>
  <c r="AA163" i="20"/>
  <c r="Z165" i="20"/>
  <c r="Z186" i="20" s="1"/>
  <c r="AC42" i="20"/>
  <c r="AC60" i="20"/>
  <c r="V75" i="20"/>
  <c r="V177" i="20" s="1"/>
  <c r="V181" i="20" s="1"/>
  <c r="V191" i="20" s="1"/>
  <c r="T193" i="20"/>
  <c r="T195" i="20"/>
  <c r="I45" i="19"/>
  <c r="Z75" i="20" l="1"/>
  <c r="Z177" i="20" s="1"/>
  <c r="V193" i="20"/>
  <c r="V195" i="20"/>
  <c r="AB70" i="20"/>
  <c r="AB72" i="20" s="1"/>
  <c r="AB75" i="20" s="1"/>
  <c r="AB177" i="20" s="1"/>
  <c r="AB69" i="20"/>
  <c r="AC69" i="20" s="1"/>
  <c r="AA70" i="20"/>
  <c r="AA72" i="20" s="1"/>
  <c r="AA75" i="20" s="1"/>
  <c r="AA177" i="20" s="1"/>
  <c r="AB145" i="20"/>
  <c r="AA147" i="20"/>
  <c r="AA185" i="20" s="1"/>
  <c r="AA189" i="20" s="1"/>
  <c r="AB163" i="20"/>
  <c r="AA165" i="20"/>
  <c r="AA186" i="20" s="1"/>
  <c r="AC46" i="20"/>
  <c r="AC48" i="20" s="1"/>
  <c r="AC50" i="20" s="1"/>
  <c r="X181" i="20"/>
  <c r="X191" i="20" s="1"/>
  <c r="AC61" i="20"/>
  <c r="AC62" i="20"/>
  <c r="AC65" i="20" s="1"/>
  <c r="AC68" i="20" s="1"/>
  <c r="AC70" i="20" s="1"/>
  <c r="AC72" i="20" s="1"/>
  <c r="AC75" i="20" s="1"/>
  <c r="AC177" i="20" s="1"/>
  <c r="Z189" i="20"/>
  <c r="AB93" i="20"/>
  <c r="AA95" i="20"/>
  <c r="AA178" i="20" s="1"/>
  <c r="X75" i="20"/>
  <c r="X177" i="20" s="1"/>
  <c r="AA51" i="20"/>
  <c r="Z53" i="20"/>
  <c r="Z176" i="20" s="1"/>
  <c r="Z181" i="20" s="1"/>
  <c r="Z191" i="20" s="1"/>
  <c r="X122" i="16"/>
  <c r="X195" i="20" l="1"/>
  <c r="X193" i="20"/>
  <c r="AB51" i="20"/>
  <c r="AA53" i="20"/>
  <c r="AA176" i="20" s="1"/>
  <c r="AA181" i="20" s="1"/>
  <c r="AA191" i="20" s="1"/>
  <c r="AC145" i="20"/>
  <c r="AC147" i="20" s="1"/>
  <c r="AC185" i="20" s="1"/>
  <c r="AB147" i="20"/>
  <c r="AB185" i="20" s="1"/>
  <c r="Z193" i="20"/>
  <c r="Z195" i="20"/>
  <c r="AC93" i="20"/>
  <c r="AC95" i="20" s="1"/>
  <c r="AC178" i="20" s="1"/>
  <c r="AB95" i="20"/>
  <c r="AB178" i="20" s="1"/>
  <c r="AC163" i="20"/>
  <c r="AC165" i="20" s="1"/>
  <c r="AC186" i="20" s="1"/>
  <c r="AB165" i="20"/>
  <c r="AB186" i="20" s="1"/>
  <c r="G55" i="19"/>
  <c r="F55" i="19"/>
  <c r="M44" i="19"/>
  <c r="M53" i="19"/>
  <c r="I53" i="19"/>
  <c r="H51" i="19"/>
  <c r="I50" i="19"/>
  <c r="I47" i="19"/>
  <c r="R5" i="19"/>
  <c r="S5" i="19" s="1"/>
  <c r="T5" i="19" s="1"/>
  <c r="U5" i="19" s="1"/>
  <c r="M51" i="19" l="1"/>
  <c r="H55" i="19"/>
  <c r="AB189" i="20"/>
  <c r="AA193" i="20"/>
  <c r="AA195" i="20"/>
  <c r="AC51" i="20"/>
  <c r="AC53" i="20" s="1"/>
  <c r="AC176" i="20" s="1"/>
  <c r="AC181" i="20" s="1"/>
  <c r="AB53" i="20"/>
  <c r="AB176" i="20" s="1"/>
  <c r="AB181" i="20" s="1"/>
  <c r="AB191" i="20" s="1"/>
  <c r="AC189" i="20"/>
  <c r="I51" i="19"/>
  <c r="I55" i="19" s="1"/>
  <c r="X22" i="16"/>
  <c r="AC191" i="20" l="1"/>
  <c r="AB193" i="20"/>
  <c r="AB195" i="20"/>
  <c r="AC195" i="20"/>
  <c r="AC193" i="20"/>
  <c r="N184" i="18"/>
  <c r="L184" i="18"/>
  <c r="I184" i="18"/>
  <c r="C184" i="18"/>
  <c r="L174" i="18"/>
  <c r="I174" i="18"/>
  <c r="AC172" i="18"/>
  <c r="AB172" i="18"/>
  <c r="Y163" i="18"/>
  <c r="W163" i="18"/>
  <c r="R163" i="18"/>
  <c r="P163" i="18"/>
  <c r="Q163" i="18" s="1"/>
  <c r="N163" i="18"/>
  <c r="L163" i="18"/>
  <c r="K163" i="18" s="1"/>
  <c r="I163" i="18"/>
  <c r="G163" i="18"/>
  <c r="H163" i="18" s="1"/>
  <c r="E163" i="18"/>
  <c r="C163" i="18"/>
  <c r="C160" i="18"/>
  <c r="C162" i="18" s="1"/>
  <c r="C165" i="18" s="1"/>
  <c r="C186" i="18" s="1"/>
  <c r="X157" i="18"/>
  <c r="X160" i="18" s="1"/>
  <c r="X162" i="18" s="1"/>
  <c r="V157" i="18"/>
  <c r="V160" i="18" s="1"/>
  <c r="V162" i="18" s="1"/>
  <c r="T157" i="18"/>
  <c r="T160" i="18" s="1"/>
  <c r="T162" i="18" s="1"/>
  <c r="T163" i="18" s="1"/>
  <c r="S163" i="18" s="1"/>
  <c r="R157" i="18"/>
  <c r="R160" i="18" s="1"/>
  <c r="R162" i="18" s="1"/>
  <c r="R165" i="18" s="1"/>
  <c r="R186" i="18" s="1"/>
  <c r="P157" i="18"/>
  <c r="P160" i="18" s="1"/>
  <c r="P162" i="18" s="1"/>
  <c r="N157" i="18"/>
  <c r="N160" i="18" s="1"/>
  <c r="N162" i="18" s="1"/>
  <c r="N165" i="18" s="1"/>
  <c r="N186" i="18" s="1"/>
  <c r="L157" i="18"/>
  <c r="L160" i="18" s="1"/>
  <c r="L162" i="18" s="1"/>
  <c r="L165" i="18" s="1"/>
  <c r="L186" i="18" s="1"/>
  <c r="I157" i="18"/>
  <c r="I160" i="18" s="1"/>
  <c r="I162" i="18" s="1"/>
  <c r="I165" i="18" s="1"/>
  <c r="I186" i="18" s="1"/>
  <c r="G157" i="18"/>
  <c r="G160" i="18" s="1"/>
  <c r="G162" i="18" s="1"/>
  <c r="E157" i="18"/>
  <c r="E160" i="18" s="1"/>
  <c r="E162" i="18" s="1"/>
  <c r="E165" i="18" s="1"/>
  <c r="E186" i="18" s="1"/>
  <c r="C157" i="18"/>
  <c r="AA154" i="18"/>
  <c r="AB154" i="18" s="1"/>
  <c r="AC154" i="18" s="1"/>
  <c r="Z154" i="18"/>
  <c r="Z152" i="18"/>
  <c r="Z157" i="18" s="1"/>
  <c r="Z160" i="18" s="1"/>
  <c r="Z162" i="18" s="1"/>
  <c r="Y145" i="18"/>
  <c r="W145" i="18"/>
  <c r="R145" i="18"/>
  <c r="P145" i="18"/>
  <c r="N145" i="18"/>
  <c r="L145" i="18"/>
  <c r="K145" i="18" s="1"/>
  <c r="I145" i="18"/>
  <c r="H145" i="18"/>
  <c r="G145" i="18"/>
  <c r="E145" i="18"/>
  <c r="F145" i="18" s="1"/>
  <c r="C145" i="18"/>
  <c r="G143" i="18"/>
  <c r="X140" i="18"/>
  <c r="X142" i="18" s="1"/>
  <c r="X144" i="18" s="1"/>
  <c r="V140" i="18"/>
  <c r="V142" i="18" s="1"/>
  <c r="V144" i="18" s="1"/>
  <c r="L140" i="18"/>
  <c r="L142" i="18" s="1"/>
  <c r="L144" i="18" s="1"/>
  <c r="E140" i="18"/>
  <c r="E142" i="18" s="1"/>
  <c r="E144" i="18" s="1"/>
  <c r="E147" i="18" s="1"/>
  <c r="E185" i="18" s="1"/>
  <c r="C140" i="18"/>
  <c r="C142" i="18" s="1"/>
  <c r="C144" i="18" s="1"/>
  <c r="AB139" i="18"/>
  <c r="AC139" i="18" s="1"/>
  <c r="Z139" i="18"/>
  <c r="AA139" i="18" s="1"/>
  <c r="T139" i="18"/>
  <c r="R139" i="18"/>
  <c r="P139" i="18"/>
  <c r="P140" i="18" s="1"/>
  <c r="P142" i="18" s="1"/>
  <c r="P144" i="18" s="1"/>
  <c r="P147" i="18" s="1"/>
  <c r="O145" i="18" s="1"/>
  <c r="N139" i="18"/>
  <c r="N140" i="18" s="1"/>
  <c r="N142" i="18" s="1"/>
  <c r="N144" i="18" s="1"/>
  <c r="N147" i="18" s="1"/>
  <c r="N185" i="18" s="1"/>
  <c r="I139" i="18"/>
  <c r="I140" i="18" s="1"/>
  <c r="I142" i="18" s="1"/>
  <c r="I144" i="18" s="1"/>
  <c r="I147" i="18" s="1"/>
  <c r="I185" i="18" s="1"/>
  <c r="G139" i="18"/>
  <c r="G140" i="18" s="1"/>
  <c r="G142" i="18" s="1"/>
  <c r="T137" i="18"/>
  <c r="R137" i="18"/>
  <c r="T136" i="18"/>
  <c r="R136" i="18"/>
  <c r="R140" i="18" s="1"/>
  <c r="R142" i="18" s="1"/>
  <c r="R144" i="18" s="1"/>
  <c r="R147" i="18" s="1"/>
  <c r="R185" i="18" s="1"/>
  <c r="Z135" i="18"/>
  <c r="AC132" i="18"/>
  <c r="AB132" i="18"/>
  <c r="E130" i="18"/>
  <c r="E184" i="18" s="1"/>
  <c r="Y128" i="18"/>
  <c r="W128" i="18"/>
  <c r="V128" i="18"/>
  <c r="X128" i="18" s="1"/>
  <c r="T128" i="18"/>
  <c r="R128" i="18"/>
  <c r="Q128" i="18" s="1"/>
  <c r="P128" i="18"/>
  <c r="F128" i="18"/>
  <c r="D128" i="18"/>
  <c r="I126" i="18"/>
  <c r="G126" i="18"/>
  <c r="C126" i="18"/>
  <c r="V125" i="18"/>
  <c r="X122" i="18"/>
  <c r="X124" i="18" s="1"/>
  <c r="V122" i="18"/>
  <c r="V124" i="18" s="1"/>
  <c r="I122" i="18"/>
  <c r="I124" i="18" s="1"/>
  <c r="I127" i="18" s="1"/>
  <c r="I128" i="18" s="1"/>
  <c r="H128" i="18" s="1"/>
  <c r="E122" i="18"/>
  <c r="E124" i="18" s="1"/>
  <c r="E126" i="18" s="1"/>
  <c r="C122" i="18"/>
  <c r="C124" i="18" s="1"/>
  <c r="Z121" i="18"/>
  <c r="AA121" i="18" s="1"/>
  <c r="AB121" i="18" s="1"/>
  <c r="AC121" i="18" s="1"/>
  <c r="T121" i="18"/>
  <c r="N121" i="18"/>
  <c r="L121" i="18"/>
  <c r="G121" i="18"/>
  <c r="Z120" i="18"/>
  <c r="AA120" i="18" s="1"/>
  <c r="AB120" i="18" s="1"/>
  <c r="AC120" i="18" s="1"/>
  <c r="T120" i="18"/>
  <c r="T122" i="18" s="1"/>
  <c r="T124" i="18" s="1"/>
  <c r="T126" i="18" s="1"/>
  <c r="R120" i="18"/>
  <c r="R122" i="18" s="1"/>
  <c r="R124" i="18" s="1"/>
  <c r="P120" i="18"/>
  <c r="N120" i="18"/>
  <c r="N122" i="18" s="1"/>
  <c r="N124" i="18" s="1"/>
  <c r="L120" i="18"/>
  <c r="G120" i="18"/>
  <c r="G122" i="18" s="1"/>
  <c r="G124" i="18" s="1"/>
  <c r="Z119" i="18"/>
  <c r="AC118" i="18"/>
  <c r="AC136" i="18" s="1"/>
  <c r="AB118" i="18"/>
  <c r="AB136" i="18" s="1"/>
  <c r="AA118" i="18"/>
  <c r="AA136" i="18" s="1"/>
  <c r="Z118" i="18"/>
  <c r="Z136" i="18" s="1"/>
  <c r="Z117" i="18"/>
  <c r="P117" i="18"/>
  <c r="AC114" i="18"/>
  <c r="AB114" i="18"/>
  <c r="N111" i="18"/>
  <c r="N179" i="18" s="1"/>
  <c r="G111" i="18"/>
  <c r="G179" i="18" s="1"/>
  <c r="Y108" i="18"/>
  <c r="W108" i="18"/>
  <c r="T108" i="18"/>
  <c r="R108" i="18"/>
  <c r="R111" i="18" s="1"/>
  <c r="R179" i="18" s="1"/>
  <c r="P108" i="18"/>
  <c r="P111" i="18" s="1"/>
  <c r="P179" i="18" s="1"/>
  <c r="L108" i="18"/>
  <c r="L111" i="18" s="1"/>
  <c r="L179" i="18" s="1"/>
  <c r="I108" i="18"/>
  <c r="H108" i="18" s="1"/>
  <c r="E108" i="18"/>
  <c r="F108" i="18" s="1"/>
  <c r="C108" i="18"/>
  <c r="D108" i="18" s="1"/>
  <c r="V101" i="18"/>
  <c r="V108" i="18" s="1"/>
  <c r="AC97" i="18"/>
  <c r="AB97" i="18"/>
  <c r="AA97" i="18"/>
  <c r="Z97" i="18"/>
  <c r="Y93" i="18"/>
  <c r="W93" i="18"/>
  <c r="R93" i="18"/>
  <c r="Q93" i="18"/>
  <c r="P93" i="18"/>
  <c r="M93" i="18"/>
  <c r="I93" i="18"/>
  <c r="H93" i="18" s="1"/>
  <c r="F93" i="18"/>
  <c r="D93" i="18"/>
  <c r="R90" i="18"/>
  <c r="R92" i="18" s="1"/>
  <c r="R95" i="18" s="1"/>
  <c r="R178" i="18" s="1"/>
  <c r="L90" i="18"/>
  <c r="L92" i="18" s="1"/>
  <c r="L95" i="18" s="1"/>
  <c r="L178" i="18" s="1"/>
  <c r="N85" i="18"/>
  <c r="N88" i="18" s="1"/>
  <c r="N90" i="18" s="1"/>
  <c r="N92" i="18" s="1"/>
  <c r="N95" i="18" s="1"/>
  <c r="N178" i="18" s="1"/>
  <c r="L85" i="18"/>
  <c r="AC82" i="18"/>
  <c r="AB82" i="18"/>
  <c r="AA82" i="18"/>
  <c r="Z82" i="18"/>
  <c r="X82" i="18"/>
  <c r="V82" i="18"/>
  <c r="V85" i="18" s="1"/>
  <c r="V88" i="18" s="1"/>
  <c r="V90" i="18" s="1"/>
  <c r="V92" i="18" s="1"/>
  <c r="T82" i="18"/>
  <c r="T85" i="18" s="1"/>
  <c r="T88" i="18" s="1"/>
  <c r="T90" i="18" s="1"/>
  <c r="T92" i="18" s="1"/>
  <c r="R82" i="18"/>
  <c r="R85" i="18" s="1"/>
  <c r="R88" i="18" s="1"/>
  <c r="P82" i="18"/>
  <c r="P85" i="18" s="1"/>
  <c r="P88" i="18" s="1"/>
  <c r="P90" i="18" s="1"/>
  <c r="P92" i="18" s="1"/>
  <c r="P95" i="18" s="1"/>
  <c r="I82" i="18"/>
  <c r="G82" i="18"/>
  <c r="E82" i="18"/>
  <c r="C82" i="18"/>
  <c r="G81" i="18"/>
  <c r="G85" i="18" s="1"/>
  <c r="G88" i="18" s="1"/>
  <c r="G90" i="18" s="1"/>
  <c r="G92" i="18" s="1"/>
  <c r="G95" i="18" s="1"/>
  <c r="G178" i="18" s="1"/>
  <c r="E81" i="18"/>
  <c r="E85" i="18" s="1"/>
  <c r="E88" i="18" s="1"/>
  <c r="E90" i="18" s="1"/>
  <c r="E92" i="18" s="1"/>
  <c r="E95" i="18" s="1"/>
  <c r="E178" i="18" s="1"/>
  <c r="C81" i="18"/>
  <c r="C85" i="18" s="1"/>
  <c r="C88" i="18" s="1"/>
  <c r="C90" i="18" s="1"/>
  <c r="C92" i="18" s="1"/>
  <c r="C95" i="18" s="1"/>
  <c r="C178" i="18" s="1"/>
  <c r="X80" i="18"/>
  <c r="Z80" i="18" s="1"/>
  <c r="Y73" i="18"/>
  <c r="W73" i="18"/>
  <c r="R73" i="18"/>
  <c r="P73" i="18"/>
  <c r="O73" i="18"/>
  <c r="N73" i="18"/>
  <c r="L73" i="18"/>
  <c r="M73" i="18" s="1"/>
  <c r="I73" i="18"/>
  <c r="H73" i="18" s="1"/>
  <c r="F73" i="18"/>
  <c r="D73" i="18"/>
  <c r="R69" i="18"/>
  <c r="P69" i="18"/>
  <c r="N69" i="18"/>
  <c r="L69" i="18"/>
  <c r="I69" i="18"/>
  <c r="G69" i="18"/>
  <c r="C69" i="18"/>
  <c r="V66" i="18"/>
  <c r="V68" i="18" s="1"/>
  <c r="L66" i="18"/>
  <c r="I66" i="18"/>
  <c r="G66" i="18"/>
  <c r="E66" i="18"/>
  <c r="C66" i="18"/>
  <c r="Z64" i="18"/>
  <c r="AA64" i="18" s="1"/>
  <c r="AB64" i="18" s="1"/>
  <c r="AC64" i="18" s="1"/>
  <c r="V64" i="18"/>
  <c r="T64" i="18"/>
  <c r="R64" i="18"/>
  <c r="P64" i="18"/>
  <c r="P65" i="18" s="1"/>
  <c r="P68" i="18" s="1"/>
  <c r="P70" i="18" s="1"/>
  <c r="P72" i="18" s="1"/>
  <c r="P75" i="18" s="1"/>
  <c r="P177" i="18" s="1"/>
  <c r="N64" i="18"/>
  <c r="I64" i="18"/>
  <c r="G64" i="18"/>
  <c r="X62" i="18"/>
  <c r="X65" i="18" s="1"/>
  <c r="X68" i="18" s="1"/>
  <c r="V62" i="18"/>
  <c r="V65" i="18" s="1"/>
  <c r="R62" i="18"/>
  <c r="P62" i="18"/>
  <c r="N62" i="18"/>
  <c r="N65" i="18" s="1"/>
  <c r="N68" i="18" s="1"/>
  <c r="N70" i="18" s="1"/>
  <c r="N72" i="18" s="1"/>
  <c r="N75" i="18" s="1"/>
  <c r="N177" i="18" s="1"/>
  <c r="L62" i="18"/>
  <c r="L65" i="18" s="1"/>
  <c r="I62" i="18"/>
  <c r="I65" i="18" s="1"/>
  <c r="I68" i="18" s="1"/>
  <c r="I70" i="18" s="1"/>
  <c r="I72" i="18" s="1"/>
  <c r="I75" i="18" s="1"/>
  <c r="I177" i="18" s="1"/>
  <c r="G62" i="18"/>
  <c r="E62" i="18"/>
  <c r="E65" i="18" s="1"/>
  <c r="E68" i="18" s="1"/>
  <c r="E70" i="18" s="1"/>
  <c r="E72" i="18" s="1"/>
  <c r="E75" i="18" s="1"/>
  <c r="E177" i="18" s="1"/>
  <c r="C62" i="18"/>
  <c r="C65" i="18" s="1"/>
  <c r="Z60" i="18"/>
  <c r="T60" i="18"/>
  <c r="T62" i="18" s="1"/>
  <c r="T65" i="18" s="1"/>
  <c r="T68" i="18" s="1"/>
  <c r="R60" i="18"/>
  <c r="Z59" i="18"/>
  <c r="Z57" i="18"/>
  <c r="AA57" i="18" s="1"/>
  <c r="AC55" i="18"/>
  <c r="AB55" i="18"/>
  <c r="Y51" i="18"/>
  <c r="W51" i="18"/>
  <c r="P51" i="18"/>
  <c r="N51" i="18"/>
  <c r="M51" i="18" s="1"/>
  <c r="L51" i="18"/>
  <c r="I51" i="18"/>
  <c r="H51" i="18" s="1"/>
  <c r="E51" i="18"/>
  <c r="F51" i="18" s="1"/>
  <c r="C51" i="18"/>
  <c r="D51" i="18" s="1"/>
  <c r="X47" i="18"/>
  <c r="Z47" i="18" s="1"/>
  <c r="AA47" i="18" s="1"/>
  <c r="AB47" i="18" s="1"/>
  <c r="AC47" i="18" s="1"/>
  <c r="T47" i="18"/>
  <c r="R47" i="18"/>
  <c r="P47" i="18"/>
  <c r="N47" i="18"/>
  <c r="L47" i="18"/>
  <c r="I47" i="18"/>
  <c r="G47" i="18"/>
  <c r="E47" i="18"/>
  <c r="C47" i="18"/>
  <c r="R46" i="18"/>
  <c r="R48" i="18" s="1"/>
  <c r="R50" i="18" s="1"/>
  <c r="I46" i="18"/>
  <c r="I48" i="18" s="1"/>
  <c r="I50" i="18" s="1"/>
  <c r="G46" i="18"/>
  <c r="G48" i="18" s="1"/>
  <c r="G50" i="18" s="1"/>
  <c r="G53" i="18" s="1"/>
  <c r="G176" i="18" s="1"/>
  <c r="E46" i="18"/>
  <c r="E48" i="18" s="1"/>
  <c r="E50" i="18" s="1"/>
  <c r="E53" i="18" s="1"/>
  <c r="E176" i="18" s="1"/>
  <c r="C46" i="18"/>
  <c r="Z45" i="18"/>
  <c r="V45" i="18"/>
  <c r="V46" i="18" s="1"/>
  <c r="T45" i="18"/>
  <c r="T46" i="18" s="1"/>
  <c r="P45" i="18"/>
  <c r="P46" i="18" s="1"/>
  <c r="P48" i="18" s="1"/>
  <c r="P50" i="18" s="1"/>
  <c r="N45" i="18"/>
  <c r="N46" i="18" s="1"/>
  <c r="N48" i="18" s="1"/>
  <c r="N50" i="18" s="1"/>
  <c r="L45" i="18"/>
  <c r="L46" i="18" s="1"/>
  <c r="L48" i="18" s="1"/>
  <c r="L50" i="18" s="1"/>
  <c r="L53" i="18" s="1"/>
  <c r="L176" i="18" s="1"/>
  <c r="I45" i="18"/>
  <c r="Z42" i="18"/>
  <c r="AC41" i="18"/>
  <c r="AB41" i="18"/>
  <c r="AA41" i="18"/>
  <c r="Z41" i="18"/>
  <c r="AC40" i="18"/>
  <c r="AB40" i="18"/>
  <c r="AA40" i="18"/>
  <c r="Z40" i="18"/>
  <c r="AC39" i="18"/>
  <c r="AB39" i="18"/>
  <c r="AA39" i="18"/>
  <c r="Z39" i="18"/>
  <c r="X39" i="18"/>
  <c r="X46" i="18" s="1"/>
  <c r="X48" i="18" s="1"/>
  <c r="X50" i="18" s="1"/>
  <c r="AC34" i="18"/>
  <c r="AB34" i="18"/>
  <c r="V30" i="18"/>
  <c r="X30" i="18" s="1"/>
  <c r="Z30" i="18" s="1"/>
  <c r="AA30" i="18" s="1"/>
  <c r="AB30" i="18" s="1"/>
  <c r="AC30" i="18" s="1"/>
  <c r="T30" i="18"/>
  <c r="R30" i="18"/>
  <c r="Q30" i="18" s="1"/>
  <c r="P30" i="18"/>
  <c r="N30" i="18"/>
  <c r="E29" i="18"/>
  <c r="E32" i="18" s="1"/>
  <c r="E174" i="18" s="1"/>
  <c r="I26" i="18"/>
  <c r="G26" i="18"/>
  <c r="C26" i="18"/>
  <c r="V25" i="18"/>
  <c r="X22" i="18"/>
  <c r="X24" i="18" s="1"/>
  <c r="V22" i="18"/>
  <c r="V24" i="18" s="1"/>
  <c r="I22" i="18"/>
  <c r="I24" i="18" s="1"/>
  <c r="I27" i="18" s="1"/>
  <c r="I29" i="18" s="1"/>
  <c r="I30" i="18" s="1"/>
  <c r="H30" i="18" s="1"/>
  <c r="G22" i="18"/>
  <c r="G24" i="18" s="1"/>
  <c r="E22" i="18"/>
  <c r="E24" i="18" s="1"/>
  <c r="E26" i="18" s="1"/>
  <c r="C22" i="18"/>
  <c r="C24" i="18" s="1"/>
  <c r="C27" i="18" s="1"/>
  <c r="C29" i="18" s="1"/>
  <c r="C32" i="18" s="1"/>
  <c r="C174" i="18" s="1"/>
  <c r="Z21" i="18"/>
  <c r="AA21" i="18" s="1"/>
  <c r="AB21" i="18" s="1"/>
  <c r="AC21" i="18" s="1"/>
  <c r="T21" i="18"/>
  <c r="R21" i="18"/>
  <c r="P21" i="18"/>
  <c r="P22" i="18" s="1"/>
  <c r="P24" i="18" s="1"/>
  <c r="N21" i="18"/>
  <c r="L21" i="18"/>
  <c r="Z20" i="18"/>
  <c r="AA20" i="18" s="1"/>
  <c r="T20" i="18"/>
  <c r="R20" i="18"/>
  <c r="R22" i="18" s="1"/>
  <c r="R24" i="18" s="1"/>
  <c r="P20" i="18"/>
  <c r="N20" i="18"/>
  <c r="L20" i="18"/>
  <c r="L22" i="18" s="1"/>
  <c r="L24" i="18" s="1"/>
  <c r="AA19" i="18"/>
  <c r="AA42" i="18" s="1"/>
  <c r="Z19" i="18"/>
  <c r="Z13" i="18"/>
  <c r="AA13" i="18" s="1"/>
  <c r="V7" i="18"/>
  <c r="X7" i="18" s="1"/>
  <c r="Z7" i="18" s="1"/>
  <c r="AA7" i="18" s="1"/>
  <c r="AB7" i="18" s="1"/>
  <c r="AC7" i="18" s="1"/>
  <c r="X6" i="18"/>
  <c r="Z6" i="18" s="1"/>
  <c r="AA6" i="18" s="1"/>
  <c r="AB6" i="18" s="1"/>
  <c r="AC6" i="18" s="1"/>
  <c r="V6" i="18"/>
  <c r="V5" i="18"/>
  <c r="X5" i="18" s="1"/>
  <c r="Z5" i="18" s="1"/>
  <c r="AA5" i="18" s="1"/>
  <c r="AB5" i="18" s="1"/>
  <c r="AC5" i="18" s="1"/>
  <c r="Z3" i="18"/>
  <c r="AB3" i="18" s="1"/>
  <c r="Q145" i="18" l="1"/>
  <c r="V26" i="18"/>
  <c r="V27" i="18" s="1"/>
  <c r="V29" i="18" s="1"/>
  <c r="V32" i="18" s="1"/>
  <c r="V174" i="18" s="1"/>
  <c r="Z62" i="18"/>
  <c r="Z65" i="18" s="1"/>
  <c r="Z68" i="18" s="1"/>
  <c r="S30" i="18"/>
  <c r="I53" i="18"/>
  <c r="I176" i="18" s="1"/>
  <c r="I81" i="18"/>
  <c r="I85" i="18" s="1"/>
  <c r="I88" i="18" s="1"/>
  <c r="I90" i="18" s="1"/>
  <c r="I92" i="18" s="1"/>
  <c r="I95" i="18" s="1"/>
  <c r="I178" i="18" s="1"/>
  <c r="K93" i="18"/>
  <c r="S128" i="18"/>
  <c r="G144" i="18"/>
  <c r="G147" i="18" s="1"/>
  <c r="G185" i="18" s="1"/>
  <c r="U30" i="18"/>
  <c r="P53" i="18"/>
  <c r="P176" i="18" s="1"/>
  <c r="C48" i="18"/>
  <c r="C50" i="18" s="1"/>
  <c r="C53" i="18" s="1"/>
  <c r="C176" i="18" s="1"/>
  <c r="C181" i="18" s="1"/>
  <c r="Z61" i="18"/>
  <c r="S108" i="18"/>
  <c r="T111" i="18"/>
  <c r="T179" i="18" s="1"/>
  <c r="T140" i="18"/>
  <c r="T142" i="18" s="1"/>
  <c r="T144" i="18" s="1"/>
  <c r="T145" i="18" s="1"/>
  <c r="S145" i="18" s="1"/>
  <c r="AC3" i="18"/>
  <c r="N53" i="18"/>
  <c r="N176" i="18" s="1"/>
  <c r="K51" i="18"/>
  <c r="AA59" i="18"/>
  <c r="K108" i="18"/>
  <c r="C111" i="18"/>
  <c r="C179" i="18" s="1"/>
  <c r="L122" i="18"/>
  <c r="L124" i="18" s="1"/>
  <c r="AB13" i="18"/>
  <c r="N22" i="18"/>
  <c r="N24" i="18" s="1"/>
  <c r="N26" i="18" s="1"/>
  <c r="N27" i="18" s="1"/>
  <c r="N29" i="18" s="1"/>
  <c r="N32" i="18" s="1"/>
  <c r="N174" i="18" s="1"/>
  <c r="N181" i="18" s="1"/>
  <c r="O30" i="18"/>
  <c r="AB59" i="18"/>
  <c r="R65" i="18"/>
  <c r="R68" i="18" s="1"/>
  <c r="R70" i="18" s="1"/>
  <c r="R72" i="18" s="1"/>
  <c r="R75" i="18" s="1"/>
  <c r="R177" i="18" s="1"/>
  <c r="Q73" i="18"/>
  <c r="C127" i="18"/>
  <c r="Z128" i="18"/>
  <c r="AA128" i="18" s="1"/>
  <c r="AB128" i="18" s="1"/>
  <c r="AC128" i="18" s="1"/>
  <c r="T22" i="18"/>
  <c r="T24" i="18" s="1"/>
  <c r="G27" i="18"/>
  <c r="G29" i="18" s="1"/>
  <c r="G32" i="18" s="1"/>
  <c r="G174" i="18" s="1"/>
  <c r="G181" i="18" s="1"/>
  <c r="Z37" i="18"/>
  <c r="AA37" i="18" s="1"/>
  <c r="T48" i="18"/>
  <c r="T50" i="18" s="1"/>
  <c r="C68" i="18"/>
  <c r="C70" i="18" s="1"/>
  <c r="C72" i="18" s="1"/>
  <c r="C75" i="18" s="1"/>
  <c r="C177" i="18" s="1"/>
  <c r="L68" i="18"/>
  <c r="L70" i="18" s="1"/>
  <c r="L72" i="18" s="1"/>
  <c r="L75" i="18" s="1"/>
  <c r="L177" i="18" s="1"/>
  <c r="L181" i="18" s="1"/>
  <c r="M108" i="18"/>
  <c r="I111" i="18"/>
  <c r="I179" i="18" s="1"/>
  <c r="G165" i="18"/>
  <c r="G186" i="18" s="1"/>
  <c r="P165" i="18"/>
  <c r="P186" i="18" s="1"/>
  <c r="D163" i="18"/>
  <c r="M163" i="18"/>
  <c r="P26" i="18"/>
  <c r="P27" i="18"/>
  <c r="P29" i="18" s="1"/>
  <c r="P32" i="18" s="1"/>
  <c r="P174" i="18" s="1"/>
  <c r="V93" i="18"/>
  <c r="V95" i="18" s="1"/>
  <c r="V178" i="18" s="1"/>
  <c r="O51" i="18"/>
  <c r="R51" i="18"/>
  <c r="Q51" i="18" s="1"/>
  <c r="V69" i="18"/>
  <c r="X69" i="18" s="1"/>
  <c r="Z69" i="18" s="1"/>
  <c r="AA69" i="18" s="1"/>
  <c r="AB69" i="18" s="1"/>
  <c r="AC69" i="18" s="1"/>
  <c r="T93" i="18"/>
  <c r="S93" i="18" s="1"/>
  <c r="P178" i="18"/>
  <c r="O93" i="18"/>
  <c r="V163" i="18"/>
  <c r="AB37" i="18"/>
  <c r="Z70" i="18"/>
  <c r="Z72" i="18" s="1"/>
  <c r="L26" i="18"/>
  <c r="L27" i="18" s="1"/>
  <c r="L29" i="18" s="1"/>
  <c r="L30" i="18" s="1"/>
  <c r="R26" i="18"/>
  <c r="R27" i="18" s="1"/>
  <c r="R29" i="18" s="1"/>
  <c r="R32" i="18" s="1"/>
  <c r="R174" i="18" s="1"/>
  <c r="T26" i="18"/>
  <c r="T27" i="18"/>
  <c r="T29" i="18" s="1"/>
  <c r="T32" i="18" s="1"/>
  <c r="T174" i="18" s="1"/>
  <c r="T51" i="18"/>
  <c r="T53" i="18" s="1"/>
  <c r="T176" i="18" s="1"/>
  <c r="V47" i="18"/>
  <c r="V48" i="18"/>
  <c r="V50" i="18" s="1"/>
  <c r="T69" i="18"/>
  <c r="T70" i="18" s="1"/>
  <c r="T72" i="18" s="1"/>
  <c r="U108" i="18"/>
  <c r="V111" i="18"/>
  <c r="V179" i="18" s="1"/>
  <c r="X108" i="18"/>
  <c r="Z85" i="18"/>
  <c r="Z88" i="18" s="1"/>
  <c r="Z90" i="18" s="1"/>
  <c r="Z92" i="18" s="1"/>
  <c r="AA80" i="18"/>
  <c r="AB20" i="18"/>
  <c r="AA22" i="18"/>
  <c r="AA24" i="18" s="1"/>
  <c r="N126" i="18"/>
  <c r="N127" i="18" s="1"/>
  <c r="N128" i="18" s="1"/>
  <c r="AA3" i="18"/>
  <c r="AA45" i="18"/>
  <c r="AC59" i="18"/>
  <c r="X101" i="18"/>
  <c r="Z101" i="18" s="1"/>
  <c r="AA101" i="18" s="1"/>
  <c r="AB101" i="18" s="1"/>
  <c r="AC101" i="18" s="1"/>
  <c r="V126" i="18"/>
  <c r="X126" i="18" s="1"/>
  <c r="Z126" i="18" s="1"/>
  <c r="AA126" i="18" s="1"/>
  <c r="AB126" i="18" s="1"/>
  <c r="AC126" i="18" s="1"/>
  <c r="C147" i="18"/>
  <c r="C185" i="18" s="1"/>
  <c r="C189" i="18" s="1"/>
  <c r="M145" i="18"/>
  <c r="T165" i="18"/>
  <c r="T186" i="18" s="1"/>
  <c r="Z122" i="18"/>
  <c r="Z124" i="18" s="1"/>
  <c r="Z127" i="18" s="1"/>
  <c r="Z130" i="18" s="1"/>
  <c r="Z184" i="18" s="1"/>
  <c r="L14" i="19" s="1"/>
  <c r="AA117" i="18"/>
  <c r="K73" i="18"/>
  <c r="X85" i="18"/>
  <c r="X88" i="18" s="1"/>
  <c r="X90" i="18" s="1"/>
  <c r="X92" i="18" s="1"/>
  <c r="O108" i="18"/>
  <c r="I189" i="18"/>
  <c r="Z22" i="18"/>
  <c r="Z24" i="18" s="1"/>
  <c r="G127" i="18"/>
  <c r="G130" i="18" s="1"/>
  <c r="G184" i="18" s="1"/>
  <c r="L147" i="18"/>
  <c r="L185" i="18" s="1"/>
  <c r="L189" i="18" s="1"/>
  <c r="L191" i="18" s="1"/>
  <c r="Q108" i="18"/>
  <c r="E111" i="18"/>
  <c r="E179" i="18" s="1"/>
  <c r="E181" i="18" s="1"/>
  <c r="I181" i="18"/>
  <c r="N189" i="18"/>
  <c r="AB19" i="18"/>
  <c r="Z137" i="18"/>
  <c r="Z140" i="18" s="1"/>
  <c r="Z142" i="18" s="1"/>
  <c r="Z144" i="18" s="1"/>
  <c r="AA119" i="18"/>
  <c r="T147" i="18"/>
  <c r="T185" i="18" s="1"/>
  <c r="V145" i="18"/>
  <c r="G65" i="18"/>
  <c r="G68" i="18" s="1"/>
  <c r="G70" i="18" s="1"/>
  <c r="G72" i="18" s="1"/>
  <c r="G75" i="18" s="1"/>
  <c r="G177" i="18" s="1"/>
  <c r="P185" i="18"/>
  <c r="P121" i="18"/>
  <c r="P122" i="18" s="1"/>
  <c r="P124" i="18" s="1"/>
  <c r="R126" i="18"/>
  <c r="R127" i="18"/>
  <c r="R130" i="18" s="1"/>
  <c r="R184" i="18" s="1"/>
  <c r="R189" i="18" s="1"/>
  <c r="E189" i="18"/>
  <c r="U128" i="18"/>
  <c r="D145" i="18"/>
  <c r="F163" i="18"/>
  <c r="O163" i="18"/>
  <c r="AA152" i="18"/>
  <c r="T127" i="18"/>
  <c r="T130" i="18" s="1"/>
  <c r="T184" i="18" s="1"/>
  <c r="C191" i="18" l="1"/>
  <c r="C193" i="18" s="1"/>
  <c r="P181" i="18"/>
  <c r="AC13" i="18"/>
  <c r="G189" i="18"/>
  <c r="X26" i="18"/>
  <c r="Z26" i="18" s="1"/>
  <c r="AA26" i="18" s="1"/>
  <c r="AB26" i="18" s="1"/>
  <c r="AC26" i="18" s="1"/>
  <c r="R53" i="18"/>
  <c r="R176" i="18" s="1"/>
  <c r="R181" i="18" s="1"/>
  <c r="R191" i="18" s="1"/>
  <c r="L126" i="18"/>
  <c r="L127" i="18"/>
  <c r="L128" i="18" s="1"/>
  <c r="K128" i="18" s="1"/>
  <c r="E191" i="18"/>
  <c r="E193" i="18" s="1"/>
  <c r="AA135" i="18"/>
  <c r="AB135" i="18" s="1"/>
  <c r="X70" i="18"/>
  <c r="X72" i="18" s="1"/>
  <c r="Z46" i="18"/>
  <c r="Z48" i="18" s="1"/>
  <c r="Z50" i="18" s="1"/>
  <c r="O128" i="18"/>
  <c r="M128" i="18"/>
  <c r="P126" i="18"/>
  <c r="P127" i="18" s="1"/>
  <c r="P130" i="18" s="1"/>
  <c r="P184" i="18" s="1"/>
  <c r="P189" i="18" s="1"/>
  <c r="T73" i="18"/>
  <c r="S73" i="18" s="1"/>
  <c r="L195" i="18"/>
  <c r="X145" i="18"/>
  <c r="U145" i="18"/>
  <c r="G191" i="18"/>
  <c r="T189" i="18"/>
  <c r="V147" i="18"/>
  <c r="V185" i="18" s="1"/>
  <c r="I191" i="18"/>
  <c r="AA27" i="18"/>
  <c r="AA29" i="18" s="1"/>
  <c r="AA32" i="18" s="1"/>
  <c r="AA174" i="18" s="1"/>
  <c r="M7" i="19" s="1"/>
  <c r="X27" i="18"/>
  <c r="X29" i="18" s="1"/>
  <c r="X32" i="18" s="1"/>
  <c r="X174" i="18" s="1"/>
  <c r="K7" i="19" s="1"/>
  <c r="AB45" i="18"/>
  <c r="AA46" i="18"/>
  <c r="AA48" i="18" s="1"/>
  <c r="AA50" i="18" s="1"/>
  <c r="AC20" i="18"/>
  <c r="AC22" i="18" s="1"/>
  <c r="AC24" i="18" s="1"/>
  <c r="AC27" i="18" s="1"/>
  <c r="AC29" i="18" s="1"/>
  <c r="AC32" i="18" s="1"/>
  <c r="AC174" i="18" s="1"/>
  <c r="O7" i="19" s="1"/>
  <c r="AB22" i="18"/>
  <c r="AB24" i="18" s="1"/>
  <c r="AB27" i="18" s="1"/>
  <c r="AB29" i="18" s="1"/>
  <c r="AB32" i="18" s="1"/>
  <c r="AB174" i="18" s="1"/>
  <c r="N7" i="19" s="1"/>
  <c r="X127" i="18"/>
  <c r="X130" i="18" s="1"/>
  <c r="AB80" i="18"/>
  <c r="AA85" i="18"/>
  <c r="AA88" i="18" s="1"/>
  <c r="AA90" i="18" s="1"/>
  <c r="AA92" i="18" s="1"/>
  <c r="AA95" i="18" s="1"/>
  <c r="AA178" i="18" s="1"/>
  <c r="V51" i="18"/>
  <c r="V53" i="18" s="1"/>
  <c r="V176" i="18" s="1"/>
  <c r="N191" i="18"/>
  <c r="U163" i="18"/>
  <c r="X163" i="18"/>
  <c r="V127" i="18"/>
  <c r="V130" i="18" s="1"/>
  <c r="V184" i="18" s="1"/>
  <c r="V165" i="18"/>
  <c r="V186" i="18" s="1"/>
  <c r="T95" i="18"/>
  <c r="T178" i="18" s="1"/>
  <c r="U93" i="18"/>
  <c r="X93" i="18"/>
  <c r="Z93" i="18" s="1"/>
  <c r="AA93" i="18" s="1"/>
  <c r="AB93" i="18" s="1"/>
  <c r="AC93" i="18" s="1"/>
  <c r="AA157" i="18"/>
  <c r="AA160" i="18" s="1"/>
  <c r="AA162" i="18" s="1"/>
  <c r="AB152" i="18"/>
  <c r="AA137" i="18"/>
  <c r="AB119" i="18"/>
  <c r="AA60" i="18"/>
  <c r="M30" i="18"/>
  <c r="K30" i="18"/>
  <c r="AB60" i="18"/>
  <c r="AC19" i="18"/>
  <c r="AB42" i="18"/>
  <c r="AC37" i="18" s="1"/>
  <c r="AA122" i="18"/>
  <c r="AA124" i="18" s="1"/>
  <c r="AA127" i="18" s="1"/>
  <c r="AA130" i="18" s="1"/>
  <c r="AA184" i="18" s="1"/>
  <c r="M14" i="19" s="1"/>
  <c r="AB117" i="18"/>
  <c r="Z108" i="18"/>
  <c r="X111" i="18"/>
  <c r="S51" i="18"/>
  <c r="V70" i="18"/>
  <c r="V72" i="18" s="1"/>
  <c r="J47" i="17"/>
  <c r="F47" i="17"/>
  <c r="X47" i="16"/>
  <c r="X39" i="16"/>
  <c r="Z95" i="18" l="1"/>
  <c r="Z178" i="18" s="1"/>
  <c r="D26" i="19"/>
  <c r="AA140" i="18"/>
  <c r="AA142" i="18" s="1"/>
  <c r="AA144" i="18" s="1"/>
  <c r="V189" i="18"/>
  <c r="Z27" i="18"/>
  <c r="Z29" i="18" s="1"/>
  <c r="Z32" i="18" s="1"/>
  <c r="Z174" i="18" s="1"/>
  <c r="L7" i="19" s="1"/>
  <c r="G193" i="18"/>
  <c r="X95" i="18"/>
  <c r="X178" i="18" s="1"/>
  <c r="I193" i="18"/>
  <c r="P191" i="18"/>
  <c r="P193" i="18" s="1"/>
  <c r="P195" i="18"/>
  <c r="AB57" i="18"/>
  <c r="AA61" i="18"/>
  <c r="AA62" i="18" s="1"/>
  <c r="AA65" i="18" s="1"/>
  <c r="AA68" i="18" s="1"/>
  <c r="AA70" i="18" s="1"/>
  <c r="AA72" i="18" s="1"/>
  <c r="AC42" i="18"/>
  <c r="AB137" i="18"/>
  <c r="AB140" i="18" s="1"/>
  <c r="AB142" i="18" s="1"/>
  <c r="AB144" i="18" s="1"/>
  <c r="AC119" i="18"/>
  <c r="AC137" i="18" s="1"/>
  <c r="L193" i="18"/>
  <c r="AC135" i="18"/>
  <c r="AC80" i="18"/>
  <c r="AC85" i="18" s="1"/>
  <c r="AC88" i="18" s="1"/>
  <c r="AC90" i="18" s="1"/>
  <c r="AC92" i="18" s="1"/>
  <c r="AC95" i="18" s="1"/>
  <c r="AC178" i="18" s="1"/>
  <c r="AB85" i="18"/>
  <c r="AB88" i="18" s="1"/>
  <c r="AB90" i="18" s="1"/>
  <c r="AB92" i="18" s="1"/>
  <c r="AB95" i="18" s="1"/>
  <c r="AB178" i="18" s="1"/>
  <c r="AB157" i="18"/>
  <c r="AB160" i="18" s="1"/>
  <c r="AB162" i="18" s="1"/>
  <c r="AC152" i="18"/>
  <c r="AC157" i="18" s="1"/>
  <c r="AC160" i="18" s="1"/>
  <c r="AC162" i="18" s="1"/>
  <c r="T75" i="18"/>
  <c r="T177" i="18" s="1"/>
  <c r="T181" i="18" s="1"/>
  <c r="T191" i="18" s="1"/>
  <c r="N195" i="18"/>
  <c r="N193" i="18"/>
  <c r="V73" i="18"/>
  <c r="V75" i="18" s="1"/>
  <c r="V177" i="18" s="1"/>
  <c r="V181" i="18" s="1"/>
  <c r="V191" i="18" s="1"/>
  <c r="AC45" i="18"/>
  <c r="AB46" i="18"/>
  <c r="AB48" i="18" s="1"/>
  <c r="AB50" i="18" s="1"/>
  <c r="X184" i="18"/>
  <c r="K14" i="19" s="1"/>
  <c r="AK130" i="18"/>
  <c r="X179" i="18"/>
  <c r="X113" i="18"/>
  <c r="Z163" i="18"/>
  <c r="X165" i="18"/>
  <c r="X186" i="18" s="1"/>
  <c r="K16" i="19" s="1"/>
  <c r="D33" i="19" s="1"/>
  <c r="AA108" i="18"/>
  <c r="Z111" i="18"/>
  <c r="Z179" i="18" s="1"/>
  <c r="AB122" i="18"/>
  <c r="AB124" i="18" s="1"/>
  <c r="AB127" i="18" s="1"/>
  <c r="AB130" i="18" s="1"/>
  <c r="AB184" i="18" s="1"/>
  <c r="N14" i="19" s="1"/>
  <c r="AC117" i="18"/>
  <c r="R195" i="18"/>
  <c r="X51" i="18"/>
  <c r="U51" i="18"/>
  <c r="Z145" i="18"/>
  <c r="X147" i="18"/>
  <c r="X185" i="18" s="1"/>
  <c r="K15" i="19" s="1"/>
  <c r="D30" i="19" s="1"/>
  <c r="N53" i="17"/>
  <c r="N50" i="17"/>
  <c r="D27" i="19" l="1"/>
  <c r="K17" i="19"/>
  <c r="R193" i="18"/>
  <c r="AC46" i="18"/>
  <c r="AC48" i="18" s="1"/>
  <c r="AC50" i="18" s="1"/>
  <c r="L10" i="19"/>
  <c r="K10" i="19"/>
  <c r="D32" i="19" s="1"/>
  <c r="V193" i="18"/>
  <c r="V195" i="18"/>
  <c r="AC122" i="18"/>
  <c r="AC124" i="18" s="1"/>
  <c r="AC127" i="18" s="1"/>
  <c r="AC130" i="18" s="1"/>
  <c r="AC184" i="18" s="1"/>
  <c r="O14" i="19" s="1"/>
  <c r="AC57" i="18"/>
  <c r="AB61" i="18"/>
  <c r="AB62" i="18" s="1"/>
  <c r="AB65" i="18" s="1"/>
  <c r="AB68" i="18" s="1"/>
  <c r="AB70" i="18" s="1"/>
  <c r="AB72" i="18" s="1"/>
  <c r="T193" i="18"/>
  <c r="T195" i="18"/>
  <c r="Z51" i="18"/>
  <c r="X53" i="18"/>
  <c r="X176" i="18" s="1"/>
  <c r="K8" i="19" s="1"/>
  <c r="AA145" i="18"/>
  <c r="Z147" i="18"/>
  <c r="Z185" i="18" s="1"/>
  <c r="L15" i="19" s="1"/>
  <c r="L17" i="19" s="1"/>
  <c r="AB108" i="18"/>
  <c r="AA111" i="18"/>
  <c r="AA179" i="18" s="1"/>
  <c r="M10" i="19" s="1"/>
  <c r="X189" i="18"/>
  <c r="AC60" i="18"/>
  <c r="AA163" i="18"/>
  <c r="Z165" i="18"/>
  <c r="Z186" i="18" s="1"/>
  <c r="L16" i="19" s="1"/>
  <c r="X73" i="18"/>
  <c r="U73" i="18"/>
  <c r="AC140" i="18"/>
  <c r="AC142" i="18" s="1"/>
  <c r="AC144" i="18" s="1"/>
  <c r="J53" i="17"/>
  <c r="I51" i="17"/>
  <c r="J50" i="17"/>
  <c r="F53" i="17"/>
  <c r="F51" i="17"/>
  <c r="F50" i="17"/>
  <c r="E26" i="17"/>
  <c r="D29" i="19" l="1"/>
  <c r="K11" i="19"/>
  <c r="K20" i="19" s="1"/>
  <c r="Z189" i="18"/>
  <c r="AB163" i="18"/>
  <c r="AA165" i="18"/>
  <c r="AA186" i="18" s="1"/>
  <c r="M16" i="19" s="1"/>
  <c r="AB145" i="18"/>
  <c r="AA147" i="18"/>
  <c r="AA185" i="18" s="1"/>
  <c r="AC61" i="18"/>
  <c r="AC62" i="18"/>
  <c r="AC65" i="18" s="1"/>
  <c r="AC68" i="18" s="1"/>
  <c r="AC70" i="18" s="1"/>
  <c r="AC72" i="18" s="1"/>
  <c r="X181" i="18"/>
  <c r="X191" i="18" s="1"/>
  <c r="AC108" i="18"/>
  <c r="AC111" i="18" s="1"/>
  <c r="AC179" i="18" s="1"/>
  <c r="O10" i="19" s="1"/>
  <c r="AB111" i="18"/>
  <c r="AB179" i="18" s="1"/>
  <c r="N10" i="19" s="1"/>
  <c r="AA51" i="18"/>
  <c r="Z53" i="18"/>
  <c r="Z176" i="18" s="1"/>
  <c r="L8" i="19" s="1"/>
  <c r="Z73" i="18"/>
  <c r="X75" i="18"/>
  <c r="X177" i="18" s="1"/>
  <c r="K9" i="19" s="1"/>
  <c r="D35" i="19" s="1"/>
  <c r="J51" i="17"/>
  <c r="N51" i="17"/>
  <c r="X80" i="13"/>
  <c r="D37" i="19" l="1"/>
  <c r="D38" i="19" s="1"/>
  <c r="AA189" i="18"/>
  <c r="M15" i="19"/>
  <c r="M17" i="19" s="1"/>
  <c r="AA73" i="18"/>
  <c r="Z75" i="18"/>
  <c r="Z177" i="18" s="1"/>
  <c r="AC145" i="18"/>
  <c r="AC147" i="18" s="1"/>
  <c r="AC185" i="18" s="1"/>
  <c r="O15" i="19" s="1"/>
  <c r="AB147" i="18"/>
  <c r="AB185" i="18" s="1"/>
  <c r="N15" i="19" s="1"/>
  <c r="N17" i="19" s="1"/>
  <c r="AB51" i="18"/>
  <c r="AA53" i="18"/>
  <c r="AA176" i="18" s="1"/>
  <c r="M8" i="19" s="1"/>
  <c r="X195" i="18"/>
  <c r="X193" i="18"/>
  <c r="AC163" i="18"/>
  <c r="AC165" i="18" s="1"/>
  <c r="AC186" i="18" s="1"/>
  <c r="O16" i="19" s="1"/>
  <c r="AB165" i="18"/>
  <c r="AB186" i="18" s="1"/>
  <c r="N16" i="19" s="1"/>
  <c r="X46" i="16"/>
  <c r="X48" i="16" s="1"/>
  <c r="O17" i="19" l="1"/>
  <c r="Z181" i="18"/>
  <c r="Z191" i="18" s="1"/>
  <c r="Z195" i="18" s="1"/>
  <c r="L9" i="19"/>
  <c r="L11" i="19" s="1"/>
  <c r="L20" i="19" s="1"/>
  <c r="AC51" i="18"/>
  <c r="AC53" i="18" s="1"/>
  <c r="AC176" i="18" s="1"/>
  <c r="O8" i="19" s="1"/>
  <c r="AB53" i="18"/>
  <c r="AB176" i="18" s="1"/>
  <c r="N8" i="19" s="1"/>
  <c r="AB189" i="18"/>
  <c r="AC189" i="18"/>
  <c r="AB73" i="18"/>
  <c r="AA75" i="18"/>
  <c r="AA177" i="18" s="1"/>
  <c r="W145" i="16"/>
  <c r="E27" i="17"/>
  <c r="O11" i="19" l="1"/>
  <c r="O20" i="19" s="1"/>
  <c r="Z193" i="18"/>
  <c r="AA181" i="18"/>
  <c r="AA191" i="18" s="1"/>
  <c r="AA195" i="18" s="1"/>
  <c r="M9" i="19"/>
  <c r="M11" i="19" s="1"/>
  <c r="M20" i="19" s="1"/>
  <c r="AA193" i="18"/>
  <c r="AC73" i="18"/>
  <c r="AC75" i="18" s="1"/>
  <c r="AC177" i="18" s="1"/>
  <c r="O9" i="19" s="1"/>
  <c r="AB75" i="18"/>
  <c r="AB177" i="18" s="1"/>
  <c r="AC181" i="18"/>
  <c r="AC191" i="18" s="1"/>
  <c r="X124" i="16"/>
  <c r="AB181" i="18" l="1"/>
  <c r="AB191" i="18" s="1"/>
  <c r="AC193" i="18" s="1"/>
  <c r="N9" i="19"/>
  <c r="N11" i="19" s="1"/>
  <c r="N20" i="19" s="1"/>
  <c r="AB193" i="18"/>
  <c r="AC195" i="18"/>
  <c r="AB195" i="18" l="1"/>
  <c r="L5" i="17"/>
  <c r="M5" i="17" s="1"/>
  <c r="N5" i="17" s="1"/>
  <c r="O5" i="17" s="1"/>
  <c r="N184" i="16"/>
  <c r="L184" i="16"/>
  <c r="I184" i="16"/>
  <c r="C184" i="16"/>
  <c r="L174" i="16"/>
  <c r="I174" i="16"/>
  <c r="AB172" i="16"/>
  <c r="AC172" i="16" s="1"/>
  <c r="Y163" i="16"/>
  <c r="W163" i="16"/>
  <c r="R163" i="16"/>
  <c r="P163" i="16"/>
  <c r="N163" i="16"/>
  <c r="L163" i="16"/>
  <c r="I163" i="16"/>
  <c r="G163" i="16"/>
  <c r="E163" i="16"/>
  <c r="C163" i="16"/>
  <c r="X157" i="16"/>
  <c r="X160" i="16" s="1"/>
  <c r="X162" i="16" s="1"/>
  <c r="V157" i="16"/>
  <c r="V160" i="16" s="1"/>
  <c r="V162" i="16" s="1"/>
  <c r="T157" i="16"/>
  <c r="T160" i="16" s="1"/>
  <c r="T162" i="16" s="1"/>
  <c r="R157" i="16"/>
  <c r="R160" i="16" s="1"/>
  <c r="R162" i="16" s="1"/>
  <c r="P157" i="16"/>
  <c r="P160" i="16" s="1"/>
  <c r="P162" i="16" s="1"/>
  <c r="P165" i="16" s="1"/>
  <c r="P186" i="16" s="1"/>
  <c r="N157" i="16"/>
  <c r="N160" i="16" s="1"/>
  <c r="N162" i="16" s="1"/>
  <c r="L157" i="16"/>
  <c r="L160" i="16" s="1"/>
  <c r="L162" i="16" s="1"/>
  <c r="I157" i="16"/>
  <c r="I160" i="16" s="1"/>
  <c r="I162" i="16" s="1"/>
  <c r="G157" i="16"/>
  <c r="G160" i="16" s="1"/>
  <c r="G162" i="16" s="1"/>
  <c r="E157" i="16"/>
  <c r="E160" i="16" s="1"/>
  <c r="E162" i="16" s="1"/>
  <c r="C157" i="16"/>
  <c r="C160" i="16" s="1"/>
  <c r="C162" i="16" s="1"/>
  <c r="Z154" i="16"/>
  <c r="AA154" i="16" s="1"/>
  <c r="AB154" i="16" s="1"/>
  <c r="AC154" i="16" s="1"/>
  <c r="Z152" i="16"/>
  <c r="Y145" i="16"/>
  <c r="R145" i="16"/>
  <c r="P145" i="16"/>
  <c r="N145" i="16"/>
  <c r="L145" i="16"/>
  <c r="I145" i="16"/>
  <c r="G145" i="16"/>
  <c r="E145" i="16"/>
  <c r="C145" i="16"/>
  <c r="G143" i="16"/>
  <c r="X140" i="16"/>
  <c r="X142" i="16" s="1"/>
  <c r="X144" i="16" s="1"/>
  <c r="V140" i="16"/>
  <c r="V142" i="16" s="1"/>
  <c r="V144" i="16" s="1"/>
  <c r="V145" i="16" s="1"/>
  <c r="L140" i="16"/>
  <c r="L142" i="16" s="1"/>
  <c r="L144" i="16" s="1"/>
  <c r="E140" i="16"/>
  <c r="E142" i="16" s="1"/>
  <c r="E144" i="16" s="1"/>
  <c r="C140" i="16"/>
  <c r="C142" i="16" s="1"/>
  <c r="C144" i="16" s="1"/>
  <c r="Z139" i="16"/>
  <c r="AA139" i="16" s="1"/>
  <c r="AB139" i="16" s="1"/>
  <c r="AC139" i="16" s="1"/>
  <c r="T139" i="16"/>
  <c r="R139" i="16"/>
  <c r="P139" i="16"/>
  <c r="P140" i="16" s="1"/>
  <c r="P142" i="16" s="1"/>
  <c r="P144" i="16" s="1"/>
  <c r="P147" i="16" s="1"/>
  <c r="N139" i="16"/>
  <c r="N140" i="16" s="1"/>
  <c r="N142" i="16" s="1"/>
  <c r="N144" i="16" s="1"/>
  <c r="N147" i="16" s="1"/>
  <c r="N185" i="16" s="1"/>
  <c r="I139" i="16"/>
  <c r="I140" i="16" s="1"/>
  <c r="I142" i="16" s="1"/>
  <c r="I144" i="16" s="1"/>
  <c r="G139" i="16"/>
  <c r="G140" i="16" s="1"/>
  <c r="G142" i="16" s="1"/>
  <c r="G144" i="16" s="1"/>
  <c r="T137" i="16"/>
  <c r="R137" i="16"/>
  <c r="T136" i="16"/>
  <c r="R136" i="16"/>
  <c r="Z135" i="16"/>
  <c r="AC132" i="16"/>
  <c r="AB132" i="16"/>
  <c r="E130" i="16"/>
  <c r="E184" i="16" s="1"/>
  <c r="Y128" i="16"/>
  <c r="W128" i="16"/>
  <c r="V128" i="16"/>
  <c r="X128" i="16" s="1"/>
  <c r="T128" i="16"/>
  <c r="R128" i="16"/>
  <c r="P128" i="16"/>
  <c r="F128" i="16"/>
  <c r="D128" i="16"/>
  <c r="I126" i="16"/>
  <c r="G126" i="16"/>
  <c r="C126" i="16"/>
  <c r="V125" i="16"/>
  <c r="V122" i="16"/>
  <c r="V124" i="16" s="1"/>
  <c r="I122" i="16"/>
  <c r="I124" i="16" s="1"/>
  <c r="E122" i="16"/>
  <c r="E124" i="16" s="1"/>
  <c r="E126" i="16" s="1"/>
  <c r="C122" i="16"/>
  <c r="C124" i="16" s="1"/>
  <c r="Z121" i="16"/>
  <c r="AA121" i="16" s="1"/>
  <c r="AB121" i="16" s="1"/>
  <c r="AC121" i="16" s="1"/>
  <c r="T121" i="16"/>
  <c r="N121" i="16"/>
  <c r="L121" i="16"/>
  <c r="G121" i="16"/>
  <c r="Z120" i="16"/>
  <c r="AA120" i="16" s="1"/>
  <c r="AB120" i="16" s="1"/>
  <c r="AC120" i="16" s="1"/>
  <c r="T120" i="16"/>
  <c r="R120" i="16"/>
  <c r="R122" i="16" s="1"/>
  <c r="R124" i="16" s="1"/>
  <c r="P120" i="16"/>
  <c r="N120" i="16"/>
  <c r="L120" i="16"/>
  <c r="G120" i="16"/>
  <c r="Z119" i="16"/>
  <c r="Z137" i="16" s="1"/>
  <c r="AC118" i="16"/>
  <c r="AC136" i="16" s="1"/>
  <c r="AB118" i="16"/>
  <c r="AB136" i="16" s="1"/>
  <c r="AA118" i="16"/>
  <c r="AA136" i="16" s="1"/>
  <c r="Z118" i="16"/>
  <c r="Z136" i="16" s="1"/>
  <c r="Z117" i="16"/>
  <c r="P117" i="16"/>
  <c r="P121" i="16" s="1"/>
  <c r="AC114" i="16"/>
  <c r="AB114" i="16"/>
  <c r="N111" i="16"/>
  <c r="N179" i="16" s="1"/>
  <c r="G111" i="16"/>
  <c r="G179" i="16" s="1"/>
  <c r="Y108" i="16"/>
  <c r="W108" i="16"/>
  <c r="T108" i="16"/>
  <c r="T111" i="16" s="1"/>
  <c r="T179" i="16" s="1"/>
  <c r="R108" i="16"/>
  <c r="P108" i="16"/>
  <c r="P111" i="16" s="1"/>
  <c r="P179" i="16" s="1"/>
  <c r="L108" i="16"/>
  <c r="L111" i="16" s="1"/>
  <c r="L179" i="16" s="1"/>
  <c r="I108" i="16"/>
  <c r="E108" i="16"/>
  <c r="E111" i="16" s="1"/>
  <c r="E179" i="16" s="1"/>
  <c r="C108" i="16"/>
  <c r="C111" i="16" s="1"/>
  <c r="C179" i="16" s="1"/>
  <c r="V101" i="16"/>
  <c r="V108" i="16" s="1"/>
  <c r="AC97" i="16"/>
  <c r="AB97" i="16"/>
  <c r="AA97" i="16"/>
  <c r="Z97" i="16"/>
  <c r="Y93" i="16"/>
  <c r="W93" i="16"/>
  <c r="R93" i="16"/>
  <c r="P93" i="16"/>
  <c r="M93" i="16"/>
  <c r="I93" i="16"/>
  <c r="K93" i="16" s="1"/>
  <c r="F93" i="16"/>
  <c r="D93" i="16"/>
  <c r="L90" i="16"/>
  <c r="L92" i="16" s="1"/>
  <c r="L95" i="16" s="1"/>
  <c r="L178" i="16" s="1"/>
  <c r="N85" i="16"/>
  <c r="N88" i="16" s="1"/>
  <c r="N90" i="16" s="1"/>
  <c r="N92" i="16" s="1"/>
  <c r="N95" i="16" s="1"/>
  <c r="N178" i="16" s="1"/>
  <c r="L85" i="16"/>
  <c r="AC82" i="16"/>
  <c r="AB82" i="16"/>
  <c r="AA82" i="16"/>
  <c r="Z82" i="16"/>
  <c r="X82" i="16"/>
  <c r="V82" i="16"/>
  <c r="V85" i="16" s="1"/>
  <c r="V88" i="16" s="1"/>
  <c r="V90" i="16" s="1"/>
  <c r="V92" i="16" s="1"/>
  <c r="T82" i="16"/>
  <c r="T85" i="16" s="1"/>
  <c r="T88" i="16" s="1"/>
  <c r="T90" i="16" s="1"/>
  <c r="T92" i="16" s="1"/>
  <c r="R82" i="16"/>
  <c r="R85" i="16" s="1"/>
  <c r="R88" i="16" s="1"/>
  <c r="R90" i="16" s="1"/>
  <c r="R92" i="16" s="1"/>
  <c r="P82" i="16"/>
  <c r="P85" i="16" s="1"/>
  <c r="P88" i="16" s="1"/>
  <c r="P90" i="16" s="1"/>
  <c r="P92" i="16" s="1"/>
  <c r="P95" i="16" s="1"/>
  <c r="I82" i="16"/>
  <c r="G82" i="16"/>
  <c r="E82" i="16"/>
  <c r="C82" i="16"/>
  <c r="G81" i="16"/>
  <c r="E81" i="16"/>
  <c r="C81" i="16"/>
  <c r="X80" i="16"/>
  <c r="Z80" i="16" s="1"/>
  <c r="AA80" i="16" s="1"/>
  <c r="Y73" i="16"/>
  <c r="W73" i="16"/>
  <c r="R73" i="16"/>
  <c r="P73" i="16"/>
  <c r="N73" i="16"/>
  <c r="L73" i="16"/>
  <c r="I73" i="16"/>
  <c r="I81" i="16" s="1"/>
  <c r="F73" i="16"/>
  <c r="D73" i="16"/>
  <c r="R69" i="16"/>
  <c r="P69" i="16"/>
  <c r="N69" i="16"/>
  <c r="L69" i="16"/>
  <c r="I69" i="16"/>
  <c r="G69" i="16"/>
  <c r="C69" i="16"/>
  <c r="L66" i="16"/>
  <c r="I66" i="16"/>
  <c r="G66" i="16"/>
  <c r="E66" i="16"/>
  <c r="C66" i="16"/>
  <c r="Z64" i="16"/>
  <c r="AA64" i="16" s="1"/>
  <c r="AB64" i="16" s="1"/>
  <c r="AC64" i="16" s="1"/>
  <c r="V64" i="16"/>
  <c r="T64" i="16"/>
  <c r="R64" i="16"/>
  <c r="N64" i="16"/>
  <c r="I64" i="16"/>
  <c r="G64" i="16"/>
  <c r="X62" i="16"/>
  <c r="X65" i="16" s="1"/>
  <c r="X68" i="16" s="1"/>
  <c r="V62" i="16"/>
  <c r="P62" i="16"/>
  <c r="P64" i="16" s="1"/>
  <c r="N62" i="16"/>
  <c r="N65" i="16" s="1"/>
  <c r="N68" i="16" s="1"/>
  <c r="N70" i="16" s="1"/>
  <c r="N72" i="16" s="1"/>
  <c r="N75" i="16" s="1"/>
  <c r="N177" i="16" s="1"/>
  <c r="L62" i="16"/>
  <c r="L65" i="16" s="1"/>
  <c r="L68" i="16" s="1"/>
  <c r="I62" i="16"/>
  <c r="G62" i="16"/>
  <c r="E62" i="16"/>
  <c r="E65" i="16" s="1"/>
  <c r="E68" i="16" s="1"/>
  <c r="E70" i="16" s="1"/>
  <c r="E72" i="16" s="1"/>
  <c r="E75" i="16" s="1"/>
  <c r="E177" i="16" s="1"/>
  <c r="C62" i="16"/>
  <c r="C65" i="16" s="1"/>
  <c r="C68" i="16" s="1"/>
  <c r="T60" i="16"/>
  <c r="T62" i="16" s="1"/>
  <c r="R60" i="16"/>
  <c r="R62" i="16" s="1"/>
  <c r="AC59" i="16"/>
  <c r="AB59" i="16"/>
  <c r="Z57" i="16"/>
  <c r="AC55" i="16"/>
  <c r="AB55" i="16"/>
  <c r="Y51" i="16"/>
  <c r="W51" i="16"/>
  <c r="P51" i="16"/>
  <c r="N51" i="16"/>
  <c r="L51" i="16"/>
  <c r="I51" i="16"/>
  <c r="H51" i="16"/>
  <c r="E51" i="16"/>
  <c r="F51" i="16" s="1"/>
  <c r="C51" i="16"/>
  <c r="Z47" i="16"/>
  <c r="AA47" i="16" s="1"/>
  <c r="AB47" i="16" s="1"/>
  <c r="AC47" i="16" s="1"/>
  <c r="T47" i="16"/>
  <c r="R47" i="16"/>
  <c r="P47" i="16"/>
  <c r="N47" i="16"/>
  <c r="L47" i="16"/>
  <c r="I47" i="16"/>
  <c r="G47" i="16"/>
  <c r="E47" i="16"/>
  <c r="C47" i="16"/>
  <c r="X50" i="16"/>
  <c r="R46" i="16"/>
  <c r="G46" i="16"/>
  <c r="E46" i="16"/>
  <c r="C46" i="16"/>
  <c r="Z45" i="16"/>
  <c r="V45" i="16"/>
  <c r="V46" i="16" s="1"/>
  <c r="V47" i="16" s="1"/>
  <c r="V48" i="16" s="1"/>
  <c r="V50" i="16" s="1"/>
  <c r="V51" i="16" s="1"/>
  <c r="T45" i="16"/>
  <c r="T46" i="16" s="1"/>
  <c r="P45" i="16"/>
  <c r="P46" i="16" s="1"/>
  <c r="N45" i="16"/>
  <c r="N46" i="16" s="1"/>
  <c r="L45" i="16"/>
  <c r="L46" i="16" s="1"/>
  <c r="I45" i="16"/>
  <c r="I46" i="16" s="1"/>
  <c r="AC41" i="16"/>
  <c r="AB41" i="16"/>
  <c r="AA41" i="16"/>
  <c r="Z41" i="16"/>
  <c r="AC40" i="16"/>
  <c r="AB40" i="16"/>
  <c r="AA40" i="16"/>
  <c r="Z40" i="16"/>
  <c r="AC39" i="16"/>
  <c r="AB39" i="16"/>
  <c r="AA39" i="16"/>
  <c r="Z39" i="16"/>
  <c r="Z37" i="16"/>
  <c r="AC34" i="16"/>
  <c r="AB34" i="16"/>
  <c r="V30" i="16"/>
  <c r="T30" i="16"/>
  <c r="R30" i="16"/>
  <c r="P30" i="16"/>
  <c r="N30" i="16"/>
  <c r="E29" i="16"/>
  <c r="E32" i="16" s="1"/>
  <c r="E174" i="16" s="1"/>
  <c r="I26" i="16"/>
  <c r="G26" i="16"/>
  <c r="C26" i="16"/>
  <c r="V25" i="16"/>
  <c r="X24" i="16"/>
  <c r="V22" i="16"/>
  <c r="V24" i="16" s="1"/>
  <c r="I22" i="16"/>
  <c r="I24" i="16" s="1"/>
  <c r="G22" i="16"/>
  <c r="G24" i="16" s="1"/>
  <c r="E22" i="16"/>
  <c r="E24" i="16" s="1"/>
  <c r="E26" i="16" s="1"/>
  <c r="C22" i="16"/>
  <c r="C24" i="16" s="1"/>
  <c r="Z21" i="16"/>
  <c r="AA21" i="16" s="1"/>
  <c r="AB21" i="16" s="1"/>
  <c r="AC21" i="16" s="1"/>
  <c r="T21" i="16"/>
  <c r="R21" i="16"/>
  <c r="P21" i="16"/>
  <c r="N21" i="16"/>
  <c r="L21" i="16"/>
  <c r="Z20" i="16"/>
  <c r="AA20" i="16" s="1"/>
  <c r="T20" i="16"/>
  <c r="R20" i="16"/>
  <c r="R22" i="16" s="1"/>
  <c r="R24" i="16" s="1"/>
  <c r="P20" i="16"/>
  <c r="N20" i="16"/>
  <c r="L20" i="16"/>
  <c r="Z19" i="16"/>
  <c r="Z13" i="16"/>
  <c r="V7" i="16"/>
  <c r="X7" i="16" s="1"/>
  <c r="Z7" i="16" s="1"/>
  <c r="AA7" i="16" s="1"/>
  <c r="AB7" i="16" s="1"/>
  <c r="AC7" i="16" s="1"/>
  <c r="V6" i="16"/>
  <c r="X6" i="16" s="1"/>
  <c r="Z6" i="16" s="1"/>
  <c r="AA6" i="16" s="1"/>
  <c r="AB6" i="16" s="1"/>
  <c r="AC6" i="16" s="1"/>
  <c r="V5" i="16"/>
  <c r="X5" i="16" s="1"/>
  <c r="Z5" i="16" s="1"/>
  <c r="AA5" i="16" s="1"/>
  <c r="AB5" i="16" s="1"/>
  <c r="AC5" i="16" s="1"/>
  <c r="Z3" i="16"/>
  <c r="Z60" i="16" l="1"/>
  <c r="I48" i="16"/>
  <c r="I50" i="16" s="1"/>
  <c r="I53" i="16" s="1"/>
  <c r="I176" i="16" s="1"/>
  <c r="L22" i="16"/>
  <c r="L24" i="16" s="1"/>
  <c r="R48" i="16"/>
  <c r="R50" i="16" s="1"/>
  <c r="R51" i="16" s="1"/>
  <c r="Q51" i="16" s="1"/>
  <c r="D51" i="16"/>
  <c r="I127" i="16"/>
  <c r="I128" i="16" s="1"/>
  <c r="H128" i="16" s="1"/>
  <c r="F145" i="16"/>
  <c r="N122" i="16"/>
  <c r="N124" i="16" s="1"/>
  <c r="I27" i="16"/>
  <c r="I29" i="16" s="1"/>
  <c r="I30" i="16" s="1"/>
  <c r="H30" i="16" s="1"/>
  <c r="R65" i="16"/>
  <c r="R68" i="16" s="1"/>
  <c r="R70" i="16" s="1"/>
  <c r="R72" i="16" s="1"/>
  <c r="R75" i="16" s="1"/>
  <c r="R177" i="16" s="1"/>
  <c r="I85" i="16"/>
  <c r="I88" i="16" s="1"/>
  <c r="I90" i="16" s="1"/>
  <c r="I92" i="16" s="1"/>
  <c r="I95" i="16" s="1"/>
  <c r="I178" i="16" s="1"/>
  <c r="R95" i="16"/>
  <c r="R178" i="16" s="1"/>
  <c r="C147" i="16"/>
  <c r="C185" i="16" s="1"/>
  <c r="C189" i="16" s="1"/>
  <c r="C127" i="16"/>
  <c r="G165" i="16"/>
  <c r="G186" i="16" s="1"/>
  <c r="E48" i="16"/>
  <c r="E50" i="16" s="1"/>
  <c r="E53" i="16" s="1"/>
  <c r="E176" i="16" s="1"/>
  <c r="G48" i="16"/>
  <c r="G50" i="16" s="1"/>
  <c r="G53" i="16" s="1"/>
  <c r="G176" i="16" s="1"/>
  <c r="H93" i="16"/>
  <c r="G65" i="16"/>
  <c r="G68" i="16" s="1"/>
  <c r="G70" i="16" s="1"/>
  <c r="G72" i="16" s="1"/>
  <c r="G75" i="16" s="1"/>
  <c r="G177" i="16" s="1"/>
  <c r="I165" i="16"/>
  <c r="I186" i="16" s="1"/>
  <c r="AA59" i="16"/>
  <c r="I65" i="16"/>
  <c r="I68" i="16" s="1"/>
  <c r="I70" i="16" s="1"/>
  <c r="I72" i="16" s="1"/>
  <c r="I75" i="16" s="1"/>
  <c r="I177" i="16" s="1"/>
  <c r="G122" i="16"/>
  <c r="G124" i="16" s="1"/>
  <c r="G127" i="16" s="1"/>
  <c r="G130" i="16" s="1"/>
  <c r="G184" i="16" s="1"/>
  <c r="R140" i="16"/>
  <c r="R142" i="16" s="1"/>
  <c r="R144" i="16" s="1"/>
  <c r="R147" i="16" s="1"/>
  <c r="R185" i="16" s="1"/>
  <c r="L165" i="16"/>
  <c r="L186" i="16" s="1"/>
  <c r="AA13" i="16"/>
  <c r="G27" i="16"/>
  <c r="G29" i="16" s="1"/>
  <c r="G32" i="16" s="1"/>
  <c r="G174" i="16" s="1"/>
  <c r="P48" i="16"/>
  <c r="P50" i="16" s="1"/>
  <c r="P53" i="16" s="1"/>
  <c r="P176" i="16" s="1"/>
  <c r="L70" i="16"/>
  <c r="L72" i="16" s="1"/>
  <c r="L75" i="16" s="1"/>
  <c r="L177" i="16" s="1"/>
  <c r="L122" i="16"/>
  <c r="L124" i="16" s="1"/>
  <c r="Z128" i="16"/>
  <c r="AA128" i="16" s="1"/>
  <c r="AB128" i="16" s="1"/>
  <c r="AC128" i="16" s="1"/>
  <c r="D145" i="16"/>
  <c r="H163" i="16"/>
  <c r="R165" i="16"/>
  <c r="R186" i="16" s="1"/>
  <c r="C85" i="16"/>
  <c r="C88" i="16" s="1"/>
  <c r="C90" i="16" s="1"/>
  <c r="C92" i="16" s="1"/>
  <c r="C95" i="16" s="1"/>
  <c r="C178" i="16" s="1"/>
  <c r="U108" i="16"/>
  <c r="N22" i="16"/>
  <c r="N24" i="16" s="1"/>
  <c r="N26" i="16" s="1"/>
  <c r="T65" i="16"/>
  <c r="T68" i="16" s="1"/>
  <c r="G147" i="16"/>
  <c r="G185" i="16" s="1"/>
  <c r="E147" i="16"/>
  <c r="E185" i="16" s="1"/>
  <c r="C165" i="16"/>
  <c r="C186" i="16" s="1"/>
  <c r="P22" i="16"/>
  <c r="P24" i="16" s="1"/>
  <c r="P26" i="16" s="1"/>
  <c r="P27" i="16" s="1"/>
  <c r="P29" i="16" s="1"/>
  <c r="P32" i="16" s="1"/>
  <c r="P174" i="16" s="1"/>
  <c r="C70" i="16"/>
  <c r="C72" i="16" s="1"/>
  <c r="C75" i="16" s="1"/>
  <c r="C177" i="16" s="1"/>
  <c r="O73" i="16"/>
  <c r="T122" i="16"/>
  <c r="T124" i="16" s="1"/>
  <c r="T126" i="16" s="1"/>
  <c r="T127" i="16" s="1"/>
  <c r="T130" i="16" s="1"/>
  <c r="T184" i="16" s="1"/>
  <c r="I147" i="16"/>
  <c r="I185" i="16" s="1"/>
  <c r="E165" i="16"/>
  <c r="E186" i="16" s="1"/>
  <c r="Q163" i="16"/>
  <c r="X30" i="16"/>
  <c r="Z30" i="16" s="1"/>
  <c r="AA30" i="16" s="1"/>
  <c r="AB30" i="16" s="1"/>
  <c r="AC30" i="16" s="1"/>
  <c r="C27" i="16"/>
  <c r="C29" i="16" s="1"/>
  <c r="C32" i="16" s="1"/>
  <c r="C174" i="16" s="1"/>
  <c r="L48" i="16"/>
  <c r="L50" i="16" s="1"/>
  <c r="L53" i="16" s="1"/>
  <c r="L176" i="16" s="1"/>
  <c r="V26" i="16"/>
  <c r="X26" i="16" s="1"/>
  <c r="Z26" i="16" s="1"/>
  <c r="AA26" i="16" s="1"/>
  <c r="AA85" i="16"/>
  <c r="AA88" i="16" s="1"/>
  <c r="AA90" i="16" s="1"/>
  <c r="AA92" i="16" s="1"/>
  <c r="AB80" i="16"/>
  <c r="AA19" i="16"/>
  <c r="AB13" i="16" s="1"/>
  <c r="T22" i="16"/>
  <c r="T24" i="16" s="1"/>
  <c r="T26" i="16" s="1"/>
  <c r="T27" i="16" s="1"/>
  <c r="T29" i="16" s="1"/>
  <c r="T32" i="16" s="1"/>
  <c r="T174" i="16" s="1"/>
  <c r="Q30" i="16"/>
  <c r="Z42" i="16"/>
  <c r="AA37" i="16" s="1"/>
  <c r="K51" i="16"/>
  <c r="V65" i="16"/>
  <c r="V66" i="16" s="1"/>
  <c r="V68" i="16" s="1"/>
  <c r="K73" i="16"/>
  <c r="M73" i="16"/>
  <c r="Q73" i="16"/>
  <c r="G85" i="16"/>
  <c r="G88" i="16" s="1"/>
  <c r="G90" i="16" s="1"/>
  <c r="G92" i="16" s="1"/>
  <c r="G95" i="16" s="1"/>
  <c r="G178" i="16" s="1"/>
  <c r="Q93" i="16"/>
  <c r="D108" i="16"/>
  <c r="F108" i="16"/>
  <c r="Q108" i="16"/>
  <c r="S108" i="16"/>
  <c r="R111" i="16"/>
  <c r="R179" i="16" s="1"/>
  <c r="P122" i="16"/>
  <c r="P124" i="16" s="1"/>
  <c r="P126" i="16" s="1"/>
  <c r="Q128" i="16"/>
  <c r="T140" i="16"/>
  <c r="T142" i="16" s="1"/>
  <c r="T144" i="16" s="1"/>
  <c r="T145" i="16" s="1"/>
  <c r="S145" i="16" s="1"/>
  <c r="H145" i="16"/>
  <c r="K145" i="16"/>
  <c r="Q145" i="16"/>
  <c r="D163" i="16"/>
  <c r="F163" i="16"/>
  <c r="K163" i="16"/>
  <c r="M163" i="16"/>
  <c r="O163" i="16"/>
  <c r="Z46" i="16"/>
  <c r="Z48" i="16" s="1"/>
  <c r="Z50" i="16" s="1"/>
  <c r="AA119" i="16"/>
  <c r="AA137" i="16" s="1"/>
  <c r="L26" i="16"/>
  <c r="L27" i="16" s="1"/>
  <c r="L29" i="16" s="1"/>
  <c r="L30" i="16" s="1"/>
  <c r="T69" i="16"/>
  <c r="T70" i="16" s="1"/>
  <c r="T72" i="16" s="1"/>
  <c r="X51" i="16"/>
  <c r="Z51" i="16" s="1"/>
  <c r="AA51" i="16" s="1"/>
  <c r="AB51" i="16" s="1"/>
  <c r="AC51" i="16" s="1"/>
  <c r="V93" i="16"/>
  <c r="V95" i="16" s="1"/>
  <c r="V178" i="16" s="1"/>
  <c r="AB3" i="16"/>
  <c r="AC3" i="16"/>
  <c r="AA3" i="16"/>
  <c r="AA45" i="16"/>
  <c r="Z59" i="16"/>
  <c r="Z61" i="16" s="1"/>
  <c r="T93" i="16"/>
  <c r="S93" i="16" s="1"/>
  <c r="M51" i="16"/>
  <c r="S30" i="16"/>
  <c r="V53" i="16"/>
  <c r="V176" i="16" s="1"/>
  <c r="V163" i="16"/>
  <c r="V165" i="16"/>
  <c r="V186" i="16" s="1"/>
  <c r="AB20" i="16"/>
  <c r="R26" i="16"/>
  <c r="R27" i="16"/>
  <c r="R29" i="16" s="1"/>
  <c r="R32" i="16" s="1"/>
  <c r="R174" i="16" s="1"/>
  <c r="N48" i="16"/>
  <c r="N50" i="16" s="1"/>
  <c r="N53" i="16" s="1"/>
  <c r="N176" i="16" s="1"/>
  <c r="P178" i="16"/>
  <c r="O93" i="16"/>
  <c r="L126" i="16"/>
  <c r="L127" i="16" s="1"/>
  <c r="L128" i="16" s="1"/>
  <c r="K128" i="16" s="1"/>
  <c r="T163" i="16"/>
  <c r="S163" i="16" s="1"/>
  <c r="N126" i="16"/>
  <c r="N127" i="16" s="1"/>
  <c r="N128" i="16" s="1"/>
  <c r="O145" i="16"/>
  <c r="P185" i="16"/>
  <c r="U30" i="16"/>
  <c r="C48" i="16"/>
  <c r="C50" i="16" s="1"/>
  <c r="C53" i="16" s="1"/>
  <c r="C176" i="16" s="1"/>
  <c r="H108" i="16"/>
  <c r="I111" i="16"/>
  <c r="I179" i="16" s="1"/>
  <c r="I181" i="16" s="1"/>
  <c r="R126" i="16"/>
  <c r="R127" i="16" s="1"/>
  <c r="R130" i="16" s="1"/>
  <c r="R184" i="16" s="1"/>
  <c r="Z140" i="16"/>
  <c r="Z142" i="16" s="1"/>
  <c r="Z144" i="16" s="1"/>
  <c r="AA135" i="16"/>
  <c r="M145" i="16"/>
  <c r="Z157" i="16"/>
  <c r="Z160" i="16" s="1"/>
  <c r="Z162" i="16" s="1"/>
  <c r="AA152" i="16"/>
  <c r="S128" i="16"/>
  <c r="T48" i="16"/>
  <c r="T50" i="16" s="1"/>
  <c r="P65" i="16"/>
  <c r="P68" i="16" s="1"/>
  <c r="P70" i="16" s="1"/>
  <c r="P72" i="16" s="1"/>
  <c r="P75" i="16" s="1"/>
  <c r="P177" i="16" s="1"/>
  <c r="K108" i="16"/>
  <c r="X108" i="16"/>
  <c r="V111" i="16"/>
  <c r="V179" i="16" s="1"/>
  <c r="V126" i="16"/>
  <c r="Z22" i="16"/>
  <c r="Z24" i="16" s="1"/>
  <c r="O30" i="16"/>
  <c r="M108" i="16"/>
  <c r="Z122" i="16"/>
  <c r="Z124" i="16" s="1"/>
  <c r="AA117" i="16"/>
  <c r="E189" i="16"/>
  <c r="L147" i="16"/>
  <c r="L185" i="16" s="1"/>
  <c r="X145" i="16"/>
  <c r="E85" i="16"/>
  <c r="E88" i="16" s="1"/>
  <c r="E90" i="16" s="1"/>
  <c r="E92" i="16" s="1"/>
  <c r="E95" i="16" s="1"/>
  <c r="E178" i="16" s="1"/>
  <c r="E181" i="16" s="1"/>
  <c r="O108" i="16"/>
  <c r="X85" i="16"/>
  <c r="X88" i="16" s="1"/>
  <c r="X90" i="16" s="1"/>
  <c r="X92" i="16" s="1"/>
  <c r="N165" i="16"/>
  <c r="N186" i="16" s="1"/>
  <c r="H73" i="16"/>
  <c r="X101" i="16"/>
  <c r="Z101" i="16" s="1"/>
  <c r="AA101" i="16" s="1"/>
  <c r="AB101" i="16" s="1"/>
  <c r="AC101" i="16" s="1"/>
  <c r="Z85" i="16"/>
  <c r="Z88" i="16" s="1"/>
  <c r="Z90" i="16" s="1"/>
  <c r="Z92" i="16" s="1"/>
  <c r="U128" i="16"/>
  <c r="K33" i="14"/>
  <c r="AA42" i="16" l="1"/>
  <c r="N27" i="16"/>
  <c r="N29" i="16" s="1"/>
  <c r="N32" i="16" s="1"/>
  <c r="N174" i="16" s="1"/>
  <c r="T165" i="16"/>
  <c r="T186" i="16" s="1"/>
  <c r="Z62" i="16"/>
  <c r="Z65" i="16" s="1"/>
  <c r="Z68" i="16" s="1"/>
  <c r="X126" i="16"/>
  <c r="X127" i="16" s="1"/>
  <c r="I189" i="16"/>
  <c r="I191" i="16" s="1"/>
  <c r="G189" i="16"/>
  <c r="X27" i="16"/>
  <c r="X29" i="16" s="1"/>
  <c r="T95" i="16"/>
  <c r="T178" i="16" s="1"/>
  <c r="AB119" i="16"/>
  <c r="AC119" i="16" s="1"/>
  <c r="AC137" i="16" s="1"/>
  <c r="E191" i="16"/>
  <c r="X53" i="16"/>
  <c r="X176" i="16" s="1"/>
  <c r="AA22" i="16"/>
  <c r="AA24" i="16" s="1"/>
  <c r="AA27" i="16" s="1"/>
  <c r="AA29" i="16" s="1"/>
  <c r="AA32" i="16" s="1"/>
  <c r="AA174" i="16" s="1"/>
  <c r="AA57" i="16"/>
  <c r="R189" i="16"/>
  <c r="X32" i="16"/>
  <c r="X174" i="16" s="1"/>
  <c r="AA60" i="16"/>
  <c r="AB19" i="16"/>
  <c r="AC13" i="16" s="1"/>
  <c r="N189" i="16"/>
  <c r="C181" i="16"/>
  <c r="C191" i="16" s="1"/>
  <c r="C193" i="16" s="1"/>
  <c r="L181" i="16"/>
  <c r="L189" i="16"/>
  <c r="G181" i="16"/>
  <c r="X130" i="16"/>
  <c r="P127" i="16"/>
  <c r="P130" i="16" s="1"/>
  <c r="P184" i="16" s="1"/>
  <c r="AB37" i="16"/>
  <c r="V147" i="16"/>
  <c r="V185" i="16" s="1"/>
  <c r="P181" i="16"/>
  <c r="R53" i="16"/>
  <c r="R176" i="16" s="1"/>
  <c r="AB85" i="16"/>
  <c r="AB88" i="16" s="1"/>
  <c r="AB90" i="16" s="1"/>
  <c r="AB92" i="16" s="1"/>
  <c r="AC80" i="16"/>
  <c r="AC85" i="16" s="1"/>
  <c r="AC88" i="16" s="1"/>
  <c r="AC90" i="16" s="1"/>
  <c r="AC92" i="16" s="1"/>
  <c r="V27" i="16"/>
  <c r="V29" i="16" s="1"/>
  <c r="V32" i="16" s="1"/>
  <c r="V174" i="16" s="1"/>
  <c r="V69" i="16"/>
  <c r="X69" i="16" s="1"/>
  <c r="T73" i="16"/>
  <c r="S73" i="16" s="1"/>
  <c r="K30" i="16"/>
  <c r="M30" i="16"/>
  <c r="AC20" i="16"/>
  <c r="AB22" i="16"/>
  <c r="AB24" i="16" s="1"/>
  <c r="N181" i="16"/>
  <c r="N191" i="16" s="1"/>
  <c r="AB45" i="16"/>
  <c r="AA46" i="16"/>
  <c r="AA48" i="16" s="1"/>
  <c r="AA50" i="16" s="1"/>
  <c r="AA53" i="16" s="1"/>
  <c r="AA176" i="16" s="1"/>
  <c r="X111" i="16"/>
  <c r="Z108" i="16"/>
  <c r="AA157" i="16"/>
  <c r="AA160" i="16" s="1"/>
  <c r="AA162" i="16" s="1"/>
  <c r="AB152" i="16"/>
  <c r="AA122" i="16"/>
  <c r="AA124" i="16" s="1"/>
  <c r="AB117" i="16"/>
  <c r="Z53" i="16"/>
  <c r="Z176" i="16" s="1"/>
  <c r="G191" i="16"/>
  <c r="AB26" i="16"/>
  <c r="AC26" i="16" s="1"/>
  <c r="AA140" i="16"/>
  <c r="AA142" i="16" s="1"/>
  <c r="AA144" i="16" s="1"/>
  <c r="AB135" i="16"/>
  <c r="U163" i="16"/>
  <c r="X163" i="16"/>
  <c r="V127" i="16"/>
  <c r="V130" i="16" s="1"/>
  <c r="V184" i="16" s="1"/>
  <c r="V189" i="16" s="1"/>
  <c r="O51" i="16"/>
  <c r="T51" i="16"/>
  <c r="M128" i="16"/>
  <c r="O128" i="16"/>
  <c r="AC19" i="16"/>
  <c r="AB42" i="16"/>
  <c r="AB137" i="16"/>
  <c r="U145" i="16"/>
  <c r="Z27" i="16"/>
  <c r="Z29" i="16" s="1"/>
  <c r="Z32" i="16" s="1"/>
  <c r="Z174" i="16" s="1"/>
  <c r="T147" i="16"/>
  <c r="T185" i="16" s="1"/>
  <c r="X93" i="16"/>
  <c r="Z93" i="16" s="1"/>
  <c r="AA93" i="16" s="1"/>
  <c r="U93" i="16"/>
  <c r="L35" i="14"/>
  <c r="L33" i="14"/>
  <c r="L32" i="14"/>
  <c r="L30" i="14"/>
  <c r="L29" i="14"/>
  <c r="L27" i="14"/>
  <c r="L26" i="14"/>
  <c r="D7" i="17" l="1"/>
  <c r="D26" i="17" s="1"/>
  <c r="C7" i="19"/>
  <c r="F7" i="17"/>
  <c r="E7" i="19"/>
  <c r="D8" i="17"/>
  <c r="D29" i="17" s="1"/>
  <c r="C8" i="19"/>
  <c r="C29" i="19" s="1"/>
  <c r="E29" i="19" s="1"/>
  <c r="T189" i="16"/>
  <c r="AC37" i="16"/>
  <c r="F8" i="17"/>
  <c r="E8" i="19"/>
  <c r="Z126" i="16"/>
  <c r="E7" i="17"/>
  <c r="D7" i="19"/>
  <c r="E8" i="17"/>
  <c r="D8" i="19"/>
  <c r="L191" i="16"/>
  <c r="AB57" i="16"/>
  <c r="AC57" i="16" s="1"/>
  <c r="E193" i="16"/>
  <c r="AA61" i="16"/>
  <c r="AA62" i="16" s="1"/>
  <c r="AA65" i="16" s="1"/>
  <c r="AA68" i="16" s="1"/>
  <c r="G193" i="16"/>
  <c r="AB60" i="16"/>
  <c r="R181" i="16"/>
  <c r="R191" i="16" s="1"/>
  <c r="P189" i="16"/>
  <c r="P191" i="16" s="1"/>
  <c r="X184" i="16"/>
  <c r="X95" i="16"/>
  <c r="X178" i="16" s="1"/>
  <c r="C10" i="19" s="1"/>
  <c r="C32" i="19" s="1"/>
  <c r="E32" i="19" s="1"/>
  <c r="I193" i="16"/>
  <c r="X179" i="16"/>
  <c r="AB27" i="16"/>
  <c r="AB29" i="16" s="1"/>
  <c r="AB32" i="16" s="1"/>
  <c r="AB174" i="16" s="1"/>
  <c r="Z69" i="16"/>
  <c r="X70" i="16"/>
  <c r="X72" i="16" s="1"/>
  <c r="AC60" i="16"/>
  <c r="AC42" i="16"/>
  <c r="Z163" i="16"/>
  <c r="X165" i="16"/>
  <c r="X186" i="16" s="1"/>
  <c r="AB46" i="16"/>
  <c r="AB48" i="16" s="1"/>
  <c r="AB50" i="16" s="1"/>
  <c r="AB53" i="16" s="1"/>
  <c r="AB176" i="16" s="1"/>
  <c r="AC45" i="16"/>
  <c r="Z145" i="16"/>
  <c r="X147" i="16"/>
  <c r="X185" i="16" s="1"/>
  <c r="C15" i="19" s="1"/>
  <c r="C30" i="19" s="1"/>
  <c r="E30" i="19" s="1"/>
  <c r="AB140" i="16"/>
  <c r="AB142" i="16" s="1"/>
  <c r="AB144" i="16" s="1"/>
  <c r="AC135" i="16"/>
  <c r="AC140" i="16" s="1"/>
  <c r="AC142" i="16" s="1"/>
  <c r="AC144" i="16" s="1"/>
  <c r="AB122" i="16"/>
  <c r="AB124" i="16" s="1"/>
  <c r="AC117" i="16"/>
  <c r="AC122" i="16" s="1"/>
  <c r="AC124" i="16" s="1"/>
  <c r="N195" i="16"/>
  <c r="N193" i="16"/>
  <c r="S51" i="16"/>
  <c r="U51" i="16"/>
  <c r="AB157" i="16"/>
  <c r="AB160" i="16" s="1"/>
  <c r="AB162" i="16" s="1"/>
  <c r="AC152" i="16"/>
  <c r="AC157" i="16" s="1"/>
  <c r="AC160" i="16" s="1"/>
  <c r="AC162" i="16" s="1"/>
  <c r="T53" i="16"/>
  <c r="T176" i="16" s="1"/>
  <c r="AC22" i="16"/>
  <c r="AC24" i="16" s="1"/>
  <c r="AC27" i="16" s="1"/>
  <c r="AC29" i="16" s="1"/>
  <c r="AC32" i="16" s="1"/>
  <c r="AC174" i="16" s="1"/>
  <c r="T75" i="16"/>
  <c r="T177" i="16" s="1"/>
  <c r="AB93" i="16"/>
  <c r="AA95" i="16"/>
  <c r="AA178" i="16" s="1"/>
  <c r="L195" i="16"/>
  <c r="L193" i="16"/>
  <c r="AA108" i="16"/>
  <c r="Z111" i="16"/>
  <c r="Z179" i="16" s="1"/>
  <c r="Z95" i="16"/>
  <c r="Z178" i="16" s="1"/>
  <c r="V70" i="16"/>
  <c r="V72" i="16" s="1"/>
  <c r="E10" i="17" l="1"/>
  <c r="D10" i="19"/>
  <c r="G7" i="17"/>
  <c r="F7" i="19"/>
  <c r="C26" i="19"/>
  <c r="E26" i="19" s="1"/>
  <c r="AB61" i="16"/>
  <c r="AB62" i="16" s="1"/>
  <c r="AB65" i="16" s="1"/>
  <c r="AB68" i="16" s="1"/>
  <c r="G8" i="17"/>
  <c r="F8" i="19"/>
  <c r="X113" i="16"/>
  <c r="E10" i="19"/>
  <c r="H7" i="17"/>
  <c r="G7" i="19"/>
  <c r="D16" i="17"/>
  <c r="D33" i="17" s="1"/>
  <c r="C16" i="19"/>
  <c r="C33" i="19" s="1"/>
  <c r="E33" i="19" s="1"/>
  <c r="AA126" i="16"/>
  <c r="Z127" i="16"/>
  <c r="Z130" i="16" s="1"/>
  <c r="Z184" i="16" s="1"/>
  <c r="D14" i="17"/>
  <c r="D27" i="17" s="1"/>
  <c r="C14" i="19"/>
  <c r="P195" i="16"/>
  <c r="P193" i="16"/>
  <c r="R193" i="16"/>
  <c r="R195" i="16"/>
  <c r="D10" i="17"/>
  <c r="D32" i="17" s="1"/>
  <c r="X189" i="16"/>
  <c r="D15" i="17"/>
  <c r="AA111" i="16"/>
  <c r="AA179" i="16" s="1"/>
  <c r="F10" i="17" s="1"/>
  <c r="AB108" i="16"/>
  <c r="AA69" i="16"/>
  <c r="Z70" i="16"/>
  <c r="Z72" i="16" s="1"/>
  <c r="AA163" i="16"/>
  <c r="Z165" i="16"/>
  <c r="Z186" i="16" s="1"/>
  <c r="AC93" i="16"/>
  <c r="AC95" i="16" s="1"/>
  <c r="AC178" i="16" s="1"/>
  <c r="AB95" i="16"/>
  <c r="AB178" i="16" s="1"/>
  <c r="AA145" i="16"/>
  <c r="Z147" i="16"/>
  <c r="Z185" i="16" s="1"/>
  <c r="D15" i="19" s="1"/>
  <c r="T181" i="16"/>
  <c r="T191" i="16" s="1"/>
  <c r="V73" i="16"/>
  <c r="V75" i="16" s="1"/>
  <c r="V177" i="16" s="1"/>
  <c r="V181" i="16" s="1"/>
  <c r="V191" i="16" s="1"/>
  <c r="AC61" i="16"/>
  <c r="AC62" i="16" s="1"/>
  <c r="AC65" i="16" s="1"/>
  <c r="AC68" i="16" s="1"/>
  <c r="AC46" i="16"/>
  <c r="AC48" i="16" s="1"/>
  <c r="AC50" i="16" s="1"/>
  <c r="AC53" i="16" s="1"/>
  <c r="AC176" i="16" s="1"/>
  <c r="E16" i="17" l="1"/>
  <c r="D16" i="19"/>
  <c r="AB126" i="16"/>
  <c r="AA127" i="16"/>
  <c r="AA130" i="16" s="1"/>
  <c r="AA184" i="16" s="1"/>
  <c r="H8" i="17"/>
  <c r="G8" i="19"/>
  <c r="E14" i="17"/>
  <c r="D14" i="19"/>
  <c r="C27" i="19"/>
  <c r="C17" i="19"/>
  <c r="D30" i="17"/>
  <c r="D17" i="17"/>
  <c r="Z189" i="16"/>
  <c r="E15" i="17"/>
  <c r="E17" i="17" s="1"/>
  <c r="AB69" i="16"/>
  <c r="AA70" i="16"/>
  <c r="AA72" i="16" s="1"/>
  <c r="T193" i="16"/>
  <c r="T195" i="16"/>
  <c r="AB111" i="16"/>
  <c r="AB179" i="16" s="1"/>
  <c r="G10" i="17" s="1"/>
  <c r="AC108" i="16"/>
  <c r="AC111" i="16" s="1"/>
  <c r="AC179" i="16" s="1"/>
  <c r="H10" i="17" s="1"/>
  <c r="V193" i="16"/>
  <c r="V195" i="16"/>
  <c r="X73" i="16"/>
  <c r="U73" i="16"/>
  <c r="AB163" i="16"/>
  <c r="AA165" i="16"/>
  <c r="AA186" i="16" s="1"/>
  <c r="AB145" i="16"/>
  <c r="AA147" i="16"/>
  <c r="AA185" i="16" s="1"/>
  <c r="X47" i="15"/>
  <c r="D17" i="19" l="1"/>
  <c r="D18" i="19" s="1"/>
  <c r="E14" i="19"/>
  <c r="E17" i="19" s="1"/>
  <c r="E18" i="19" s="1"/>
  <c r="F14" i="17"/>
  <c r="F17" i="17" s="1"/>
  <c r="G10" i="19"/>
  <c r="F16" i="17"/>
  <c r="E16" i="19"/>
  <c r="F15" i="17"/>
  <c r="E15" i="19"/>
  <c r="AC126" i="16"/>
  <c r="AC127" i="16" s="1"/>
  <c r="AC130" i="16" s="1"/>
  <c r="AC184" i="16" s="1"/>
  <c r="AB127" i="16"/>
  <c r="AB130" i="16" s="1"/>
  <c r="AB184" i="16" s="1"/>
  <c r="F10" i="19"/>
  <c r="C18" i="19"/>
  <c r="E27" i="19"/>
  <c r="AC145" i="16"/>
  <c r="AC147" i="16" s="1"/>
  <c r="AC185" i="16" s="1"/>
  <c r="AB147" i="16"/>
  <c r="AB185" i="16" s="1"/>
  <c r="F15" i="19" s="1"/>
  <c r="Z73" i="16"/>
  <c r="X75" i="16"/>
  <c r="X177" i="16" s="1"/>
  <c r="C9" i="19" s="1"/>
  <c r="AC69" i="16"/>
  <c r="AC70" i="16" s="1"/>
  <c r="AC72" i="16" s="1"/>
  <c r="AB70" i="16"/>
  <c r="AB72" i="16" s="1"/>
  <c r="AC163" i="16"/>
  <c r="AC165" i="16" s="1"/>
  <c r="AC186" i="16" s="1"/>
  <c r="AB165" i="16"/>
  <c r="AB186" i="16" s="1"/>
  <c r="AA189" i="16"/>
  <c r="X140" i="15"/>
  <c r="X142" i="15" s="1"/>
  <c r="H16" i="17" l="1"/>
  <c r="G16" i="19"/>
  <c r="F14" i="19"/>
  <c r="F17" i="19" s="1"/>
  <c r="F18" i="19" s="1"/>
  <c r="G14" i="17"/>
  <c r="H15" i="17"/>
  <c r="G15" i="19"/>
  <c r="H14" i="17"/>
  <c r="H17" i="17" s="1"/>
  <c r="G14" i="19"/>
  <c r="G17" i="19" s="1"/>
  <c r="G18" i="19" s="1"/>
  <c r="G16" i="17"/>
  <c r="F16" i="19"/>
  <c r="C35" i="19"/>
  <c r="C11" i="19"/>
  <c r="X181" i="16"/>
  <c r="X191" i="16" s="1"/>
  <c r="X193" i="16" s="1"/>
  <c r="D9" i="17"/>
  <c r="AB189" i="16"/>
  <c r="G15" i="17"/>
  <c r="AA73" i="16"/>
  <c r="Z75" i="16"/>
  <c r="Z177" i="16" s="1"/>
  <c r="D9" i="19" s="1"/>
  <c r="D11" i="19" s="1"/>
  <c r="AC189" i="16"/>
  <c r="V101" i="15"/>
  <c r="X80" i="15"/>
  <c r="X101" i="15" s="1"/>
  <c r="C12" i="19" l="1"/>
  <c r="C20" i="19"/>
  <c r="G17" i="17"/>
  <c r="E35" i="19"/>
  <c r="C37" i="19"/>
  <c r="D12" i="19"/>
  <c r="D20" i="19"/>
  <c r="X195" i="16"/>
  <c r="D35" i="17"/>
  <c r="D11" i="17"/>
  <c r="D20" i="17" s="1"/>
  <c r="Z181" i="16"/>
  <c r="Z191" i="16" s="1"/>
  <c r="Z193" i="16" s="1"/>
  <c r="E9" i="17"/>
  <c r="E11" i="17" s="1"/>
  <c r="AB73" i="16"/>
  <c r="AA75" i="16"/>
  <c r="AA177" i="16" s="1"/>
  <c r="E9" i="19" s="1"/>
  <c r="E11" i="19" s="1"/>
  <c r="X46" i="15"/>
  <c r="Z39" i="15"/>
  <c r="Z37" i="15"/>
  <c r="Z3" i="15"/>
  <c r="AC3" i="15" s="1"/>
  <c r="N184" i="15"/>
  <c r="L184" i="15"/>
  <c r="I184" i="15"/>
  <c r="C184" i="15"/>
  <c r="L174" i="15"/>
  <c r="I174" i="15"/>
  <c r="AB172" i="15"/>
  <c r="AC172" i="15" s="1"/>
  <c r="Y163" i="15"/>
  <c r="W163" i="15"/>
  <c r="R163" i="15"/>
  <c r="P163" i="15"/>
  <c r="N163" i="15"/>
  <c r="L163" i="15"/>
  <c r="I163" i="15"/>
  <c r="G163" i="15"/>
  <c r="E163" i="15"/>
  <c r="C163" i="15"/>
  <c r="V157" i="15"/>
  <c r="V160" i="15" s="1"/>
  <c r="V162" i="15" s="1"/>
  <c r="T157" i="15"/>
  <c r="T160" i="15" s="1"/>
  <c r="T162" i="15" s="1"/>
  <c r="T163" i="15" s="1"/>
  <c r="R157" i="15"/>
  <c r="R160" i="15" s="1"/>
  <c r="R162" i="15" s="1"/>
  <c r="P157" i="15"/>
  <c r="P160" i="15" s="1"/>
  <c r="P162" i="15" s="1"/>
  <c r="P165" i="15" s="1"/>
  <c r="P186" i="15" s="1"/>
  <c r="N157" i="15"/>
  <c r="N160" i="15" s="1"/>
  <c r="N162" i="15" s="1"/>
  <c r="N165" i="15" s="1"/>
  <c r="N186" i="15" s="1"/>
  <c r="L157" i="15"/>
  <c r="L160" i="15" s="1"/>
  <c r="L162" i="15" s="1"/>
  <c r="I157" i="15"/>
  <c r="I160" i="15" s="1"/>
  <c r="I162" i="15" s="1"/>
  <c r="G157" i="15"/>
  <c r="G160" i="15" s="1"/>
  <c r="G162" i="15" s="1"/>
  <c r="G165" i="15" s="1"/>
  <c r="G186" i="15" s="1"/>
  <c r="E157" i="15"/>
  <c r="E160" i="15" s="1"/>
  <c r="E162" i="15" s="1"/>
  <c r="E165" i="15" s="1"/>
  <c r="E186" i="15" s="1"/>
  <c r="C157" i="15"/>
  <c r="C160" i="15" s="1"/>
  <c r="C162" i="15" s="1"/>
  <c r="Z154" i="15"/>
  <c r="AA154" i="15" s="1"/>
  <c r="AB154" i="15" s="1"/>
  <c r="AC154" i="15" s="1"/>
  <c r="Z152" i="15"/>
  <c r="X157" i="15"/>
  <c r="X160" i="15" s="1"/>
  <c r="X162" i="15" s="1"/>
  <c r="Y145" i="15"/>
  <c r="W145" i="15"/>
  <c r="R145" i="15"/>
  <c r="P145" i="15"/>
  <c r="N145" i="15"/>
  <c r="L145" i="15"/>
  <c r="I145" i="15"/>
  <c r="G145" i="15"/>
  <c r="E145" i="15"/>
  <c r="C145" i="15"/>
  <c r="G143" i="15"/>
  <c r="V140" i="15"/>
  <c r="V142" i="15" s="1"/>
  <c r="V144" i="15" s="1"/>
  <c r="L140" i="15"/>
  <c r="L142" i="15" s="1"/>
  <c r="L144" i="15" s="1"/>
  <c r="E140" i="15"/>
  <c r="E142" i="15" s="1"/>
  <c r="E144" i="15" s="1"/>
  <c r="E147" i="15" s="1"/>
  <c r="E185" i="15" s="1"/>
  <c r="C140" i="15"/>
  <c r="C142" i="15" s="1"/>
  <c r="C144" i="15" s="1"/>
  <c r="C147" i="15" s="1"/>
  <c r="C185" i="15" s="1"/>
  <c r="Z139" i="15"/>
  <c r="AA139" i="15" s="1"/>
  <c r="AB139" i="15" s="1"/>
  <c r="AC139" i="15" s="1"/>
  <c r="T139" i="15"/>
  <c r="R139" i="15"/>
  <c r="P139" i="15"/>
  <c r="P140" i="15" s="1"/>
  <c r="P142" i="15" s="1"/>
  <c r="P144" i="15" s="1"/>
  <c r="N139" i="15"/>
  <c r="N140" i="15" s="1"/>
  <c r="N142" i="15" s="1"/>
  <c r="N144" i="15" s="1"/>
  <c r="N147" i="15" s="1"/>
  <c r="N185" i="15" s="1"/>
  <c r="I139" i="15"/>
  <c r="I140" i="15" s="1"/>
  <c r="I142" i="15" s="1"/>
  <c r="I144" i="15" s="1"/>
  <c r="G139" i="15"/>
  <c r="G140" i="15" s="1"/>
  <c r="G142" i="15" s="1"/>
  <c r="T137" i="15"/>
  <c r="R137" i="15"/>
  <c r="T136" i="15"/>
  <c r="R136" i="15"/>
  <c r="AC132" i="15"/>
  <c r="AB132" i="15"/>
  <c r="E130" i="15"/>
  <c r="E184" i="15" s="1"/>
  <c r="Y128" i="15"/>
  <c r="W128" i="15"/>
  <c r="V128" i="15"/>
  <c r="X128" i="15" s="1"/>
  <c r="Z128" i="15" s="1"/>
  <c r="AA128" i="15" s="1"/>
  <c r="AB128" i="15" s="1"/>
  <c r="AC128" i="15" s="1"/>
  <c r="T128" i="15"/>
  <c r="R128" i="15"/>
  <c r="S128" i="15" s="1"/>
  <c r="P128" i="15"/>
  <c r="Q128" i="15" s="1"/>
  <c r="F128" i="15"/>
  <c r="D128" i="15"/>
  <c r="I126" i="15"/>
  <c r="G126" i="15"/>
  <c r="C126" i="15"/>
  <c r="V125" i="15"/>
  <c r="V122" i="15"/>
  <c r="V124" i="15" s="1"/>
  <c r="I122" i="15"/>
  <c r="I124" i="15" s="1"/>
  <c r="I127" i="15" s="1"/>
  <c r="I128" i="15" s="1"/>
  <c r="H128" i="15" s="1"/>
  <c r="E122" i="15"/>
  <c r="E124" i="15" s="1"/>
  <c r="E126" i="15" s="1"/>
  <c r="C122" i="15"/>
  <c r="C124" i="15" s="1"/>
  <c r="X121" i="15"/>
  <c r="Z121" i="15" s="1"/>
  <c r="AA121" i="15" s="1"/>
  <c r="AB121" i="15" s="1"/>
  <c r="AC121" i="15" s="1"/>
  <c r="T121" i="15"/>
  <c r="N121" i="15"/>
  <c r="L121" i="15"/>
  <c r="G121" i="15"/>
  <c r="X120" i="15"/>
  <c r="Z120" i="15" s="1"/>
  <c r="AA120" i="15" s="1"/>
  <c r="AB120" i="15" s="1"/>
  <c r="AC120" i="15" s="1"/>
  <c r="T120" i="15"/>
  <c r="T122" i="15" s="1"/>
  <c r="T124" i="15" s="1"/>
  <c r="R120" i="15"/>
  <c r="R122" i="15" s="1"/>
  <c r="R124" i="15" s="1"/>
  <c r="P120" i="15"/>
  <c r="N120" i="15"/>
  <c r="L120" i="15"/>
  <c r="G120" i="15"/>
  <c r="Z119" i="15"/>
  <c r="AC118" i="15"/>
  <c r="AC136" i="15" s="1"/>
  <c r="AB118" i="15"/>
  <c r="AB136" i="15" s="1"/>
  <c r="AA118" i="15"/>
  <c r="AA136" i="15" s="1"/>
  <c r="Z118" i="15"/>
  <c r="Z136" i="15" s="1"/>
  <c r="X118" i="15"/>
  <c r="X117" i="15"/>
  <c r="X122" i="15" s="1"/>
  <c r="X124" i="15" s="1"/>
  <c r="P117" i="15"/>
  <c r="P121" i="15" s="1"/>
  <c r="AC114" i="15"/>
  <c r="AB114" i="15"/>
  <c r="N111" i="15"/>
  <c r="N179" i="15" s="1"/>
  <c r="G111" i="15"/>
  <c r="G179" i="15" s="1"/>
  <c r="Y108" i="15"/>
  <c r="W108" i="15"/>
  <c r="V108" i="15"/>
  <c r="T108" i="15"/>
  <c r="T111" i="15" s="1"/>
  <c r="T179" i="15" s="1"/>
  <c r="R108" i="15"/>
  <c r="P108" i="15"/>
  <c r="P111" i="15" s="1"/>
  <c r="L108" i="15"/>
  <c r="I108" i="15"/>
  <c r="I111" i="15" s="1"/>
  <c r="I179" i="15" s="1"/>
  <c r="H108" i="15"/>
  <c r="E108" i="15"/>
  <c r="E111" i="15" s="1"/>
  <c r="E179" i="15" s="1"/>
  <c r="C108" i="15"/>
  <c r="D108" i="15" s="1"/>
  <c r="Z101" i="15"/>
  <c r="AA101" i="15" s="1"/>
  <c r="AB101" i="15" s="1"/>
  <c r="AC101" i="15" s="1"/>
  <c r="AC97" i="15"/>
  <c r="AB97" i="15"/>
  <c r="AA97" i="15"/>
  <c r="Z97" i="15"/>
  <c r="Y93" i="15"/>
  <c r="W93" i="15"/>
  <c r="R93" i="15"/>
  <c r="P93" i="15"/>
  <c r="M93" i="15"/>
  <c r="I93" i="15"/>
  <c r="K93" i="15" s="1"/>
  <c r="H93" i="15"/>
  <c r="F93" i="15"/>
  <c r="D93" i="15"/>
  <c r="L90" i="15"/>
  <c r="L92" i="15" s="1"/>
  <c r="L95" i="15" s="1"/>
  <c r="L178" i="15" s="1"/>
  <c r="N85" i="15"/>
  <c r="N88" i="15" s="1"/>
  <c r="N90" i="15" s="1"/>
  <c r="N92" i="15" s="1"/>
  <c r="N95" i="15" s="1"/>
  <c r="N178" i="15" s="1"/>
  <c r="L85" i="15"/>
  <c r="AC82" i="15"/>
  <c r="AB82" i="15"/>
  <c r="AA82" i="15"/>
  <c r="Z82" i="15"/>
  <c r="X82" i="15"/>
  <c r="V82" i="15"/>
  <c r="V85" i="15" s="1"/>
  <c r="V88" i="15" s="1"/>
  <c r="V90" i="15" s="1"/>
  <c r="V92" i="15" s="1"/>
  <c r="T82" i="15"/>
  <c r="T85" i="15" s="1"/>
  <c r="T88" i="15" s="1"/>
  <c r="T90" i="15" s="1"/>
  <c r="T92" i="15" s="1"/>
  <c r="R82" i="15"/>
  <c r="R85" i="15" s="1"/>
  <c r="R88" i="15" s="1"/>
  <c r="R90" i="15" s="1"/>
  <c r="R92" i="15" s="1"/>
  <c r="P82" i="15"/>
  <c r="P85" i="15" s="1"/>
  <c r="P88" i="15" s="1"/>
  <c r="P90" i="15" s="1"/>
  <c r="P92" i="15" s="1"/>
  <c r="P95" i="15" s="1"/>
  <c r="I82" i="15"/>
  <c r="G82" i="15"/>
  <c r="E82" i="15"/>
  <c r="C82" i="15"/>
  <c r="G81" i="15"/>
  <c r="E81" i="15"/>
  <c r="C81" i="15"/>
  <c r="C85" i="15" s="1"/>
  <c r="C88" i="15" s="1"/>
  <c r="C90" i="15" s="1"/>
  <c r="C92" i="15" s="1"/>
  <c r="C95" i="15" s="1"/>
  <c r="C178" i="15" s="1"/>
  <c r="Z80" i="15"/>
  <c r="Z85" i="15" s="1"/>
  <c r="Z88" i="15" s="1"/>
  <c r="Z90" i="15" s="1"/>
  <c r="Z92" i="15" s="1"/>
  <c r="Y73" i="15"/>
  <c r="W73" i="15"/>
  <c r="R73" i="15"/>
  <c r="P73" i="15"/>
  <c r="N73" i="15"/>
  <c r="O73" i="15" s="1"/>
  <c r="L73" i="15"/>
  <c r="I73" i="15"/>
  <c r="H73" i="15" s="1"/>
  <c r="F73" i="15"/>
  <c r="D73" i="15"/>
  <c r="R69" i="15"/>
  <c r="P69" i="15"/>
  <c r="N69" i="15"/>
  <c r="L69" i="15"/>
  <c r="I69" i="15"/>
  <c r="G69" i="15"/>
  <c r="C69" i="15"/>
  <c r="L66" i="15"/>
  <c r="I66" i="15"/>
  <c r="G66" i="15"/>
  <c r="E66" i="15"/>
  <c r="C66" i="15"/>
  <c r="Z64" i="15"/>
  <c r="AA64" i="15" s="1"/>
  <c r="AB64" i="15" s="1"/>
  <c r="AC64" i="15" s="1"/>
  <c r="V64" i="15"/>
  <c r="T64" i="15"/>
  <c r="R64" i="15"/>
  <c r="N64" i="15"/>
  <c r="I64" i="15"/>
  <c r="G64" i="15"/>
  <c r="X62" i="15"/>
  <c r="X65" i="15" s="1"/>
  <c r="X68" i="15" s="1"/>
  <c r="V62" i="15"/>
  <c r="V65" i="15" s="1"/>
  <c r="P62" i="15"/>
  <c r="P64" i="15" s="1"/>
  <c r="P65" i="15" s="1"/>
  <c r="P68" i="15" s="1"/>
  <c r="P70" i="15" s="1"/>
  <c r="P72" i="15" s="1"/>
  <c r="P75" i="15" s="1"/>
  <c r="P177" i="15" s="1"/>
  <c r="N62" i="15"/>
  <c r="L62" i="15"/>
  <c r="L65" i="15" s="1"/>
  <c r="L68" i="15" s="1"/>
  <c r="L70" i="15" s="1"/>
  <c r="L72" i="15" s="1"/>
  <c r="I62" i="15"/>
  <c r="I65" i="15" s="1"/>
  <c r="I68" i="15" s="1"/>
  <c r="I70" i="15" s="1"/>
  <c r="I72" i="15" s="1"/>
  <c r="I75" i="15" s="1"/>
  <c r="I177" i="15" s="1"/>
  <c r="G62" i="15"/>
  <c r="E62" i="15"/>
  <c r="E65" i="15" s="1"/>
  <c r="E68" i="15" s="1"/>
  <c r="E70" i="15" s="1"/>
  <c r="E72" i="15" s="1"/>
  <c r="E75" i="15" s="1"/>
  <c r="E177" i="15" s="1"/>
  <c r="C62" i="15"/>
  <c r="C65" i="15" s="1"/>
  <c r="C68" i="15" s="1"/>
  <c r="C70" i="15" s="1"/>
  <c r="C72" i="15" s="1"/>
  <c r="C75" i="15" s="1"/>
  <c r="C177" i="15" s="1"/>
  <c r="T60" i="15"/>
  <c r="T62" i="15" s="1"/>
  <c r="T65" i="15" s="1"/>
  <c r="T68" i="15" s="1"/>
  <c r="R60" i="15"/>
  <c r="R62" i="15" s="1"/>
  <c r="AA59" i="15"/>
  <c r="Z59" i="15"/>
  <c r="Z57" i="15"/>
  <c r="AC55" i="15"/>
  <c r="AB55" i="15"/>
  <c r="Y51" i="15"/>
  <c r="W51" i="15"/>
  <c r="P51" i="15"/>
  <c r="N51" i="15"/>
  <c r="L51" i="15"/>
  <c r="I51" i="15"/>
  <c r="H51" i="15"/>
  <c r="E51" i="15"/>
  <c r="F51" i="15" s="1"/>
  <c r="C51" i="15"/>
  <c r="T47" i="15"/>
  <c r="R47" i="15"/>
  <c r="P47" i="15"/>
  <c r="N47" i="15"/>
  <c r="L47" i="15"/>
  <c r="I47" i="15"/>
  <c r="G47" i="15"/>
  <c r="E47" i="15"/>
  <c r="C47" i="15"/>
  <c r="R46" i="15"/>
  <c r="R48" i="15" s="1"/>
  <c r="R50" i="15" s="1"/>
  <c r="R51" i="15" s="1"/>
  <c r="Q51" i="15" s="1"/>
  <c r="G46" i="15"/>
  <c r="G48" i="15" s="1"/>
  <c r="G50" i="15" s="1"/>
  <c r="G53" i="15" s="1"/>
  <c r="G176" i="15" s="1"/>
  <c r="E46" i="15"/>
  <c r="C46" i="15"/>
  <c r="C48" i="15" s="1"/>
  <c r="C50" i="15" s="1"/>
  <c r="C53" i="15" s="1"/>
  <c r="C176" i="15" s="1"/>
  <c r="V45" i="15"/>
  <c r="V46" i="15" s="1"/>
  <c r="V47" i="15" s="1"/>
  <c r="T45" i="15"/>
  <c r="T46" i="15" s="1"/>
  <c r="T48" i="15" s="1"/>
  <c r="T50" i="15" s="1"/>
  <c r="T51" i="15" s="1"/>
  <c r="P45" i="15"/>
  <c r="P46" i="15" s="1"/>
  <c r="N45" i="15"/>
  <c r="N46" i="15" s="1"/>
  <c r="N48" i="15" s="1"/>
  <c r="N50" i="15" s="1"/>
  <c r="L45" i="15"/>
  <c r="L46" i="15" s="1"/>
  <c r="L48" i="15" s="1"/>
  <c r="L50" i="15" s="1"/>
  <c r="I45" i="15"/>
  <c r="I46" i="15" s="1"/>
  <c r="I48" i="15" s="1"/>
  <c r="I50" i="15" s="1"/>
  <c r="I53" i="15" s="1"/>
  <c r="I176" i="15" s="1"/>
  <c r="AC41" i="15"/>
  <c r="AB41" i="15"/>
  <c r="AA41" i="15"/>
  <c r="Z41" i="15"/>
  <c r="AC40" i="15"/>
  <c r="AB40" i="15"/>
  <c r="AA40" i="15"/>
  <c r="Z40" i="15"/>
  <c r="AC39" i="15"/>
  <c r="AB39" i="15"/>
  <c r="AA39" i="15"/>
  <c r="AC34" i="15"/>
  <c r="AB34" i="15"/>
  <c r="V30" i="15"/>
  <c r="X30" i="15" s="1"/>
  <c r="T30" i="15"/>
  <c r="U30" i="15" s="1"/>
  <c r="R30" i="15"/>
  <c r="S30" i="15" s="1"/>
  <c r="P30" i="15"/>
  <c r="N30" i="15"/>
  <c r="O30" i="15" s="1"/>
  <c r="E29" i="15"/>
  <c r="E32" i="15" s="1"/>
  <c r="E174" i="15" s="1"/>
  <c r="I26" i="15"/>
  <c r="G26" i="15"/>
  <c r="C26" i="15"/>
  <c r="V25" i="15"/>
  <c r="X22" i="15"/>
  <c r="X24" i="15" s="1"/>
  <c r="V22" i="15"/>
  <c r="V24" i="15" s="1"/>
  <c r="I22" i="15"/>
  <c r="I24" i="15" s="1"/>
  <c r="G22" i="15"/>
  <c r="G24" i="15" s="1"/>
  <c r="G27" i="15" s="1"/>
  <c r="G29" i="15" s="1"/>
  <c r="G32" i="15" s="1"/>
  <c r="G174" i="15" s="1"/>
  <c r="E22" i="15"/>
  <c r="E24" i="15" s="1"/>
  <c r="E26" i="15" s="1"/>
  <c r="C22" i="15"/>
  <c r="C24" i="15" s="1"/>
  <c r="C27" i="15" s="1"/>
  <c r="C29" i="15" s="1"/>
  <c r="C32" i="15" s="1"/>
  <c r="C174" i="15" s="1"/>
  <c r="Z21" i="15"/>
  <c r="AA21" i="15" s="1"/>
  <c r="AB21" i="15" s="1"/>
  <c r="AC21" i="15" s="1"/>
  <c r="T21" i="15"/>
  <c r="R21" i="15"/>
  <c r="P21" i="15"/>
  <c r="N21" i="15"/>
  <c r="L21" i="15"/>
  <c r="Z20" i="15"/>
  <c r="AA20" i="15" s="1"/>
  <c r="T20" i="15"/>
  <c r="R20" i="15"/>
  <c r="P20" i="15"/>
  <c r="P22" i="15" s="1"/>
  <c r="P24" i="15" s="1"/>
  <c r="N20" i="15"/>
  <c r="N22" i="15" s="1"/>
  <c r="N24" i="15" s="1"/>
  <c r="N26" i="15" s="1"/>
  <c r="L20" i="15"/>
  <c r="Z19" i="15"/>
  <c r="Z13" i="15"/>
  <c r="V7" i="15"/>
  <c r="X7" i="15" s="1"/>
  <c r="Z7" i="15" s="1"/>
  <c r="AA7" i="15" s="1"/>
  <c r="AB7" i="15" s="1"/>
  <c r="AC7" i="15" s="1"/>
  <c r="V6" i="15"/>
  <c r="X6" i="15" s="1"/>
  <c r="Z6" i="15" s="1"/>
  <c r="AA6" i="15" s="1"/>
  <c r="AB6" i="15" s="1"/>
  <c r="AC6" i="15" s="1"/>
  <c r="V5" i="15"/>
  <c r="X5" i="15" s="1"/>
  <c r="Z5" i="15" s="1"/>
  <c r="AA5" i="15" s="1"/>
  <c r="AB5" i="15" s="1"/>
  <c r="AC5" i="15" s="1"/>
  <c r="N53" i="15" l="1"/>
  <c r="N176" i="15" s="1"/>
  <c r="AC59" i="15"/>
  <c r="N65" i="15"/>
  <c r="N68" i="15" s="1"/>
  <c r="N70" i="15" s="1"/>
  <c r="N72" i="15" s="1"/>
  <c r="N75" i="15" s="1"/>
  <c r="N177" i="15" s="1"/>
  <c r="G144" i="15"/>
  <c r="G147" i="15" s="1"/>
  <c r="G185" i="15" s="1"/>
  <c r="I165" i="15"/>
  <c r="I186" i="15" s="1"/>
  <c r="R165" i="15"/>
  <c r="R186" i="15" s="1"/>
  <c r="E12" i="19"/>
  <c r="E20" i="19"/>
  <c r="C21" i="19"/>
  <c r="C22" i="19"/>
  <c r="AB59" i="15"/>
  <c r="L75" i="15"/>
  <c r="L177" i="15" s="1"/>
  <c r="G85" i="15"/>
  <c r="G88" i="15" s="1"/>
  <c r="G90" i="15" s="1"/>
  <c r="G92" i="15" s="1"/>
  <c r="G95" i="15" s="1"/>
  <c r="G178" i="15" s="1"/>
  <c r="N122" i="15"/>
  <c r="N124" i="15" s="1"/>
  <c r="N127" i="15" s="1"/>
  <c r="N128" i="15" s="1"/>
  <c r="P147" i="15"/>
  <c r="O145" i="15" s="1"/>
  <c r="L22" i="15"/>
  <c r="L24" i="15" s="1"/>
  <c r="T22" i="15"/>
  <c r="T24" i="15" s="1"/>
  <c r="Q30" i="15"/>
  <c r="P48" i="15"/>
  <c r="P50" i="15" s="1"/>
  <c r="P53" i="15" s="1"/>
  <c r="P176" i="15" s="1"/>
  <c r="D51" i="15"/>
  <c r="R95" i="15"/>
  <c r="R178" i="15" s="1"/>
  <c r="C127" i="15"/>
  <c r="U128" i="15"/>
  <c r="T140" i="15"/>
  <c r="T142" i="15" s="1"/>
  <c r="T144" i="15" s="1"/>
  <c r="I147" i="15"/>
  <c r="I185" i="15" s="1"/>
  <c r="L147" i="15"/>
  <c r="L185" i="15" s="1"/>
  <c r="L189" i="15" s="1"/>
  <c r="C165" i="15"/>
  <c r="C186" i="15" s="1"/>
  <c r="C189" i="15" s="1"/>
  <c r="L165" i="15"/>
  <c r="L186" i="15" s="1"/>
  <c r="S163" i="15"/>
  <c r="C38" i="19"/>
  <c r="D22" i="19"/>
  <c r="D21" i="19"/>
  <c r="R22" i="15"/>
  <c r="R24" i="15" s="1"/>
  <c r="V26" i="15"/>
  <c r="X26" i="15" s="1"/>
  <c r="X27" i="15" s="1"/>
  <c r="N27" i="15"/>
  <c r="N29" i="15" s="1"/>
  <c r="N32" i="15" s="1"/>
  <c r="N174" i="15" s="1"/>
  <c r="E48" i="15"/>
  <c r="E50" i="15" s="1"/>
  <c r="E53" i="15" s="1"/>
  <c r="E176" i="15" s="1"/>
  <c r="K73" i="15"/>
  <c r="M73" i="15"/>
  <c r="Q73" i="15"/>
  <c r="AA80" i="15"/>
  <c r="AB80" i="15" s="1"/>
  <c r="I81" i="15"/>
  <c r="I85" i="15" s="1"/>
  <c r="I88" i="15" s="1"/>
  <c r="I90" i="15" s="1"/>
  <c r="I92" i="15" s="1"/>
  <c r="I95" i="15" s="1"/>
  <c r="I178" i="15" s="1"/>
  <c r="E85" i="15"/>
  <c r="E88" i="15" s="1"/>
  <c r="E90" i="15" s="1"/>
  <c r="E92" i="15" s="1"/>
  <c r="E95" i="15" s="1"/>
  <c r="E178" i="15" s="1"/>
  <c r="E181" i="15" s="1"/>
  <c r="E191" i="15" s="1"/>
  <c r="Q93" i="15"/>
  <c r="F108" i="15"/>
  <c r="K108" i="15"/>
  <c r="M108" i="15"/>
  <c r="X108" i="15"/>
  <c r="X111" i="15" s="1"/>
  <c r="X179" i="15" s="1"/>
  <c r="L111" i="15"/>
  <c r="L179" i="15" s="1"/>
  <c r="Z117" i="15"/>
  <c r="AA117" i="15" s="1"/>
  <c r="P122" i="15"/>
  <c r="P124" i="15" s="1"/>
  <c r="P126" i="15" s="1"/>
  <c r="P127" i="15" s="1"/>
  <c r="P130" i="15" s="1"/>
  <c r="P184" i="15" s="1"/>
  <c r="V126" i="15"/>
  <c r="X126" i="15" s="1"/>
  <c r="Z126" i="15" s="1"/>
  <c r="AA126" i="15" s="1"/>
  <c r="AB126" i="15" s="1"/>
  <c r="AC126" i="15" s="1"/>
  <c r="D145" i="15"/>
  <c r="F145" i="15"/>
  <c r="H145" i="15"/>
  <c r="K145" i="15"/>
  <c r="M145" i="15"/>
  <c r="Q145" i="15"/>
  <c r="D163" i="15"/>
  <c r="H163" i="15"/>
  <c r="K163" i="15"/>
  <c r="M163" i="15"/>
  <c r="O163" i="15"/>
  <c r="Q163" i="15"/>
  <c r="T165" i="15"/>
  <c r="T186" i="15" s="1"/>
  <c r="N189" i="15"/>
  <c r="AA3" i="15"/>
  <c r="AB3" i="15"/>
  <c r="D37" i="17"/>
  <c r="D38" i="17" s="1"/>
  <c r="AA181" i="16"/>
  <c r="AA191" i="16" s="1"/>
  <c r="AA195" i="16" s="1"/>
  <c r="F9" i="17"/>
  <c r="F11" i="17" s="1"/>
  <c r="Z195" i="16"/>
  <c r="E20" i="17"/>
  <c r="AC73" i="16"/>
  <c r="AC75" i="16" s="1"/>
  <c r="AC177" i="16" s="1"/>
  <c r="G9" i="19" s="1"/>
  <c r="G11" i="19" s="1"/>
  <c r="AB75" i="16"/>
  <c r="AB177" i="16" s="1"/>
  <c r="F9" i="19" s="1"/>
  <c r="F11" i="19" s="1"/>
  <c r="AA85" i="15"/>
  <c r="AA88" i="15" s="1"/>
  <c r="AA90" i="15" s="1"/>
  <c r="AA92" i="15" s="1"/>
  <c r="Z47" i="15"/>
  <c r="AA47" i="15" s="1"/>
  <c r="AB47" i="15" s="1"/>
  <c r="AC47" i="15" s="1"/>
  <c r="N181" i="15"/>
  <c r="N191" i="15" s="1"/>
  <c r="E189" i="15"/>
  <c r="V66" i="15"/>
  <c r="V68" i="15" s="1"/>
  <c r="Z26" i="15"/>
  <c r="AA26" i="15" s="1"/>
  <c r="AB26" i="15" s="1"/>
  <c r="AC26" i="15" s="1"/>
  <c r="T93" i="15"/>
  <c r="S93" i="15" s="1"/>
  <c r="AA119" i="15"/>
  <c r="AB117" i="15" s="1"/>
  <c r="Z137" i="15"/>
  <c r="Z157" i="15"/>
  <c r="Z160" i="15" s="1"/>
  <c r="Z162" i="15" s="1"/>
  <c r="AA152" i="15"/>
  <c r="Z60" i="15"/>
  <c r="Z42" i="15"/>
  <c r="AA37" i="15" s="1"/>
  <c r="AA19" i="15"/>
  <c r="Z22" i="15"/>
  <c r="Z24" i="15" s="1"/>
  <c r="O51" i="15"/>
  <c r="AC80" i="15"/>
  <c r="AC85" i="15" s="1"/>
  <c r="AC88" i="15" s="1"/>
  <c r="AC90" i="15" s="1"/>
  <c r="AC92" i="15" s="1"/>
  <c r="AB85" i="15"/>
  <c r="AB88" i="15" s="1"/>
  <c r="AB90" i="15" s="1"/>
  <c r="AB92" i="15" s="1"/>
  <c r="K51" i="15"/>
  <c r="M51" i="15"/>
  <c r="R26" i="15"/>
  <c r="R27" i="15" s="1"/>
  <c r="R29" i="15" s="1"/>
  <c r="R32" i="15" s="1"/>
  <c r="R174" i="15" s="1"/>
  <c r="L53" i="15"/>
  <c r="L176" i="15" s="1"/>
  <c r="L181" i="15" s="1"/>
  <c r="S51" i="15"/>
  <c r="T69" i="15"/>
  <c r="T70" i="15" s="1"/>
  <c r="T72" i="15" s="1"/>
  <c r="V93" i="15"/>
  <c r="V95" i="15" s="1"/>
  <c r="V178" i="15" s="1"/>
  <c r="C10" i="14" s="1"/>
  <c r="T26" i="15"/>
  <c r="T27" i="15" s="1"/>
  <c r="T29" i="15" s="1"/>
  <c r="T32" i="15" s="1"/>
  <c r="T174" i="15" s="1"/>
  <c r="T145" i="15"/>
  <c r="S145" i="15" s="1"/>
  <c r="R126" i="15"/>
  <c r="R127" i="15" s="1"/>
  <c r="R130" i="15" s="1"/>
  <c r="R184" i="15" s="1"/>
  <c r="P26" i="15"/>
  <c r="P27" i="15" s="1"/>
  <c r="P29" i="15" s="1"/>
  <c r="P32" i="15" s="1"/>
  <c r="P174" i="15" s="1"/>
  <c r="Z30" i="15"/>
  <c r="AA30" i="15" s="1"/>
  <c r="AB30" i="15" s="1"/>
  <c r="AC30" i="15" s="1"/>
  <c r="X28" i="15"/>
  <c r="V163" i="15"/>
  <c r="V165" i="15" s="1"/>
  <c r="V186" i="15" s="1"/>
  <c r="C16" i="14" s="1"/>
  <c r="AA122" i="15"/>
  <c r="AA124" i="15" s="1"/>
  <c r="AA127" i="15" s="1"/>
  <c r="AA130" i="15" s="1"/>
  <c r="AA184" i="15" s="1"/>
  <c r="G14" i="14" s="1"/>
  <c r="AB20" i="15"/>
  <c r="AA13" i="15"/>
  <c r="AB13" i="15" s="1"/>
  <c r="I27" i="15"/>
  <c r="I29" i="15" s="1"/>
  <c r="I30" i="15" s="1"/>
  <c r="H30" i="15" s="1"/>
  <c r="X48" i="15"/>
  <c r="X50" i="15" s="1"/>
  <c r="Z45" i="15"/>
  <c r="T53" i="15"/>
  <c r="T176" i="15" s="1"/>
  <c r="R111" i="15"/>
  <c r="R179" i="15" s="1"/>
  <c r="S108" i="15"/>
  <c r="Q108" i="15"/>
  <c r="T126" i="15"/>
  <c r="T127" i="15" s="1"/>
  <c r="T130" i="15" s="1"/>
  <c r="T184" i="15" s="1"/>
  <c r="V145" i="15"/>
  <c r="L122" i="15"/>
  <c r="L124" i="15" s="1"/>
  <c r="N126" i="15"/>
  <c r="F163" i="15"/>
  <c r="Z122" i="15"/>
  <c r="Z124" i="15" s="1"/>
  <c r="V127" i="15"/>
  <c r="V130" i="15" s="1"/>
  <c r="V184" i="15" s="1"/>
  <c r="C14" i="14" s="1"/>
  <c r="V48" i="15"/>
  <c r="V50" i="15" s="1"/>
  <c r="R65" i="15"/>
  <c r="R68" i="15" s="1"/>
  <c r="R70" i="15" s="1"/>
  <c r="R72" i="15" s="1"/>
  <c r="R75" i="15" s="1"/>
  <c r="R177" i="15" s="1"/>
  <c r="O93" i="15"/>
  <c r="P178" i="15"/>
  <c r="I181" i="15"/>
  <c r="R53" i="15"/>
  <c r="R176" i="15" s="1"/>
  <c r="O108" i="15"/>
  <c r="P179" i="15"/>
  <c r="Z135" i="15"/>
  <c r="I189" i="15"/>
  <c r="L26" i="15"/>
  <c r="L27" i="15" s="1"/>
  <c r="L29" i="15" s="1"/>
  <c r="L30" i="15" s="1"/>
  <c r="G122" i="15"/>
  <c r="G124" i="15" s="1"/>
  <c r="G127" i="15" s="1"/>
  <c r="G130" i="15" s="1"/>
  <c r="G184" i="15" s="1"/>
  <c r="G189" i="15" s="1"/>
  <c r="G65" i="15"/>
  <c r="G68" i="15" s="1"/>
  <c r="G70" i="15" s="1"/>
  <c r="G72" i="15" s="1"/>
  <c r="G75" i="15" s="1"/>
  <c r="G177" i="15" s="1"/>
  <c r="G181" i="15" s="1"/>
  <c r="G191" i="15" s="1"/>
  <c r="R140" i="15"/>
  <c r="R142" i="15" s="1"/>
  <c r="R144" i="15" s="1"/>
  <c r="R147" i="15" s="1"/>
  <c r="R185" i="15" s="1"/>
  <c r="X144" i="15"/>
  <c r="U108" i="15"/>
  <c r="C111" i="15"/>
  <c r="C179" i="15" s="1"/>
  <c r="C181" i="15" s="1"/>
  <c r="X85" i="15"/>
  <c r="X88" i="15" s="1"/>
  <c r="X90" i="15" s="1"/>
  <c r="X92" i="15" s="1"/>
  <c r="V111" i="15"/>
  <c r="V179" i="15" s="1"/>
  <c r="E5" i="14"/>
  <c r="F5" i="14" s="1"/>
  <c r="G5" i="14" s="1"/>
  <c r="H5" i="14" s="1"/>
  <c r="I5" i="14" s="1"/>
  <c r="N5" i="14"/>
  <c r="O5" i="14" s="1"/>
  <c r="P5" i="14" s="1"/>
  <c r="Q5" i="14" s="1"/>
  <c r="R5" i="14" s="1"/>
  <c r="G193" i="15" l="1"/>
  <c r="Z127" i="15"/>
  <c r="Z130" i="15" s="1"/>
  <c r="Z184" i="15" s="1"/>
  <c r="F14" i="14" s="1"/>
  <c r="Z108" i="15"/>
  <c r="AA108" i="15" s="1"/>
  <c r="T147" i="15"/>
  <c r="T185" i="15" s="1"/>
  <c r="T189" i="15" s="1"/>
  <c r="G12" i="19"/>
  <c r="G20" i="19"/>
  <c r="C191" i="15"/>
  <c r="C193" i="15" s="1"/>
  <c r="L191" i="15"/>
  <c r="N193" i="15" s="1"/>
  <c r="P185" i="15"/>
  <c r="V27" i="15"/>
  <c r="V29" i="15" s="1"/>
  <c r="V32" i="15" s="1"/>
  <c r="V174" i="15" s="1"/>
  <c r="C7" i="14" s="1"/>
  <c r="F12" i="19"/>
  <c r="F20" i="19"/>
  <c r="E21" i="19"/>
  <c r="E22" i="19"/>
  <c r="P189" i="15"/>
  <c r="R181" i="15"/>
  <c r="T95" i="15"/>
  <c r="T178" i="15" s="1"/>
  <c r="X127" i="15"/>
  <c r="X130" i="15" s="1"/>
  <c r="X184" i="15" s="1"/>
  <c r="E14" i="14" s="1"/>
  <c r="C27" i="14" s="1"/>
  <c r="AA193" i="16"/>
  <c r="AC181" i="16"/>
  <c r="AC191" i="16" s="1"/>
  <c r="H9" i="17"/>
  <c r="H11" i="17" s="1"/>
  <c r="F20" i="17"/>
  <c r="AB181" i="16"/>
  <c r="AB191" i="16" s="1"/>
  <c r="AB195" i="16" s="1"/>
  <c r="G9" i="17"/>
  <c r="G11" i="17" s="1"/>
  <c r="V69" i="15"/>
  <c r="X69" i="15" s="1"/>
  <c r="V70" i="15"/>
  <c r="V72" i="15" s="1"/>
  <c r="M30" i="15"/>
  <c r="K30" i="15"/>
  <c r="AA135" i="15"/>
  <c r="Z140" i="15"/>
  <c r="Z142" i="15" s="1"/>
  <c r="Z144" i="15" s="1"/>
  <c r="AC20" i="15"/>
  <c r="AA22" i="15"/>
  <c r="AA24" i="15" s="1"/>
  <c r="AA27" i="15" s="1"/>
  <c r="AA29" i="15" s="1"/>
  <c r="AA32" i="15" s="1"/>
  <c r="AA174" i="15" s="1"/>
  <c r="G7" i="14" s="1"/>
  <c r="Z61" i="15"/>
  <c r="AA57" i="15"/>
  <c r="Z62" i="15"/>
  <c r="Z65" i="15" s="1"/>
  <c r="Z68" i="15" s="1"/>
  <c r="O128" i="15"/>
  <c r="AA157" i="15"/>
  <c r="AA160" i="15" s="1"/>
  <c r="AA162" i="15" s="1"/>
  <c r="AB152" i="15"/>
  <c r="V51" i="15"/>
  <c r="X51" i="15" s="1"/>
  <c r="V53" i="15"/>
  <c r="V176" i="15" s="1"/>
  <c r="C8" i="14" s="1"/>
  <c r="L126" i="15"/>
  <c r="L127" i="15"/>
  <c r="L128" i="15" s="1"/>
  <c r="K128" i="15" s="1"/>
  <c r="AA45" i="15"/>
  <c r="Z46" i="15"/>
  <c r="Z48" i="15" s="1"/>
  <c r="Z50" i="15" s="1"/>
  <c r="P181" i="15"/>
  <c r="X29" i="15"/>
  <c r="X32" i="15" s="1"/>
  <c r="X174" i="15" s="1"/>
  <c r="E7" i="14" s="1"/>
  <c r="C26" i="14" s="1"/>
  <c r="AA42" i="15"/>
  <c r="AB37" i="15" s="1"/>
  <c r="AA60" i="15"/>
  <c r="AB19" i="15"/>
  <c r="AC13" i="15" s="1"/>
  <c r="U145" i="15"/>
  <c r="X145" i="15"/>
  <c r="Z145" i="15" s="1"/>
  <c r="AA145" i="15" s="1"/>
  <c r="AB145" i="15" s="1"/>
  <c r="AC145" i="15" s="1"/>
  <c r="V147" i="15"/>
  <c r="V185" i="15" s="1"/>
  <c r="C15" i="14" s="1"/>
  <c r="Z111" i="15"/>
  <c r="Z179" i="15" s="1"/>
  <c r="X93" i="15"/>
  <c r="Z93" i="15" s="1"/>
  <c r="U93" i="15"/>
  <c r="AB119" i="15"/>
  <c r="AB122" i="15" s="1"/>
  <c r="AB124" i="15" s="1"/>
  <c r="AB127" i="15" s="1"/>
  <c r="AB130" i="15" s="1"/>
  <c r="AB184" i="15" s="1"/>
  <c r="H14" i="14" s="1"/>
  <c r="AA137" i="15"/>
  <c r="T73" i="15"/>
  <c r="S73" i="15" s="1"/>
  <c r="I191" i="15"/>
  <c r="I193" i="15" s="1"/>
  <c r="U163" i="15"/>
  <c r="X163" i="15"/>
  <c r="R189" i="15"/>
  <c r="Z27" i="15"/>
  <c r="Z29" i="15" s="1"/>
  <c r="Z32" i="15" s="1"/>
  <c r="Z174" i="15" s="1"/>
  <c r="F7" i="14" s="1"/>
  <c r="N195" i="15"/>
  <c r="X117" i="13"/>
  <c r="V128" i="13"/>
  <c r="T128" i="13"/>
  <c r="V125" i="13"/>
  <c r="Z13" i="13"/>
  <c r="X37" i="13"/>
  <c r="V30" i="13"/>
  <c r="X30" i="13" s="1"/>
  <c r="X28" i="13" s="1"/>
  <c r="T30" i="13"/>
  <c r="R191" i="15" l="1"/>
  <c r="X95" i="15"/>
  <c r="X178" i="15" s="1"/>
  <c r="E10" i="14" s="1"/>
  <c r="C32" i="14" s="1"/>
  <c r="F21" i="19"/>
  <c r="F22" i="19"/>
  <c r="G21" i="19"/>
  <c r="G22" i="19"/>
  <c r="E193" i="15"/>
  <c r="P191" i="15"/>
  <c r="R193" i="15" s="1"/>
  <c r="U128" i="13"/>
  <c r="V189" i="15"/>
  <c r="L193" i="15"/>
  <c r="M128" i="15"/>
  <c r="AC193" i="16"/>
  <c r="G20" i="17"/>
  <c r="AC195" i="16"/>
  <c r="AB193" i="16"/>
  <c r="H20" i="17"/>
  <c r="AB108" i="15"/>
  <c r="AA111" i="15"/>
  <c r="AA179" i="15" s="1"/>
  <c r="AB45" i="15"/>
  <c r="AA46" i="15"/>
  <c r="AA48" i="15" s="1"/>
  <c r="AA50" i="15" s="1"/>
  <c r="L195" i="15"/>
  <c r="AB57" i="15"/>
  <c r="AA61" i="15"/>
  <c r="AA62" i="15" s="1"/>
  <c r="AA65" i="15" s="1"/>
  <c r="AA68" i="15" s="1"/>
  <c r="Z163" i="15"/>
  <c r="X165" i="15"/>
  <c r="X186" i="15" s="1"/>
  <c r="E16" i="14" s="1"/>
  <c r="C33" i="14" s="1"/>
  <c r="AC117" i="15"/>
  <c r="AB60" i="15"/>
  <c r="AC19" i="15"/>
  <c r="AB42" i="15"/>
  <c r="AC37" i="15" s="1"/>
  <c r="U51" i="15"/>
  <c r="AB22" i="15"/>
  <c r="AB24" i="15" s="1"/>
  <c r="AB27" i="15" s="1"/>
  <c r="AB29" i="15" s="1"/>
  <c r="AB32" i="15" s="1"/>
  <c r="AB174" i="15" s="1"/>
  <c r="H7" i="14" s="1"/>
  <c r="Z69" i="15"/>
  <c r="AA69" i="15" s="1"/>
  <c r="AB69" i="15" s="1"/>
  <c r="AC69" i="15" s="1"/>
  <c r="X70" i="15"/>
  <c r="X72" i="15" s="1"/>
  <c r="AA93" i="15"/>
  <c r="Z95" i="15"/>
  <c r="Z178" i="15" s="1"/>
  <c r="F10" i="14" s="1"/>
  <c r="P193" i="15"/>
  <c r="AB157" i="15"/>
  <c r="AB160" i="15" s="1"/>
  <c r="AB162" i="15" s="1"/>
  <c r="AC152" i="15"/>
  <c r="AC157" i="15" s="1"/>
  <c r="AC160" i="15" s="1"/>
  <c r="AC162" i="15" s="1"/>
  <c r="AC22" i="15"/>
  <c r="AC24" i="15" s="1"/>
  <c r="AC27" i="15" s="1"/>
  <c r="AC29" i="15" s="1"/>
  <c r="AC32" i="15" s="1"/>
  <c r="AC174" i="15" s="1"/>
  <c r="I7" i="14" s="1"/>
  <c r="AB135" i="15"/>
  <c r="AA140" i="15"/>
  <c r="AA142" i="15" s="1"/>
  <c r="AA144" i="15" s="1"/>
  <c r="AA147" i="15" s="1"/>
  <c r="AA185" i="15" s="1"/>
  <c r="G15" i="14" s="1"/>
  <c r="T75" i="15"/>
  <c r="T177" i="15" s="1"/>
  <c r="T181" i="15" s="1"/>
  <c r="T191" i="15" s="1"/>
  <c r="AC119" i="15"/>
  <c r="AC137" i="15" s="1"/>
  <c r="AB137" i="15"/>
  <c r="V73" i="15"/>
  <c r="V75" i="15"/>
  <c r="V177" i="15" s="1"/>
  <c r="C9" i="14" s="1"/>
  <c r="X147" i="15"/>
  <c r="X185" i="15" s="1"/>
  <c r="E15" i="14" s="1"/>
  <c r="C30" i="14" s="1"/>
  <c r="Z147" i="15"/>
  <c r="Z185" i="15" s="1"/>
  <c r="F15" i="14" s="1"/>
  <c r="U30" i="13"/>
  <c r="V25" i="13"/>
  <c r="P195" i="15" l="1"/>
  <c r="R195" i="15"/>
  <c r="V181" i="15"/>
  <c r="V191" i="15" s="1"/>
  <c r="V193" i="15" s="1"/>
  <c r="X189" i="15"/>
  <c r="Z70" i="15"/>
  <c r="Z72" i="15" s="1"/>
  <c r="AA70" i="15"/>
  <c r="AA72" i="15" s="1"/>
  <c r="AB93" i="15"/>
  <c r="AA95" i="15"/>
  <c r="AA178" i="15" s="1"/>
  <c r="G10" i="14" s="1"/>
  <c r="AA163" i="15"/>
  <c r="Z165" i="15"/>
  <c r="Z186" i="15" s="1"/>
  <c r="AC45" i="15"/>
  <c r="AB46" i="15"/>
  <c r="AB48" i="15" s="1"/>
  <c r="AB50" i="15" s="1"/>
  <c r="AC135" i="15"/>
  <c r="AC140" i="15" s="1"/>
  <c r="AC142" i="15" s="1"/>
  <c r="AC144" i="15" s="1"/>
  <c r="AC147" i="15" s="1"/>
  <c r="AC185" i="15" s="1"/>
  <c r="I15" i="14" s="1"/>
  <c r="AB140" i="15"/>
  <c r="AB142" i="15" s="1"/>
  <c r="AB144" i="15" s="1"/>
  <c r="AB147" i="15" s="1"/>
  <c r="AB185" i="15" s="1"/>
  <c r="H15" i="14" s="1"/>
  <c r="AC108" i="15"/>
  <c r="AC111" i="15" s="1"/>
  <c r="AC179" i="15" s="1"/>
  <c r="AB111" i="15"/>
  <c r="AB179" i="15" s="1"/>
  <c r="T193" i="15"/>
  <c r="T195" i="15"/>
  <c r="AC42" i="15"/>
  <c r="AC60" i="15"/>
  <c r="U73" i="15"/>
  <c r="X73" i="15"/>
  <c r="Z73" i="15" s="1"/>
  <c r="AA73" i="15" s="1"/>
  <c r="AB73" i="15" s="1"/>
  <c r="AC73" i="15" s="1"/>
  <c r="AC122" i="15"/>
  <c r="AC124" i="15" s="1"/>
  <c r="AC127" i="15" s="1"/>
  <c r="AC130" i="15" s="1"/>
  <c r="AC184" i="15" s="1"/>
  <c r="I14" i="14" s="1"/>
  <c r="AC57" i="15"/>
  <c r="AB61" i="15"/>
  <c r="AB62" i="15" s="1"/>
  <c r="AB65" i="15" s="1"/>
  <c r="AB68" i="15" s="1"/>
  <c r="AB70" i="15" s="1"/>
  <c r="AB72" i="15" s="1"/>
  <c r="Z51" i="15"/>
  <c r="X53" i="15"/>
  <c r="X176" i="15" s="1"/>
  <c r="E8" i="14" s="1"/>
  <c r="C29" i="14" s="1"/>
  <c r="N184" i="13"/>
  <c r="L184" i="13"/>
  <c r="I184" i="13"/>
  <c r="C184" i="13"/>
  <c r="L174" i="13"/>
  <c r="I174" i="13"/>
  <c r="AB172" i="13"/>
  <c r="AC172" i="13" s="1"/>
  <c r="Y163" i="13"/>
  <c r="W163" i="13"/>
  <c r="R163" i="13"/>
  <c r="P163" i="13"/>
  <c r="N163" i="13"/>
  <c r="L163" i="13"/>
  <c r="M163" i="13" s="1"/>
  <c r="I163" i="13"/>
  <c r="K163" i="13" s="1"/>
  <c r="G163" i="13"/>
  <c r="H163" i="13" s="1"/>
  <c r="E163" i="13"/>
  <c r="C163" i="13"/>
  <c r="D163" i="13" s="1"/>
  <c r="V157" i="13"/>
  <c r="V160" i="13" s="1"/>
  <c r="V162" i="13" s="1"/>
  <c r="V163" i="13" s="1"/>
  <c r="T157" i="13"/>
  <c r="T160" i="13" s="1"/>
  <c r="T162" i="13" s="1"/>
  <c r="R157" i="13"/>
  <c r="R160" i="13" s="1"/>
  <c r="R162" i="13" s="1"/>
  <c r="P157" i="13"/>
  <c r="P160" i="13" s="1"/>
  <c r="P162" i="13" s="1"/>
  <c r="N157" i="13"/>
  <c r="N160" i="13" s="1"/>
  <c r="N162" i="13" s="1"/>
  <c r="N165" i="13" s="1"/>
  <c r="N186" i="13" s="1"/>
  <c r="L157" i="13"/>
  <c r="L160" i="13" s="1"/>
  <c r="L162" i="13" s="1"/>
  <c r="L165" i="13" s="1"/>
  <c r="L186" i="13" s="1"/>
  <c r="I157" i="13"/>
  <c r="I160" i="13" s="1"/>
  <c r="I162" i="13" s="1"/>
  <c r="G157" i="13"/>
  <c r="G160" i="13" s="1"/>
  <c r="G162" i="13" s="1"/>
  <c r="E157" i="13"/>
  <c r="E160" i="13" s="1"/>
  <c r="E162" i="13" s="1"/>
  <c r="E165" i="13" s="1"/>
  <c r="E186" i="13" s="1"/>
  <c r="C157" i="13"/>
  <c r="C160" i="13" s="1"/>
  <c r="C162" i="13" s="1"/>
  <c r="C165" i="13" s="1"/>
  <c r="C186" i="13" s="1"/>
  <c r="Z154" i="13"/>
  <c r="AA154" i="13" s="1"/>
  <c r="AB154" i="13" s="1"/>
  <c r="AC154" i="13" s="1"/>
  <c r="X153" i="13"/>
  <c r="X152" i="13"/>
  <c r="X157" i="13" s="1"/>
  <c r="X160" i="13" s="1"/>
  <c r="X162" i="13" s="1"/>
  <c r="Y145" i="13"/>
  <c r="W145" i="13"/>
  <c r="R145" i="13"/>
  <c r="P145" i="13"/>
  <c r="Q145" i="13" s="1"/>
  <c r="N145" i="13"/>
  <c r="L145" i="13"/>
  <c r="I145" i="13"/>
  <c r="G145" i="13"/>
  <c r="E145" i="13"/>
  <c r="C145" i="13"/>
  <c r="G143" i="13"/>
  <c r="V140" i="13"/>
  <c r="V142" i="13" s="1"/>
  <c r="V144" i="13" s="1"/>
  <c r="V145" i="13" s="1"/>
  <c r="L140" i="13"/>
  <c r="L142" i="13" s="1"/>
  <c r="L144" i="13" s="1"/>
  <c r="E140" i="13"/>
  <c r="E142" i="13" s="1"/>
  <c r="E144" i="13" s="1"/>
  <c r="C140" i="13"/>
  <c r="C142" i="13" s="1"/>
  <c r="C144" i="13" s="1"/>
  <c r="C147" i="13" s="1"/>
  <c r="C185" i="13" s="1"/>
  <c r="X139" i="13"/>
  <c r="Z139" i="13" s="1"/>
  <c r="AA139" i="13" s="1"/>
  <c r="AB139" i="13" s="1"/>
  <c r="AC139" i="13" s="1"/>
  <c r="T139" i="13"/>
  <c r="R139" i="13"/>
  <c r="P139" i="13"/>
  <c r="P140" i="13" s="1"/>
  <c r="P142" i="13" s="1"/>
  <c r="P144" i="13" s="1"/>
  <c r="N139" i="13"/>
  <c r="N140" i="13" s="1"/>
  <c r="N142" i="13" s="1"/>
  <c r="N144" i="13" s="1"/>
  <c r="I139" i="13"/>
  <c r="I140" i="13" s="1"/>
  <c r="I142" i="13" s="1"/>
  <c r="I144" i="13" s="1"/>
  <c r="I147" i="13" s="1"/>
  <c r="I185" i="13" s="1"/>
  <c r="G139" i="13"/>
  <c r="G140" i="13" s="1"/>
  <c r="G142" i="13" s="1"/>
  <c r="X137" i="13"/>
  <c r="T137" i="13"/>
  <c r="R137" i="13"/>
  <c r="T136" i="13"/>
  <c r="R136" i="13"/>
  <c r="X135" i="13"/>
  <c r="AC132" i="13"/>
  <c r="AB132" i="13"/>
  <c r="E130" i="13"/>
  <c r="E184" i="13" s="1"/>
  <c r="Y128" i="13"/>
  <c r="W128" i="13"/>
  <c r="X128" i="13" s="1"/>
  <c r="Z128" i="13" s="1"/>
  <c r="AA128" i="13" s="1"/>
  <c r="AB128" i="13" s="1"/>
  <c r="AC128" i="13" s="1"/>
  <c r="R128" i="13"/>
  <c r="S128" i="13" s="1"/>
  <c r="P128" i="13"/>
  <c r="Q128" i="13" s="1"/>
  <c r="F128" i="13"/>
  <c r="D128" i="13"/>
  <c r="I126" i="13"/>
  <c r="G126" i="13"/>
  <c r="C126" i="13"/>
  <c r="V122" i="13"/>
  <c r="V124" i="13" s="1"/>
  <c r="I122" i="13"/>
  <c r="I124" i="13" s="1"/>
  <c r="I127" i="13" s="1"/>
  <c r="I128" i="13" s="1"/>
  <c r="H128" i="13" s="1"/>
  <c r="E122" i="13"/>
  <c r="E124" i="13" s="1"/>
  <c r="E126" i="13" s="1"/>
  <c r="C122" i="13"/>
  <c r="C124" i="13" s="1"/>
  <c r="X121" i="13"/>
  <c r="Z121" i="13" s="1"/>
  <c r="AA121" i="13" s="1"/>
  <c r="AB121" i="13" s="1"/>
  <c r="AC121" i="13" s="1"/>
  <c r="T121" i="13"/>
  <c r="N121" i="13"/>
  <c r="L121" i="13"/>
  <c r="G121" i="13"/>
  <c r="X120" i="13"/>
  <c r="Z120" i="13" s="1"/>
  <c r="AA120" i="13" s="1"/>
  <c r="AB120" i="13" s="1"/>
  <c r="AC120" i="13" s="1"/>
  <c r="T120" i="13"/>
  <c r="T122" i="13" s="1"/>
  <c r="T124" i="13" s="1"/>
  <c r="T126" i="13" s="1"/>
  <c r="R120" i="13"/>
  <c r="R122" i="13" s="1"/>
  <c r="R124" i="13" s="1"/>
  <c r="R126" i="13" s="1"/>
  <c r="P120" i="13"/>
  <c r="N120" i="13"/>
  <c r="L120" i="13"/>
  <c r="G120" i="13"/>
  <c r="Z119" i="13"/>
  <c r="AA119" i="13" s="1"/>
  <c r="AC118" i="13"/>
  <c r="AC136" i="13" s="1"/>
  <c r="AB118" i="13"/>
  <c r="AA118" i="13"/>
  <c r="AA136" i="13" s="1"/>
  <c r="Z118" i="13"/>
  <c r="Z136" i="13" s="1"/>
  <c r="X118" i="13"/>
  <c r="X136" i="13" s="1"/>
  <c r="P117" i="13"/>
  <c r="P121" i="13" s="1"/>
  <c r="AC114" i="13"/>
  <c r="AB114" i="13"/>
  <c r="N111" i="13"/>
  <c r="N179" i="13" s="1"/>
  <c r="G111" i="13"/>
  <c r="G179" i="13" s="1"/>
  <c r="Y108" i="13"/>
  <c r="W108" i="13"/>
  <c r="T108" i="13"/>
  <c r="T111" i="13" s="1"/>
  <c r="T179" i="13" s="1"/>
  <c r="R108" i="13"/>
  <c r="R111" i="13" s="1"/>
  <c r="R179" i="13" s="1"/>
  <c r="P108" i="13"/>
  <c r="P111" i="13" s="1"/>
  <c r="L108" i="13"/>
  <c r="I108" i="13"/>
  <c r="H108" i="13" s="1"/>
  <c r="E108" i="13"/>
  <c r="C108" i="13"/>
  <c r="C111" i="13" s="1"/>
  <c r="C179" i="13" s="1"/>
  <c r="V101" i="13"/>
  <c r="AC97" i="13"/>
  <c r="AB97" i="13"/>
  <c r="AA97" i="13"/>
  <c r="Z97" i="13"/>
  <c r="Y93" i="13"/>
  <c r="W93" i="13"/>
  <c r="R93" i="13"/>
  <c r="P93" i="13"/>
  <c r="Q93" i="13" s="1"/>
  <c r="M93" i="13"/>
  <c r="I93" i="13"/>
  <c r="H93" i="13" s="1"/>
  <c r="F93" i="13"/>
  <c r="D93" i="13"/>
  <c r="L90" i="13"/>
  <c r="L92" i="13" s="1"/>
  <c r="L95" i="13" s="1"/>
  <c r="L178" i="13" s="1"/>
  <c r="N85" i="13"/>
  <c r="N88" i="13" s="1"/>
  <c r="N90" i="13" s="1"/>
  <c r="N92" i="13" s="1"/>
  <c r="N95" i="13" s="1"/>
  <c r="N178" i="13" s="1"/>
  <c r="L85" i="13"/>
  <c r="AC82" i="13"/>
  <c r="AB82" i="13"/>
  <c r="AA82" i="13"/>
  <c r="Z82" i="13"/>
  <c r="X82" i="13"/>
  <c r="V82" i="13"/>
  <c r="V85" i="13" s="1"/>
  <c r="V88" i="13" s="1"/>
  <c r="V90" i="13" s="1"/>
  <c r="V92" i="13" s="1"/>
  <c r="T82" i="13"/>
  <c r="T85" i="13" s="1"/>
  <c r="T88" i="13" s="1"/>
  <c r="T90" i="13" s="1"/>
  <c r="T92" i="13" s="1"/>
  <c r="R82" i="13"/>
  <c r="R85" i="13" s="1"/>
  <c r="R88" i="13" s="1"/>
  <c r="R90" i="13" s="1"/>
  <c r="R92" i="13" s="1"/>
  <c r="R95" i="13" s="1"/>
  <c r="R178" i="13" s="1"/>
  <c r="P82" i="13"/>
  <c r="P85" i="13" s="1"/>
  <c r="P88" i="13" s="1"/>
  <c r="P90" i="13" s="1"/>
  <c r="P92" i="13" s="1"/>
  <c r="I82" i="13"/>
  <c r="G82" i="13"/>
  <c r="E82" i="13"/>
  <c r="C82" i="13"/>
  <c r="G81" i="13"/>
  <c r="E81" i="13"/>
  <c r="C81" i="13"/>
  <c r="Z80" i="13"/>
  <c r="AA80" i="13" s="1"/>
  <c r="Y73" i="13"/>
  <c r="W73" i="13"/>
  <c r="R73" i="13"/>
  <c r="P73" i="13"/>
  <c r="N73" i="13"/>
  <c r="L73" i="13"/>
  <c r="I73" i="13"/>
  <c r="I81" i="13" s="1"/>
  <c r="I85" i="13" s="1"/>
  <c r="I88" i="13" s="1"/>
  <c r="I90" i="13" s="1"/>
  <c r="I92" i="13" s="1"/>
  <c r="H73" i="13"/>
  <c r="F73" i="13"/>
  <c r="D73" i="13"/>
  <c r="R69" i="13"/>
  <c r="P69" i="13"/>
  <c r="N69" i="13"/>
  <c r="L69" i="13"/>
  <c r="I69" i="13"/>
  <c r="G69" i="13"/>
  <c r="C69" i="13"/>
  <c r="L66" i="13"/>
  <c r="I66" i="13"/>
  <c r="G66" i="13"/>
  <c r="E66" i="13"/>
  <c r="C66" i="13"/>
  <c r="Z64" i="13"/>
  <c r="AA64" i="13" s="1"/>
  <c r="AB64" i="13" s="1"/>
  <c r="AC64" i="13" s="1"/>
  <c r="V64" i="13"/>
  <c r="T64" i="13"/>
  <c r="R64" i="13"/>
  <c r="N64" i="13"/>
  <c r="I64" i="13"/>
  <c r="G64" i="13"/>
  <c r="X62" i="13"/>
  <c r="X65" i="13" s="1"/>
  <c r="X68" i="13" s="1"/>
  <c r="V62" i="13"/>
  <c r="P62" i="13"/>
  <c r="P64" i="13" s="1"/>
  <c r="N62" i="13"/>
  <c r="L62" i="13"/>
  <c r="L65" i="13" s="1"/>
  <c r="I62" i="13"/>
  <c r="G62" i="13"/>
  <c r="E62" i="13"/>
  <c r="E65" i="13" s="1"/>
  <c r="E68" i="13" s="1"/>
  <c r="E70" i="13" s="1"/>
  <c r="E72" i="13" s="1"/>
  <c r="E75" i="13" s="1"/>
  <c r="E177" i="13" s="1"/>
  <c r="C62" i="13"/>
  <c r="C65" i="13" s="1"/>
  <c r="C68" i="13" s="1"/>
  <c r="C70" i="13" s="1"/>
  <c r="C72" i="13" s="1"/>
  <c r="C75" i="13" s="1"/>
  <c r="C177" i="13" s="1"/>
  <c r="T60" i="13"/>
  <c r="T62" i="13" s="1"/>
  <c r="T65" i="13" s="1"/>
  <c r="T68" i="13" s="1"/>
  <c r="R60" i="13"/>
  <c r="R62" i="13" s="1"/>
  <c r="R65" i="13" s="1"/>
  <c r="R68" i="13" s="1"/>
  <c r="AC59" i="13"/>
  <c r="Z57" i="13"/>
  <c r="AC55" i="13"/>
  <c r="AB55" i="13"/>
  <c r="Y51" i="13"/>
  <c r="W51" i="13"/>
  <c r="P51" i="13"/>
  <c r="N51" i="13"/>
  <c r="L51" i="13"/>
  <c r="I51" i="13"/>
  <c r="H51" i="13" s="1"/>
  <c r="E51" i="13"/>
  <c r="F51" i="13" s="1"/>
  <c r="C51" i="13"/>
  <c r="T47" i="13"/>
  <c r="R47" i="13"/>
  <c r="P47" i="13"/>
  <c r="N47" i="13"/>
  <c r="L47" i="13"/>
  <c r="I47" i="13"/>
  <c r="G47" i="13"/>
  <c r="E47" i="13"/>
  <c r="C47" i="13"/>
  <c r="R46" i="13"/>
  <c r="R48" i="13" s="1"/>
  <c r="R50" i="13" s="1"/>
  <c r="G46" i="13"/>
  <c r="G48" i="13" s="1"/>
  <c r="G50" i="13" s="1"/>
  <c r="G53" i="13" s="1"/>
  <c r="G176" i="13" s="1"/>
  <c r="E46" i="13"/>
  <c r="E48" i="13" s="1"/>
  <c r="E50" i="13" s="1"/>
  <c r="E53" i="13" s="1"/>
  <c r="E176" i="13" s="1"/>
  <c r="C46" i="13"/>
  <c r="V45" i="13"/>
  <c r="X45" i="13" s="1"/>
  <c r="T45" i="13"/>
  <c r="T46" i="13" s="1"/>
  <c r="P45" i="13"/>
  <c r="P46" i="13" s="1"/>
  <c r="P48" i="13" s="1"/>
  <c r="P50" i="13" s="1"/>
  <c r="P53" i="13" s="1"/>
  <c r="N45" i="13"/>
  <c r="N46" i="13" s="1"/>
  <c r="L45" i="13"/>
  <c r="L46" i="13" s="1"/>
  <c r="L48" i="13" s="1"/>
  <c r="L50" i="13" s="1"/>
  <c r="L53" i="13" s="1"/>
  <c r="L176" i="13" s="1"/>
  <c r="I45" i="13"/>
  <c r="I46" i="13" s="1"/>
  <c r="X42" i="13"/>
  <c r="AC41" i="13"/>
  <c r="AB41" i="13"/>
  <c r="AA41" i="13"/>
  <c r="Z41" i="13"/>
  <c r="AC40" i="13"/>
  <c r="AB40" i="13"/>
  <c r="AA40" i="13"/>
  <c r="Z40" i="13"/>
  <c r="AC39" i="13"/>
  <c r="AB39" i="13"/>
  <c r="AA39" i="13"/>
  <c r="Z39" i="13"/>
  <c r="Z37" i="13"/>
  <c r="AC34" i="13"/>
  <c r="AB34" i="13"/>
  <c r="R30" i="13"/>
  <c r="S30" i="13" s="1"/>
  <c r="P30" i="13"/>
  <c r="N30" i="13"/>
  <c r="E29" i="13"/>
  <c r="E32" i="13" s="1"/>
  <c r="E174" i="13" s="1"/>
  <c r="I26" i="13"/>
  <c r="G26" i="13"/>
  <c r="C26" i="13"/>
  <c r="X22" i="13"/>
  <c r="X24" i="13" s="1"/>
  <c r="V22" i="13"/>
  <c r="V24" i="13" s="1"/>
  <c r="I22" i="13"/>
  <c r="I24" i="13" s="1"/>
  <c r="I27" i="13" s="1"/>
  <c r="I29" i="13" s="1"/>
  <c r="I30" i="13" s="1"/>
  <c r="H30" i="13" s="1"/>
  <c r="G22" i="13"/>
  <c r="G24" i="13" s="1"/>
  <c r="G27" i="13" s="1"/>
  <c r="G29" i="13" s="1"/>
  <c r="G32" i="13" s="1"/>
  <c r="G174" i="13" s="1"/>
  <c r="E22" i="13"/>
  <c r="E24" i="13" s="1"/>
  <c r="E26" i="13" s="1"/>
  <c r="C22" i="13"/>
  <c r="C24" i="13" s="1"/>
  <c r="Z21" i="13"/>
  <c r="AA21" i="13" s="1"/>
  <c r="AB21" i="13" s="1"/>
  <c r="AC21" i="13" s="1"/>
  <c r="T21" i="13"/>
  <c r="R21" i="13"/>
  <c r="P21" i="13"/>
  <c r="N21" i="13"/>
  <c r="L21" i="13"/>
  <c r="Z20" i="13"/>
  <c r="AA20" i="13" s="1"/>
  <c r="AB20" i="13" s="1"/>
  <c r="T20" i="13"/>
  <c r="R20" i="13"/>
  <c r="R22" i="13" s="1"/>
  <c r="R24" i="13" s="1"/>
  <c r="R26" i="13" s="1"/>
  <c r="R27" i="13" s="1"/>
  <c r="R29" i="13" s="1"/>
  <c r="R32" i="13" s="1"/>
  <c r="R174" i="13" s="1"/>
  <c r="P20" i="13"/>
  <c r="P22" i="13" s="1"/>
  <c r="P24" i="13" s="1"/>
  <c r="N20" i="13"/>
  <c r="L20" i="13"/>
  <c r="Z19" i="13"/>
  <c r="AA19" i="13" s="1"/>
  <c r="AA13" i="13"/>
  <c r="V7" i="13"/>
  <c r="X7" i="13" s="1"/>
  <c r="Z7" i="13" s="1"/>
  <c r="AA7" i="13" s="1"/>
  <c r="AB7" i="13" s="1"/>
  <c r="AC7" i="13" s="1"/>
  <c r="V6" i="13"/>
  <c r="X6" i="13" s="1"/>
  <c r="Z6" i="13" s="1"/>
  <c r="AA6" i="13" s="1"/>
  <c r="AB6" i="13" s="1"/>
  <c r="AC6" i="13" s="1"/>
  <c r="V5" i="13"/>
  <c r="X5" i="13" s="1"/>
  <c r="Z5" i="13" s="1"/>
  <c r="AA5" i="13" s="1"/>
  <c r="AB5" i="13" s="1"/>
  <c r="AC5" i="13" s="1"/>
  <c r="Z59" i="13" l="1"/>
  <c r="V65" i="13"/>
  <c r="T22" i="13"/>
  <c r="T24" i="13" s="1"/>
  <c r="AA59" i="13"/>
  <c r="P147" i="13"/>
  <c r="P185" i="13" s="1"/>
  <c r="G165" i="13"/>
  <c r="G186" i="13" s="1"/>
  <c r="P165" i="13"/>
  <c r="P186" i="13" s="1"/>
  <c r="V195" i="15"/>
  <c r="N147" i="13"/>
  <c r="N185" i="13" s="1"/>
  <c r="AB75" i="15"/>
  <c r="AB177" i="15" s="1"/>
  <c r="H9" i="14" s="1"/>
  <c r="L22" i="13"/>
  <c r="L24" i="13" s="1"/>
  <c r="C27" i="13"/>
  <c r="C29" i="13" s="1"/>
  <c r="C32" i="13" s="1"/>
  <c r="C174" i="13" s="1"/>
  <c r="I48" i="13"/>
  <c r="I50" i="13" s="1"/>
  <c r="T48" i="13"/>
  <c r="T50" i="13" s="1"/>
  <c r="G85" i="13"/>
  <c r="G88" i="13" s="1"/>
  <c r="G90" i="13" s="1"/>
  <c r="G92" i="13" s="1"/>
  <c r="G95" i="13" s="1"/>
  <c r="G178" i="13" s="1"/>
  <c r="N122" i="13"/>
  <c r="N124" i="13" s="1"/>
  <c r="M145" i="13"/>
  <c r="I165" i="13"/>
  <c r="I186" i="13" s="1"/>
  <c r="F163" i="13"/>
  <c r="O30" i="13"/>
  <c r="M51" i="13"/>
  <c r="K73" i="13"/>
  <c r="Q73" i="13"/>
  <c r="K93" i="13"/>
  <c r="K108" i="13"/>
  <c r="M108" i="13"/>
  <c r="E147" i="13"/>
  <c r="E185" i="13" s="1"/>
  <c r="F145" i="13"/>
  <c r="H145" i="13"/>
  <c r="O163" i="13"/>
  <c r="Q163" i="13"/>
  <c r="Z189" i="15"/>
  <c r="F16" i="14"/>
  <c r="AC61" i="15"/>
  <c r="AC62" i="15" s="1"/>
  <c r="AC65" i="15" s="1"/>
  <c r="AC68" i="15" s="1"/>
  <c r="AC70" i="15" s="1"/>
  <c r="AC72" i="15" s="1"/>
  <c r="AC75" i="15" s="1"/>
  <c r="AC177" i="15" s="1"/>
  <c r="I9" i="14" s="1"/>
  <c r="AB163" i="15"/>
  <c r="AA165" i="15"/>
  <c r="AA186" i="15" s="1"/>
  <c r="X75" i="15"/>
  <c r="X177" i="15" s="1"/>
  <c r="AC93" i="15"/>
  <c r="AC95" i="15" s="1"/>
  <c r="AC178" i="15" s="1"/>
  <c r="I10" i="14" s="1"/>
  <c r="AB95" i="15"/>
  <c r="AB178" i="15" s="1"/>
  <c r="H10" i="14" s="1"/>
  <c r="Z75" i="15"/>
  <c r="Z177" i="15" s="1"/>
  <c r="F9" i="14" s="1"/>
  <c r="AA51" i="15"/>
  <c r="Z53" i="15"/>
  <c r="Z176" i="15" s="1"/>
  <c r="F8" i="14" s="1"/>
  <c r="AC46" i="15"/>
  <c r="AC48" i="15" s="1"/>
  <c r="AC50" i="15" s="1"/>
  <c r="AA75" i="15"/>
  <c r="AA177" i="15" s="1"/>
  <c r="G9" i="14" s="1"/>
  <c r="X46" i="13"/>
  <c r="Z45" i="13"/>
  <c r="T26" i="13"/>
  <c r="T27" i="13"/>
  <c r="T29" i="13" s="1"/>
  <c r="T32" i="13" s="1"/>
  <c r="T174" i="13" s="1"/>
  <c r="AA60" i="13"/>
  <c r="AB19" i="13"/>
  <c r="AC19" i="13" s="1"/>
  <c r="I53" i="13"/>
  <c r="I176" i="13" s="1"/>
  <c r="E85" i="13"/>
  <c r="E88" i="13" s="1"/>
  <c r="E90" i="13" s="1"/>
  <c r="E92" i="13" s="1"/>
  <c r="E95" i="13" s="1"/>
  <c r="E178" i="13" s="1"/>
  <c r="N189" i="13"/>
  <c r="C127" i="13"/>
  <c r="K145" i="13"/>
  <c r="K51" i="13"/>
  <c r="G122" i="13"/>
  <c r="G124" i="13" s="1"/>
  <c r="G127" i="13" s="1"/>
  <c r="G130" i="13" s="1"/>
  <c r="G184" i="13" s="1"/>
  <c r="Z137" i="13"/>
  <c r="D145" i="13"/>
  <c r="C189" i="13"/>
  <c r="G65" i="13"/>
  <c r="G68" i="13" s="1"/>
  <c r="G70" i="13" s="1"/>
  <c r="G72" i="13" s="1"/>
  <c r="G75" i="13" s="1"/>
  <c r="G177" i="13" s="1"/>
  <c r="V46" i="13"/>
  <c r="V47" i="13" s="1"/>
  <c r="I65" i="13"/>
  <c r="I68" i="13" s="1"/>
  <c r="I70" i="13" s="1"/>
  <c r="I72" i="13" s="1"/>
  <c r="I75" i="13" s="1"/>
  <c r="I177" i="13" s="1"/>
  <c r="L122" i="13"/>
  <c r="L124" i="13" s="1"/>
  <c r="L126" i="13" s="1"/>
  <c r="L127" i="13" s="1"/>
  <c r="L128" i="13" s="1"/>
  <c r="K128" i="13" s="1"/>
  <c r="V126" i="13"/>
  <c r="X126" i="13" s="1"/>
  <c r="G144" i="13"/>
  <c r="G147" i="13" s="1"/>
  <c r="G185" i="13" s="1"/>
  <c r="G189" i="13" s="1"/>
  <c r="R165" i="13"/>
  <c r="R186" i="13" s="1"/>
  <c r="S108" i="13"/>
  <c r="V26" i="13"/>
  <c r="X26" i="13" s="1"/>
  <c r="C48" i="13"/>
  <c r="C50" i="13" s="1"/>
  <c r="C53" i="13" s="1"/>
  <c r="C176" i="13" s="1"/>
  <c r="L68" i="13"/>
  <c r="L70" i="13" s="1"/>
  <c r="L72" i="13" s="1"/>
  <c r="L75" i="13" s="1"/>
  <c r="L177" i="13" s="1"/>
  <c r="I95" i="13"/>
  <c r="I178" i="13" s="1"/>
  <c r="R140" i="13"/>
  <c r="R142" i="13" s="1"/>
  <c r="R144" i="13" s="1"/>
  <c r="R147" i="13" s="1"/>
  <c r="R185" i="13" s="1"/>
  <c r="V165" i="13"/>
  <c r="V186" i="13" s="1"/>
  <c r="L16" i="14" s="1"/>
  <c r="N22" i="13"/>
  <c r="N24" i="13" s="1"/>
  <c r="N26" i="13" s="1"/>
  <c r="R70" i="13"/>
  <c r="R72" i="13" s="1"/>
  <c r="R75" i="13" s="1"/>
  <c r="R177" i="13" s="1"/>
  <c r="AB13" i="13"/>
  <c r="AC13" i="13" s="1"/>
  <c r="Z60" i="13"/>
  <c r="Z61" i="13" s="1"/>
  <c r="Z62" i="13" s="1"/>
  <c r="Z65" i="13" s="1"/>
  <c r="Z68" i="13" s="1"/>
  <c r="Z22" i="13"/>
  <c r="Z24" i="13" s="1"/>
  <c r="P95" i="13"/>
  <c r="P178" i="13" s="1"/>
  <c r="T140" i="13"/>
  <c r="T142" i="13" s="1"/>
  <c r="T144" i="13" s="1"/>
  <c r="T145" i="13" s="1"/>
  <c r="Q30" i="13"/>
  <c r="N48" i="13"/>
  <c r="N50" i="13" s="1"/>
  <c r="N53" i="13" s="1"/>
  <c r="N176" i="13" s="1"/>
  <c r="L147" i="13"/>
  <c r="L185" i="13" s="1"/>
  <c r="L189" i="13" s="1"/>
  <c r="L26" i="13"/>
  <c r="L27" i="13" s="1"/>
  <c r="L29" i="13" s="1"/>
  <c r="L30" i="13" s="1"/>
  <c r="N126" i="13"/>
  <c r="N127" i="13" s="1"/>
  <c r="N128" i="13" s="1"/>
  <c r="P26" i="13"/>
  <c r="P27" i="13" s="1"/>
  <c r="P29" i="13" s="1"/>
  <c r="P32" i="13" s="1"/>
  <c r="P174" i="13" s="1"/>
  <c r="T51" i="13"/>
  <c r="T53" i="13" s="1"/>
  <c r="T176" i="13" s="1"/>
  <c r="O93" i="13"/>
  <c r="AC20" i="13"/>
  <c r="AC22" i="13" s="1"/>
  <c r="AC24" i="13" s="1"/>
  <c r="AB22" i="13"/>
  <c r="AB24" i="13" s="1"/>
  <c r="R51" i="13"/>
  <c r="Q51" i="13" s="1"/>
  <c r="E189" i="13"/>
  <c r="P176" i="13"/>
  <c r="G181" i="13"/>
  <c r="AC42" i="13"/>
  <c r="X47" i="13"/>
  <c r="Z47" i="13" s="1"/>
  <c r="AA47" i="13" s="1"/>
  <c r="AB47" i="13" s="1"/>
  <c r="AC47" i="13" s="1"/>
  <c r="V48" i="13"/>
  <c r="V50" i="13" s="1"/>
  <c r="AA22" i="13"/>
  <c r="AA24" i="13" s="1"/>
  <c r="AA45" i="13"/>
  <c r="D51" i="13"/>
  <c r="AA57" i="13"/>
  <c r="F108" i="13"/>
  <c r="E111" i="13"/>
  <c r="E179" i="13" s="1"/>
  <c r="D108" i="13"/>
  <c r="AB119" i="13"/>
  <c r="AB60" i="13" s="1"/>
  <c r="AA137" i="13"/>
  <c r="V147" i="13"/>
  <c r="V185" i="13" s="1"/>
  <c r="L15" i="14" s="1"/>
  <c r="I189" i="13"/>
  <c r="O73" i="13"/>
  <c r="M73" i="13"/>
  <c r="X85" i="13"/>
  <c r="X88" i="13" s="1"/>
  <c r="X90" i="13" s="1"/>
  <c r="X92" i="13" s="1"/>
  <c r="O145" i="13"/>
  <c r="AB80" i="13"/>
  <c r="AA85" i="13"/>
  <c r="AA88" i="13" s="1"/>
  <c r="AA90" i="13" s="1"/>
  <c r="AA92" i="13" s="1"/>
  <c r="X122" i="13"/>
  <c r="X124" i="13" s="1"/>
  <c r="Z117" i="13"/>
  <c r="X145" i="13"/>
  <c r="Z145" i="13" s="1"/>
  <c r="AA145" i="13" s="1"/>
  <c r="AB145" i="13" s="1"/>
  <c r="AC145" i="13" s="1"/>
  <c r="N65" i="13"/>
  <c r="N68" i="13" s="1"/>
  <c r="N70" i="13" s="1"/>
  <c r="N72" i="13" s="1"/>
  <c r="N75" i="13" s="1"/>
  <c r="N177" i="13" s="1"/>
  <c r="C85" i="13"/>
  <c r="C88" i="13" s="1"/>
  <c r="C90" i="13" s="1"/>
  <c r="C92" i="13" s="1"/>
  <c r="C95" i="13" s="1"/>
  <c r="C178" i="13" s="1"/>
  <c r="X163" i="13"/>
  <c r="Z163" i="13" s="1"/>
  <c r="AA163" i="13" s="1"/>
  <c r="AB163" i="13" s="1"/>
  <c r="AC163" i="13" s="1"/>
  <c r="Z42" i="13"/>
  <c r="Z46" i="13" s="1"/>
  <c r="Z48" i="13" s="1"/>
  <c r="Z50" i="13" s="1"/>
  <c r="T69" i="13"/>
  <c r="T70" i="13"/>
  <c r="T72" i="13" s="1"/>
  <c r="T93" i="13"/>
  <c r="S93" i="13" s="1"/>
  <c r="P179" i="13"/>
  <c r="O108" i="13"/>
  <c r="AA42" i="13"/>
  <c r="V66" i="13"/>
  <c r="V68" i="13" s="1"/>
  <c r="V93" i="13"/>
  <c r="V95" i="13" s="1"/>
  <c r="V178" i="13" s="1"/>
  <c r="Q108" i="13"/>
  <c r="R127" i="13"/>
  <c r="R130" i="13" s="1"/>
  <c r="R184" i="13" s="1"/>
  <c r="Z135" i="13"/>
  <c r="T163" i="13"/>
  <c r="S163" i="13" s="1"/>
  <c r="AB42" i="13"/>
  <c r="Z85" i="13"/>
  <c r="Z88" i="13" s="1"/>
  <c r="Z90" i="13" s="1"/>
  <c r="Z92" i="13" s="1"/>
  <c r="V108" i="13"/>
  <c r="X101" i="13"/>
  <c r="Z101" i="13" s="1"/>
  <c r="AA101" i="13" s="1"/>
  <c r="AB101" i="13" s="1"/>
  <c r="AC101" i="13" s="1"/>
  <c r="AB136" i="13"/>
  <c r="AB59" i="13"/>
  <c r="Z126" i="13"/>
  <c r="AA126" i="13" s="1"/>
  <c r="AB126" i="13" s="1"/>
  <c r="AC126" i="13" s="1"/>
  <c r="T127" i="13"/>
  <c r="T130" i="13" s="1"/>
  <c r="T184" i="13" s="1"/>
  <c r="P65" i="13"/>
  <c r="P68" i="13" s="1"/>
  <c r="P70" i="13" s="1"/>
  <c r="P72" i="13" s="1"/>
  <c r="P75" i="13" s="1"/>
  <c r="P177" i="13" s="1"/>
  <c r="Z152" i="13"/>
  <c r="I111" i="13"/>
  <c r="I179" i="13" s="1"/>
  <c r="I181" i="13" s="1"/>
  <c r="I191" i="13" s="1"/>
  <c r="P122" i="13"/>
  <c r="P124" i="13" s="1"/>
  <c r="X140" i="13"/>
  <c r="X142" i="13" s="1"/>
  <c r="X144" i="13" s="1"/>
  <c r="X147" i="13" s="1"/>
  <c r="X185" i="13" s="1"/>
  <c r="Q15" i="19" s="1"/>
  <c r="L111" i="13"/>
  <c r="L179" i="13" s="1"/>
  <c r="L181" i="13" s="1"/>
  <c r="Z13" i="11"/>
  <c r="AG32" i="11"/>
  <c r="AH32" i="11" s="1"/>
  <c r="C41" i="12"/>
  <c r="N30" i="12"/>
  <c r="O30" i="12" s="1"/>
  <c r="P30" i="12" s="1"/>
  <c r="W5" i="12"/>
  <c r="X5" i="12" s="1"/>
  <c r="Y5" i="12" s="1"/>
  <c r="Z5" i="12" s="1"/>
  <c r="N5" i="12"/>
  <c r="O5" i="12" s="1"/>
  <c r="P5" i="12" s="1"/>
  <c r="E5" i="12"/>
  <c r="F5" i="12" s="1"/>
  <c r="G5" i="12" s="1"/>
  <c r="H5" i="12" s="1"/>
  <c r="I5" i="12" s="1"/>
  <c r="L191" i="13" l="1"/>
  <c r="C181" i="13"/>
  <c r="O51" i="13"/>
  <c r="N27" i="13"/>
  <c r="N29" i="13" s="1"/>
  <c r="N32" i="13" s="1"/>
  <c r="N174" i="13" s="1"/>
  <c r="N181" i="13" s="1"/>
  <c r="N191" i="13" s="1"/>
  <c r="K15" i="17"/>
  <c r="E30" i="17" s="1"/>
  <c r="F30" i="17" s="1"/>
  <c r="N15" i="14"/>
  <c r="D30" i="14" s="1"/>
  <c r="E30" i="14" s="1"/>
  <c r="V127" i="13"/>
  <c r="V130" i="13" s="1"/>
  <c r="V184" i="13" s="1"/>
  <c r="L14" i="14" s="1"/>
  <c r="E181" i="13"/>
  <c r="E191" i="13" s="1"/>
  <c r="E193" i="13" s="1"/>
  <c r="X181" i="15"/>
  <c r="X191" i="15" s="1"/>
  <c r="E9" i="14"/>
  <c r="C35" i="14" s="1"/>
  <c r="AA189" i="15"/>
  <c r="G16" i="14"/>
  <c r="Z181" i="15"/>
  <c r="Z191" i="15" s="1"/>
  <c r="Z195" i="15" s="1"/>
  <c r="X195" i="15"/>
  <c r="X193" i="15"/>
  <c r="AB51" i="15"/>
  <c r="AA53" i="15"/>
  <c r="AA176" i="15" s="1"/>
  <c r="AC163" i="15"/>
  <c r="AC165" i="15" s="1"/>
  <c r="AC186" i="15" s="1"/>
  <c r="AB165" i="15"/>
  <c r="AB186" i="15" s="1"/>
  <c r="S145" i="13"/>
  <c r="T147" i="13"/>
  <c r="T185" i="13" s="1"/>
  <c r="R189" i="13"/>
  <c r="C191" i="13"/>
  <c r="C193" i="13" s="1"/>
  <c r="AA37" i="13"/>
  <c r="AA46" i="13" s="1"/>
  <c r="AA48" i="13" s="1"/>
  <c r="AA50" i="13" s="1"/>
  <c r="V27" i="13"/>
  <c r="V29" i="13" s="1"/>
  <c r="X165" i="13"/>
  <c r="X186" i="13" s="1"/>
  <c r="Q16" i="19" s="1"/>
  <c r="T165" i="13"/>
  <c r="T186" i="13" s="1"/>
  <c r="T189" i="13" s="1"/>
  <c r="R53" i="13"/>
  <c r="R176" i="13" s="1"/>
  <c r="R181" i="13" s="1"/>
  <c r="R191" i="13" s="1"/>
  <c r="M128" i="13"/>
  <c r="O128" i="13"/>
  <c r="V69" i="13"/>
  <c r="X69" i="13" s="1"/>
  <c r="K30" i="13"/>
  <c r="M30" i="13"/>
  <c r="L195" i="13"/>
  <c r="L193" i="13"/>
  <c r="AA61" i="13"/>
  <c r="AA62" i="13" s="1"/>
  <c r="AA65" i="13" s="1"/>
  <c r="AA68" i="13" s="1"/>
  <c r="AB57" i="13"/>
  <c r="AA135" i="13"/>
  <c r="Z140" i="13"/>
  <c r="Z142" i="13" s="1"/>
  <c r="Z144" i="13" s="1"/>
  <c r="Z147" i="13" s="1"/>
  <c r="Z185" i="13" s="1"/>
  <c r="R15" i="19" s="1"/>
  <c r="P126" i="13"/>
  <c r="P127" i="13" s="1"/>
  <c r="P130" i="13" s="1"/>
  <c r="P184" i="13" s="1"/>
  <c r="P189" i="13" s="1"/>
  <c r="U145" i="13"/>
  <c r="AB45" i="13"/>
  <c r="P181" i="13"/>
  <c r="Z157" i="13"/>
  <c r="Z160" i="13" s="1"/>
  <c r="Z162" i="13" s="1"/>
  <c r="Z165" i="13" s="1"/>
  <c r="Z186" i="13" s="1"/>
  <c r="R16" i="19" s="1"/>
  <c r="AA152" i="13"/>
  <c r="U108" i="13"/>
  <c r="V111" i="13"/>
  <c r="V179" i="13" s="1"/>
  <c r="L10" i="14" s="1"/>
  <c r="X108" i="13"/>
  <c r="U93" i="13"/>
  <c r="X93" i="13"/>
  <c r="Z93" i="13" s="1"/>
  <c r="AA93" i="13" s="1"/>
  <c r="AB93" i="13" s="1"/>
  <c r="AC93" i="13" s="1"/>
  <c r="AC119" i="13"/>
  <c r="AB137" i="13"/>
  <c r="X48" i="13"/>
  <c r="X50" i="13" s="1"/>
  <c r="S51" i="13"/>
  <c r="U163" i="13"/>
  <c r="Z122" i="13"/>
  <c r="Z124" i="13" s="1"/>
  <c r="Z127" i="13" s="1"/>
  <c r="Z130" i="13" s="1"/>
  <c r="Z184" i="13" s="1"/>
  <c r="R14" i="19" s="1"/>
  <c r="R17" i="19" s="1"/>
  <c r="AA117" i="13"/>
  <c r="G191" i="13"/>
  <c r="T95" i="13"/>
  <c r="T178" i="13" s="1"/>
  <c r="X127" i="13"/>
  <c r="X130" i="13" s="1"/>
  <c r="X184" i="13" s="1"/>
  <c r="Q14" i="19" s="1"/>
  <c r="Q17" i="19" s="1"/>
  <c r="V51" i="13"/>
  <c r="T73" i="13"/>
  <c r="S73" i="13" s="1"/>
  <c r="AC80" i="13"/>
  <c r="AC85" i="13" s="1"/>
  <c r="AC88" i="13" s="1"/>
  <c r="AC90" i="13" s="1"/>
  <c r="AC92" i="13" s="1"/>
  <c r="AB85" i="13"/>
  <c r="AB88" i="13" s="1"/>
  <c r="AB90" i="13" s="1"/>
  <c r="AB92" i="13" s="1"/>
  <c r="Z26" i="13"/>
  <c r="X27" i="13"/>
  <c r="Z13" i="10"/>
  <c r="Z39" i="10"/>
  <c r="AB37" i="13" l="1"/>
  <c r="AC37" i="13" s="1"/>
  <c r="L16" i="17"/>
  <c r="O16" i="14"/>
  <c r="L15" i="17"/>
  <c r="O15" i="14"/>
  <c r="K16" i="17"/>
  <c r="E33" i="17" s="1"/>
  <c r="F33" i="17" s="1"/>
  <c r="N16" i="14"/>
  <c r="L14" i="17"/>
  <c r="L17" i="17" s="1"/>
  <c r="O14" i="14"/>
  <c r="K14" i="17"/>
  <c r="N14" i="14"/>
  <c r="D27" i="14" s="1"/>
  <c r="AA181" i="15"/>
  <c r="AA191" i="15" s="1"/>
  <c r="AA195" i="15" s="1"/>
  <c r="G8" i="14"/>
  <c r="AC189" i="15"/>
  <c r="I16" i="14"/>
  <c r="AB189" i="15"/>
  <c r="H16" i="14"/>
  <c r="Z193" i="15"/>
  <c r="D33" i="14"/>
  <c r="AC51" i="15"/>
  <c r="AC53" i="15" s="1"/>
  <c r="AC176" i="15" s="1"/>
  <c r="AB53" i="15"/>
  <c r="AB176" i="15" s="1"/>
  <c r="Z189" i="13"/>
  <c r="V189" i="13"/>
  <c r="Z95" i="13"/>
  <c r="Z178" i="13" s="1"/>
  <c r="X95" i="13"/>
  <c r="X178" i="13" s="1"/>
  <c r="AC95" i="13"/>
  <c r="AC178" i="13" s="1"/>
  <c r="AA95" i="13"/>
  <c r="AA178" i="13" s="1"/>
  <c r="X189" i="13"/>
  <c r="AB95" i="13"/>
  <c r="AB178" i="13" s="1"/>
  <c r="T75" i="13"/>
  <c r="T177" i="13" s="1"/>
  <c r="T181" i="13" s="1"/>
  <c r="T191" i="13" s="1"/>
  <c r="T193" i="13" s="1"/>
  <c r="V70" i="13"/>
  <c r="V72" i="13" s="1"/>
  <c r="V73" i="13" s="1"/>
  <c r="V75" i="13" s="1"/>
  <c r="V177" i="13" s="1"/>
  <c r="L9" i="14" s="1"/>
  <c r="AC45" i="13"/>
  <c r="AC46" i="13" s="1"/>
  <c r="AC48" i="13" s="1"/>
  <c r="AC50" i="13" s="1"/>
  <c r="AB46" i="13"/>
  <c r="AB48" i="13" s="1"/>
  <c r="AB50" i="13" s="1"/>
  <c r="Z108" i="13"/>
  <c r="X111" i="13"/>
  <c r="X179" i="13" s="1"/>
  <c r="AB61" i="13"/>
  <c r="AB62" i="13"/>
  <c r="AB65" i="13" s="1"/>
  <c r="AB68" i="13" s="1"/>
  <c r="AC57" i="13"/>
  <c r="AA157" i="13"/>
  <c r="AA160" i="13" s="1"/>
  <c r="AA162" i="13" s="1"/>
  <c r="AA165" i="13" s="1"/>
  <c r="AA186" i="13" s="1"/>
  <c r="S16" i="19" s="1"/>
  <c r="AB152" i="13"/>
  <c r="G193" i="13"/>
  <c r="N195" i="13"/>
  <c r="N193" i="13"/>
  <c r="AA26" i="13"/>
  <c r="Z27" i="13"/>
  <c r="Z29" i="13" s="1"/>
  <c r="AC137" i="13"/>
  <c r="AC60" i="13"/>
  <c r="P191" i="13"/>
  <c r="Z69" i="13"/>
  <c r="X70" i="13"/>
  <c r="X72" i="13" s="1"/>
  <c r="U51" i="13"/>
  <c r="X51" i="13"/>
  <c r="Z51" i="13" s="1"/>
  <c r="V53" i="13"/>
  <c r="V176" i="13" s="1"/>
  <c r="L8" i="14" s="1"/>
  <c r="AB117" i="13"/>
  <c r="AA122" i="13"/>
  <c r="AA124" i="13" s="1"/>
  <c r="AA127" i="13" s="1"/>
  <c r="AA130" i="13" s="1"/>
  <c r="AA184" i="13" s="1"/>
  <c r="S14" i="19" s="1"/>
  <c r="I193" i="13"/>
  <c r="AB135" i="13"/>
  <c r="AA140" i="13"/>
  <c r="AA142" i="13" s="1"/>
  <c r="AA144" i="13" s="1"/>
  <c r="AA147" i="13" s="1"/>
  <c r="AA185" i="13" s="1"/>
  <c r="S15" i="19" s="1"/>
  <c r="X37" i="11"/>
  <c r="W51" i="11"/>
  <c r="R10" i="19" l="1"/>
  <c r="S17" i="19"/>
  <c r="T195" i="13"/>
  <c r="Q10" i="19"/>
  <c r="M15" i="17"/>
  <c r="P15" i="14"/>
  <c r="M16" i="17"/>
  <c r="P16" i="14"/>
  <c r="K10" i="17"/>
  <c r="E32" i="17" s="1"/>
  <c r="N10" i="14"/>
  <c r="D32" i="14" s="1"/>
  <c r="F27" i="17"/>
  <c r="K17" i="17"/>
  <c r="M14" i="17"/>
  <c r="M17" i="17" s="1"/>
  <c r="P14" i="14"/>
  <c r="E18" i="17"/>
  <c r="AB181" i="15"/>
  <c r="AB191" i="15" s="1"/>
  <c r="AB195" i="15" s="1"/>
  <c r="H8" i="14"/>
  <c r="AC181" i="15"/>
  <c r="AC191" i="15" s="1"/>
  <c r="I8" i="14"/>
  <c r="AA193" i="15"/>
  <c r="F17" i="14"/>
  <c r="G17" i="14"/>
  <c r="C17" i="14"/>
  <c r="E17" i="14"/>
  <c r="AA69" i="13"/>
  <c r="Z70" i="13"/>
  <c r="Z72" i="13" s="1"/>
  <c r="AA189" i="13"/>
  <c r="P195" i="13"/>
  <c r="P193" i="13"/>
  <c r="R195" i="13"/>
  <c r="R193" i="13"/>
  <c r="X73" i="13"/>
  <c r="Z73" i="13" s="1"/>
  <c r="AA73" i="13" s="1"/>
  <c r="AB73" i="13" s="1"/>
  <c r="AC73" i="13" s="1"/>
  <c r="U73" i="13"/>
  <c r="AC61" i="13"/>
  <c r="AC62" i="13"/>
  <c r="AC65" i="13" s="1"/>
  <c r="AC68" i="13" s="1"/>
  <c r="AC117" i="13"/>
  <c r="AC122" i="13" s="1"/>
  <c r="AC124" i="13" s="1"/>
  <c r="AC127" i="13" s="1"/>
  <c r="AC130" i="13" s="1"/>
  <c r="AC184" i="13" s="1"/>
  <c r="U14" i="19" s="1"/>
  <c r="AB122" i="13"/>
  <c r="AB124" i="13" s="1"/>
  <c r="AB127" i="13" s="1"/>
  <c r="AB130" i="13" s="1"/>
  <c r="AB184" i="13" s="1"/>
  <c r="T14" i="19" s="1"/>
  <c r="T17" i="19" s="1"/>
  <c r="AA51" i="13"/>
  <c r="Z53" i="13"/>
  <c r="Z176" i="13" s="1"/>
  <c r="R8" i="19" s="1"/>
  <c r="AB157" i="13"/>
  <c r="AB160" i="13" s="1"/>
  <c r="AB162" i="13" s="1"/>
  <c r="AB165" i="13" s="1"/>
  <c r="AB186" i="13" s="1"/>
  <c r="T16" i="19" s="1"/>
  <c r="AC152" i="13"/>
  <c r="AC157" i="13" s="1"/>
  <c r="AC160" i="13" s="1"/>
  <c r="AC162" i="13" s="1"/>
  <c r="AC165" i="13" s="1"/>
  <c r="AC186" i="13" s="1"/>
  <c r="U16" i="19" s="1"/>
  <c r="AA108" i="13"/>
  <c r="Z111" i="13"/>
  <c r="Z179" i="13" s="1"/>
  <c r="L10" i="17" s="1"/>
  <c r="AB26" i="13"/>
  <c r="AA27" i="13"/>
  <c r="AA29" i="13" s="1"/>
  <c r="AC135" i="13"/>
  <c r="AC140" i="13" s="1"/>
  <c r="AC142" i="13" s="1"/>
  <c r="AC144" i="13" s="1"/>
  <c r="AC147" i="13" s="1"/>
  <c r="AC185" i="13" s="1"/>
  <c r="U15" i="19" s="1"/>
  <c r="AB140" i="13"/>
  <c r="AB142" i="13" s="1"/>
  <c r="AB144" i="13" s="1"/>
  <c r="AB147" i="13" s="1"/>
  <c r="AB185" i="13" s="1"/>
  <c r="T15" i="19" s="1"/>
  <c r="X75" i="13"/>
  <c r="X177" i="13" s="1"/>
  <c r="Q9" i="19" s="1"/>
  <c r="X53" i="13"/>
  <c r="X176" i="13" s="1"/>
  <c r="Q8" i="19" s="1"/>
  <c r="R30" i="11"/>
  <c r="R30" i="10"/>
  <c r="U17" i="19" l="1"/>
  <c r="K8" i="17"/>
  <c r="E29" i="17" s="1"/>
  <c r="F29" i="17" s="1"/>
  <c r="N8" i="14"/>
  <c r="D29" i="14" s="1"/>
  <c r="K9" i="17"/>
  <c r="E35" i="17" s="1"/>
  <c r="F35" i="17" s="1"/>
  <c r="N9" i="14"/>
  <c r="N15" i="17"/>
  <c r="Q15" i="14"/>
  <c r="O15" i="17"/>
  <c r="R15" i="14"/>
  <c r="O16" i="17"/>
  <c r="R16" i="14"/>
  <c r="N16" i="17"/>
  <c r="Q16" i="14"/>
  <c r="L8" i="17"/>
  <c r="O8" i="14"/>
  <c r="Z75" i="13"/>
  <c r="Z177" i="13" s="1"/>
  <c r="R9" i="19" s="1"/>
  <c r="O10" i="14"/>
  <c r="F32" i="17"/>
  <c r="N14" i="17"/>
  <c r="N17" i="17" s="1"/>
  <c r="Q14" i="14"/>
  <c r="F18" i="17"/>
  <c r="D18" i="17"/>
  <c r="O14" i="17"/>
  <c r="O17" i="17" s="1"/>
  <c r="R14" i="14"/>
  <c r="AC193" i="15"/>
  <c r="AC195" i="15"/>
  <c r="AB193" i="15"/>
  <c r="D35" i="14"/>
  <c r="E35" i="14" s="1"/>
  <c r="H17" i="14"/>
  <c r="I17" i="14"/>
  <c r="AC26" i="13"/>
  <c r="AC27" i="13" s="1"/>
  <c r="AC29" i="13" s="1"/>
  <c r="AB27" i="13"/>
  <c r="AB29" i="13" s="1"/>
  <c r="AB189" i="13"/>
  <c r="AB69" i="13"/>
  <c r="AA70" i="13"/>
  <c r="AA72" i="13" s="1"/>
  <c r="AA75" i="13" s="1"/>
  <c r="AA177" i="13" s="1"/>
  <c r="S9" i="19" s="1"/>
  <c r="AB51" i="13"/>
  <c r="AA53" i="13"/>
  <c r="AA176" i="13" s="1"/>
  <c r="S8" i="19" s="1"/>
  <c r="AC189" i="13"/>
  <c r="AB108" i="13"/>
  <c r="AA111" i="13"/>
  <c r="AA179" i="13" s="1"/>
  <c r="S10" i="19" s="1"/>
  <c r="T30" i="11"/>
  <c r="E37" i="17" l="1"/>
  <c r="E38" i="17" s="1"/>
  <c r="M10" i="17"/>
  <c r="P10" i="14"/>
  <c r="M8" i="17"/>
  <c r="P8" i="14"/>
  <c r="M9" i="17"/>
  <c r="P9" i="14"/>
  <c r="L9" i="17"/>
  <c r="O9" i="14"/>
  <c r="H18" i="17"/>
  <c r="G18" i="17"/>
  <c r="E29" i="14"/>
  <c r="AC69" i="13"/>
  <c r="AC70" i="13" s="1"/>
  <c r="AC72" i="13" s="1"/>
  <c r="AC75" i="13" s="1"/>
  <c r="AC177" i="13" s="1"/>
  <c r="U9" i="19" s="1"/>
  <c r="AB70" i="13"/>
  <c r="AB72" i="13" s="1"/>
  <c r="AB75" i="13" s="1"/>
  <c r="AB177" i="13" s="1"/>
  <c r="T9" i="19" s="1"/>
  <c r="AC108" i="13"/>
  <c r="AC111" i="13" s="1"/>
  <c r="AC179" i="13" s="1"/>
  <c r="U10" i="19" s="1"/>
  <c r="AB111" i="13"/>
  <c r="AB179" i="13" s="1"/>
  <c r="T10" i="19" s="1"/>
  <c r="AC51" i="13"/>
  <c r="AC53" i="13" s="1"/>
  <c r="AC176" i="13" s="1"/>
  <c r="U8" i="19" s="1"/>
  <c r="AB53" i="13"/>
  <c r="AB176" i="13" s="1"/>
  <c r="T8" i="19" s="1"/>
  <c r="V30" i="11"/>
  <c r="S30" i="11"/>
  <c r="N8" i="17" l="1"/>
  <c r="Q8" i="14"/>
  <c r="O8" i="17"/>
  <c r="R8" i="14"/>
  <c r="N10" i="17"/>
  <c r="Q10" i="14"/>
  <c r="O10" i="17"/>
  <c r="R10" i="14"/>
  <c r="N9" i="17"/>
  <c r="Q9" i="14"/>
  <c r="O9" i="17"/>
  <c r="R9" i="14"/>
  <c r="X30" i="11"/>
  <c r="X28" i="11" s="1"/>
  <c r="N184" i="11"/>
  <c r="L184" i="11"/>
  <c r="I184" i="11"/>
  <c r="C184" i="11"/>
  <c r="L174" i="11"/>
  <c r="I174" i="11"/>
  <c r="AB172" i="11"/>
  <c r="AC172" i="11" s="1"/>
  <c r="Y163" i="11"/>
  <c r="W163" i="11"/>
  <c r="R163" i="11"/>
  <c r="P163" i="11"/>
  <c r="N163" i="11"/>
  <c r="L163" i="11"/>
  <c r="M163" i="11" s="1"/>
  <c r="I163" i="11"/>
  <c r="G163" i="11"/>
  <c r="E163" i="11"/>
  <c r="C163" i="11"/>
  <c r="V157" i="11"/>
  <c r="V160" i="11" s="1"/>
  <c r="V162" i="11" s="1"/>
  <c r="T157" i="11"/>
  <c r="T160" i="11" s="1"/>
  <c r="T162" i="11" s="1"/>
  <c r="T163" i="11" s="1"/>
  <c r="S163" i="11" s="1"/>
  <c r="R157" i="11"/>
  <c r="R160" i="11" s="1"/>
  <c r="R162" i="11" s="1"/>
  <c r="P157" i="11"/>
  <c r="P160" i="11" s="1"/>
  <c r="P162" i="11" s="1"/>
  <c r="N157" i="11"/>
  <c r="N160" i="11" s="1"/>
  <c r="N162" i="11" s="1"/>
  <c r="N165" i="11" s="1"/>
  <c r="N186" i="11" s="1"/>
  <c r="L157" i="11"/>
  <c r="L160" i="11" s="1"/>
  <c r="L162" i="11" s="1"/>
  <c r="I157" i="11"/>
  <c r="I160" i="11" s="1"/>
  <c r="I162" i="11" s="1"/>
  <c r="G157" i="11"/>
  <c r="G160" i="11" s="1"/>
  <c r="G162" i="11" s="1"/>
  <c r="E157" i="11"/>
  <c r="E160" i="11" s="1"/>
  <c r="E162" i="11" s="1"/>
  <c r="E165" i="11" s="1"/>
  <c r="E186" i="11" s="1"/>
  <c r="C157" i="11"/>
  <c r="C160" i="11" s="1"/>
  <c r="C162" i="11" s="1"/>
  <c r="Z154" i="11"/>
  <c r="AA154" i="11" s="1"/>
  <c r="AB154" i="11" s="1"/>
  <c r="AC154" i="11" s="1"/>
  <c r="X153" i="11"/>
  <c r="X152" i="11"/>
  <c r="X157" i="11" s="1"/>
  <c r="X160" i="11" s="1"/>
  <c r="X162" i="11" s="1"/>
  <c r="Y145" i="11"/>
  <c r="W145" i="11"/>
  <c r="R145" i="11"/>
  <c r="P145" i="11"/>
  <c r="N145" i="11"/>
  <c r="L145" i="11"/>
  <c r="I145" i="11"/>
  <c r="G145" i="11"/>
  <c r="E145" i="11"/>
  <c r="C145" i="11"/>
  <c r="G143" i="11"/>
  <c r="V140" i="11"/>
  <c r="V142" i="11" s="1"/>
  <c r="V144" i="11" s="1"/>
  <c r="L140" i="11"/>
  <c r="L142" i="11" s="1"/>
  <c r="L144" i="11" s="1"/>
  <c r="L147" i="11" s="1"/>
  <c r="L185" i="11" s="1"/>
  <c r="E140" i="11"/>
  <c r="E142" i="11" s="1"/>
  <c r="E144" i="11" s="1"/>
  <c r="C140" i="11"/>
  <c r="C142" i="11" s="1"/>
  <c r="C144" i="11" s="1"/>
  <c r="C147" i="11" s="1"/>
  <c r="C185" i="11" s="1"/>
  <c r="X139" i="11"/>
  <c r="Z139" i="11" s="1"/>
  <c r="AA139" i="11" s="1"/>
  <c r="AB139" i="11" s="1"/>
  <c r="AC139" i="11" s="1"/>
  <c r="T139" i="11"/>
  <c r="R139" i="11"/>
  <c r="P139" i="11"/>
  <c r="P140" i="11" s="1"/>
  <c r="P142" i="11" s="1"/>
  <c r="P144" i="11" s="1"/>
  <c r="N139" i="11"/>
  <c r="N140" i="11" s="1"/>
  <c r="N142" i="11" s="1"/>
  <c r="N144" i="11" s="1"/>
  <c r="I139" i="11"/>
  <c r="I140" i="11" s="1"/>
  <c r="I142" i="11" s="1"/>
  <c r="I144" i="11" s="1"/>
  <c r="I147" i="11" s="1"/>
  <c r="I185" i="11" s="1"/>
  <c r="G139" i="11"/>
  <c r="G140" i="11" s="1"/>
  <c r="G142" i="11" s="1"/>
  <c r="X137" i="11"/>
  <c r="T137" i="11"/>
  <c r="R137" i="11"/>
  <c r="T136" i="11"/>
  <c r="R136" i="11"/>
  <c r="X135" i="11"/>
  <c r="AC132" i="11"/>
  <c r="AB132" i="11"/>
  <c r="E130" i="11"/>
  <c r="E184" i="11" s="1"/>
  <c r="Y128" i="11"/>
  <c r="W128" i="11"/>
  <c r="T128" i="11"/>
  <c r="R128" i="11"/>
  <c r="P128" i="11"/>
  <c r="Q128" i="11" s="1"/>
  <c r="F128" i="11"/>
  <c r="D128" i="11"/>
  <c r="I126" i="11"/>
  <c r="G126" i="11"/>
  <c r="C126" i="11"/>
  <c r="V122" i="11"/>
  <c r="V124" i="11" s="1"/>
  <c r="I122" i="11"/>
  <c r="I124" i="11" s="1"/>
  <c r="E122" i="11"/>
  <c r="E124" i="11" s="1"/>
  <c r="E126" i="11" s="1"/>
  <c r="C122" i="11"/>
  <c r="C124" i="11" s="1"/>
  <c r="C127" i="11" s="1"/>
  <c r="X121" i="11"/>
  <c r="Z121" i="11" s="1"/>
  <c r="AA121" i="11" s="1"/>
  <c r="AB121" i="11" s="1"/>
  <c r="AC121" i="11" s="1"/>
  <c r="T121" i="11"/>
  <c r="N121" i="11"/>
  <c r="L121" i="11"/>
  <c r="G121" i="11"/>
  <c r="X120" i="11"/>
  <c r="Z120" i="11" s="1"/>
  <c r="AA120" i="11" s="1"/>
  <c r="AB120" i="11" s="1"/>
  <c r="AC120" i="11" s="1"/>
  <c r="T120" i="11"/>
  <c r="T122" i="11" s="1"/>
  <c r="T124" i="11" s="1"/>
  <c r="R120" i="11"/>
  <c r="R122" i="11" s="1"/>
  <c r="R124" i="11" s="1"/>
  <c r="P120" i="11"/>
  <c r="N120" i="11"/>
  <c r="L120" i="11"/>
  <c r="G120" i="11"/>
  <c r="Z119" i="11"/>
  <c r="Z137" i="11" s="1"/>
  <c r="AC118" i="11"/>
  <c r="AC136" i="11" s="1"/>
  <c r="AB118" i="11"/>
  <c r="AB136" i="11" s="1"/>
  <c r="AA118" i="11"/>
  <c r="AA136" i="11" s="1"/>
  <c r="Z118" i="11"/>
  <c r="Z136" i="11" s="1"/>
  <c r="X118" i="11"/>
  <c r="X136" i="11" s="1"/>
  <c r="X117" i="11"/>
  <c r="Z117" i="11" s="1"/>
  <c r="P117" i="11"/>
  <c r="AC114" i="11"/>
  <c r="AB114" i="11"/>
  <c r="N111" i="11"/>
  <c r="N179" i="11" s="1"/>
  <c r="G111" i="11"/>
  <c r="G179" i="11" s="1"/>
  <c r="Y108" i="11"/>
  <c r="W108" i="11"/>
  <c r="T108" i="11"/>
  <c r="T111" i="11" s="1"/>
  <c r="T179" i="11" s="1"/>
  <c r="R108" i="11"/>
  <c r="R111" i="11" s="1"/>
  <c r="R179" i="11" s="1"/>
  <c r="P108" i="11"/>
  <c r="L108" i="11"/>
  <c r="I108" i="11"/>
  <c r="E108" i="11"/>
  <c r="C108" i="11"/>
  <c r="C111" i="11" s="1"/>
  <c r="C179" i="11" s="1"/>
  <c r="V101" i="11"/>
  <c r="AC97" i="11"/>
  <c r="AB97" i="11"/>
  <c r="AA97" i="11"/>
  <c r="Z97" i="11"/>
  <c r="Y93" i="11"/>
  <c r="W93" i="11"/>
  <c r="R93" i="11"/>
  <c r="P93" i="11"/>
  <c r="M93" i="11"/>
  <c r="I93" i="11"/>
  <c r="H93" i="11" s="1"/>
  <c r="F93" i="11"/>
  <c r="D93" i="11"/>
  <c r="L90" i="11"/>
  <c r="L92" i="11" s="1"/>
  <c r="L95" i="11" s="1"/>
  <c r="L178" i="11" s="1"/>
  <c r="N85" i="11"/>
  <c r="N88" i="11" s="1"/>
  <c r="N90" i="11" s="1"/>
  <c r="N92" i="11" s="1"/>
  <c r="N95" i="11" s="1"/>
  <c r="N178" i="11" s="1"/>
  <c r="L85" i="11"/>
  <c r="AC82" i="11"/>
  <c r="AB82" i="11"/>
  <c r="AA82" i="11"/>
  <c r="Z82" i="11"/>
  <c r="X82" i="11"/>
  <c r="V82" i="11"/>
  <c r="V85" i="11" s="1"/>
  <c r="V88" i="11" s="1"/>
  <c r="V90" i="11" s="1"/>
  <c r="V92" i="11" s="1"/>
  <c r="T82" i="11"/>
  <c r="T85" i="11" s="1"/>
  <c r="T88" i="11" s="1"/>
  <c r="T90" i="11" s="1"/>
  <c r="T92" i="11" s="1"/>
  <c r="R82" i="11"/>
  <c r="R85" i="11" s="1"/>
  <c r="R88" i="11" s="1"/>
  <c r="R90" i="11" s="1"/>
  <c r="R92" i="11" s="1"/>
  <c r="R95" i="11" s="1"/>
  <c r="R178" i="11" s="1"/>
  <c r="P82" i="11"/>
  <c r="P85" i="11" s="1"/>
  <c r="P88" i="11" s="1"/>
  <c r="P90" i="11" s="1"/>
  <c r="P92" i="11" s="1"/>
  <c r="P95" i="11" s="1"/>
  <c r="I82" i="11"/>
  <c r="G82" i="11"/>
  <c r="E82" i="11"/>
  <c r="C82" i="11"/>
  <c r="G81" i="11"/>
  <c r="E81" i="11"/>
  <c r="E85" i="11" s="1"/>
  <c r="E88" i="11" s="1"/>
  <c r="E90" i="11" s="1"/>
  <c r="E92" i="11" s="1"/>
  <c r="E95" i="11" s="1"/>
  <c r="E178" i="11" s="1"/>
  <c r="C81" i="11"/>
  <c r="C85" i="11" s="1"/>
  <c r="C88" i="11" s="1"/>
  <c r="C90" i="11" s="1"/>
  <c r="C92" i="11" s="1"/>
  <c r="C95" i="11" s="1"/>
  <c r="C178" i="11" s="1"/>
  <c r="X80" i="11"/>
  <c r="X85" i="11" s="1"/>
  <c r="X88" i="11" s="1"/>
  <c r="X90" i="11" s="1"/>
  <c r="X92" i="11" s="1"/>
  <c r="Y73" i="11"/>
  <c r="W73" i="11"/>
  <c r="R73" i="11"/>
  <c r="P73" i="11"/>
  <c r="N73" i="11"/>
  <c r="O73" i="11" s="1"/>
  <c r="L73" i="11"/>
  <c r="I73" i="11"/>
  <c r="I81" i="11" s="1"/>
  <c r="F73" i="11"/>
  <c r="D73" i="11"/>
  <c r="R69" i="11"/>
  <c r="P69" i="11"/>
  <c r="N69" i="11"/>
  <c r="L69" i="11"/>
  <c r="I69" i="11"/>
  <c r="G69" i="11"/>
  <c r="C69" i="11"/>
  <c r="L66" i="11"/>
  <c r="I66" i="11"/>
  <c r="G66" i="11"/>
  <c r="E66" i="11"/>
  <c r="C66" i="11"/>
  <c r="Z64" i="11"/>
  <c r="AA64" i="11" s="1"/>
  <c r="AB64" i="11" s="1"/>
  <c r="AC64" i="11" s="1"/>
  <c r="V64" i="11"/>
  <c r="T64" i="11"/>
  <c r="R64" i="11"/>
  <c r="N64" i="11"/>
  <c r="I64" i="11"/>
  <c r="G64" i="11"/>
  <c r="X62" i="11"/>
  <c r="X65" i="11" s="1"/>
  <c r="X68" i="11" s="1"/>
  <c r="V62" i="11"/>
  <c r="V65" i="11" s="1"/>
  <c r="P62" i="11"/>
  <c r="N62" i="11"/>
  <c r="L62" i="11"/>
  <c r="L65" i="11" s="1"/>
  <c r="L68" i="11" s="1"/>
  <c r="I62" i="11"/>
  <c r="G62" i="11"/>
  <c r="E62" i="11"/>
  <c r="E65" i="11" s="1"/>
  <c r="E68" i="11" s="1"/>
  <c r="E70" i="11" s="1"/>
  <c r="E72" i="11" s="1"/>
  <c r="E75" i="11" s="1"/>
  <c r="E177" i="11" s="1"/>
  <c r="C62" i="11"/>
  <c r="C65" i="11" s="1"/>
  <c r="C68" i="11" s="1"/>
  <c r="T60" i="11"/>
  <c r="T62" i="11" s="1"/>
  <c r="R60" i="11"/>
  <c r="R62" i="11" s="1"/>
  <c r="AC59" i="11"/>
  <c r="AB59" i="11"/>
  <c r="Z59" i="11"/>
  <c r="Z57" i="11"/>
  <c r="AC55" i="11"/>
  <c r="AB55" i="11"/>
  <c r="Y51" i="11"/>
  <c r="P51" i="11"/>
  <c r="N51" i="11"/>
  <c r="L51" i="11"/>
  <c r="I51" i="11"/>
  <c r="H51" i="11" s="1"/>
  <c r="E51" i="11"/>
  <c r="F51" i="11" s="1"/>
  <c r="C51" i="11"/>
  <c r="D51" i="11" s="1"/>
  <c r="T47" i="11"/>
  <c r="R47" i="11"/>
  <c r="P47" i="11"/>
  <c r="N47" i="11"/>
  <c r="L47" i="11"/>
  <c r="I47" i="11"/>
  <c r="G47" i="11"/>
  <c r="E47" i="11"/>
  <c r="C47" i="11"/>
  <c r="R46" i="11"/>
  <c r="R48" i="11" s="1"/>
  <c r="R50" i="11" s="1"/>
  <c r="G46" i="11"/>
  <c r="G48" i="11" s="1"/>
  <c r="G50" i="11" s="1"/>
  <c r="G53" i="11" s="1"/>
  <c r="G176" i="11" s="1"/>
  <c r="E46" i="11"/>
  <c r="C46" i="11"/>
  <c r="V45" i="11"/>
  <c r="X45" i="11" s="1"/>
  <c r="T45" i="11"/>
  <c r="T46" i="11" s="1"/>
  <c r="P45" i="11"/>
  <c r="P46" i="11" s="1"/>
  <c r="N45" i="11"/>
  <c r="N46" i="11" s="1"/>
  <c r="N48" i="11" s="1"/>
  <c r="N50" i="11" s="1"/>
  <c r="N53" i="11" s="1"/>
  <c r="N176" i="11" s="1"/>
  <c r="L45" i="11"/>
  <c r="L46" i="11" s="1"/>
  <c r="L48" i="11" s="1"/>
  <c r="L50" i="11" s="1"/>
  <c r="L53" i="11" s="1"/>
  <c r="L176" i="11" s="1"/>
  <c r="I45" i="11"/>
  <c r="I46" i="11" s="1"/>
  <c r="X42" i="11"/>
  <c r="AC41" i="11"/>
  <c r="AB41" i="11"/>
  <c r="AA41" i="11"/>
  <c r="Z41" i="11"/>
  <c r="AC40" i="11"/>
  <c r="AB40" i="11"/>
  <c r="AA40" i="11"/>
  <c r="Z40" i="11"/>
  <c r="AC39" i="11"/>
  <c r="AB39" i="11"/>
  <c r="AA39" i="11"/>
  <c r="Z39" i="11"/>
  <c r="Z37" i="11"/>
  <c r="AC34" i="11"/>
  <c r="AB34" i="11"/>
  <c r="P30" i="11"/>
  <c r="N30" i="11"/>
  <c r="E29" i="11"/>
  <c r="E32" i="11" s="1"/>
  <c r="E174" i="11" s="1"/>
  <c r="I26" i="11"/>
  <c r="G26" i="11"/>
  <c r="C26" i="11"/>
  <c r="X22" i="11"/>
  <c r="X24" i="11" s="1"/>
  <c r="V22" i="11"/>
  <c r="V24" i="11" s="1"/>
  <c r="I22" i="11"/>
  <c r="I24" i="11" s="1"/>
  <c r="G22" i="11"/>
  <c r="G24" i="11" s="1"/>
  <c r="E22" i="11"/>
  <c r="E24" i="11" s="1"/>
  <c r="E26" i="11" s="1"/>
  <c r="C22" i="11"/>
  <c r="C24" i="11" s="1"/>
  <c r="Z21" i="11"/>
  <c r="AA21" i="11" s="1"/>
  <c r="AB21" i="11" s="1"/>
  <c r="AC21" i="11" s="1"/>
  <c r="T21" i="11"/>
  <c r="R21" i="11"/>
  <c r="P21" i="11"/>
  <c r="N21" i="11"/>
  <c r="L21" i="11"/>
  <c r="Z20" i="11"/>
  <c r="AA20" i="11" s="1"/>
  <c r="AB20" i="11" s="1"/>
  <c r="AC20" i="11" s="1"/>
  <c r="T20" i="11"/>
  <c r="R20" i="11"/>
  <c r="P20" i="11"/>
  <c r="N20" i="11"/>
  <c r="N22" i="11" s="1"/>
  <c r="N24" i="11" s="1"/>
  <c r="L20" i="11"/>
  <c r="Z19" i="11"/>
  <c r="V7" i="11"/>
  <c r="X7" i="11" s="1"/>
  <c r="Z7" i="11" s="1"/>
  <c r="AA7" i="11" s="1"/>
  <c r="AB7" i="11" s="1"/>
  <c r="AC7" i="11" s="1"/>
  <c r="V6" i="11"/>
  <c r="X6" i="11" s="1"/>
  <c r="Z6" i="11" s="1"/>
  <c r="AA6" i="11" s="1"/>
  <c r="AB6" i="11" s="1"/>
  <c r="AC6" i="11" s="1"/>
  <c r="V5" i="11"/>
  <c r="X5" i="11" s="1"/>
  <c r="Z5" i="11" s="1"/>
  <c r="AA5" i="11" s="1"/>
  <c r="AB5" i="11" s="1"/>
  <c r="AC5" i="11" s="1"/>
  <c r="L122" i="11" l="1"/>
  <c r="L124" i="11" s="1"/>
  <c r="L126" i="11" s="1"/>
  <c r="G85" i="11"/>
  <c r="G88" i="11" s="1"/>
  <c r="G90" i="11" s="1"/>
  <c r="G92" i="11" s="1"/>
  <c r="G95" i="11" s="1"/>
  <c r="G178" i="11" s="1"/>
  <c r="N147" i="11"/>
  <c r="N185" i="11" s="1"/>
  <c r="R22" i="11"/>
  <c r="R24" i="11" s="1"/>
  <c r="R26" i="11" s="1"/>
  <c r="R27" i="11" s="1"/>
  <c r="R29" i="11" s="1"/>
  <c r="R32" i="11" s="1"/>
  <c r="N65" i="11"/>
  <c r="N68" i="11" s="1"/>
  <c r="N70" i="11" s="1"/>
  <c r="N72" i="11" s="1"/>
  <c r="N75" i="11" s="1"/>
  <c r="N177" i="11" s="1"/>
  <c r="Q73" i="11"/>
  <c r="G165" i="11"/>
  <c r="G186" i="11" s="1"/>
  <c r="P165" i="11"/>
  <c r="P186" i="11" s="1"/>
  <c r="L22" i="11"/>
  <c r="L24" i="11" s="1"/>
  <c r="I48" i="11"/>
  <c r="I50" i="11" s="1"/>
  <c r="I53" i="11" s="1"/>
  <c r="I176" i="11" s="1"/>
  <c r="T48" i="11"/>
  <c r="T50" i="11" s="1"/>
  <c r="R65" i="11"/>
  <c r="R68" i="11" s="1"/>
  <c r="R70" i="11" s="1"/>
  <c r="R72" i="11" s="1"/>
  <c r="R75" i="11" s="1"/>
  <c r="R177" i="11" s="1"/>
  <c r="Q108" i="11"/>
  <c r="E147" i="11"/>
  <c r="E185" i="11" s="1"/>
  <c r="D145" i="11"/>
  <c r="R165" i="11"/>
  <c r="R186" i="11" s="1"/>
  <c r="H73" i="11"/>
  <c r="Q93" i="11"/>
  <c r="N122" i="11"/>
  <c r="N124" i="11" s="1"/>
  <c r="N126" i="11" s="1"/>
  <c r="P22" i="11"/>
  <c r="P24" i="11" s="1"/>
  <c r="P26" i="11" s="1"/>
  <c r="T65" i="11"/>
  <c r="T68" i="11" s="1"/>
  <c r="I85" i="11"/>
  <c r="I88" i="11" s="1"/>
  <c r="I90" i="11" s="1"/>
  <c r="I92" i="11" s="1"/>
  <c r="I95" i="11" s="1"/>
  <c r="I178" i="11" s="1"/>
  <c r="M145" i="11"/>
  <c r="P48" i="11"/>
  <c r="P50" i="11" s="1"/>
  <c r="P53" i="11" s="1"/>
  <c r="P176" i="11" s="1"/>
  <c r="T22" i="11"/>
  <c r="T24" i="11" s="1"/>
  <c r="N189" i="11"/>
  <c r="C70" i="11"/>
  <c r="C72" i="11" s="1"/>
  <c r="C75" i="11" s="1"/>
  <c r="C177" i="11" s="1"/>
  <c r="G65" i="11"/>
  <c r="G68" i="11" s="1"/>
  <c r="G70" i="11" s="1"/>
  <c r="G72" i="11" s="1"/>
  <c r="G75" i="11" s="1"/>
  <c r="G177" i="11" s="1"/>
  <c r="P147" i="11"/>
  <c r="O145" i="11" s="1"/>
  <c r="D163" i="11"/>
  <c r="G27" i="11"/>
  <c r="G29" i="11" s="1"/>
  <c r="G32" i="11" s="1"/>
  <c r="G174" i="11" s="1"/>
  <c r="C48" i="11"/>
  <c r="C50" i="11" s="1"/>
  <c r="C53" i="11" s="1"/>
  <c r="C176" i="11" s="1"/>
  <c r="AA59" i="11"/>
  <c r="T140" i="11"/>
  <c r="T142" i="11" s="1"/>
  <c r="T144" i="11" s="1"/>
  <c r="I165" i="11"/>
  <c r="I186" i="11" s="1"/>
  <c r="C27" i="11"/>
  <c r="C29" i="11" s="1"/>
  <c r="C32" i="11" s="1"/>
  <c r="C174" i="11" s="1"/>
  <c r="I27" i="11"/>
  <c r="I29" i="11" s="1"/>
  <c r="I30" i="11" s="1"/>
  <c r="H30" i="11" s="1"/>
  <c r="E48" i="11"/>
  <c r="E50" i="11" s="1"/>
  <c r="E53" i="11" s="1"/>
  <c r="E176" i="11" s="1"/>
  <c r="L70" i="11"/>
  <c r="L72" i="11" s="1"/>
  <c r="L75" i="11" s="1"/>
  <c r="L177" i="11" s="1"/>
  <c r="G122" i="11"/>
  <c r="G124" i="11" s="1"/>
  <c r="G127" i="11" s="1"/>
  <c r="G130" i="11" s="1"/>
  <c r="G184" i="11" s="1"/>
  <c r="L165" i="11"/>
  <c r="L186" i="11" s="1"/>
  <c r="L189" i="11" s="1"/>
  <c r="Z60" i="11"/>
  <c r="AA13" i="11"/>
  <c r="T26" i="11"/>
  <c r="V26" i="11" s="1"/>
  <c r="V27" i="11" s="1"/>
  <c r="V29" i="11" s="1"/>
  <c r="V32" i="11" s="1"/>
  <c r="O30" i="11"/>
  <c r="Q30" i="11"/>
  <c r="Z42" i="11"/>
  <c r="AA37" i="11" s="1"/>
  <c r="V46" i="11"/>
  <c r="V47" i="11" s="1"/>
  <c r="X47" i="11" s="1"/>
  <c r="Z47" i="11" s="1"/>
  <c r="AA47" i="11" s="1"/>
  <c r="AB47" i="11" s="1"/>
  <c r="AC47" i="11" s="1"/>
  <c r="M51" i="11"/>
  <c r="I65" i="11"/>
  <c r="I68" i="11" s="1"/>
  <c r="I70" i="11" s="1"/>
  <c r="I72" i="11" s="1"/>
  <c r="I75" i="11" s="1"/>
  <c r="I177" i="11" s="1"/>
  <c r="I181" i="11" s="1"/>
  <c r="P64" i="11"/>
  <c r="P65" i="11" s="1"/>
  <c r="P68" i="11" s="1"/>
  <c r="P70" i="11" s="1"/>
  <c r="P72" i="11" s="1"/>
  <c r="P75" i="11" s="1"/>
  <c r="P177" i="11" s="1"/>
  <c r="K73" i="11"/>
  <c r="Z80" i="11"/>
  <c r="K108" i="11"/>
  <c r="P111" i="11"/>
  <c r="AA119" i="11"/>
  <c r="AA137" i="11" s="1"/>
  <c r="P121" i="11"/>
  <c r="P122" i="11" s="1"/>
  <c r="P124" i="11" s="1"/>
  <c r="X122" i="11"/>
  <c r="X124" i="11" s="1"/>
  <c r="S128" i="11"/>
  <c r="V128" i="11"/>
  <c r="X128" i="11" s="1"/>
  <c r="Z128" i="11" s="1"/>
  <c r="AA128" i="11" s="1"/>
  <c r="AB128" i="11" s="1"/>
  <c r="AC128" i="11" s="1"/>
  <c r="Z135" i="11"/>
  <c r="F145" i="11"/>
  <c r="H145" i="11"/>
  <c r="K145" i="11"/>
  <c r="Q145" i="11"/>
  <c r="F163" i="11"/>
  <c r="H163" i="11"/>
  <c r="O163" i="11"/>
  <c r="Q163" i="11"/>
  <c r="O93" i="11"/>
  <c r="P178" i="11"/>
  <c r="P185" i="11"/>
  <c r="Z45" i="11"/>
  <c r="X46" i="11"/>
  <c r="X48" i="11" s="1"/>
  <c r="X50" i="11" s="1"/>
  <c r="T69" i="11"/>
  <c r="T70" i="11" s="1"/>
  <c r="T72" i="11" s="1"/>
  <c r="V66" i="11"/>
  <c r="V68" i="11" s="1"/>
  <c r="V93" i="11"/>
  <c r="O51" i="11"/>
  <c r="N26" i="11"/>
  <c r="N27" i="11" s="1"/>
  <c r="N29" i="11" s="1"/>
  <c r="N32" i="11" s="1"/>
  <c r="N174" i="11" s="1"/>
  <c r="N181" i="11" s="1"/>
  <c r="N191" i="11" s="1"/>
  <c r="AA57" i="11"/>
  <c r="T93" i="11"/>
  <c r="S93" i="11" s="1"/>
  <c r="T51" i="11"/>
  <c r="R51" i="11"/>
  <c r="Q51" i="11" s="1"/>
  <c r="L26" i="11"/>
  <c r="L27" i="11" s="1"/>
  <c r="L29" i="11" s="1"/>
  <c r="L30" i="11" s="1"/>
  <c r="C181" i="11"/>
  <c r="T126" i="11"/>
  <c r="T127" i="11"/>
  <c r="T130" i="11" s="1"/>
  <c r="T184" i="11" s="1"/>
  <c r="F108" i="11"/>
  <c r="E111" i="11"/>
  <c r="E179" i="11" s="1"/>
  <c r="E181" i="11" s="1"/>
  <c r="D108" i="11"/>
  <c r="AA135" i="11"/>
  <c r="Z140" i="11"/>
  <c r="Z142" i="11" s="1"/>
  <c r="Z144" i="11" s="1"/>
  <c r="K93" i="11"/>
  <c r="H108" i="11"/>
  <c r="I111" i="11"/>
  <c r="I179" i="11" s="1"/>
  <c r="AB119" i="11"/>
  <c r="P179" i="11"/>
  <c r="O108" i="11"/>
  <c r="Z61" i="11"/>
  <c r="Z62" i="11" s="1"/>
  <c r="Z65" i="11" s="1"/>
  <c r="Z68" i="11" s="1"/>
  <c r="I127" i="11"/>
  <c r="I128" i="11" s="1"/>
  <c r="H128" i="11" s="1"/>
  <c r="E189" i="11"/>
  <c r="V145" i="11"/>
  <c r="R126" i="11"/>
  <c r="R127" i="11" s="1"/>
  <c r="R130" i="11" s="1"/>
  <c r="R184" i="11" s="1"/>
  <c r="V108" i="11"/>
  <c r="X101" i="11"/>
  <c r="Z101" i="11" s="1"/>
  <c r="AA101" i="11" s="1"/>
  <c r="AB101" i="11" s="1"/>
  <c r="AC101" i="11" s="1"/>
  <c r="M108" i="11"/>
  <c r="L111" i="11"/>
  <c r="L179" i="11" s="1"/>
  <c r="N127" i="11"/>
  <c r="N128" i="11" s="1"/>
  <c r="O128" i="11" s="1"/>
  <c r="R140" i="11"/>
  <c r="R142" i="11" s="1"/>
  <c r="R144" i="11" s="1"/>
  <c r="R147" i="11" s="1"/>
  <c r="R185" i="11" s="1"/>
  <c r="G144" i="11"/>
  <c r="G147" i="11" s="1"/>
  <c r="G185" i="11" s="1"/>
  <c r="C165" i="11"/>
  <c r="C186" i="11" s="1"/>
  <c r="C189" i="11" s="1"/>
  <c r="T165" i="11"/>
  <c r="T186" i="11" s="1"/>
  <c r="K163" i="11"/>
  <c r="M73" i="11"/>
  <c r="L127" i="11"/>
  <c r="L128" i="11" s="1"/>
  <c r="V163" i="11"/>
  <c r="I189" i="11"/>
  <c r="Z122" i="11"/>
  <c r="Z124" i="11" s="1"/>
  <c r="AA117" i="11"/>
  <c r="K51" i="11"/>
  <c r="AA19" i="11"/>
  <c r="AB13" i="11" s="1"/>
  <c r="Z22" i="11"/>
  <c r="Z24" i="11" s="1"/>
  <c r="V48" i="11"/>
  <c r="V50" i="11" s="1"/>
  <c r="S108" i="11"/>
  <c r="T145" i="11"/>
  <c r="S145" i="11" s="1"/>
  <c r="Z152" i="11"/>
  <c r="X140" i="11"/>
  <c r="X142" i="11" s="1"/>
  <c r="X144" i="11" s="1"/>
  <c r="P27" i="11" l="1"/>
  <c r="P29" i="11" s="1"/>
  <c r="P32" i="11" s="1"/>
  <c r="P174" i="11" s="1"/>
  <c r="G181" i="11"/>
  <c r="G189" i="11"/>
  <c r="T27" i="11"/>
  <c r="T29" i="11" s="1"/>
  <c r="T32" i="11" s="1"/>
  <c r="T174" i="11" s="1"/>
  <c r="X26" i="11"/>
  <c r="Z26" i="11" s="1"/>
  <c r="AA26" i="11" s="1"/>
  <c r="AB26" i="11" s="1"/>
  <c r="AC26" i="11" s="1"/>
  <c r="L181" i="11"/>
  <c r="L191" i="11" s="1"/>
  <c r="G191" i="11"/>
  <c r="T95" i="11"/>
  <c r="T178" i="11" s="1"/>
  <c r="P126" i="11"/>
  <c r="P127" i="11" s="1"/>
  <c r="P130" i="11" s="1"/>
  <c r="P184" i="11" s="1"/>
  <c r="P189" i="11" s="1"/>
  <c r="V51" i="11"/>
  <c r="U51" i="11" s="1"/>
  <c r="I191" i="11"/>
  <c r="L193" i="11" s="1"/>
  <c r="R189" i="11"/>
  <c r="V147" i="11"/>
  <c r="V185" i="11" s="1"/>
  <c r="U145" i="11"/>
  <c r="E191" i="11"/>
  <c r="G193" i="11" s="1"/>
  <c r="V126" i="11"/>
  <c r="V127" i="11" s="1"/>
  <c r="V130" i="11" s="1"/>
  <c r="V184" i="11" s="1"/>
  <c r="AA80" i="11"/>
  <c r="Z85" i="11"/>
  <c r="Z88" i="11" s="1"/>
  <c r="Z90" i="11" s="1"/>
  <c r="Z92" i="11" s="1"/>
  <c r="R174" i="11"/>
  <c r="Z27" i="11"/>
  <c r="Z29" i="11" s="1"/>
  <c r="L195" i="11"/>
  <c r="T73" i="11"/>
  <c r="S73" i="11" s="1"/>
  <c r="V69" i="11"/>
  <c r="X69" i="11" s="1"/>
  <c r="U163" i="11"/>
  <c r="X163" i="11"/>
  <c r="AB19" i="11"/>
  <c r="AC13" i="11" s="1"/>
  <c r="AA42" i="11"/>
  <c r="AB37" i="11" s="1"/>
  <c r="AA60" i="11"/>
  <c r="V165" i="11"/>
  <c r="V186" i="11" s="1"/>
  <c r="AB57" i="11"/>
  <c r="AA61" i="11"/>
  <c r="T147" i="11"/>
  <c r="T185" i="11" s="1"/>
  <c r="T189" i="11" s="1"/>
  <c r="X108" i="11"/>
  <c r="V111" i="11"/>
  <c r="V179" i="11" s="1"/>
  <c r="U108" i="11"/>
  <c r="R53" i="11"/>
  <c r="R176" i="11" s="1"/>
  <c r="I193" i="11"/>
  <c r="AB137" i="11"/>
  <c r="AC119" i="11"/>
  <c r="AC137" i="11" s="1"/>
  <c r="S51" i="11"/>
  <c r="U93" i="11"/>
  <c r="X93" i="11"/>
  <c r="AA45" i="11"/>
  <c r="Z46" i="11"/>
  <c r="Z48" i="11" s="1"/>
  <c r="Z50" i="11" s="1"/>
  <c r="AA122" i="11"/>
  <c r="AA124" i="11" s="1"/>
  <c r="AB117" i="11"/>
  <c r="K128" i="11"/>
  <c r="T53" i="11"/>
  <c r="T176" i="11" s="1"/>
  <c r="V95" i="11"/>
  <c r="V178" i="11" s="1"/>
  <c r="K30" i="11"/>
  <c r="M30" i="11"/>
  <c r="X145" i="11"/>
  <c r="Z145" i="11" s="1"/>
  <c r="AA145" i="11" s="1"/>
  <c r="AB145" i="11" s="1"/>
  <c r="AC145" i="11" s="1"/>
  <c r="Z157" i="11"/>
  <c r="Z160" i="11" s="1"/>
  <c r="Z162" i="11" s="1"/>
  <c r="AA152" i="11"/>
  <c r="AA140" i="11"/>
  <c r="AA142" i="11" s="1"/>
  <c r="AA144" i="11" s="1"/>
  <c r="AB135" i="11"/>
  <c r="C191" i="11"/>
  <c r="C193" i="11" s="1"/>
  <c r="P181" i="11"/>
  <c r="N193" i="11"/>
  <c r="N195" i="11"/>
  <c r="M128" i="11"/>
  <c r="AA22" i="11"/>
  <c r="AA24" i="11" s="1"/>
  <c r="AA27" i="11" s="1"/>
  <c r="AA29" i="11" s="1"/>
  <c r="P191" i="11" l="1"/>
  <c r="M16" i="14"/>
  <c r="D16" i="14"/>
  <c r="M15" i="14"/>
  <c r="D15" i="14"/>
  <c r="AB22" i="11"/>
  <c r="AB24" i="11" s="1"/>
  <c r="AB27" i="11" s="1"/>
  <c r="AB29" i="11" s="1"/>
  <c r="M14" i="14"/>
  <c r="L17" i="14"/>
  <c r="D14" i="14"/>
  <c r="X27" i="11"/>
  <c r="V189" i="11"/>
  <c r="C14" i="12"/>
  <c r="C14" i="8"/>
  <c r="C10" i="12"/>
  <c r="C10" i="8"/>
  <c r="C16" i="12"/>
  <c r="C16" i="8"/>
  <c r="AA62" i="11"/>
  <c r="AA65" i="11" s="1"/>
  <c r="AA68" i="11" s="1"/>
  <c r="AB80" i="11"/>
  <c r="AA85" i="11"/>
  <c r="AA88" i="11" s="1"/>
  <c r="AA90" i="11" s="1"/>
  <c r="AA92" i="11" s="1"/>
  <c r="X126" i="11"/>
  <c r="C15" i="12"/>
  <c r="C15" i="8"/>
  <c r="V53" i="11"/>
  <c r="V176" i="11" s="1"/>
  <c r="R181" i="11"/>
  <c r="R191" i="11" s="1"/>
  <c r="R195" i="11" s="1"/>
  <c r="Z163" i="11"/>
  <c r="AA163" i="11" s="1"/>
  <c r="AB163" i="11" s="1"/>
  <c r="AC163" i="11" s="1"/>
  <c r="X165" i="11"/>
  <c r="X186" i="11" s="1"/>
  <c r="Z165" i="11"/>
  <c r="Z186" i="11" s="1"/>
  <c r="P195" i="11"/>
  <c r="P193" i="11"/>
  <c r="AB45" i="11"/>
  <c r="AA46" i="11"/>
  <c r="AA48" i="11" s="1"/>
  <c r="AA50" i="11" s="1"/>
  <c r="V70" i="11"/>
  <c r="V72" i="11" s="1"/>
  <c r="AB122" i="11"/>
  <c r="AB124" i="11" s="1"/>
  <c r="AC117" i="11"/>
  <c r="AC122" i="11" s="1"/>
  <c r="AC124" i="11" s="1"/>
  <c r="AB152" i="11"/>
  <c r="AA157" i="11"/>
  <c r="AA160" i="11" s="1"/>
  <c r="AA162" i="11" s="1"/>
  <c r="AA165" i="11" s="1"/>
  <c r="AA186" i="11" s="1"/>
  <c r="Z69" i="11"/>
  <c r="X70" i="11"/>
  <c r="X72" i="11" s="1"/>
  <c r="Z147" i="11"/>
  <c r="Z185" i="11" s="1"/>
  <c r="Z93" i="11"/>
  <c r="X95" i="11"/>
  <c r="X178" i="11" s="1"/>
  <c r="Z108" i="11"/>
  <c r="X111" i="11"/>
  <c r="X179" i="11" s="1"/>
  <c r="E193" i="11"/>
  <c r="AB140" i="11"/>
  <c r="AB142" i="11" s="1"/>
  <c r="AB144" i="11" s="1"/>
  <c r="AB147" i="11" s="1"/>
  <c r="AB185" i="11" s="1"/>
  <c r="AC135" i="11"/>
  <c r="AC140" i="11" s="1"/>
  <c r="AC142" i="11" s="1"/>
  <c r="AC144" i="11" s="1"/>
  <c r="AC147" i="11" s="1"/>
  <c r="AC185" i="11" s="1"/>
  <c r="X147" i="11"/>
  <c r="X185" i="11" s="1"/>
  <c r="AA147" i="11"/>
  <c r="AA185" i="11" s="1"/>
  <c r="X51" i="11"/>
  <c r="AB60" i="11"/>
  <c r="AC57" i="11" s="1"/>
  <c r="AB42" i="11"/>
  <c r="AC37" i="11" s="1"/>
  <c r="AC19" i="11"/>
  <c r="AC22" i="11" s="1"/>
  <c r="AC24" i="11" s="1"/>
  <c r="AC27" i="11" s="1"/>
  <c r="AC29" i="11" s="1"/>
  <c r="T75" i="11"/>
  <c r="T177" i="11" s="1"/>
  <c r="T181" i="11" s="1"/>
  <c r="T191" i="11" s="1"/>
  <c r="X29" i="11" l="1"/>
  <c r="AF29" i="11"/>
  <c r="M8" i="14"/>
  <c r="D8" i="14"/>
  <c r="M17" i="14"/>
  <c r="D17" i="14"/>
  <c r="M10" i="14"/>
  <c r="D10" i="14"/>
  <c r="G15" i="12"/>
  <c r="G15" i="8"/>
  <c r="E15" i="12"/>
  <c r="E15" i="8"/>
  <c r="I15" i="12"/>
  <c r="I15" i="8"/>
  <c r="H15" i="12"/>
  <c r="H15" i="8"/>
  <c r="E10" i="12"/>
  <c r="E10" i="8"/>
  <c r="F15" i="12"/>
  <c r="F15" i="8"/>
  <c r="G16" i="12"/>
  <c r="G16" i="8"/>
  <c r="F16" i="12"/>
  <c r="F16" i="8"/>
  <c r="E16" i="12"/>
  <c r="E16" i="8"/>
  <c r="C8" i="12"/>
  <c r="C8" i="8"/>
  <c r="C30" i="12"/>
  <c r="Z126" i="11"/>
  <c r="X127" i="11"/>
  <c r="X130" i="11" s="1"/>
  <c r="X184" i="11" s="1"/>
  <c r="AB85" i="11"/>
  <c r="AB88" i="11" s="1"/>
  <c r="AB90" i="11" s="1"/>
  <c r="AB92" i="11" s="1"/>
  <c r="AC80" i="11"/>
  <c r="AC85" i="11" s="1"/>
  <c r="AC88" i="11" s="1"/>
  <c r="AC90" i="11" s="1"/>
  <c r="AC92" i="11" s="1"/>
  <c r="C40" i="12"/>
  <c r="C34" i="12"/>
  <c r="C17" i="12"/>
  <c r="R193" i="11"/>
  <c r="T195" i="11"/>
  <c r="T193" i="11"/>
  <c r="Z51" i="11"/>
  <c r="X53" i="11"/>
  <c r="X176" i="11" s="1"/>
  <c r="V73" i="11"/>
  <c r="V75" i="11" s="1"/>
  <c r="V177" i="11" s="1"/>
  <c r="AA69" i="11"/>
  <c r="Z70" i="11"/>
  <c r="Z72" i="11" s="1"/>
  <c r="AC45" i="11"/>
  <c r="AB46" i="11"/>
  <c r="AB48" i="11" s="1"/>
  <c r="AB50" i="11" s="1"/>
  <c r="AC42" i="11"/>
  <c r="AC60" i="11"/>
  <c r="AC61" i="11" s="1"/>
  <c r="Z111" i="11"/>
  <c r="Z179" i="11" s="1"/>
  <c r="AA108" i="11"/>
  <c r="AC152" i="11"/>
  <c r="AC157" i="11" s="1"/>
  <c r="AC160" i="11" s="1"/>
  <c r="AC162" i="11" s="1"/>
  <c r="AC165" i="11" s="1"/>
  <c r="AC186" i="11" s="1"/>
  <c r="AB157" i="11"/>
  <c r="AB160" i="11" s="1"/>
  <c r="AB162" i="11" s="1"/>
  <c r="AB165" i="11" s="1"/>
  <c r="AB186" i="11" s="1"/>
  <c r="AA93" i="11"/>
  <c r="Z95" i="11"/>
  <c r="Z178" i="11" s="1"/>
  <c r="AB61" i="11"/>
  <c r="AB62" i="11" s="1"/>
  <c r="AB65" i="11" s="1"/>
  <c r="AB68" i="11" s="1"/>
  <c r="N17" i="14" l="1"/>
  <c r="E18" i="14" s="1"/>
  <c r="E33" i="14" s="1"/>
  <c r="M9" i="14"/>
  <c r="D9" i="14"/>
  <c r="C9" i="12"/>
  <c r="C29" i="12" s="1"/>
  <c r="C9" i="8"/>
  <c r="C29" i="8" s="1"/>
  <c r="F10" i="12"/>
  <c r="F10" i="8"/>
  <c r="H16" i="12"/>
  <c r="H16" i="8"/>
  <c r="I16" i="12"/>
  <c r="I16" i="8"/>
  <c r="E8" i="12"/>
  <c r="E8" i="8"/>
  <c r="E14" i="12"/>
  <c r="E14" i="8"/>
  <c r="AA126" i="11"/>
  <c r="Z127" i="11"/>
  <c r="Z130" i="11" s="1"/>
  <c r="Z184" i="11" s="1"/>
  <c r="O17" i="14" s="1"/>
  <c r="F18" i="14" s="1"/>
  <c r="X189" i="11"/>
  <c r="AC46" i="11"/>
  <c r="AC48" i="11" s="1"/>
  <c r="AC50" i="11" s="1"/>
  <c r="AA51" i="11"/>
  <c r="Z53" i="11"/>
  <c r="Z176" i="11" s="1"/>
  <c r="AB69" i="11"/>
  <c r="AC69" i="11" s="1"/>
  <c r="AA70" i="11"/>
  <c r="AA72" i="11" s="1"/>
  <c r="AA111" i="11"/>
  <c r="AA179" i="11" s="1"/>
  <c r="AB108" i="11"/>
  <c r="AC62" i="11"/>
  <c r="AC65" i="11" s="1"/>
  <c r="AC68" i="11" s="1"/>
  <c r="AC70" i="11" s="1"/>
  <c r="AC72" i="11" s="1"/>
  <c r="AB93" i="11"/>
  <c r="AA95" i="11"/>
  <c r="AA178" i="11" s="1"/>
  <c r="X73" i="11"/>
  <c r="U73" i="11"/>
  <c r="E27" i="14" l="1"/>
  <c r="G10" i="12"/>
  <c r="G10" i="8"/>
  <c r="F8" i="12"/>
  <c r="F8" i="8"/>
  <c r="C31" i="12"/>
  <c r="F14" i="12"/>
  <c r="F14" i="8"/>
  <c r="Z189" i="11"/>
  <c r="AB126" i="11"/>
  <c r="AA127" i="11"/>
  <c r="AA130" i="11" s="1"/>
  <c r="AA184" i="11" s="1"/>
  <c r="P17" i="14" s="1"/>
  <c r="G18" i="14" s="1"/>
  <c r="E17" i="12"/>
  <c r="AB51" i="11"/>
  <c r="AA53" i="11"/>
  <c r="AA176" i="11" s="1"/>
  <c r="AC93" i="11"/>
  <c r="AC95" i="11" s="1"/>
  <c r="AC178" i="11" s="1"/>
  <c r="AB95" i="11"/>
  <c r="AB178" i="11" s="1"/>
  <c r="AC108" i="11"/>
  <c r="AC111" i="11" s="1"/>
  <c r="AC179" i="11" s="1"/>
  <c r="AB111" i="11"/>
  <c r="AB179" i="11" s="1"/>
  <c r="Z73" i="11"/>
  <c r="X75" i="11"/>
  <c r="X177" i="11" s="1"/>
  <c r="AB70" i="11"/>
  <c r="AB72" i="11" s="1"/>
  <c r="E9" i="12" l="1"/>
  <c r="E9" i="8"/>
  <c r="H10" i="12"/>
  <c r="H10" i="8"/>
  <c r="I10" i="12"/>
  <c r="I10" i="8"/>
  <c r="G8" i="12"/>
  <c r="G8" i="8"/>
  <c r="G14" i="12"/>
  <c r="G14" i="8"/>
  <c r="AA189" i="11"/>
  <c r="AC126" i="11"/>
  <c r="AC127" i="11" s="1"/>
  <c r="AC130" i="11" s="1"/>
  <c r="AC184" i="11" s="1"/>
  <c r="R17" i="14" s="1"/>
  <c r="I18" i="14" s="1"/>
  <c r="AB127" i="11"/>
  <c r="AB130" i="11" s="1"/>
  <c r="AB184" i="11" s="1"/>
  <c r="Q17" i="14" s="1"/>
  <c r="H18" i="14" s="1"/>
  <c r="F17" i="12"/>
  <c r="AA73" i="11"/>
  <c r="Z75" i="11"/>
  <c r="Z177" i="11" s="1"/>
  <c r="AC51" i="11"/>
  <c r="AC53" i="11" s="1"/>
  <c r="AC176" i="11" s="1"/>
  <c r="AB53" i="11"/>
  <c r="AB176" i="11" s="1"/>
  <c r="H8" i="12" l="1"/>
  <c r="H8" i="8"/>
  <c r="I8" i="12"/>
  <c r="I8" i="8"/>
  <c r="F9" i="12"/>
  <c r="F9" i="8"/>
  <c r="H14" i="12"/>
  <c r="H14" i="8"/>
  <c r="AB189" i="11"/>
  <c r="I14" i="12"/>
  <c r="I14" i="8"/>
  <c r="AC189" i="11"/>
  <c r="G17" i="12"/>
  <c r="AB73" i="11"/>
  <c r="AA75" i="11"/>
  <c r="AA177" i="11" s="1"/>
  <c r="G9" i="12" l="1"/>
  <c r="G9" i="8"/>
  <c r="I17" i="12"/>
  <c r="H17" i="12"/>
  <c r="AC73" i="11"/>
  <c r="AC75" i="11" s="1"/>
  <c r="AC177" i="11" s="1"/>
  <c r="AB75" i="11"/>
  <c r="AB177" i="11" s="1"/>
  <c r="H9" i="12" l="1"/>
  <c r="H9" i="8"/>
  <c r="I9" i="12"/>
  <c r="I9" i="8"/>
  <c r="Z57" i="10" l="1"/>
  <c r="V57" i="1"/>
  <c r="W73" i="10" l="1"/>
  <c r="X62" i="10" l="1"/>
  <c r="X65" i="10" s="1"/>
  <c r="X68" i="10" s="1"/>
  <c r="Z19" i="10" l="1"/>
  <c r="N30" i="8" l="1"/>
  <c r="O30" i="8" s="1"/>
  <c r="P30" i="8" s="1"/>
  <c r="Z42" i="10"/>
  <c r="X42" i="10"/>
  <c r="Z41" i="9"/>
  <c r="X59" i="4" l="1"/>
  <c r="N184" i="10"/>
  <c r="L184" i="10"/>
  <c r="I184" i="10"/>
  <c r="C184" i="10"/>
  <c r="L174" i="10"/>
  <c r="I174" i="10"/>
  <c r="AB172" i="10"/>
  <c r="AC172" i="10" s="1"/>
  <c r="Y163" i="10"/>
  <c r="W163" i="10"/>
  <c r="R163" i="10"/>
  <c r="P163" i="10"/>
  <c r="Q163" i="10" s="1"/>
  <c r="N163" i="10"/>
  <c r="L163" i="10"/>
  <c r="I163" i="10"/>
  <c r="G163" i="10"/>
  <c r="H163" i="10" s="1"/>
  <c r="E163" i="10"/>
  <c r="C163" i="10"/>
  <c r="V157" i="10"/>
  <c r="V160" i="10" s="1"/>
  <c r="V162" i="10" s="1"/>
  <c r="V163" i="10" s="1"/>
  <c r="X163" i="10" s="1"/>
  <c r="Z163" i="10" s="1"/>
  <c r="AA163" i="10" s="1"/>
  <c r="AB163" i="10" s="1"/>
  <c r="AC163" i="10" s="1"/>
  <c r="T157" i="10"/>
  <c r="T160" i="10" s="1"/>
  <c r="T162" i="10" s="1"/>
  <c r="R157" i="10"/>
  <c r="R160" i="10" s="1"/>
  <c r="R162" i="10" s="1"/>
  <c r="R165" i="10" s="1"/>
  <c r="R186" i="10" s="1"/>
  <c r="P157" i="10"/>
  <c r="P160" i="10" s="1"/>
  <c r="P162" i="10" s="1"/>
  <c r="N157" i="10"/>
  <c r="N160" i="10" s="1"/>
  <c r="N162" i="10" s="1"/>
  <c r="N165" i="10" s="1"/>
  <c r="N186" i="10" s="1"/>
  <c r="L157" i="10"/>
  <c r="L160" i="10" s="1"/>
  <c r="L162" i="10" s="1"/>
  <c r="I157" i="10"/>
  <c r="I160" i="10" s="1"/>
  <c r="I162" i="10" s="1"/>
  <c r="G157" i="10"/>
  <c r="G160" i="10" s="1"/>
  <c r="G162" i="10" s="1"/>
  <c r="E157" i="10"/>
  <c r="E160" i="10" s="1"/>
  <c r="E162" i="10" s="1"/>
  <c r="E165" i="10" s="1"/>
  <c r="E186" i="10" s="1"/>
  <c r="C157" i="10"/>
  <c r="C160" i="10" s="1"/>
  <c r="C162" i="10" s="1"/>
  <c r="C165" i="10" s="1"/>
  <c r="C186" i="10" s="1"/>
  <c r="Z154" i="10"/>
  <c r="AA154" i="10" s="1"/>
  <c r="AB154" i="10" s="1"/>
  <c r="AC154" i="10" s="1"/>
  <c r="X153" i="10"/>
  <c r="X152" i="10"/>
  <c r="X157" i="10" s="1"/>
  <c r="X160" i="10" s="1"/>
  <c r="X162" i="10" s="1"/>
  <c r="Y145" i="10"/>
  <c r="W145" i="10"/>
  <c r="R145" i="10"/>
  <c r="P145" i="10"/>
  <c r="N145" i="10"/>
  <c r="L145" i="10"/>
  <c r="I145" i="10"/>
  <c r="G145" i="10"/>
  <c r="E145" i="10"/>
  <c r="C145" i="10"/>
  <c r="G143" i="10"/>
  <c r="V140" i="10"/>
  <c r="V142" i="10" s="1"/>
  <c r="V144" i="10" s="1"/>
  <c r="L140" i="10"/>
  <c r="L142" i="10" s="1"/>
  <c r="L144" i="10" s="1"/>
  <c r="L147" i="10" s="1"/>
  <c r="L185" i="10" s="1"/>
  <c r="E140" i="10"/>
  <c r="E142" i="10" s="1"/>
  <c r="E144" i="10" s="1"/>
  <c r="C140" i="10"/>
  <c r="C142" i="10" s="1"/>
  <c r="C144" i="10" s="1"/>
  <c r="C147" i="10" s="1"/>
  <c r="C185" i="10" s="1"/>
  <c r="X139" i="10"/>
  <c r="Z139" i="10" s="1"/>
  <c r="AA139" i="10" s="1"/>
  <c r="AB139" i="10" s="1"/>
  <c r="AC139" i="10" s="1"/>
  <c r="T139" i="10"/>
  <c r="R139" i="10"/>
  <c r="P139" i="10"/>
  <c r="P140" i="10" s="1"/>
  <c r="P142" i="10" s="1"/>
  <c r="P144" i="10" s="1"/>
  <c r="N139" i="10"/>
  <c r="N140" i="10" s="1"/>
  <c r="N142" i="10" s="1"/>
  <c r="N144" i="10" s="1"/>
  <c r="I139" i="10"/>
  <c r="I140" i="10" s="1"/>
  <c r="I142" i="10" s="1"/>
  <c r="I144" i="10" s="1"/>
  <c r="I147" i="10" s="1"/>
  <c r="I185" i="10" s="1"/>
  <c r="G139" i="10"/>
  <c r="G140" i="10" s="1"/>
  <c r="G142" i="10" s="1"/>
  <c r="G144" i="10" s="1"/>
  <c r="X137" i="10"/>
  <c r="T137" i="10"/>
  <c r="R137" i="10"/>
  <c r="T136" i="10"/>
  <c r="R136" i="10"/>
  <c r="X135" i="10"/>
  <c r="AC132" i="10"/>
  <c r="AB132" i="10"/>
  <c r="E130" i="10"/>
  <c r="E184" i="10" s="1"/>
  <c r="Y128" i="10"/>
  <c r="W128" i="10"/>
  <c r="T128" i="10"/>
  <c r="R128" i="10"/>
  <c r="P128" i="10"/>
  <c r="F128" i="10"/>
  <c r="D128" i="10"/>
  <c r="I126" i="10"/>
  <c r="G126" i="10"/>
  <c r="C126" i="10"/>
  <c r="V122" i="10"/>
  <c r="V124" i="10" s="1"/>
  <c r="I122" i="10"/>
  <c r="I124" i="10" s="1"/>
  <c r="E122" i="10"/>
  <c r="E124" i="10" s="1"/>
  <c r="E126" i="10" s="1"/>
  <c r="C122" i="10"/>
  <c r="C124" i="10" s="1"/>
  <c r="X121" i="10"/>
  <c r="Z121" i="10" s="1"/>
  <c r="AA121" i="10" s="1"/>
  <c r="AB121" i="10" s="1"/>
  <c r="AC121" i="10" s="1"/>
  <c r="T121" i="10"/>
  <c r="N121" i="10"/>
  <c r="L121" i="10"/>
  <c r="G121" i="10"/>
  <c r="X120" i="10"/>
  <c r="Z120" i="10" s="1"/>
  <c r="AA120" i="10" s="1"/>
  <c r="AB120" i="10" s="1"/>
  <c r="AC120" i="10" s="1"/>
  <c r="T120" i="10"/>
  <c r="T122" i="10" s="1"/>
  <c r="T124" i="10" s="1"/>
  <c r="T126" i="10" s="1"/>
  <c r="V126" i="10" s="1"/>
  <c r="X126" i="10" s="1"/>
  <c r="Z126" i="10" s="1"/>
  <c r="AA126" i="10" s="1"/>
  <c r="AB126" i="10" s="1"/>
  <c r="AC126" i="10" s="1"/>
  <c r="R120" i="10"/>
  <c r="R122" i="10" s="1"/>
  <c r="R124" i="10" s="1"/>
  <c r="R126" i="10" s="1"/>
  <c r="P120" i="10"/>
  <c r="N120" i="10"/>
  <c r="L120" i="10"/>
  <c r="G120" i="10"/>
  <c r="G122" i="10" s="1"/>
  <c r="G124" i="10" s="1"/>
  <c r="G127" i="10" s="1"/>
  <c r="G130" i="10" s="1"/>
  <c r="G184" i="10" s="1"/>
  <c r="Z119" i="10"/>
  <c r="Z137" i="10" s="1"/>
  <c r="AC118" i="10"/>
  <c r="AC136" i="10" s="1"/>
  <c r="AB118" i="10"/>
  <c r="AB136" i="10" s="1"/>
  <c r="AA118" i="10"/>
  <c r="AA136" i="10" s="1"/>
  <c r="Z118" i="10"/>
  <c r="Z136" i="10" s="1"/>
  <c r="X118" i="10"/>
  <c r="X117" i="10"/>
  <c r="P117" i="10"/>
  <c r="P121" i="10" s="1"/>
  <c r="AC114" i="10"/>
  <c r="AB114" i="10"/>
  <c r="N111" i="10"/>
  <c r="N179" i="10" s="1"/>
  <c r="G111" i="10"/>
  <c r="G179" i="10" s="1"/>
  <c r="Y108" i="10"/>
  <c r="W108" i="10"/>
  <c r="T108" i="10"/>
  <c r="R108" i="10"/>
  <c r="R111" i="10" s="1"/>
  <c r="R179" i="10" s="1"/>
  <c r="P108" i="10"/>
  <c r="P111" i="10" s="1"/>
  <c r="L108" i="10"/>
  <c r="L111" i="10" s="1"/>
  <c r="L179" i="10" s="1"/>
  <c r="I108" i="10"/>
  <c r="H108" i="10" s="1"/>
  <c r="E108" i="10"/>
  <c r="F108" i="10" s="1"/>
  <c r="C108" i="10"/>
  <c r="C111" i="10" s="1"/>
  <c r="C179" i="10" s="1"/>
  <c r="V101" i="10"/>
  <c r="AC97" i="10"/>
  <c r="AB97" i="10"/>
  <c r="AA97" i="10"/>
  <c r="Z97" i="10"/>
  <c r="Y93" i="10"/>
  <c r="W93" i="10"/>
  <c r="R93" i="10"/>
  <c r="P93" i="10"/>
  <c r="M93" i="10"/>
  <c r="I93" i="10"/>
  <c r="H93" i="10" s="1"/>
  <c r="F93" i="10"/>
  <c r="D93" i="10"/>
  <c r="L90" i="10"/>
  <c r="L92" i="10" s="1"/>
  <c r="L95" i="10" s="1"/>
  <c r="L178" i="10" s="1"/>
  <c r="N85" i="10"/>
  <c r="N88" i="10" s="1"/>
  <c r="N90" i="10" s="1"/>
  <c r="N92" i="10" s="1"/>
  <c r="N95" i="10" s="1"/>
  <c r="N178" i="10" s="1"/>
  <c r="L85" i="10"/>
  <c r="AC82" i="10"/>
  <c r="AB82" i="10"/>
  <c r="AA82" i="10"/>
  <c r="Z82" i="10"/>
  <c r="X82" i="10"/>
  <c r="V82" i="10"/>
  <c r="V85" i="10" s="1"/>
  <c r="V88" i="10" s="1"/>
  <c r="V90" i="10" s="1"/>
  <c r="V92" i="10" s="1"/>
  <c r="T82" i="10"/>
  <c r="T85" i="10" s="1"/>
  <c r="T88" i="10" s="1"/>
  <c r="T90" i="10" s="1"/>
  <c r="T92" i="10" s="1"/>
  <c r="R82" i="10"/>
  <c r="R85" i="10" s="1"/>
  <c r="R88" i="10" s="1"/>
  <c r="R90" i="10" s="1"/>
  <c r="R92" i="10" s="1"/>
  <c r="R95" i="10" s="1"/>
  <c r="R178" i="10" s="1"/>
  <c r="P82" i="10"/>
  <c r="P85" i="10" s="1"/>
  <c r="P88" i="10" s="1"/>
  <c r="P90" i="10" s="1"/>
  <c r="P92" i="10" s="1"/>
  <c r="P95" i="10" s="1"/>
  <c r="I82" i="10"/>
  <c r="G82" i="10"/>
  <c r="E82" i="10"/>
  <c r="C82" i="10"/>
  <c r="G81" i="10"/>
  <c r="E81" i="10"/>
  <c r="E85" i="10" s="1"/>
  <c r="E88" i="10" s="1"/>
  <c r="E90" i="10" s="1"/>
  <c r="E92" i="10" s="1"/>
  <c r="E95" i="10" s="1"/>
  <c r="E178" i="10" s="1"/>
  <c r="C81" i="10"/>
  <c r="C85" i="10" s="1"/>
  <c r="C88" i="10" s="1"/>
  <c r="C90" i="10" s="1"/>
  <c r="C92" i="10" s="1"/>
  <c r="C95" i="10" s="1"/>
  <c r="C178" i="10" s="1"/>
  <c r="X80" i="10"/>
  <c r="X85" i="10" s="1"/>
  <c r="X88" i="10" s="1"/>
  <c r="X90" i="10" s="1"/>
  <c r="X92" i="10" s="1"/>
  <c r="Y73" i="10"/>
  <c r="R73" i="10"/>
  <c r="P73" i="10"/>
  <c r="N73" i="10"/>
  <c r="L73" i="10"/>
  <c r="I73" i="10"/>
  <c r="H73" i="10" s="1"/>
  <c r="F73" i="10"/>
  <c r="D73" i="10"/>
  <c r="R69" i="10"/>
  <c r="P69" i="10"/>
  <c r="N69" i="10"/>
  <c r="L69" i="10"/>
  <c r="I69" i="10"/>
  <c r="G69" i="10"/>
  <c r="C69" i="10"/>
  <c r="L66" i="10"/>
  <c r="I66" i="10"/>
  <c r="G66" i="10"/>
  <c r="E66" i="10"/>
  <c r="C66" i="10"/>
  <c r="V64" i="10"/>
  <c r="Z64" i="10" s="1"/>
  <c r="AA64" i="10" s="1"/>
  <c r="AB64" i="10" s="1"/>
  <c r="AC64" i="10" s="1"/>
  <c r="T64" i="10"/>
  <c r="R64" i="10"/>
  <c r="N64" i="10"/>
  <c r="I64" i="10"/>
  <c r="G64" i="10"/>
  <c r="V62" i="10"/>
  <c r="P62" i="10"/>
  <c r="N62" i="10"/>
  <c r="N65" i="10" s="1"/>
  <c r="N68" i="10" s="1"/>
  <c r="N70" i="10" s="1"/>
  <c r="N72" i="10" s="1"/>
  <c r="N75" i="10" s="1"/>
  <c r="N177" i="10" s="1"/>
  <c r="L62" i="10"/>
  <c r="L65" i="10" s="1"/>
  <c r="L68" i="10" s="1"/>
  <c r="L70" i="10" s="1"/>
  <c r="L72" i="10" s="1"/>
  <c r="L75" i="10" s="1"/>
  <c r="L177" i="10" s="1"/>
  <c r="I62" i="10"/>
  <c r="G62" i="10"/>
  <c r="E62" i="10"/>
  <c r="E65" i="10" s="1"/>
  <c r="E68" i="10" s="1"/>
  <c r="E70" i="10" s="1"/>
  <c r="E72" i="10" s="1"/>
  <c r="E75" i="10" s="1"/>
  <c r="E177" i="10" s="1"/>
  <c r="C62" i="10"/>
  <c r="C65" i="10" s="1"/>
  <c r="C68" i="10" s="1"/>
  <c r="C70" i="10" s="1"/>
  <c r="C72" i="10" s="1"/>
  <c r="C75" i="10" s="1"/>
  <c r="C177" i="10" s="1"/>
  <c r="T60" i="10"/>
  <c r="T62" i="10" s="1"/>
  <c r="R60" i="10"/>
  <c r="R62" i="10" s="1"/>
  <c r="AC59" i="10"/>
  <c r="AB59" i="10"/>
  <c r="Z59" i="10"/>
  <c r="AC55" i="10"/>
  <c r="AB55" i="10"/>
  <c r="Y51" i="10"/>
  <c r="W51" i="10"/>
  <c r="P51" i="10"/>
  <c r="N51" i="10"/>
  <c r="L51" i="10"/>
  <c r="I51" i="10"/>
  <c r="E51" i="10"/>
  <c r="F51" i="10" s="1"/>
  <c r="C51" i="10"/>
  <c r="D51" i="10" s="1"/>
  <c r="T47" i="10"/>
  <c r="R47" i="10"/>
  <c r="P47" i="10"/>
  <c r="N47" i="10"/>
  <c r="L47" i="10"/>
  <c r="I47" i="10"/>
  <c r="G47" i="10"/>
  <c r="E47" i="10"/>
  <c r="C47" i="10"/>
  <c r="R46" i="10"/>
  <c r="R48" i="10" s="1"/>
  <c r="R50" i="10" s="1"/>
  <c r="G46" i="10"/>
  <c r="E46" i="10"/>
  <c r="C46" i="10"/>
  <c r="C48" i="10" s="1"/>
  <c r="C50" i="10" s="1"/>
  <c r="V45" i="10"/>
  <c r="X45" i="10" s="1"/>
  <c r="T45" i="10"/>
  <c r="T46" i="10" s="1"/>
  <c r="T48" i="10" s="1"/>
  <c r="T50" i="10" s="1"/>
  <c r="T51" i="10" s="1"/>
  <c r="P45" i="10"/>
  <c r="P46" i="10" s="1"/>
  <c r="P48" i="10" s="1"/>
  <c r="P50" i="10" s="1"/>
  <c r="P53" i="10" s="1"/>
  <c r="N45" i="10"/>
  <c r="N46" i="10" s="1"/>
  <c r="L45" i="10"/>
  <c r="L46" i="10" s="1"/>
  <c r="I45" i="10"/>
  <c r="I46" i="10" s="1"/>
  <c r="I48" i="10" s="1"/>
  <c r="I50" i="10" s="1"/>
  <c r="I53" i="10" s="1"/>
  <c r="I176" i="10" s="1"/>
  <c r="AC41" i="10"/>
  <c r="AB41" i="10"/>
  <c r="AA41" i="10"/>
  <c r="Z41" i="10"/>
  <c r="AC40" i="10"/>
  <c r="AB40" i="10"/>
  <c r="AA40" i="10"/>
  <c r="Z40" i="10"/>
  <c r="AC39" i="10"/>
  <c r="AB39" i="10"/>
  <c r="AA39" i="10"/>
  <c r="X37" i="10"/>
  <c r="Z37" i="10" s="1"/>
  <c r="AC34" i="10"/>
  <c r="AB34" i="10"/>
  <c r="T30" i="10"/>
  <c r="P30" i="10"/>
  <c r="N30" i="10"/>
  <c r="O30" i="10" s="1"/>
  <c r="E29" i="10"/>
  <c r="E32" i="10" s="1"/>
  <c r="E174" i="10" s="1"/>
  <c r="I26" i="10"/>
  <c r="G26" i="10"/>
  <c r="C26" i="10"/>
  <c r="X22" i="10"/>
  <c r="X24" i="10" s="1"/>
  <c r="V22" i="10"/>
  <c r="V24" i="10" s="1"/>
  <c r="I22" i="10"/>
  <c r="I24" i="10" s="1"/>
  <c r="I27" i="10" s="1"/>
  <c r="I29" i="10" s="1"/>
  <c r="I30" i="10" s="1"/>
  <c r="H30" i="10" s="1"/>
  <c r="G22" i="10"/>
  <c r="G24" i="10" s="1"/>
  <c r="E22" i="10"/>
  <c r="E24" i="10" s="1"/>
  <c r="E26" i="10" s="1"/>
  <c r="C22" i="10"/>
  <c r="C24" i="10" s="1"/>
  <c r="Z21" i="10"/>
  <c r="AA21" i="10" s="1"/>
  <c r="AB21" i="10" s="1"/>
  <c r="AC21" i="10" s="1"/>
  <c r="T21" i="10"/>
  <c r="R21" i="10"/>
  <c r="P21" i="10"/>
  <c r="N21" i="10"/>
  <c r="L21" i="10"/>
  <c r="Z20" i="10"/>
  <c r="T20" i="10"/>
  <c r="R20" i="10"/>
  <c r="P20" i="10"/>
  <c r="P22" i="10" s="1"/>
  <c r="P24" i="10" s="1"/>
  <c r="N20" i="10"/>
  <c r="L20" i="10"/>
  <c r="AA19" i="10"/>
  <c r="AA42" i="10" s="1"/>
  <c r="Z60" i="10"/>
  <c r="AA13" i="10"/>
  <c r="V7" i="10"/>
  <c r="X7" i="10" s="1"/>
  <c r="Z7" i="10" s="1"/>
  <c r="AA7" i="10" s="1"/>
  <c r="AB7" i="10" s="1"/>
  <c r="AC7" i="10" s="1"/>
  <c r="V6" i="10"/>
  <c r="X6" i="10" s="1"/>
  <c r="Z6" i="10" s="1"/>
  <c r="AA6" i="10" s="1"/>
  <c r="AB6" i="10" s="1"/>
  <c r="AC6" i="10" s="1"/>
  <c r="V5" i="10"/>
  <c r="X5" i="10" s="1"/>
  <c r="Z5" i="10" s="1"/>
  <c r="AA5" i="10" s="1"/>
  <c r="AB5" i="10" s="1"/>
  <c r="AC5" i="10" s="1"/>
  <c r="N147" i="10" l="1"/>
  <c r="N185" i="10" s="1"/>
  <c r="P165" i="10"/>
  <c r="P186" i="10" s="1"/>
  <c r="AA59" i="10"/>
  <c r="C27" i="10"/>
  <c r="C29" i="10" s="1"/>
  <c r="C32" i="10" s="1"/>
  <c r="C174" i="10" s="1"/>
  <c r="K51" i="10"/>
  <c r="Q93" i="10"/>
  <c r="N122" i="10"/>
  <c r="N124" i="10" s="1"/>
  <c r="C53" i="10"/>
  <c r="C176" i="10" s="1"/>
  <c r="M51" i="10"/>
  <c r="I65" i="10"/>
  <c r="I68" i="10" s="1"/>
  <c r="I70" i="10" s="1"/>
  <c r="I72" i="10" s="1"/>
  <c r="I75" i="10" s="1"/>
  <c r="I177" i="10" s="1"/>
  <c r="G147" i="10"/>
  <c r="G185" i="10" s="1"/>
  <c r="E147" i="10"/>
  <c r="E185" i="10" s="1"/>
  <c r="E189" i="10" s="1"/>
  <c r="C127" i="10"/>
  <c r="G85" i="10"/>
  <c r="G88" i="10" s="1"/>
  <c r="G90" i="10" s="1"/>
  <c r="G92" i="10" s="1"/>
  <c r="G95" i="10" s="1"/>
  <c r="G178" i="10" s="1"/>
  <c r="L122" i="10"/>
  <c r="L124" i="10" s="1"/>
  <c r="G48" i="10"/>
  <c r="G50" i="10" s="1"/>
  <c r="G53" i="10" s="1"/>
  <c r="G176" i="10" s="1"/>
  <c r="L22" i="10"/>
  <c r="L24" i="10" s="1"/>
  <c r="L48" i="10"/>
  <c r="L50" i="10" s="1"/>
  <c r="L53" i="10" s="1"/>
  <c r="L176" i="10" s="1"/>
  <c r="R65" i="10"/>
  <c r="R68" i="10" s="1"/>
  <c r="R70" i="10" s="1"/>
  <c r="R72" i="10" s="1"/>
  <c r="R75" i="10" s="1"/>
  <c r="R177" i="10" s="1"/>
  <c r="R140" i="10"/>
  <c r="R142" i="10" s="1"/>
  <c r="R144" i="10" s="1"/>
  <c r="R147" i="10" s="1"/>
  <c r="R185" i="10" s="1"/>
  <c r="P147" i="10"/>
  <c r="G165" i="10"/>
  <c r="G186" i="10" s="1"/>
  <c r="E48" i="10"/>
  <c r="E50" i="10" s="1"/>
  <c r="E53" i="10" s="1"/>
  <c r="E176" i="10" s="1"/>
  <c r="N22" i="10"/>
  <c r="N24" i="10" s="1"/>
  <c r="N26" i="10" s="1"/>
  <c r="N27" i="10" s="1"/>
  <c r="N29" i="10" s="1"/>
  <c r="N32" i="10" s="1"/>
  <c r="N174" i="10" s="1"/>
  <c r="N48" i="10"/>
  <c r="N50" i="10" s="1"/>
  <c r="N53" i="10" s="1"/>
  <c r="N176" i="10" s="1"/>
  <c r="T65" i="10"/>
  <c r="T68" i="10" s="1"/>
  <c r="V65" i="10"/>
  <c r="V66" i="10" s="1"/>
  <c r="T140" i="10"/>
  <c r="T142" i="10" s="1"/>
  <c r="T144" i="10" s="1"/>
  <c r="T145" i="10" s="1"/>
  <c r="V145" i="10" s="1"/>
  <c r="V147" i="10" s="1"/>
  <c r="I165" i="10"/>
  <c r="I186" i="10" s="1"/>
  <c r="F163" i="10"/>
  <c r="R22" i="10"/>
  <c r="R24" i="10" s="1"/>
  <c r="V30" i="10"/>
  <c r="X30" i="10" s="1"/>
  <c r="Z30" i="10" s="1"/>
  <c r="AA30" i="10" s="1"/>
  <c r="AB30" i="10" s="1"/>
  <c r="AC30" i="10" s="1"/>
  <c r="S30" i="10"/>
  <c r="V51" i="10"/>
  <c r="Z61" i="10"/>
  <c r="AA57" i="10"/>
  <c r="V127" i="10"/>
  <c r="T22" i="10"/>
  <c r="T24" i="10" s="1"/>
  <c r="T26" i="10" s="1"/>
  <c r="V26" i="10" s="1"/>
  <c r="X26" i="10" s="1"/>
  <c r="G27" i="10"/>
  <c r="G29" i="10" s="1"/>
  <c r="G32" i="10" s="1"/>
  <c r="G174" i="10" s="1"/>
  <c r="V46" i="10"/>
  <c r="V47" i="10" s="1"/>
  <c r="X47" i="10" s="1"/>
  <c r="Z47" i="10" s="1"/>
  <c r="AA47" i="10" s="1"/>
  <c r="AB47" i="10" s="1"/>
  <c r="AC47" i="10" s="1"/>
  <c r="K73" i="10"/>
  <c r="M73" i="10"/>
  <c r="Q73" i="10"/>
  <c r="I81" i="10"/>
  <c r="I85" i="10" s="1"/>
  <c r="I88" i="10" s="1"/>
  <c r="I90" i="10" s="1"/>
  <c r="I92" i="10" s="1"/>
  <c r="I95" i="10" s="1"/>
  <c r="I178" i="10" s="1"/>
  <c r="K93" i="10"/>
  <c r="D108" i="10"/>
  <c r="K108" i="10"/>
  <c r="M108" i="10"/>
  <c r="E111" i="10"/>
  <c r="E179" i="10" s="1"/>
  <c r="X136" i="10"/>
  <c r="Z135" i="10" s="1"/>
  <c r="AA119" i="10"/>
  <c r="S128" i="10"/>
  <c r="V128" i="10"/>
  <c r="X128" i="10" s="1"/>
  <c r="Z128" i="10" s="1"/>
  <c r="AA128" i="10" s="1"/>
  <c r="AB128" i="10" s="1"/>
  <c r="AC128" i="10" s="1"/>
  <c r="D145" i="10"/>
  <c r="H145" i="10"/>
  <c r="K145" i="10"/>
  <c r="M145" i="10"/>
  <c r="Q145" i="10"/>
  <c r="Z152" i="10"/>
  <c r="K163" i="10"/>
  <c r="AB13" i="10"/>
  <c r="AA37" i="10"/>
  <c r="AB37" i="10" s="1"/>
  <c r="Z22" i="10"/>
  <c r="Z24" i="10" s="1"/>
  <c r="T69" i="10"/>
  <c r="T70" i="10" s="1"/>
  <c r="T72" i="10" s="1"/>
  <c r="P178" i="10"/>
  <c r="O93" i="10"/>
  <c r="P185" i="10"/>
  <c r="O145" i="10"/>
  <c r="L181" i="10"/>
  <c r="R51" i="10"/>
  <c r="Q51" i="10" s="1"/>
  <c r="C189" i="10"/>
  <c r="V93" i="10"/>
  <c r="N126" i="10"/>
  <c r="N127" i="10" s="1"/>
  <c r="N128" i="10" s="1"/>
  <c r="X165" i="10"/>
  <c r="X186" i="10" s="1"/>
  <c r="P26" i="10"/>
  <c r="P27" i="10" s="1"/>
  <c r="P29" i="10" s="1"/>
  <c r="P32" i="10" s="1"/>
  <c r="P174" i="10" s="1"/>
  <c r="P179" i="10"/>
  <c r="O108" i="10"/>
  <c r="P176" i="10"/>
  <c r="L26" i="10"/>
  <c r="X46" i="10"/>
  <c r="Z45" i="10"/>
  <c r="Q30" i="10"/>
  <c r="AA60" i="10"/>
  <c r="T93" i="10"/>
  <c r="S93" i="10" s="1"/>
  <c r="I127" i="10"/>
  <c r="I128" i="10" s="1"/>
  <c r="H128" i="10" s="1"/>
  <c r="R127" i="10"/>
  <c r="R130" i="10" s="1"/>
  <c r="R184" i="10" s="1"/>
  <c r="AB19" i="10"/>
  <c r="AA20" i="10"/>
  <c r="G65" i="10"/>
  <c r="G68" i="10" s="1"/>
  <c r="G70" i="10" s="1"/>
  <c r="G72" i="10" s="1"/>
  <c r="G75" i="10" s="1"/>
  <c r="G177" i="10" s="1"/>
  <c r="P64" i="10"/>
  <c r="P65" i="10" s="1"/>
  <c r="P68" i="10" s="1"/>
  <c r="P70" i="10" s="1"/>
  <c r="P72" i="10" s="1"/>
  <c r="P75" i="10" s="1"/>
  <c r="P177" i="10" s="1"/>
  <c r="Q108" i="10"/>
  <c r="P122" i="10"/>
  <c r="P124" i="10" s="1"/>
  <c r="X140" i="10"/>
  <c r="X142" i="10" s="1"/>
  <c r="X144" i="10" s="1"/>
  <c r="L165" i="10"/>
  <c r="L186" i="10" s="1"/>
  <c r="L189" i="10" s="1"/>
  <c r="M163" i="10"/>
  <c r="L126" i="10"/>
  <c r="L127" i="10" s="1"/>
  <c r="L128" i="10" s="1"/>
  <c r="K128" i="10" s="1"/>
  <c r="I189" i="10"/>
  <c r="S108" i="10"/>
  <c r="T111" i="10"/>
  <c r="T179" i="10" s="1"/>
  <c r="X122" i="10"/>
  <c r="X124" i="10" s="1"/>
  <c r="X127" i="10" s="1"/>
  <c r="Z117" i="10"/>
  <c r="F145" i="10"/>
  <c r="O163" i="10"/>
  <c r="N189" i="10"/>
  <c r="H51" i="10"/>
  <c r="Z80" i="10"/>
  <c r="T127" i="10"/>
  <c r="T130" i="10" s="1"/>
  <c r="T184" i="10" s="1"/>
  <c r="Q128" i="10"/>
  <c r="D163" i="10"/>
  <c r="T163" i="10"/>
  <c r="S163" i="10" s="1"/>
  <c r="V165" i="10"/>
  <c r="V186" i="10" s="1"/>
  <c r="O73" i="10"/>
  <c r="X101" i="10"/>
  <c r="Z101" i="10" s="1"/>
  <c r="AA101" i="10" s="1"/>
  <c r="AB101" i="10" s="1"/>
  <c r="AC101" i="10" s="1"/>
  <c r="V108" i="10"/>
  <c r="I111" i="10"/>
  <c r="I179" i="10" s="1"/>
  <c r="T147" i="10" l="1"/>
  <c r="T185" i="10" s="1"/>
  <c r="R189" i="10"/>
  <c r="I181" i="10"/>
  <c r="G181" i="10"/>
  <c r="N181" i="10"/>
  <c r="E181" i="10"/>
  <c r="E191" i="10" s="1"/>
  <c r="L27" i="10"/>
  <c r="L29" i="10" s="1"/>
  <c r="L30" i="10" s="1"/>
  <c r="G189" i="10"/>
  <c r="V48" i="10"/>
  <c r="V50" i="10" s="1"/>
  <c r="V53" i="10" s="1"/>
  <c r="O51" i="10"/>
  <c r="R53" i="10"/>
  <c r="R176" i="10" s="1"/>
  <c r="G191" i="10"/>
  <c r="G193" i="10" s="1"/>
  <c r="X48" i="10"/>
  <c r="X50" i="10" s="1"/>
  <c r="T27" i="10"/>
  <c r="T29" i="10" s="1"/>
  <c r="T32" i="10" s="1"/>
  <c r="T174" i="10" s="1"/>
  <c r="S145" i="10"/>
  <c r="I191" i="10"/>
  <c r="I193" i="10" s="1"/>
  <c r="X130" i="10"/>
  <c r="X184" i="10" s="1"/>
  <c r="V68" i="10"/>
  <c r="C181" i="10"/>
  <c r="C191" i="10" s="1"/>
  <c r="C193" i="10" s="1"/>
  <c r="R26" i="10"/>
  <c r="R27" i="10" s="1"/>
  <c r="R29" i="10" s="1"/>
  <c r="R32" i="10" s="1"/>
  <c r="R174" i="10" s="1"/>
  <c r="R181" i="10" s="1"/>
  <c r="R191" i="10" s="1"/>
  <c r="S51" i="10"/>
  <c r="AA135" i="10"/>
  <c r="Z140" i="10"/>
  <c r="Z142" i="10" s="1"/>
  <c r="Z144" i="10" s="1"/>
  <c r="Z157" i="10"/>
  <c r="Z160" i="10" s="1"/>
  <c r="Z162" i="10" s="1"/>
  <c r="Z165" i="10" s="1"/>
  <c r="Z186" i="10" s="1"/>
  <c r="AA152" i="10"/>
  <c r="AA137" i="10"/>
  <c r="AB119" i="10"/>
  <c r="V130" i="10"/>
  <c r="V184" i="10" s="1"/>
  <c r="M128" i="10"/>
  <c r="O128" i="10"/>
  <c r="T73" i="10"/>
  <c r="S73" i="10" s="1"/>
  <c r="Z62" i="10"/>
  <c r="Z65" i="10" s="1"/>
  <c r="Z68" i="10" s="1"/>
  <c r="AB20" i="10"/>
  <c r="AA22" i="10"/>
  <c r="AA24" i="10" s="1"/>
  <c r="E193" i="10"/>
  <c r="X93" i="10"/>
  <c r="U93" i="10"/>
  <c r="P126" i="10"/>
  <c r="P127" i="10" s="1"/>
  <c r="P130" i="10" s="1"/>
  <c r="P184" i="10" s="1"/>
  <c r="P189" i="10" s="1"/>
  <c r="Z26" i="10"/>
  <c r="X27" i="10"/>
  <c r="X29" i="10" s="1"/>
  <c r="X32" i="10" s="1"/>
  <c r="X174" i="10" s="1"/>
  <c r="M30" i="10"/>
  <c r="K30" i="10"/>
  <c r="N191" i="10"/>
  <c r="P181" i="10"/>
  <c r="U108" i="10"/>
  <c r="V111" i="10"/>
  <c r="V179" i="10" s="1"/>
  <c r="X108" i="10"/>
  <c r="U163" i="10"/>
  <c r="X51" i="10"/>
  <c r="Z51" i="10" s="1"/>
  <c r="AA51" i="10" s="1"/>
  <c r="AB51" i="10" s="1"/>
  <c r="AC51" i="10" s="1"/>
  <c r="L191" i="10"/>
  <c r="AA140" i="10"/>
  <c r="AA142" i="10" s="1"/>
  <c r="AA144" i="10" s="1"/>
  <c r="AB135" i="10"/>
  <c r="AA117" i="10"/>
  <c r="Z122" i="10"/>
  <c r="Z124" i="10" s="1"/>
  <c r="Z127" i="10" s="1"/>
  <c r="Z130" i="10" s="1"/>
  <c r="Z184" i="10" s="1"/>
  <c r="T95" i="10"/>
  <c r="T178" i="10" s="1"/>
  <c r="AA45" i="10"/>
  <c r="Z46" i="10"/>
  <c r="Z48" i="10" s="1"/>
  <c r="Z50" i="10" s="1"/>
  <c r="T53" i="10"/>
  <c r="T176" i="10" s="1"/>
  <c r="AA80" i="10"/>
  <c r="Z85" i="10"/>
  <c r="Z88" i="10" s="1"/>
  <c r="Z90" i="10" s="1"/>
  <c r="Z92" i="10" s="1"/>
  <c r="AC19" i="10"/>
  <c r="AB60" i="10"/>
  <c r="AB42" i="10"/>
  <c r="AC37" i="10" s="1"/>
  <c r="T165" i="10"/>
  <c r="T186" i="10" s="1"/>
  <c r="T189" i="10" s="1"/>
  <c r="V69" i="10"/>
  <c r="V70" i="10"/>
  <c r="V72" i="10" s="1"/>
  <c r="V95" i="10"/>
  <c r="V178" i="10" s="1"/>
  <c r="AC13" i="10"/>
  <c r="V27" i="10"/>
  <c r="V29" i="10" s="1"/>
  <c r="V32" i="10" s="1"/>
  <c r="V174" i="10" s="1"/>
  <c r="T75" i="10" l="1"/>
  <c r="T177" i="10" s="1"/>
  <c r="X69" i="10"/>
  <c r="Z69" i="10" s="1"/>
  <c r="T181" i="10"/>
  <c r="T191" i="10" s="1"/>
  <c r="X70" i="10"/>
  <c r="X72" i="10" s="1"/>
  <c r="AC119" i="10"/>
  <c r="AC137" i="10" s="1"/>
  <c r="AB137" i="10"/>
  <c r="AC135" i="10" s="1"/>
  <c r="AC140" i="10" s="1"/>
  <c r="AC142" i="10" s="1"/>
  <c r="AC144" i="10" s="1"/>
  <c r="AA157" i="10"/>
  <c r="AA160" i="10" s="1"/>
  <c r="AA162" i="10" s="1"/>
  <c r="AA165" i="10" s="1"/>
  <c r="AA186" i="10" s="1"/>
  <c r="AB152" i="10"/>
  <c r="Z93" i="10"/>
  <c r="AA93" i="10" s="1"/>
  <c r="AB93" i="10" s="1"/>
  <c r="AC93" i="10" s="1"/>
  <c r="X95" i="10"/>
  <c r="X178" i="10" s="1"/>
  <c r="P191" i="10"/>
  <c r="AA26" i="10"/>
  <c r="AB26" i="10" s="1"/>
  <c r="AC26" i="10" s="1"/>
  <c r="Z27" i="10"/>
  <c r="Z29" i="10" s="1"/>
  <c r="Z32" i="10" s="1"/>
  <c r="Z174" i="10" s="1"/>
  <c r="L195" i="10"/>
  <c r="L193" i="10"/>
  <c r="AB117" i="10"/>
  <c r="AA122" i="10"/>
  <c r="AA124" i="10" s="1"/>
  <c r="AA127" i="10" s="1"/>
  <c r="AA130" i="10" s="1"/>
  <c r="AA184" i="10" s="1"/>
  <c r="AC20" i="10"/>
  <c r="AC22" i="10" s="1"/>
  <c r="AC24" i="10" s="1"/>
  <c r="AC27" i="10" s="1"/>
  <c r="AC29" i="10" s="1"/>
  <c r="AC32" i="10" s="1"/>
  <c r="AC174" i="10" s="1"/>
  <c r="AB22" i="10"/>
  <c r="AB24" i="10" s="1"/>
  <c r="AB45" i="10"/>
  <c r="AA46" i="10"/>
  <c r="AA48" i="10" s="1"/>
  <c r="AA50" i="10" s="1"/>
  <c r="AA53" i="10" s="1"/>
  <c r="AA176" i="10" s="1"/>
  <c r="X53" i="10"/>
  <c r="X176" i="10" s="1"/>
  <c r="AB80" i="10"/>
  <c r="AA85" i="10"/>
  <c r="AA88" i="10" s="1"/>
  <c r="AA90" i="10" s="1"/>
  <c r="AA92" i="10" s="1"/>
  <c r="AA95" i="10" s="1"/>
  <c r="AA178" i="10" s="1"/>
  <c r="V176" i="10"/>
  <c r="AC60" i="10"/>
  <c r="AC42" i="10"/>
  <c r="Z108" i="10"/>
  <c r="X111" i="10"/>
  <c r="X179" i="10" s="1"/>
  <c r="N193" i="10"/>
  <c r="N195" i="10"/>
  <c r="X145" i="10"/>
  <c r="V185" i="10"/>
  <c r="AA61" i="10"/>
  <c r="AA62" i="10" s="1"/>
  <c r="AA65" i="10" s="1"/>
  <c r="AA68" i="10" s="1"/>
  <c r="AB57" i="10"/>
  <c r="V73" i="10"/>
  <c r="V75" i="10" s="1"/>
  <c r="V177" i="10" s="1"/>
  <c r="Z53" i="10"/>
  <c r="Z176" i="10" s="1"/>
  <c r="AB140" i="10" l="1"/>
  <c r="AB142" i="10" s="1"/>
  <c r="AB144" i="10" s="1"/>
  <c r="Z95" i="10"/>
  <c r="Z178" i="10" s="1"/>
  <c r="AA69" i="10"/>
  <c r="AB69" i="10" s="1"/>
  <c r="AC69" i="10" s="1"/>
  <c r="Z70" i="10"/>
  <c r="Z72" i="10" s="1"/>
  <c r="V181" i="10"/>
  <c r="V189" i="10"/>
  <c r="AC152" i="10"/>
  <c r="AC157" i="10" s="1"/>
  <c r="AC160" i="10" s="1"/>
  <c r="AC162" i="10" s="1"/>
  <c r="AC165" i="10" s="1"/>
  <c r="AC186" i="10" s="1"/>
  <c r="AB157" i="10"/>
  <c r="AB160" i="10" s="1"/>
  <c r="AB162" i="10" s="1"/>
  <c r="AB165" i="10" s="1"/>
  <c r="AB186" i="10" s="1"/>
  <c r="AA108" i="10"/>
  <c r="Z111" i="10"/>
  <c r="Z179" i="10" s="1"/>
  <c r="AB61" i="10"/>
  <c r="AB62" i="10" s="1"/>
  <c r="AB65" i="10" s="1"/>
  <c r="AB68" i="10" s="1"/>
  <c r="AB70" i="10" s="1"/>
  <c r="AB72" i="10" s="1"/>
  <c r="AC57" i="10"/>
  <c r="P195" i="10"/>
  <c r="P193" i="10"/>
  <c r="R193" i="10"/>
  <c r="R195" i="10"/>
  <c r="AB122" i="10"/>
  <c r="AB124" i="10" s="1"/>
  <c r="AB127" i="10" s="1"/>
  <c r="AB130" i="10" s="1"/>
  <c r="AB184" i="10" s="1"/>
  <c r="AC117" i="10"/>
  <c r="AC122" i="10" s="1"/>
  <c r="AC124" i="10" s="1"/>
  <c r="AC127" i="10" s="1"/>
  <c r="AC130" i="10" s="1"/>
  <c r="AC184" i="10" s="1"/>
  <c r="AC80" i="10"/>
  <c r="AC85" i="10" s="1"/>
  <c r="AC88" i="10" s="1"/>
  <c r="AC90" i="10" s="1"/>
  <c r="AC92" i="10" s="1"/>
  <c r="AC95" i="10" s="1"/>
  <c r="AC178" i="10" s="1"/>
  <c r="AB85" i="10"/>
  <c r="AB88" i="10" s="1"/>
  <c r="AB90" i="10" s="1"/>
  <c r="AB92" i="10" s="1"/>
  <c r="AB95" i="10" s="1"/>
  <c r="AB178" i="10" s="1"/>
  <c r="Z145" i="10"/>
  <c r="X147" i="10"/>
  <c r="X185" i="10" s="1"/>
  <c r="AC45" i="10"/>
  <c r="AC46" i="10" s="1"/>
  <c r="AC48" i="10" s="1"/>
  <c r="AC50" i="10" s="1"/>
  <c r="AC53" i="10" s="1"/>
  <c r="AC176" i="10" s="1"/>
  <c r="AB46" i="10"/>
  <c r="AB48" i="10" s="1"/>
  <c r="AB50" i="10" s="1"/>
  <c r="AB53" i="10" s="1"/>
  <c r="AB176" i="10" s="1"/>
  <c r="AA27" i="10"/>
  <c r="AA29" i="10" s="1"/>
  <c r="AA32" i="10" s="1"/>
  <c r="AA174" i="10" s="1"/>
  <c r="X73" i="10"/>
  <c r="X75" i="10" s="1"/>
  <c r="U73" i="10"/>
  <c r="AB27" i="10"/>
  <c r="AB29" i="10" s="1"/>
  <c r="AB32" i="10" s="1"/>
  <c r="AB174" i="10" s="1"/>
  <c r="T195" i="10"/>
  <c r="T193" i="10"/>
  <c r="AA70" i="10" l="1"/>
  <c r="AA72" i="10" s="1"/>
  <c r="V191" i="10"/>
  <c r="X189" i="10"/>
  <c r="AA111" i="10"/>
  <c r="AA179" i="10" s="1"/>
  <c r="AB108" i="10"/>
  <c r="Z73" i="10"/>
  <c r="AA145" i="10"/>
  <c r="Z147" i="10"/>
  <c r="Z185" i="10" s="1"/>
  <c r="AC61" i="10"/>
  <c r="AC62" i="10" s="1"/>
  <c r="AC65" i="10" s="1"/>
  <c r="AC68" i="10" s="1"/>
  <c r="AC70" i="10" s="1"/>
  <c r="AC72" i="10" s="1"/>
  <c r="X177" i="10" l="1"/>
  <c r="V193" i="10"/>
  <c r="V195" i="10"/>
  <c r="Z189" i="10"/>
  <c r="AC108" i="10"/>
  <c r="AC111" i="10" s="1"/>
  <c r="AC179" i="10" s="1"/>
  <c r="AB111" i="10"/>
  <c r="AB179" i="10" s="1"/>
  <c r="AB145" i="10"/>
  <c r="AA147" i="10"/>
  <c r="AA185" i="10" s="1"/>
  <c r="AA73" i="10"/>
  <c r="Z75" i="10"/>
  <c r="Z177" i="10" s="1"/>
  <c r="X181" i="10" l="1"/>
  <c r="X191" i="10" s="1"/>
  <c r="X193" i="10" s="1"/>
  <c r="AA189" i="10"/>
  <c r="Z181" i="10"/>
  <c r="Z191" i="10" s="1"/>
  <c r="AB73" i="10"/>
  <c r="AA75" i="10"/>
  <c r="AA177" i="10" s="1"/>
  <c r="AC145" i="10"/>
  <c r="AC147" i="10" s="1"/>
  <c r="AC185" i="10" s="1"/>
  <c r="AB147" i="10"/>
  <c r="AB185" i="10" s="1"/>
  <c r="X195" i="10" l="1"/>
  <c r="Z193" i="10"/>
  <c r="AB189" i="10"/>
  <c r="AC189" i="10"/>
  <c r="Z195" i="10"/>
  <c r="AA181" i="10"/>
  <c r="AA191" i="10" s="1"/>
  <c r="AA193" i="10" s="1"/>
  <c r="AC73" i="10"/>
  <c r="AC75" i="10" s="1"/>
  <c r="AC177" i="10" s="1"/>
  <c r="AB75" i="10"/>
  <c r="AB177" i="10" s="1"/>
  <c r="AA195" i="10" l="1"/>
  <c r="AB181" i="10"/>
  <c r="AB191" i="10" s="1"/>
  <c r="AC181" i="10"/>
  <c r="AC191" i="10" s="1"/>
  <c r="AC195" i="10" l="1"/>
  <c r="AC193" i="10"/>
  <c r="AB195" i="10"/>
  <c r="AB193" i="10"/>
  <c r="X39" i="9" l="1"/>
  <c r="W73" i="9" l="1"/>
  <c r="Z13" i="9" l="1"/>
  <c r="X80" i="9" l="1"/>
  <c r="X153" i="9" l="1"/>
  <c r="Z119" i="9"/>
  <c r="AC118" i="9"/>
  <c r="AB118" i="9"/>
  <c r="AA118" i="9"/>
  <c r="Z118" i="9"/>
  <c r="X118" i="9"/>
  <c r="T108" i="9"/>
  <c r="T111" i="9" s="1"/>
  <c r="V101" i="9"/>
  <c r="V108" i="9" s="1"/>
  <c r="X136" i="9" l="1"/>
  <c r="X59" i="9"/>
  <c r="V111" i="9"/>
  <c r="U108" i="9"/>
  <c r="X37" i="9" l="1"/>
  <c r="N184" i="6" l="1"/>
  <c r="L184" i="6"/>
  <c r="I184" i="6"/>
  <c r="C184" i="6"/>
  <c r="L174" i="6"/>
  <c r="I174" i="6"/>
  <c r="AB172" i="6"/>
  <c r="AC172" i="6" s="1"/>
  <c r="Y163" i="6"/>
  <c r="W163" i="6"/>
  <c r="R163" i="6"/>
  <c r="P163" i="6"/>
  <c r="Q163" i="6" s="1"/>
  <c r="N163" i="6"/>
  <c r="L163" i="6"/>
  <c r="I163" i="6"/>
  <c r="K163" i="6" s="1"/>
  <c r="G163" i="6"/>
  <c r="E163" i="6"/>
  <c r="C163" i="6"/>
  <c r="V157" i="6"/>
  <c r="V160" i="6" s="1"/>
  <c r="V162" i="6" s="1"/>
  <c r="T157" i="6"/>
  <c r="T160" i="6" s="1"/>
  <c r="T162" i="6" s="1"/>
  <c r="R157" i="6"/>
  <c r="R160" i="6" s="1"/>
  <c r="R162" i="6" s="1"/>
  <c r="R165" i="6" s="1"/>
  <c r="R186" i="6" s="1"/>
  <c r="P157" i="6"/>
  <c r="P160" i="6" s="1"/>
  <c r="P162" i="6" s="1"/>
  <c r="P165" i="6" s="1"/>
  <c r="P186" i="6" s="1"/>
  <c r="N157" i="6"/>
  <c r="N160" i="6" s="1"/>
  <c r="N162" i="6" s="1"/>
  <c r="L157" i="6"/>
  <c r="L160" i="6" s="1"/>
  <c r="L162" i="6" s="1"/>
  <c r="L165" i="6" s="1"/>
  <c r="L186" i="6" s="1"/>
  <c r="I157" i="6"/>
  <c r="I160" i="6" s="1"/>
  <c r="I162" i="6" s="1"/>
  <c r="G157" i="6"/>
  <c r="G160" i="6" s="1"/>
  <c r="G162" i="6" s="1"/>
  <c r="E157" i="6"/>
  <c r="E160" i="6" s="1"/>
  <c r="E162" i="6" s="1"/>
  <c r="C157" i="6"/>
  <c r="C160" i="6" s="1"/>
  <c r="C162" i="6" s="1"/>
  <c r="C165" i="6" s="1"/>
  <c r="C186" i="6" s="1"/>
  <c r="Z154" i="6"/>
  <c r="AA154" i="6" s="1"/>
  <c r="AB154" i="6" s="1"/>
  <c r="AC154" i="6" s="1"/>
  <c r="X152" i="6"/>
  <c r="Y145" i="6"/>
  <c r="W145" i="6"/>
  <c r="R145" i="6"/>
  <c r="P145" i="6"/>
  <c r="N145" i="6"/>
  <c r="L145" i="6"/>
  <c r="I145" i="6"/>
  <c r="G145" i="6"/>
  <c r="E145" i="6"/>
  <c r="F145" i="6" s="1"/>
  <c r="C145" i="6"/>
  <c r="G143" i="6"/>
  <c r="V140" i="6"/>
  <c r="V142" i="6" s="1"/>
  <c r="V144" i="6" s="1"/>
  <c r="L140" i="6"/>
  <c r="L142" i="6" s="1"/>
  <c r="L144" i="6" s="1"/>
  <c r="L147" i="6" s="1"/>
  <c r="L185" i="6" s="1"/>
  <c r="E140" i="6"/>
  <c r="E142" i="6" s="1"/>
  <c r="E144" i="6" s="1"/>
  <c r="C140" i="6"/>
  <c r="C142" i="6" s="1"/>
  <c r="C144" i="6" s="1"/>
  <c r="X139" i="6"/>
  <c r="Z139" i="6" s="1"/>
  <c r="AA139" i="6" s="1"/>
  <c r="AB139" i="6" s="1"/>
  <c r="AC139" i="6" s="1"/>
  <c r="T139" i="6"/>
  <c r="R139" i="6"/>
  <c r="P139" i="6"/>
  <c r="P140" i="6" s="1"/>
  <c r="P142" i="6" s="1"/>
  <c r="P144" i="6" s="1"/>
  <c r="P147" i="6" s="1"/>
  <c r="N139" i="6"/>
  <c r="N140" i="6" s="1"/>
  <c r="N142" i="6" s="1"/>
  <c r="N144" i="6" s="1"/>
  <c r="N147" i="6" s="1"/>
  <c r="N185" i="6" s="1"/>
  <c r="I139" i="6"/>
  <c r="I140" i="6" s="1"/>
  <c r="I142" i="6" s="1"/>
  <c r="I144" i="6" s="1"/>
  <c r="G139" i="6"/>
  <c r="G140" i="6" s="1"/>
  <c r="G142" i="6" s="1"/>
  <c r="X137" i="6"/>
  <c r="T137" i="6"/>
  <c r="R137" i="6"/>
  <c r="T136" i="6"/>
  <c r="R136" i="6"/>
  <c r="X135" i="6"/>
  <c r="AC132" i="6"/>
  <c r="AB132" i="6"/>
  <c r="E130" i="6"/>
  <c r="E184" i="6" s="1"/>
  <c r="Y128" i="6"/>
  <c r="W128" i="6"/>
  <c r="T128" i="6"/>
  <c r="V128" i="6" s="1"/>
  <c r="R128" i="6"/>
  <c r="S128" i="6" s="1"/>
  <c r="P128" i="6"/>
  <c r="F128" i="6"/>
  <c r="D128" i="6"/>
  <c r="I126" i="6"/>
  <c r="G126" i="6"/>
  <c r="C126" i="6"/>
  <c r="V122" i="6"/>
  <c r="V124" i="6" s="1"/>
  <c r="I122" i="6"/>
  <c r="I124" i="6" s="1"/>
  <c r="I127" i="6" s="1"/>
  <c r="I128" i="6" s="1"/>
  <c r="H128" i="6" s="1"/>
  <c r="E122" i="6"/>
  <c r="E124" i="6" s="1"/>
  <c r="E126" i="6" s="1"/>
  <c r="C122" i="6"/>
  <c r="C124" i="6" s="1"/>
  <c r="X121" i="6"/>
  <c r="Z121" i="6" s="1"/>
  <c r="AA121" i="6" s="1"/>
  <c r="AB121" i="6" s="1"/>
  <c r="AC121" i="6" s="1"/>
  <c r="T121" i="6"/>
  <c r="N121" i="6"/>
  <c r="L121" i="6"/>
  <c r="G121" i="6"/>
  <c r="X120" i="6"/>
  <c r="Z120" i="6" s="1"/>
  <c r="AA120" i="6" s="1"/>
  <c r="AB120" i="6" s="1"/>
  <c r="AC120" i="6" s="1"/>
  <c r="T120" i="6"/>
  <c r="R120" i="6"/>
  <c r="R122" i="6" s="1"/>
  <c r="R124" i="6" s="1"/>
  <c r="P120" i="6"/>
  <c r="N120" i="6"/>
  <c r="N122" i="6" s="1"/>
  <c r="N124" i="6" s="1"/>
  <c r="L120" i="6"/>
  <c r="G120" i="6"/>
  <c r="G122" i="6" s="1"/>
  <c r="G124" i="6" s="1"/>
  <c r="G127" i="6" s="1"/>
  <c r="G130" i="6" s="1"/>
  <c r="G184" i="6" s="1"/>
  <c r="Z119" i="6"/>
  <c r="Z137" i="6" s="1"/>
  <c r="AC118" i="6"/>
  <c r="AC136" i="6" s="1"/>
  <c r="AB118" i="6"/>
  <c r="AB136" i="6" s="1"/>
  <c r="AA118" i="6"/>
  <c r="AA136" i="6" s="1"/>
  <c r="Z118" i="6"/>
  <c r="Z136" i="6" s="1"/>
  <c r="X118" i="6"/>
  <c r="X136" i="6" s="1"/>
  <c r="Z135" i="6" s="1"/>
  <c r="X117" i="6"/>
  <c r="P117" i="6"/>
  <c r="AC114" i="6"/>
  <c r="AB114" i="6"/>
  <c r="N111" i="6"/>
  <c r="N179" i="6" s="1"/>
  <c r="G111" i="6"/>
  <c r="G179" i="6" s="1"/>
  <c r="Y108" i="6"/>
  <c r="W108" i="6"/>
  <c r="T108" i="6"/>
  <c r="R108" i="6"/>
  <c r="R111" i="6" s="1"/>
  <c r="R179" i="6" s="1"/>
  <c r="P108" i="6"/>
  <c r="P111" i="6" s="1"/>
  <c r="L108" i="6"/>
  <c r="L111" i="6" s="1"/>
  <c r="L179" i="6" s="1"/>
  <c r="I108" i="6"/>
  <c r="I111" i="6" s="1"/>
  <c r="I179" i="6" s="1"/>
  <c r="H108" i="6"/>
  <c r="E108" i="6"/>
  <c r="E111" i="6" s="1"/>
  <c r="E179" i="6" s="1"/>
  <c r="C108" i="6"/>
  <c r="C111" i="6" s="1"/>
  <c r="C179" i="6" s="1"/>
  <c r="AC97" i="6"/>
  <c r="AB97" i="6"/>
  <c r="AA97" i="6"/>
  <c r="Z97" i="6"/>
  <c r="Y93" i="6"/>
  <c r="W93" i="6"/>
  <c r="R93" i="6"/>
  <c r="P93" i="6"/>
  <c r="M93" i="6"/>
  <c r="I93" i="6"/>
  <c r="F93" i="6"/>
  <c r="D93" i="6"/>
  <c r="L90" i="6"/>
  <c r="L92" i="6" s="1"/>
  <c r="L95" i="6" s="1"/>
  <c r="L178" i="6" s="1"/>
  <c r="N85" i="6"/>
  <c r="N88" i="6" s="1"/>
  <c r="N90" i="6" s="1"/>
  <c r="N92" i="6" s="1"/>
  <c r="N95" i="6" s="1"/>
  <c r="N178" i="6" s="1"/>
  <c r="L85" i="6"/>
  <c r="AC82" i="6"/>
  <c r="AB82" i="6"/>
  <c r="AA82" i="6"/>
  <c r="Z82" i="6"/>
  <c r="X82" i="6"/>
  <c r="V82" i="6"/>
  <c r="T82" i="6"/>
  <c r="T85" i="6" s="1"/>
  <c r="T88" i="6" s="1"/>
  <c r="T90" i="6" s="1"/>
  <c r="T92" i="6" s="1"/>
  <c r="R82" i="6"/>
  <c r="R85" i="6" s="1"/>
  <c r="R88" i="6" s="1"/>
  <c r="R90" i="6" s="1"/>
  <c r="R92" i="6" s="1"/>
  <c r="R95" i="6" s="1"/>
  <c r="R178" i="6" s="1"/>
  <c r="P82" i="6"/>
  <c r="P85" i="6" s="1"/>
  <c r="P88" i="6" s="1"/>
  <c r="P90" i="6" s="1"/>
  <c r="P92" i="6" s="1"/>
  <c r="P95" i="6" s="1"/>
  <c r="I82" i="6"/>
  <c r="G82" i="6"/>
  <c r="E82" i="6"/>
  <c r="C82" i="6"/>
  <c r="G81" i="6"/>
  <c r="E81" i="6"/>
  <c r="E85" i="6" s="1"/>
  <c r="E88" i="6" s="1"/>
  <c r="E90" i="6" s="1"/>
  <c r="E92" i="6" s="1"/>
  <c r="E95" i="6" s="1"/>
  <c r="E178" i="6" s="1"/>
  <c r="C81" i="6"/>
  <c r="V80" i="6"/>
  <c r="V101" i="6" s="1"/>
  <c r="X101" i="6" s="1"/>
  <c r="Z101" i="6" s="1"/>
  <c r="AA101" i="6" s="1"/>
  <c r="AB101" i="6" s="1"/>
  <c r="AC101" i="6" s="1"/>
  <c r="Y73" i="6"/>
  <c r="W73" i="6"/>
  <c r="R73" i="6"/>
  <c r="P73" i="6"/>
  <c r="Q73" i="6" s="1"/>
  <c r="N73" i="6"/>
  <c r="L73" i="6"/>
  <c r="I73" i="6"/>
  <c r="I81" i="6" s="1"/>
  <c r="F73" i="6"/>
  <c r="D73" i="6"/>
  <c r="R69" i="6"/>
  <c r="P69" i="6"/>
  <c r="N69" i="6"/>
  <c r="L69" i="6"/>
  <c r="I69" i="6"/>
  <c r="G69" i="6"/>
  <c r="C69" i="6"/>
  <c r="L66" i="6"/>
  <c r="I66" i="6"/>
  <c r="G66" i="6"/>
  <c r="E66" i="6"/>
  <c r="C66" i="6"/>
  <c r="V64" i="6"/>
  <c r="X64" i="6" s="1"/>
  <c r="Z64" i="6" s="1"/>
  <c r="AA64" i="6" s="1"/>
  <c r="AB64" i="6" s="1"/>
  <c r="AC64" i="6" s="1"/>
  <c r="T64" i="6"/>
  <c r="R64" i="6"/>
  <c r="N64" i="6"/>
  <c r="I64" i="6"/>
  <c r="G64" i="6"/>
  <c r="V62" i="6"/>
  <c r="P62" i="6"/>
  <c r="N62" i="6"/>
  <c r="L62" i="6"/>
  <c r="L65" i="6" s="1"/>
  <c r="I62" i="6"/>
  <c r="I65" i="6" s="1"/>
  <c r="I68" i="6" s="1"/>
  <c r="G62" i="6"/>
  <c r="E62" i="6"/>
  <c r="E65" i="6" s="1"/>
  <c r="C62" i="6"/>
  <c r="C65" i="6" s="1"/>
  <c r="T60" i="6"/>
  <c r="T62" i="6" s="1"/>
  <c r="R60" i="6"/>
  <c r="R62" i="6" s="1"/>
  <c r="Z59" i="6"/>
  <c r="X57" i="6"/>
  <c r="AC55" i="6"/>
  <c r="AB55" i="6"/>
  <c r="Y51" i="6"/>
  <c r="W51" i="6"/>
  <c r="P51" i="6"/>
  <c r="N51" i="6"/>
  <c r="L51" i="6"/>
  <c r="I51" i="6"/>
  <c r="H51" i="6" s="1"/>
  <c r="E51" i="6"/>
  <c r="F51" i="6" s="1"/>
  <c r="C51" i="6"/>
  <c r="T47" i="6"/>
  <c r="R47" i="6"/>
  <c r="P47" i="6"/>
  <c r="N47" i="6"/>
  <c r="L47" i="6"/>
  <c r="I47" i="6"/>
  <c r="G47" i="6"/>
  <c r="E47" i="6"/>
  <c r="C47" i="6"/>
  <c r="R46" i="6"/>
  <c r="R48" i="6" s="1"/>
  <c r="R50" i="6" s="1"/>
  <c r="G46" i="6"/>
  <c r="E46" i="6"/>
  <c r="E48" i="6" s="1"/>
  <c r="E50" i="6" s="1"/>
  <c r="C46" i="6"/>
  <c r="C48" i="6" s="1"/>
  <c r="C50" i="6" s="1"/>
  <c r="V45" i="6"/>
  <c r="V46" i="6" s="1"/>
  <c r="V47" i="6" s="1"/>
  <c r="T45" i="6"/>
  <c r="T46" i="6" s="1"/>
  <c r="T48" i="6" s="1"/>
  <c r="T50" i="6" s="1"/>
  <c r="P45" i="6"/>
  <c r="P46" i="6" s="1"/>
  <c r="N45" i="6"/>
  <c r="N46" i="6" s="1"/>
  <c r="L45" i="6"/>
  <c r="L46" i="6" s="1"/>
  <c r="I45" i="6"/>
  <c r="I46" i="6" s="1"/>
  <c r="AC41" i="6"/>
  <c r="Z41" i="6"/>
  <c r="X41" i="6"/>
  <c r="AC40" i="6"/>
  <c r="AB40" i="6"/>
  <c r="AA40" i="6"/>
  <c r="Z40" i="6"/>
  <c r="X40" i="6"/>
  <c r="AC39" i="6"/>
  <c r="AB39" i="6"/>
  <c r="AA39" i="6"/>
  <c r="Z39" i="6"/>
  <c r="X39" i="6"/>
  <c r="X37" i="6"/>
  <c r="AC34" i="6"/>
  <c r="AB34" i="6"/>
  <c r="T30" i="6"/>
  <c r="V30" i="6" s="1"/>
  <c r="X30" i="6" s="1"/>
  <c r="Z30" i="6" s="1"/>
  <c r="AA30" i="6" s="1"/>
  <c r="AB30" i="6" s="1"/>
  <c r="AC30" i="6" s="1"/>
  <c r="R30" i="6"/>
  <c r="P30" i="6"/>
  <c r="N30" i="6"/>
  <c r="E29" i="6"/>
  <c r="E32" i="6" s="1"/>
  <c r="E174" i="6" s="1"/>
  <c r="I26" i="6"/>
  <c r="G26" i="6"/>
  <c r="C26" i="6"/>
  <c r="V22" i="6"/>
  <c r="V24" i="6" s="1"/>
  <c r="I22" i="6"/>
  <c r="I24" i="6" s="1"/>
  <c r="I27" i="6" s="1"/>
  <c r="I29" i="6" s="1"/>
  <c r="I30" i="6" s="1"/>
  <c r="H30" i="6" s="1"/>
  <c r="G22" i="6"/>
  <c r="G24" i="6" s="1"/>
  <c r="E22" i="6"/>
  <c r="E24" i="6" s="1"/>
  <c r="E26" i="6" s="1"/>
  <c r="C22" i="6"/>
  <c r="C24" i="6" s="1"/>
  <c r="X21" i="6"/>
  <c r="Z21" i="6" s="1"/>
  <c r="AA21" i="6" s="1"/>
  <c r="AB21" i="6" s="1"/>
  <c r="AC21" i="6" s="1"/>
  <c r="T21" i="6"/>
  <c r="R21" i="6"/>
  <c r="P21" i="6"/>
  <c r="N21" i="6"/>
  <c r="L21" i="6"/>
  <c r="X20" i="6"/>
  <c r="T20" i="6"/>
  <c r="R20" i="6"/>
  <c r="R22" i="6" s="1"/>
  <c r="R24" i="6" s="1"/>
  <c r="P20" i="6"/>
  <c r="P22" i="6" s="1"/>
  <c r="P24" i="6" s="1"/>
  <c r="N20" i="6"/>
  <c r="L20" i="6"/>
  <c r="X19" i="6"/>
  <c r="Z19" i="6" s="1"/>
  <c r="AA18" i="6"/>
  <c r="AA59" i="6" s="1"/>
  <c r="X13" i="6"/>
  <c r="V7" i="6"/>
  <c r="X7" i="6" s="1"/>
  <c r="Z7" i="6" s="1"/>
  <c r="AA7" i="6" s="1"/>
  <c r="AB7" i="6" s="1"/>
  <c r="AC7" i="6" s="1"/>
  <c r="V6" i="6"/>
  <c r="X6" i="6" s="1"/>
  <c r="Z6" i="6" s="1"/>
  <c r="AA6" i="6" s="1"/>
  <c r="AB6" i="6" s="1"/>
  <c r="AC6" i="6" s="1"/>
  <c r="V5" i="6"/>
  <c r="X5" i="6" s="1"/>
  <c r="Z5" i="6" s="1"/>
  <c r="AA5" i="6" s="1"/>
  <c r="AB5" i="6" s="1"/>
  <c r="AC5" i="6" s="1"/>
  <c r="N48" i="6" l="1"/>
  <c r="N50" i="6" s="1"/>
  <c r="N53" i="6" s="1"/>
  <c r="N176" i="6" s="1"/>
  <c r="C53" i="6"/>
  <c r="C176" i="6" s="1"/>
  <c r="X59" i="6"/>
  <c r="E68" i="6"/>
  <c r="E70" i="6" s="1"/>
  <c r="E72" i="6" s="1"/>
  <c r="E75" i="6" s="1"/>
  <c r="E177" i="6" s="1"/>
  <c r="I147" i="6"/>
  <c r="I185" i="6" s="1"/>
  <c r="L22" i="6"/>
  <c r="L24" i="6" s="1"/>
  <c r="Z13" i="6"/>
  <c r="O30" i="6"/>
  <c r="I48" i="6"/>
  <c r="I50" i="6" s="1"/>
  <c r="R65" i="6"/>
  <c r="R68" i="6" s="1"/>
  <c r="R70" i="6" s="1"/>
  <c r="R72" i="6" s="1"/>
  <c r="R75" i="6" s="1"/>
  <c r="R177" i="6" s="1"/>
  <c r="I165" i="6"/>
  <c r="I186" i="6" s="1"/>
  <c r="G27" i="6"/>
  <c r="G29" i="6" s="1"/>
  <c r="G32" i="6" s="1"/>
  <c r="G174" i="6" s="1"/>
  <c r="G181" i="6" s="1"/>
  <c r="T140" i="6"/>
  <c r="T142" i="6" s="1"/>
  <c r="T144" i="6" s="1"/>
  <c r="T145" i="6" s="1"/>
  <c r="D145" i="6"/>
  <c r="H163" i="6"/>
  <c r="E53" i="6"/>
  <c r="E176" i="6" s="1"/>
  <c r="E181" i="6" s="1"/>
  <c r="I70" i="6"/>
  <c r="I72" i="6" s="1"/>
  <c r="I75" i="6" s="1"/>
  <c r="I177" i="6" s="1"/>
  <c r="L122" i="6"/>
  <c r="L124" i="6" s="1"/>
  <c r="L126" i="6" s="1"/>
  <c r="H145" i="6"/>
  <c r="G65" i="6"/>
  <c r="G68" i="6" s="1"/>
  <c r="G70" i="6" s="1"/>
  <c r="G72" i="6" s="1"/>
  <c r="G75" i="6" s="1"/>
  <c r="G177" i="6" s="1"/>
  <c r="N22" i="6"/>
  <c r="N24" i="6" s="1"/>
  <c r="N26" i="6" s="1"/>
  <c r="N27" i="6" s="1"/>
  <c r="N29" i="6" s="1"/>
  <c r="N32" i="6" s="1"/>
  <c r="N174" i="6" s="1"/>
  <c r="I53" i="6"/>
  <c r="I176" i="6" s="1"/>
  <c r="G48" i="6"/>
  <c r="G50" i="6" s="1"/>
  <c r="G53" i="6" s="1"/>
  <c r="G176" i="6" s="1"/>
  <c r="L68" i="6"/>
  <c r="L70" i="6" s="1"/>
  <c r="L72" i="6" s="1"/>
  <c r="L75" i="6" s="1"/>
  <c r="L177" i="6" s="1"/>
  <c r="L181" i="6" s="1"/>
  <c r="H73" i="6"/>
  <c r="C147" i="6"/>
  <c r="C185" i="6" s="1"/>
  <c r="C189" i="6" s="1"/>
  <c r="L48" i="6"/>
  <c r="L50" i="6" s="1"/>
  <c r="L53" i="6" s="1"/>
  <c r="L176" i="6" s="1"/>
  <c r="AC59" i="6"/>
  <c r="N65" i="6"/>
  <c r="N68" i="6" s="1"/>
  <c r="N70" i="6" s="1"/>
  <c r="N72" i="6" s="1"/>
  <c r="N75" i="6" s="1"/>
  <c r="N177" i="6" s="1"/>
  <c r="C85" i="6"/>
  <c r="C88" i="6" s="1"/>
  <c r="C90" i="6" s="1"/>
  <c r="C92" i="6" s="1"/>
  <c r="C95" i="6" s="1"/>
  <c r="C178" i="6" s="1"/>
  <c r="E147" i="6"/>
  <c r="E185" i="6" s="1"/>
  <c r="C127" i="6"/>
  <c r="E165" i="6"/>
  <c r="E186" i="6" s="1"/>
  <c r="T22" i="6"/>
  <c r="T24" i="6" s="1"/>
  <c r="T26" i="6" s="1"/>
  <c r="V26" i="6" s="1"/>
  <c r="X26" i="6" s="1"/>
  <c r="Z26" i="6" s="1"/>
  <c r="AA26" i="6" s="1"/>
  <c r="AB26" i="6" s="1"/>
  <c r="AC26" i="6" s="1"/>
  <c r="C27" i="6"/>
  <c r="C29" i="6" s="1"/>
  <c r="C32" i="6" s="1"/>
  <c r="C174" i="6" s="1"/>
  <c r="P48" i="6"/>
  <c r="P50" i="6" s="1"/>
  <c r="P53" i="6" s="1"/>
  <c r="P176" i="6" s="1"/>
  <c r="D51" i="6"/>
  <c r="T65" i="6"/>
  <c r="T68" i="6" s="1"/>
  <c r="G85" i="6"/>
  <c r="G88" i="6" s="1"/>
  <c r="G90" i="6" s="1"/>
  <c r="G92" i="6" s="1"/>
  <c r="G95" i="6" s="1"/>
  <c r="G178" i="6" s="1"/>
  <c r="Q128" i="6"/>
  <c r="Q145" i="6"/>
  <c r="G165" i="6"/>
  <c r="G186" i="6" s="1"/>
  <c r="AB18" i="6"/>
  <c r="X22" i="6"/>
  <c r="X24" i="6" s="1"/>
  <c r="Q30" i="6"/>
  <c r="S30" i="6"/>
  <c r="AA41" i="6"/>
  <c r="X45" i="6"/>
  <c r="Z45" i="6" s="1"/>
  <c r="AA45" i="6" s="1"/>
  <c r="AB45" i="6" s="1"/>
  <c r="AC45" i="6" s="1"/>
  <c r="K51" i="6"/>
  <c r="M51" i="6"/>
  <c r="K73" i="6"/>
  <c r="M73" i="6"/>
  <c r="O73" i="6"/>
  <c r="I85" i="6"/>
  <c r="I88" i="6" s="1"/>
  <c r="I90" i="6" s="1"/>
  <c r="I92" i="6" s="1"/>
  <c r="I95" i="6" s="1"/>
  <c r="I178" i="6" s="1"/>
  <c r="Q93" i="6"/>
  <c r="D108" i="6"/>
  <c r="F108" i="6"/>
  <c r="K108" i="6"/>
  <c r="M108" i="6"/>
  <c r="Q108" i="6"/>
  <c r="AA119" i="6"/>
  <c r="T122" i="6"/>
  <c r="T124" i="6" s="1"/>
  <c r="T126" i="6" s="1"/>
  <c r="X128" i="6"/>
  <c r="Z128" i="6" s="1"/>
  <c r="AA128" i="6" s="1"/>
  <c r="AB128" i="6" s="1"/>
  <c r="AC128" i="6" s="1"/>
  <c r="E189" i="6"/>
  <c r="D163" i="6"/>
  <c r="M163" i="6"/>
  <c r="I189" i="6"/>
  <c r="X47" i="6"/>
  <c r="Z47" i="6" s="1"/>
  <c r="AA47" i="6" s="1"/>
  <c r="AB47" i="6" s="1"/>
  <c r="AC47" i="6" s="1"/>
  <c r="V48" i="6"/>
  <c r="V50" i="6" s="1"/>
  <c r="Z60" i="6"/>
  <c r="AA19" i="6"/>
  <c r="Z42" i="6"/>
  <c r="T69" i="6"/>
  <c r="V69" i="6" s="1"/>
  <c r="X69" i="6" s="1"/>
  <c r="Z69" i="6" s="1"/>
  <c r="AA69" i="6" s="1"/>
  <c r="AB69" i="6" s="1"/>
  <c r="AC69" i="6" s="1"/>
  <c r="L26" i="6"/>
  <c r="L27" i="6"/>
  <c r="L29" i="6" s="1"/>
  <c r="L30" i="6" s="1"/>
  <c r="T93" i="6"/>
  <c r="P26" i="6"/>
  <c r="P27" i="6" s="1"/>
  <c r="P29" i="6" s="1"/>
  <c r="P32" i="6" s="1"/>
  <c r="P174" i="6" s="1"/>
  <c r="R51" i="6"/>
  <c r="Q51" i="6" s="1"/>
  <c r="R26" i="6"/>
  <c r="R27" i="6" s="1"/>
  <c r="R29" i="6" s="1"/>
  <c r="R32" i="6" s="1"/>
  <c r="R174" i="6" s="1"/>
  <c r="AA13" i="6"/>
  <c r="T51" i="6"/>
  <c r="T53" i="6" s="1"/>
  <c r="T176" i="6" s="1"/>
  <c r="V65" i="6"/>
  <c r="AA137" i="6"/>
  <c r="AB119" i="6"/>
  <c r="X122" i="6"/>
  <c r="X124" i="6" s="1"/>
  <c r="O145" i="6"/>
  <c r="P185" i="6"/>
  <c r="AA135" i="6"/>
  <c r="Z140" i="6"/>
  <c r="Z142" i="6" s="1"/>
  <c r="Z144" i="6" s="1"/>
  <c r="V145" i="6"/>
  <c r="X145" i="6" s="1"/>
  <c r="Z145" i="6" s="1"/>
  <c r="AA145" i="6" s="1"/>
  <c r="AB145" i="6" s="1"/>
  <c r="AC145" i="6" s="1"/>
  <c r="S145" i="6"/>
  <c r="O163" i="6"/>
  <c r="L189" i="6"/>
  <c r="X42" i="6"/>
  <c r="Z37" i="6" s="1"/>
  <c r="K93" i="6"/>
  <c r="H93" i="6"/>
  <c r="O108" i="6"/>
  <c r="P179" i="6"/>
  <c r="N126" i="6"/>
  <c r="N127" i="6" s="1"/>
  <c r="N128" i="6" s="1"/>
  <c r="X140" i="6"/>
  <c r="X142" i="6" s="1"/>
  <c r="X144" i="6" s="1"/>
  <c r="X147" i="6" s="1"/>
  <c r="X185" i="6" s="1"/>
  <c r="F163" i="6"/>
  <c r="X60" i="6"/>
  <c r="X61" i="6" s="1"/>
  <c r="X62" i="6" s="1"/>
  <c r="X65" i="6" s="1"/>
  <c r="X68" i="6" s="1"/>
  <c r="X70" i="6" s="1"/>
  <c r="X72" i="6" s="1"/>
  <c r="C68" i="6"/>
  <c r="C70" i="6" s="1"/>
  <c r="C72" i="6" s="1"/>
  <c r="C75" i="6" s="1"/>
  <c r="C177" i="6" s="1"/>
  <c r="C181" i="6" s="1"/>
  <c r="M145" i="6"/>
  <c r="K145" i="6"/>
  <c r="R126" i="6"/>
  <c r="R127" i="6" s="1"/>
  <c r="R130" i="6" s="1"/>
  <c r="R184" i="6" s="1"/>
  <c r="R140" i="6"/>
  <c r="R142" i="6" s="1"/>
  <c r="R144" i="6" s="1"/>
  <c r="R147" i="6" s="1"/>
  <c r="R185" i="6" s="1"/>
  <c r="G144" i="6"/>
  <c r="G147" i="6" s="1"/>
  <c r="G185" i="6" s="1"/>
  <c r="N165" i="6"/>
  <c r="N186" i="6" s="1"/>
  <c r="N189" i="6" s="1"/>
  <c r="P178" i="6"/>
  <c r="O93" i="6"/>
  <c r="Z20" i="6"/>
  <c r="P64" i="6"/>
  <c r="P65" i="6" s="1"/>
  <c r="P68" i="6" s="1"/>
  <c r="P70" i="6" s="1"/>
  <c r="P72" i="6" s="1"/>
  <c r="P75" i="6" s="1"/>
  <c r="P177" i="6" s="1"/>
  <c r="T111" i="6"/>
  <c r="T179" i="6" s="1"/>
  <c r="V108" i="6"/>
  <c r="S108" i="6"/>
  <c r="Z117" i="6"/>
  <c r="T147" i="6"/>
  <c r="T185" i="6" s="1"/>
  <c r="X157" i="6"/>
  <c r="X160" i="6" s="1"/>
  <c r="X162" i="6" s="1"/>
  <c r="Z152" i="6"/>
  <c r="T163" i="6"/>
  <c r="T165" i="6" s="1"/>
  <c r="T186" i="6" s="1"/>
  <c r="P121" i="6"/>
  <c r="P122" i="6" s="1"/>
  <c r="P124" i="6" s="1"/>
  <c r="V85" i="6"/>
  <c r="V88" i="6" s="1"/>
  <c r="V90" i="6" s="1"/>
  <c r="V92" i="6" s="1"/>
  <c r="X80" i="6"/>
  <c r="V126" i="6" l="1"/>
  <c r="T127" i="6"/>
  <c r="T130" i="6" s="1"/>
  <c r="T184" i="6" s="1"/>
  <c r="AA37" i="6"/>
  <c r="O51" i="6"/>
  <c r="T70" i="6"/>
  <c r="T72" i="6" s="1"/>
  <c r="E191" i="6"/>
  <c r="N181" i="6"/>
  <c r="I181" i="6"/>
  <c r="I191" i="6" s="1"/>
  <c r="V147" i="6"/>
  <c r="V185" i="6" s="1"/>
  <c r="G189" i="6"/>
  <c r="L127" i="6"/>
  <c r="L128" i="6" s="1"/>
  <c r="K128" i="6" s="1"/>
  <c r="C191" i="6"/>
  <c r="C193" i="6" s="1"/>
  <c r="N15" i="8"/>
  <c r="N40" i="8" s="1"/>
  <c r="N15" i="12"/>
  <c r="N40" i="12" s="1"/>
  <c r="M15" i="8"/>
  <c r="M40" i="8" s="1"/>
  <c r="M15" i="12"/>
  <c r="R189" i="6"/>
  <c r="Z57" i="6"/>
  <c r="Z46" i="6"/>
  <c r="Z48" i="6" s="1"/>
  <c r="Z50" i="6" s="1"/>
  <c r="X46" i="6"/>
  <c r="X48" i="6" s="1"/>
  <c r="X50" i="6" s="1"/>
  <c r="AB41" i="6"/>
  <c r="AB59" i="6"/>
  <c r="Z22" i="6"/>
  <c r="Z24" i="6" s="1"/>
  <c r="Z27" i="6" s="1"/>
  <c r="Z29" i="6" s="1"/>
  <c r="Z32" i="6" s="1"/>
  <c r="Z174" i="6" s="1"/>
  <c r="AA20" i="6"/>
  <c r="Z122" i="6"/>
  <c r="Z124" i="6" s="1"/>
  <c r="AA117" i="6"/>
  <c r="Z61" i="6"/>
  <c r="Z62" i="6" s="1"/>
  <c r="Z65" i="6" s="1"/>
  <c r="Z68" i="6" s="1"/>
  <c r="Z70" i="6" s="1"/>
  <c r="Z72" i="6" s="1"/>
  <c r="AA57" i="6"/>
  <c r="V27" i="6"/>
  <c r="V29" i="6" s="1"/>
  <c r="V32" i="6" s="1"/>
  <c r="V174" i="6" s="1"/>
  <c r="T73" i="6"/>
  <c r="T75" i="6" s="1"/>
  <c r="T177" i="6" s="1"/>
  <c r="X108" i="6"/>
  <c r="V111" i="6"/>
  <c r="V179" i="6" s="1"/>
  <c r="S163" i="6"/>
  <c r="V163" i="6"/>
  <c r="L191" i="6"/>
  <c r="S51" i="6"/>
  <c r="V51" i="6"/>
  <c r="X51" i="6" s="1"/>
  <c r="Z51" i="6" s="1"/>
  <c r="AA51" i="6" s="1"/>
  <c r="AB51" i="6" s="1"/>
  <c r="AC51" i="6" s="1"/>
  <c r="E193" i="6"/>
  <c r="P181" i="6"/>
  <c r="V93" i="6"/>
  <c r="X93" i="6" s="1"/>
  <c r="Z93" i="6" s="1"/>
  <c r="AA93" i="6" s="1"/>
  <c r="AB93" i="6" s="1"/>
  <c r="AC93" i="6" s="1"/>
  <c r="S93" i="6"/>
  <c r="X27" i="6"/>
  <c r="X29" i="6" s="1"/>
  <c r="X32" i="6" s="1"/>
  <c r="X174" i="6" s="1"/>
  <c r="T95" i="6"/>
  <c r="T178" i="6" s="1"/>
  <c r="T189" i="6"/>
  <c r="Z157" i="6"/>
  <c r="Z160" i="6" s="1"/>
  <c r="Z162" i="6" s="1"/>
  <c r="AA152" i="6"/>
  <c r="T27" i="6"/>
  <c r="T29" i="6" s="1"/>
  <c r="T32" i="6" s="1"/>
  <c r="T174" i="6" s="1"/>
  <c r="P126" i="6"/>
  <c r="P127" i="6" s="1"/>
  <c r="P130" i="6" s="1"/>
  <c r="P184" i="6" s="1"/>
  <c r="P189" i="6" s="1"/>
  <c r="AB137" i="6"/>
  <c r="AC119" i="6"/>
  <c r="AC137" i="6" s="1"/>
  <c r="N191" i="6"/>
  <c r="AA60" i="6"/>
  <c r="AB19" i="6"/>
  <c r="AA42" i="6"/>
  <c r="M128" i="6"/>
  <c r="Z147" i="6"/>
  <c r="Z185" i="6" s="1"/>
  <c r="AB13" i="6"/>
  <c r="AC13" i="6" s="1"/>
  <c r="R53" i="6"/>
  <c r="R176" i="6" s="1"/>
  <c r="R181" i="6" s="1"/>
  <c r="R191" i="6" s="1"/>
  <c r="M30" i="6"/>
  <c r="K30" i="6"/>
  <c r="X85" i="6"/>
  <c r="X88" i="6" s="1"/>
  <c r="X90" i="6" s="1"/>
  <c r="X92" i="6" s="1"/>
  <c r="Z80" i="6"/>
  <c r="O128" i="6"/>
  <c r="AA140" i="6"/>
  <c r="AA142" i="6" s="1"/>
  <c r="AA144" i="6" s="1"/>
  <c r="AA147" i="6" s="1"/>
  <c r="AA185" i="6" s="1"/>
  <c r="AB135" i="6"/>
  <c r="V66" i="6"/>
  <c r="V68" i="6" s="1"/>
  <c r="V70" i="6" s="1"/>
  <c r="V72" i="6" s="1"/>
  <c r="V53" i="6"/>
  <c r="V176" i="6" s="1"/>
  <c r="G191" i="6"/>
  <c r="G193" i="6" s="1"/>
  <c r="AA46" i="6" l="1"/>
  <c r="AA48" i="6" s="1"/>
  <c r="AA50" i="6" s="1"/>
  <c r="AA53" i="6" s="1"/>
  <c r="AA176" i="6" s="1"/>
  <c r="X126" i="6"/>
  <c r="V127" i="6"/>
  <c r="V130" i="6" s="1"/>
  <c r="V184" i="6" s="1"/>
  <c r="Z53" i="6"/>
  <c r="Z176" i="6" s="1"/>
  <c r="M8" i="8"/>
  <c r="M33" i="8" s="1"/>
  <c r="M8" i="12"/>
  <c r="P15" i="8"/>
  <c r="P40" i="8" s="1"/>
  <c r="P15" i="12"/>
  <c r="P40" i="12" s="1"/>
  <c r="O8" i="8"/>
  <c r="O33" i="8" s="1"/>
  <c r="O8" i="12"/>
  <c r="O33" i="12" s="1"/>
  <c r="O15" i="8"/>
  <c r="O40" i="8" s="1"/>
  <c r="O15" i="12"/>
  <c r="O40" i="12" s="1"/>
  <c r="P8" i="8"/>
  <c r="P33" i="8" s="1"/>
  <c r="P8" i="12"/>
  <c r="P33" i="12" s="1"/>
  <c r="N7" i="8"/>
  <c r="N7" i="12"/>
  <c r="M7" i="8"/>
  <c r="M7" i="12"/>
  <c r="O7" i="8"/>
  <c r="O7" i="12"/>
  <c r="M40" i="12"/>
  <c r="D15" i="12"/>
  <c r="AB37" i="6"/>
  <c r="X53" i="6"/>
  <c r="X176" i="6" s="1"/>
  <c r="AA61" i="6"/>
  <c r="AA62" i="6" s="1"/>
  <c r="AA65" i="6" s="1"/>
  <c r="AA68" i="6" s="1"/>
  <c r="AA70" i="6" s="1"/>
  <c r="AA72" i="6" s="1"/>
  <c r="AB57" i="6"/>
  <c r="AB140" i="6"/>
  <c r="AB142" i="6" s="1"/>
  <c r="AB144" i="6" s="1"/>
  <c r="AB147" i="6" s="1"/>
  <c r="AB185" i="6" s="1"/>
  <c r="AC135" i="6"/>
  <c r="AC140" i="6" s="1"/>
  <c r="AC142" i="6" s="1"/>
  <c r="AC144" i="6" s="1"/>
  <c r="AC147" i="6" s="1"/>
  <c r="AC185" i="6" s="1"/>
  <c r="P191" i="6"/>
  <c r="R195" i="6" s="1"/>
  <c r="I193" i="6"/>
  <c r="V73" i="6"/>
  <c r="X73" i="6" s="1"/>
  <c r="S73" i="6"/>
  <c r="AA122" i="6"/>
  <c r="AA124" i="6" s="1"/>
  <c r="AB117" i="6"/>
  <c r="N195" i="6"/>
  <c r="N193" i="6"/>
  <c r="AA157" i="6"/>
  <c r="AA160" i="6" s="1"/>
  <c r="AA162" i="6" s="1"/>
  <c r="AB152" i="6"/>
  <c r="X111" i="6"/>
  <c r="X179" i="6" s="1"/>
  <c r="Z108" i="6"/>
  <c r="V95" i="6"/>
  <c r="V178" i="6" s="1"/>
  <c r="Z85" i="6"/>
  <c r="Z88" i="6" s="1"/>
  <c r="Z90" i="6" s="1"/>
  <c r="Z92" i="6" s="1"/>
  <c r="Z95" i="6" s="1"/>
  <c r="Z178" i="6" s="1"/>
  <c r="AA80" i="6"/>
  <c r="L195" i="6"/>
  <c r="L193" i="6"/>
  <c r="X95" i="6"/>
  <c r="X178" i="6" s="1"/>
  <c r="X163" i="6"/>
  <c r="V165" i="6"/>
  <c r="V186" i="6" s="1"/>
  <c r="M16" i="12" s="1"/>
  <c r="AA22" i="6"/>
  <c r="AA24" i="6" s="1"/>
  <c r="AA27" i="6" s="1"/>
  <c r="AA29" i="6" s="1"/>
  <c r="AA32" i="6" s="1"/>
  <c r="AA174" i="6" s="1"/>
  <c r="AB20" i="6"/>
  <c r="AB42" i="6"/>
  <c r="AB46" i="6" s="1"/>
  <c r="AB48" i="6" s="1"/>
  <c r="AB50" i="6" s="1"/>
  <c r="AB53" i="6" s="1"/>
  <c r="AB176" i="6" s="1"/>
  <c r="AB60" i="6"/>
  <c r="AC19" i="6"/>
  <c r="T181" i="6"/>
  <c r="T191" i="6" s="1"/>
  <c r="V75" i="6"/>
  <c r="V177" i="6" s="1"/>
  <c r="M9" i="12" s="1"/>
  <c r="M14" i="8" l="1"/>
  <c r="M39" i="8" s="1"/>
  <c r="M14" i="12"/>
  <c r="Z126" i="6"/>
  <c r="X127" i="6"/>
  <c r="X130" i="6" s="1"/>
  <c r="X184" i="6" s="1"/>
  <c r="R193" i="6"/>
  <c r="AC37" i="6"/>
  <c r="D9" i="12"/>
  <c r="M34" i="12"/>
  <c r="Q8" i="8"/>
  <c r="Q33" i="8" s="1"/>
  <c r="Q8" i="12"/>
  <c r="Q33" i="12" s="1"/>
  <c r="P7" i="8"/>
  <c r="P7" i="12"/>
  <c r="M41" i="12"/>
  <c r="D16" i="12"/>
  <c r="N10" i="8"/>
  <c r="N35" i="8" s="1"/>
  <c r="N10" i="12"/>
  <c r="N35" i="12" s="1"/>
  <c r="M10" i="8"/>
  <c r="M35" i="8" s="1"/>
  <c r="M10" i="12"/>
  <c r="M11" i="12" s="1"/>
  <c r="R15" i="8"/>
  <c r="R40" i="8" s="1"/>
  <c r="R15" i="12"/>
  <c r="R40" i="12" s="1"/>
  <c r="Q15" i="8"/>
  <c r="Q40" i="8" s="1"/>
  <c r="Q15" i="12"/>
  <c r="Q40" i="12" s="1"/>
  <c r="N8" i="8"/>
  <c r="N33" i="8" s="1"/>
  <c r="N8" i="12"/>
  <c r="N33" i="12" s="1"/>
  <c r="D30" i="12"/>
  <c r="E30" i="12" s="1"/>
  <c r="M17" i="12"/>
  <c r="D17" i="12" s="1"/>
  <c r="D33" i="12"/>
  <c r="M33" i="12"/>
  <c r="D8" i="12"/>
  <c r="V181" i="6"/>
  <c r="M9" i="8"/>
  <c r="V189" i="6"/>
  <c r="M16" i="8"/>
  <c r="Z163" i="6"/>
  <c r="X165" i="6"/>
  <c r="X186" i="6" s="1"/>
  <c r="N16" i="12" s="1"/>
  <c r="P195" i="6"/>
  <c r="P193" i="6"/>
  <c r="T193" i="6"/>
  <c r="T195" i="6"/>
  <c r="AB61" i="6"/>
  <c r="AC57" i="6"/>
  <c r="AB62" i="6"/>
  <c r="AB65" i="6" s="1"/>
  <c r="AB68" i="6" s="1"/>
  <c r="AB70" i="6" s="1"/>
  <c r="AB72" i="6" s="1"/>
  <c r="AC60" i="6"/>
  <c r="AC42" i="6"/>
  <c r="AC46" i="6" s="1"/>
  <c r="AC48" i="6" s="1"/>
  <c r="AC50" i="6" s="1"/>
  <c r="AC53" i="6" s="1"/>
  <c r="AC176" i="6" s="1"/>
  <c r="Z111" i="6"/>
  <c r="Z179" i="6" s="1"/>
  <c r="O10" i="8" s="1"/>
  <c r="O35" i="8" s="1"/>
  <c r="AA108" i="6"/>
  <c r="AB122" i="6"/>
  <c r="AB124" i="6" s="1"/>
  <c r="AC117" i="6"/>
  <c r="AC122" i="6" s="1"/>
  <c r="AC124" i="6" s="1"/>
  <c r="AB157" i="6"/>
  <c r="AB160" i="6" s="1"/>
  <c r="AB162" i="6" s="1"/>
  <c r="AC152" i="6"/>
  <c r="AC157" i="6" s="1"/>
  <c r="AC160" i="6" s="1"/>
  <c r="AC162" i="6" s="1"/>
  <c r="AB22" i="6"/>
  <c r="AB24" i="6" s="1"/>
  <c r="AB27" i="6" s="1"/>
  <c r="AB29" i="6" s="1"/>
  <c r="AB32" i="6" s="1"/>
  <c r="AB174" i="6" s="1"/>
  <c r="AC20" i="6"/>
  <c r="AC22" i="6" s="1"/>
  <c r="AC24" i="6" s="1"/>
  <c r="AC27" i="6" s="1"/>
  <c r="AC29" i="6" s="1"/>
  <c r="AC32" i="6" s="1"/>
  <c r="AC174" i="6" s="1"/>
  <c r="AB80" i="6"/>
  <c r="AA85" i="6"/>
  <c r="AA88" i="6" s="1"/>
  <c r="AA90" i="6" s="1"/>
  <c r="AA92" i="6" s="1"/>
  <c r="AA95" i="6" s="1"/>
  <c r="AA178" i="6" s="1"/>
  <c r="Z73" i="6"/>
  <c r="X75" i="6"/>
  <c r="X177" i="6" s="1"/>
  <c r="N9" i="12" s="1"/>
  <c r="N34" i="12" s="1"/>
  <c r="AA126" i="6" l="1"/>
  <c r="Z127" i="6"/>
  <c r="Z130" i="6" s="1"/>
  <c r="Z184" i="6" s="1"/>
  <c r="D34" i="12"/>
  <c r="E34" i="12" s="1"/>
  <c r="M39" i="12"/>
  <c r="M42" i="12" s="1"/>
  <c r="D14" i="12"/>
  <c r="N14" i="12"/>
  <c r="N39" i="12" s="1"/>
  <c r="N14" i="8"/>
  <c r="N39" i="8" s="1"/>
  <c r="M20" i="12"/>
  <c r="D29" i="12"/>
  <c r="D31" i="12" s="1"/>
  <c r="R7" i="8"/>
  <c r="R7" i="12"/>
  <c r="Q7" i="8"/>
  <c r="Q7" i="12"/>
  <c r="R8" i="8"/>
  <c r="R33" i="8" s="1"/>
  <c r="R8" i="12"/>
  <c r="R33" i="12" s="1"/>
  <c r="N41" i="12"/>
  <c r="N42" i="12" s="1"/>
  <c r="N17" i="12"/>
  <c r="E18" i="12" s="1"/>
  <c r="M41" i="8"/>
  <c r="M42" i="8" s="1"/>
  <c r="M34" i="8"/>
  <c r="E29" i="12"/>
  <c r="E31" i="12" s="1"/>
  <c r="N11" i="12"/>
  <c r="N47" i="12"/>
  <c r="M35" i="12"/>
  <c r="D10" i="12"/>
  <c r="O10" i="12"/>
  <c r="O35" i="12" s="1"/>
  <c r="X181" i="6"/>
  <c r="N9" i="8"/>
  <c r="N34" i="8" s="1"/>
  <c r="X189" i="6"/>
  <c r="N16" i="8"/>
  <c r="D30" i="8"/>
  <c r="M17" i="8"/>
  <c r="D29" i="8"/>
  <c r="M11" i="8"/>
  <c r="M20" i="8" s="1"/>
  <c r="V191" i="6"/>
  <c r="AC61" i="6"/>
  <c r="AC62" i="6" s="1"/>
  <c r="AC65" i="6" s="1"/>
  <c r="AC68" i="6" s="1"/>
  <c r="AC70" i="6" s="1"/>
  <c r="AC72" i="6" s="1"/>
  <c r="AA163" i="6"/>
  <c r="Z165" i="6"/>
  <c r="Z186" i="6" s="1"/>
  <c r="O16" i="12" s="1"/>
  <c r="AB108" i="6"/>
  <c r="AA111" i="6"/>
  <c r="AA179" i="6" s="1"/>
  <c r="P10" i="8" s="1"/>
  <c r="P35" i="8" s="1"/>
  <c r="AA73" i="6"/>
  <c r="Z75" i="6"/>
  <c r="Z177" i="6" s="1"/>
  <c r="O9" i="12" s="1"/>
  <c r="AB85" i="6"/>
  <c r="AB88" i="6" s="1"/>
  <c r="AB90" i="6" s="1"/>
  <c r="AB92" i="6" s="1"/>
  <c r="AB95" i="6" s="1"/>
  <c r="AB178" i="6" s="1"/>
  <c r="AC80" i="6"/>
  <c r="AC85" i="6" s="1"/>
  <c r="AC88" i="6" s="1"/>
  <c r="AC90" i="6" s="1"/>
  <c r="AC92" i="6" s="1"/>
  <c r="AC95" i="6" s="1"/>
  <c r="AC178" i="6" s="1"/>
  <c r="O14" i="12" l="1"/>
  <c r="O39" i="12" s="1"/>
  <c r="O14" i="8"/>
  <c r="O39" i="8" s="1"/>
  <c r="AB126" i="6"/>
  <c r="AA127" i="6"/>
  <c r="AA130" i="6" s="1"/>
  <c r="AA184" i="6" s="1"/>
  <c r="D35" i="12"/>
  <c r="D37" i="12" s="1"/>
  <c r="N20" i="12"/>
  <c r="O34" i="12"/>
  <c r="O11" i="12"/>
  <c r="O41" i="12"/>
  <c r="O42" i="12" s="1"/>
  <c r="O17" i="12"/>
  <c r="F18" i="12" s="1"/>
  <c r="P10" i="12"/>
  <c r="P35" i="12" s="1"/>
  <c r="N17" i="8"/>
  <c r="N41" i="8"/>
  <c r="N11" i="8"/>
  <c r="Z181" i="6"/>
  <c r="O9" i="8"/>
  <c r="Z189" i="6"/>
  <c r="O16" i="8"/>
  <c r="V193" i="6"/>
  <c r="V195" i="6"/>
  <c r="X191" i="6"/>
  <c r="AB73" i="6"/>
  <c r="AA75" i="6"/>
  <c r="AA177" i="6" s="1"/>
  <c r="P9" i="12" s="1"/>
  <c r="AB163" i="6"/>
  <c r="AA165" i="6"/>
  <c r="AA186" i="6" s="1"/>
  <c r="P16" i="12" s="1"/>
  <c r="AC108" i="6"/>
  <c r="AC111" i="6" s="1"/>
  <c r="AC179" i="6" s="1"/>
  <c r="R10" i="8" s="1"/>
  <c r="R35" i="8" s="1"/>
  <c r="AB111" i="6"/>
  <c r="AB179" i="6" s="1"/>
  <c r="Q10" i="8" s="1"/>
  <c r="Q35" i="8" s="1"/>
  <c r="AC126" i="6" l="1"/>
  <c r="AC127" i="6" s="1"/>
  <c r="AC130" i="6" s="1"/>
  <c r="AC184" i="6" s="1"/>
  <c r="AB127" i="6"/>
  <c r="AB130" i="6" s="1"/>
  <c r="AB184" i="6" s="1"/>
  <c r="N20" i="8"/>
  <c r="P14" i="12"/>
  <c r="P39" i="12" s="1"/>
  <c r="P14" i="8"/>
  <c r="P39" i="8" s="1"/>
  <c r="P41" i="12"/>
  <c r="P34" i="12"/>
  <c r="P11" i="12"/>
  <c r="N42" i="8"/>
  <c r="N47" i="8"/>
  <c r="O20" i="12"/>
  <c r="Q10" i="12"/>
  <c r="Q35" i="12" s="1"/>
  <c r="R10" i="12"/>
  <c r="R35" i="12" s="1"/>
  <c r="O17" i="8"/>
  <c r="O41" i="8"/>
  <c r="O42" i="8" s="1"/>
  <c r="O11" i="8"/>
  <c r="O20" i="8" s="1"/>
  <c r="O34" i="8"/>
  <c r="AA189" i="6"/>
  <c r="P16" i="8"/>
  <c r="AA181" i="6"/>
  <c r="AA191" i="6" s="1"/>
  <c r="P9" i="8"/>
  <c r="X195" i="6"/>
  <c r="X193" i="6"/>
  <c r="Z191" i="6"/>
  <c r="AC163" i="6"/>
  <c r="AC165" i="6" s="1"/>
  <c r="AC186" i="6" s="1"/>
  <c r="R16" i="12" s="1"/>
  <c r="AB165" i="6"/>
  <c r="AB186" i="6" s="1"/>
  <c r="Q16" i="12" s="1"/>
  <c r="AC73" i="6"/>
  <c r="AC75" i="6" s="1"/>
  <c r="AC177" i="6" s="1"/>
  <c r="R9" i="12" s="1"/>
  <c r="AB75" i="6"/>
  <c r="AB177" i="6" s="1"/>
  <c r="Q9" i="12" s="1"/>
  <c r="P17" i="12" l="1"/>
  <c r="G18" i="12" s="1"/>
  <c r="P42" i="12"/>
  <c r="Q14" i="8"/>
  <c r="Q39" i="8" s="1"/>
  <c r="Q14" i="12"/>
  <c r="Q39" i="12" s="1"/>
  <c r="P20" i="12"/>
  <c r="R14" i="8"/>
  <c r="R39" i="8" s="1"/>
  <c r="R14" i="12"/>
  <c r="R39" i="12" s="1"/>
  <c r="Q34" i="12"/>
  <c r="Q11" i="12"/>
  <c r="R34" i="12"/>
  <c r="R11" i="12"/>
  <c r="Q41" i="12"/>
  <c r="Q42" i="12" s="1"/>
  <c r="R41" i="12"/>
  <c r="R42" i="12" s="1"/>
  <c r="R17" i="12"/>
  <c r="I18" i="12" s="1"/>
  <c r="P11" i="8"/>
  <c r="P34" i="8"/>
  <c r="P17" i="8"/>
  <c r="P41" i="8"/>
  <c r="P42" i="8" s="1"/>
  <c r="AB181" i="6"/>
  <c r="Q9" i="8"/>
  <c r="AC181" i="6"/>
  <c r="R9" i="8"/>
  <c r="AB189" i="6"/>
  <c r="Q16" i="8"/>
  <c r="AC189" i="6"/>
  <c r="R16" i="8"/>
  <c r="Z195" i="6"/>
  <c r="Z193" i="6"/>
  <c r="AA195" i="6"/>
  <c r="AA193" i="6"/>
  <c r="Q17" i="12" l="1"/>
  <c r="H18" i="12" s="1"/>
  <c r="R20" i="12"/>
  <c r="Q20" i="12"/>
  <c r="R17" i="8"/>
  <c r="R41" i="8"/>
  <c r="R42" i="8" s="1"/>
  <c r="Q17" i="8"/>
  <c r="Q41" i="8"/>
  <c r="Q42" i="8" s="1"/>
  <c r="R11" i="8"/>
  <c r="R20" i="8" s="1"/>
  <c r="R34" i="8"/>
  <c r="Q11" i="8"/>
  <c r="Q34" i="8"/>
  <c r="P20" i="8"/>
  <c r="AC191" i="6"/>
  <c r="Q20" i="8"/>
  <c r="AB191" i="6"/>
  <c r="N184" i="9"/>
  <c r="L184" i="9"/>
  <c r="I184" i="9"/>
  <c r="C184" i="9"/>
  <c r="L174" i="9"/>
  <c r="I174" i="9"/>
  <c r="AB172" i="9"/>
  <c r="AC172" i="9" s="1"/>
  <c r="Y163" i="9"/>
  <c r="W163" i="9"/>
  <c r="R163" i="9"/>
  <c r="P163" i="9"/>
  <c r="N163" i="9"/>
  <c r="L163" i="9"/>
  <c r="I163" i="9"/>
  <c r="G163" i="9"/>
  <c r="E163" i="9"/>
  <c r="C163" i="9"/>
  <c r="V157" i="9"/>
  <c r="V160" i="9" s="1"/>
  <c r="V162" i="9" s="1"/>
  <c r="V163" i="9" s="1"/>
  <c r="T157" i="9"/>
  <c r="T160" i="9" s="1"/>
  <c r="T162" i="9" s="1"/>
  <c r="T163" i="9" s="1"/>
  <c r="S163" i="9" s="1"/>
  <c r="R157" i="9"/>
  <c r="R160" i="9" s="1"/>
  <c r="R162" i="9" s="1"/>
  <c r="R165" i="9" s="1"/>
  <c r="R186" i="9" s="1"/>
  <c r="P157" i="9"/>
  <c r="P160" i="9" s="1"/>
  <c r="P162" i="9" s="1"/>
  <c r="P165" i="9" s="1"/>
  <c r="P186" i="9" s="1"/>
  <c r="N157" i="9"/>
  <c r="N160" i="9" s="1"/>
  <c r="N162" i="9" s="1"/>
  <c r="N165" i="9" s="1"/>
  <c r="N186" i="9" s="1"/>
  <c r="L157" i="9"/>
  <c r="L160" i="9" s="1"/>
  <c r="L162" i="9" s="1"/>
  <c r="I157" i="9"/>
  <c r="I160" i="9" s="1"/>
  <c r="I162" i="9" s="1"/>
  <c r="I165" i="9" s="1"/>
  <c r="I186" i="9" s="1"/>
  <c r="G157" i="9"/>
  <c r="G160" i="9" s="1"/>
  <c r="G162" i="9" s="1"/>
  <c r="G165" i="9" s="1"/>
  <c r="G186" i="9" s="1"/>
  <c r="E157" i="9"/>
  <c r="E160" i="9" s="1"/>
  <c r="E162" i="9" s="1"/>
  <c r="E165" i="9" s="1"/>
  <c r="E186" i="9" s="1"/>
  <c r="C157" i="9"/>
  <c r="C160" i="9" s="1"/>
  <c r="C162" i="9" s="1"/>
  <c r="Z154" i="9"/>
  <c r="AA154" i="9" s="1"/>
  <c r="AB154" i="9" s="1"/>
  <c r="AC154" i="9" s="1"/>
  <c r="X152" i="9"/>
  <c r="Y145" i="9"/>
  <c r="W145" i="9"/>
  <c r="R145" i="9"/>
  <c r="P145" i="9"/>
  <c r="N145" i="9"/>
  <c r="L145" i="9"/>
  <c r="I145" i="9"/>
  <c r="G145" i="9"/>
  <c r="E145" i="9"/>
  <c r="C145" i="9"/>
  <c r="D145" i="9" s="1"/>
  <c r="G143" i="9"/>
  <c r="V140" i="9"/>
  <c r="V142" i="9" s="1"/>
  <c r="V144" i="9" s="1"/>
  <c r="L140" i="9"/>
  <c r="L142" i="9" s="1"/>
  <c r="L144" i="9" s="1"/>
  <c r="L147" i="9" s="1"/>
  <c r="L185" i="9" s="1"/>
  <c r="E140" i="9"/>
  <c r="E142" i="9" s="1"/>
  <c r="E144" i="9" s="1"/>
  <c r="E147" i="9" s="1"/>
  <c r="E185" i="9" s="1"/>
  <c r="C140" i="9"/>
  <c r="C142" i="9" s="1"/>
  <c r="C144" i="9" s="1"/>
  <c r="X139" i="9"/>
  <c r="Z139" i="9" s="1"/>
  <c r="AA139" i="9" s="1"/>
  <c r="AB139" i="9" s="1"/>
  <c r="AC139" i="9" s="1"/>
  <c r="T139" i="9"/>
  <c r="R139" i="9"/>
  <c r="P139" i="9"/>
  <c r="P140" i="9" s="1"/>
  <c r="P142" i="9" s="1"/>
  <c r="P144" i="9" s="1"/>
  <c r="N139" i="9"/>
  <c r="N140" i="9" s="1"/>
  <c r="N142" i="9" s="1"/>
  <c r="N144" i="9" s="1"/>
  <c r="N147" i="9" s="1"/>
  <c r="N185" i="9" s="1"/>
  <c r="N189" i="9" s="1"/>
  <c r="I139" i="9"/>
  <c r="I140" i="9" s="1"/>
  <c r="I142" i="9" s="1"/>
  <c r="I144" i="9" s="1"/>
  <c r="I147" i="9" s="1"/>
  <c r="I185" i="9" s="1"/>
  <c r="G139" i="9"/>
  <c r="G140" i="9" s="1"/>
  <c r="G142" i="9" s="1"/>
  <c r="G144" i="9" s="1"/>
  <c r="X137" i="9"/>
  <c r="T137" i="9"/>
  <c r="R137" i="9"/>
  <c r="AB136" i="9"/>
  <c r="AA136" i="9"/>
  <c r="T136" i="9"/>
  <c r="R136" i="9"/>
  <c r="X135" i="9"/>
  <c r="AC132" i="9"/>
  <c r="AB132" i="9"/>
  <c r="E130" i="9"/>
  <c r="E184" i="9" s="1"/>
  <c r="Y128" i="9"/>
  <c r="W128" i="9"/>
  <c r="T128" i="9"/>
  <c r="V128" i="9" s="1"/>
  <c r="R128" i="9"/>
  <c r="P128" i="9"/>
  <c r="F128" i="9"/>
  <c r="D128" i="9"/>
  <c r="I126" i="9"/>
  <c r="G126" i="9"/>
  <c r="C126" i="9"/>
  <c r="V122" i="9"/>
  <c r="V124" i="9" s="1"/>
  <c r="I122" i="9"/>
  <c r="I124" i="9" s="1"/>
  <c r="I127" i="9" s="1"/>
  <c r="I128" i="9" s="1"/>
  <c r="H128" i="9" s="1"/>
  <c r="E122" i="9"/>
  <c r="E124" i="9" s="1"/>
  <c r="E126" i="9" s="1"/>
  <c r="C122" i="9"/>
  <c r="C124" i="9" s="1"/>
  <c r="C127" i="9" s="1"/>
  <c r="X121" i="9"/>
  <c r="Z121" i="9" s="1"/>
  <c r="AA121" i="9" s="1"/>
  <c r="AB121" i="9" s="1"/>
  <c r="AC121" i="9" s="1"/>
  <c r="T121" i="9"/>
  <c r="N121" i="9"/>
  <c r="L121" i="9"/>
  <c r="G121" i="9"/>
  <c r="X120" i="9"/>
  <c r="Z120" i="9" s="1"/>
  <c r="AA120" i="9" s="1"/>
  <c r="AB120" i="9" s="1"/>
  <c r="AC120" i="9" s="1"/>
  <c r="T120" i="9"/>
  <c r="T122" i="9" s="1"/>
  <c r="T124" i="9" s="1"/>
  <c r="R120" i="9"/>
  <c r="R122" i="9" s="1"/>
  <c r="R124" i="9" s="1"/>
  <c r="P120" i="9"/>
  <c r="N120" i="9"/>
  <c r="L120" i="9"/>
  <c r="G120" i="9"/>
  <c r="AA119" i="9"/>
  <c r="AB119" i="9" s="1"/>
  <c r="AB137" i="9" s="1"/>
  <c r="Z137" i="9"/>
  <c r="AC136" i="9"/>
  <c r="Z136" i="9"/>
  <c r="X117" i="9"/>
  <c r="P117" i="9"/>
  <c r="P121" i="9" s="1"/>
  <c r="AC114" i="9"/>
  <c r="AB114" i="9"/>
  <c r="N111" i="9"/>
  <c r="N179" i="9" s="1"/>
  <c r="G111" i="9"/>
  <c r="G179" i="9" s="1"/>
  <c r="Y108" i="9"/>
  <c r="W108" i="9"/>
  <c r="T179" i="9"/>
  <c r="R108" i="9"/>
  <c r="P108" i="9"/>
  <c r="P111" i="9" s="1"/>
  <c r="L108" i="9"/>
  <c r="M108" i="9" s="1"/>
  <c r="I108" i="9"/>
  <c r="I111" i="9" s="1"/>
  <c r="I179" i="9" s="1"/>
  <c r="E108" i="9"/>
  <c r="C108" i="9"/>
  <c r="C111" i="9" s="1"/>
  <c r="C179" i="9" s="1"/>
  <c r="X101" i="9"/>
  <c r="Z101" i="9" s="1"/>
  <c r="AA101" i="9" s="1"/>
  <c r="AB101" i="9" s="1"/>
  <c r="AC101" i="9" s="1"/>
  <c r="AC97" i="9"/>
  <c r="AB97" i="9"/>
  <c r="AA97" i="9"/>
  <c r="Z97" i="9"/>
  <c r="Y93" i="9"/>
  <c r="W93" i="9"/>
  <c r="R93" i="9"/>
  <c r="P93" i="9"/>
  <c r="M93" i="9"/>
  <c r="I93" i="9"/>
  <c r="H93" i="9" s="1"/>
  <c r="F93" i="9"/>
  <c r="D93" i="9"/>
  <c r="L90" i="9"/>
  <c r="L92" i="9" s="1"/>
  <c r="L95" i="9" s="1"/>
  <c r="L178" i="9" s="1"/>
  <c r="N85" i="9"/>
  <c r="N88" i="9" s="1"/>
  <c r="N90" i="9" s="1"/>
  <c r="N92" i="9" s="1"/>
  <c r="N95" i="9" s="1"/>
  <c r="N178" i="9" s="1"/>
  <c r="L85" i="9"/>
  <c r="AC82" i="9"/>
  <c r="AB82" i="9"/>
  <c r="AA82" i="9"/>
  <c r="Z82" i="9"/>
  <c r="X82" i="9"/>
  <c r="V82" i="9"/>
  <c r="V85" i="9" s="1"/>
  <c r="V88" i="9" s="1"/>
  <c r="V90" i="9" s="1"/>
  <c r="V92" i="9" s="1"/>
  <c r="T82" i="9"/>
  <c r="T85" i="9" s="1"/>
  <c r="T88" i="9" s="1"/>
  <c r="T90" i="9" s="1"/>
  <c r="T92" i="9" s="1"/>
  <c r="R82" i="9"/>
  <c r="R85" i="9" s="1"/>
  <c r="R88" i="9" s="1"/>
  <c r="R90" i="9" s="1"/>
  <c r="R92" i="9" s="1"/>
  <c r="R95" i="9" s="1"/>
  <c r="R178" i="9" s="1"/>
  <c r="P82" i="9"/>
  <c r="P85" i="9" s="1"/>
  <c r="P88" i="9" s="1"/>
  <c r="P90" i="9" s="1"/>
  <c r="P92" i="9" s="1"/>
  <c r="P95" i="9" s="1"/>
  <c r="I82" i="9"/>
  <c r="G82" i="9"/>
  <c r="E82" i="9"/>
  <c r="C82" i="9"/>
  <c r="G81" i="9"/>
  <c r="E81" i="9"/>
  <c r="C81" i="9"/>
  <c r="Z80" i="9"/>
  <c r="Z85" i="9" s="1"/>
  <c r="Z88" i="9" s="1"/>
  <c r="Z90" i="9" s="1"/>
  <c r="Z92" i="9" s="1"/>
  <c r="Y73" i="9"/>
  <c r="R73" i="9"/>
  <c r="P73" i="9"/>
  <c r="N73" i="9"/>
  <c r="O73" i="9" s="1"/>
  <c r="L73" i="9"/>
  <c r="I73" i="9"/>
  <c r="I81" i="9" s="1"/>
  <c r="F73" i="9"/>
  <c r="D73" i="9"/>
  <c r="R69" i="9"/>
  <c r="P69" i="9"/>
  <c r="N69" i="9"/>
  <c r="L69" i="9"/>
  <c r="I69" i="9"/>
  <c r="G69" i="9"/>
  <c r="C69" i="9"/>
  <c r="L66" i="9"/>
  <c r="I66" i="9"/>
  <c r="G66" i="9"/>
  <c r="E66" i="9"/>
  <c r="C66" i="9"/>
  <c r="V64" i="9"/>
  <c r="X64" i="9" s="1"/>
  <c r="Z64" i="9" s="1"/>
  <c r="AA64" i="9" s="1"/>
  <c r="AB64" i="9" s="1"/>
  <c r="AC64" i="9" s="1"/>
  <c r="T64" i="9"/>
  <c r="R64" i="9"/>
  <c r="N64" i="9"/>
  <c r="I64" i="9"/>
  <c r="G64" i="9"/>
  <c r="V62" i="9"/>
  <c r="P62" i="9"/>
  <c r="N62" i="9"/>
  <c r="N65" i="9" s="1"/>
  <c r="N68" i="9" s="1"/>
  <c r="N70" i="9" s="1"/>
  <c r="N72" i="9" s="1"/>
  <c r="L62" i="9"/>
  <c r="L65" i="9" s="1"/>
  <c r="I62" i="9"/>
  <c r="G62" i="9"/>
  <c r="E62" i="9"/>
  <c r="E65" i="9" s="1"/>
  <c r="E68" i="9" s="1"/>
  <c r="E70" i="9" s="1"/>
  <c r="E72" i="9" s="1"/>
  <c r="E75" i="9" s="1"/>
  <c r="E177" i="9" s="1"/>
  <c r="C62" i="9"/>
  <c r="C65" i="9" s="1"/>
  <c r="T60" i="9"/>
  <c r="T62" i="9" s="1"/>
  <c r="R60" i="9"/>
  <c r="R62" i="9" s="1"/>
  <c r="R65" i="9" s="1"/>
  <c r="R68" i="9" s="1"/>
  <c r="AC59" i="9"/>
  <c r="Z59" i="9"/>
  <c r="X57" i="9"/>
  <c r="AC55" i="9"/>
  <c r="AB55" i="9"/>
  <c r="Y51" i="9"/>
  <c r="W51" i="9"/>
  <c r="P51" i="9"/>
  <c r="N51" i="9"/>
  <c r="L51" i="9"/>
  <c r="I51" i="9"/>
  <c r="H51" i="9" s="1"/>
  <c r="E51" i="9"/>
  <c r="F51" i="9" s="1"/>
  <c r="C51" i="9"/>
  <c r="D51" i="9" s="1"/>
  <c r="T47" i="9"/>
  <c r="R47" i="9"/>
  <c r="P47" i="9"/>
  <c r="N47" i="9"/>
  <c r="L47" i="9"/>
  <c r="I47" i="9"/>
  <c r="G47" i="9"/>
  <c r="E47" i="9"/>
  <c r="C47" i="9"/>
  <c r="R46" i="9"/>
  <c r="R48" i="9" s="1"/>
  <c r="R50" i="9" s="1"/>
  <c r="G46" i="9"/>
  <c r="G48" i="9" s="1"/>
  <c r="G50" i="9" s="1"/>
  <c r="G53" i="9" s="1"/>
  <c r="G176" i="9" s="1"/>
  <c r="E46" i="9"/>
  <c r="C46" i="9"/>
  <c r="C48" i="9" s="1"/>
  <c r="C50" i="9" s="1"/>
  <c r="V45" i="9"/>
  <c r="V46" i="9" s="1"/>
  <c r="T45" i="9"/>
  <c r="T46" i="9" s="1"/>
  <c r="T48" i="9" s="1"/>
  <c r="T50" i="9" s="1"/>
  <c r="P45" i="9"/>
  <c r="P46" i="9" s="1"/>
  <c r="P48" i="9" s="1"/>
  <c r="P50" i="9" s="1"/>
  <c r="N45" i="9"/>
  <c r="N46" i="9" s="1"/>
  <c r="L45" i="9"/>
  <c r="L46" i="9" s="1"/>
  <c r="L48" i="9" s="1"/>
  <c r="L50" i="9" s="1"/>
  <c r="L53" i="9" s="1"/>
  <c r="L176" i="9" s="1"/>
  <c r="I45" i="9"/>
  <c r="I46" i="9" s="1"/>
  <c r="I48" i="9" s="1"/>
  <c r="I50" i="9" s="1"/>
  <c r="I53" i="9" s="1"/>
  <c r="I176" i="9" s="1"/>
  <c r="AC41" i="9"/>
  <c r="X41" i="9"/>
  <c r="AC40" i="9"/>
  <c r="AB40" i="9"/>
  <c r="AA40" i="9"/>
  <c r="Z40" i="9"/>
  <c r="X40" i="9"/>
  <c r="AC39" i="9"/>
  <c r="AB39" i="9"/>
  <c r="AA39" i="9"/>
  <c r="Z39" i="9"/>
  <c r="AC34" i="9"/>
  <c r="AB34" i="9"/>
  <c r="T30" i="9"/>
  <c r="V30" i="9" s="1"/>
  <c r="R30" i="9"/>
  <c r="P30" i="9"/>
  <c r="N30" i="9"/>
  <c r="E29" i="9"/>
  <c r="E32" i="9" s="1"/>
  <c r="E174" i="9" s="1"/>
  <c r="I26" i="9"/>
  <c r="G26" i="9"/>
  <c r="C26" i="9"/>
  <c r="V22" i="9"/>
  <c r="V24" i="9" s="1"/>
  <c r="I22" i="9"/>
  <c r="I24" i="9" s="1"/>
  <c r="I27" i="9" s="1"/>
  <c r="I29" i="9" s="1"/>
  <c r="I30" i="9" s="1"/>
  <c r="H30" i="9" s="1"/>
  <c r="G22" i="9"/>
  <c r="G24" i="9" s="1"/>
  <c r="G27" i="9" s="1"/>
  <c r="G29" i="9" s="1"/>
  <c r="G32" i="9" s="1"/>
  <c r="G174" i="9" s="1"/>
  <c r="E22" i="9"/>
  <c r="E24" i="9" s="1"/>
  <c r="E26" i="9" s="1"/>
  <c r="C22" i="9"/>
  <c r="C24" i="9" s="1"/>
  <c r="Z21" i="9"/>
  <c r="AA21" i="9" s="1"/>
  <c r="AB21" i="9" s="1"/>
  <c r="AC21" i="9" s="1"/>
  <c r="T21" i="9"/>
  <c r="R21" i="9"/>
  <c r="P21" i="9"/>
  <c r="N21" i="9"/>
  <c r="L21" i="9"/>
  <c r="Z20" i="9"/>
  <c r="AA20" i="9" s="1"/>
  <c r="T20" i="9"/>
  <c r="R20" i="9"/>
  <c r="P20" i="9"/>
  <c r="N20" i="9"/>
  <c r="L20" i="9"/>
  <c r="V7" i="9"/>
  <c r="X7" i="9" s="1"/>
  <c r="Z7" i="9" s="1"/>
  <c r="AA7" i="9" s="1"/>
  <c r="AB7" i="9" s="1"/>
  <c r="AC7" i="9" s="1"/>
  <c r="V6" i="9"/>
  <c r="X6" i="9" s="1"/>
  <c r="Z6" i="9" s="1"/>
  <c r="AA6" i="9" s="1"/>
  <c r="AB6" i="9" s="1"/>
  <c r="AC6" i="9" s="1"/>
  <c r="V5" i="9"/>
  <c r="X5" i="9" s="1"/>
  <c r="Z5" i="9" s="1"/>
  <c r="AA5" i="9" s="1"/>
  <c r="AB5" i="9" s="1"/>
  <c r="AC5" i="9" s="1"/>
  <c r="R70" i="9" l="1"/>
  <c r="R72" i="9" s="1"/>
  <c r="R75" i="9" s="1"/>
  <c r="R177" i="9" s="1"/>
  <c r="I65" i="9"/>
  <c r="I68" i="9" s="1"/>
  <c r="I70" i="9" s="1"/>
  <c r="I72" i="9" s="1"/>
  <c r="I75" i="9" s="1"/>
  <c r="I177" i="9" s="1"/>
  <c r="L122" i="9"/>
  <c r="L124" i="9" s="1"/>
  <c r="G147" i="9"/>
  <c r="G185" i="9" s="1"/>
  <c r="L165" i="9"/>
  <c r="L186" i="9" s="1"/>
  <c r="T22" i="9"/>
  <c r="T24" i="9" s="1"/>
  <c r="I85" i="9"/>
  <c r="I88" i="9" s="1"/>
  <c r="I90" i="9" s="1"/>
  <c r="I92" i="9" s="1"/>
  <c r="L22" i="9"/>
  <c r="L24" i="9" s="1"/>
  <c r="N48" i="9"/>
  <c r="N50" i="9" s="1"/>
  <c r="N53" i="9" s="1"/>
  <c r="N176" i="9" s="1"/>
  <c r="T65" i="9"/>
  <c r="T68" i="9" s="1"/>
  <c r="Q73" i="9"/>
  <c r="G122" i="9"/>
  <c r="G124" i="9" s="1"/>
  <c r="G127" i="9" s="1"/>
  <c r="G130" i="9" s="1"/>
  <c r="G184" i="9" s="1"/>
  <c r="G189" i="9" s="1"/>
  <c r="P147" i="9"/>
  <c r="P22" i="9"/>
  <c r="P24" i="9" s="1"/>
  <c r="P26" i="9" s="1"/>
  <c r="P27" i="9" s="1"/>
  <c r="P29" i="9" s="1"/>
  <c r="P32" i="9" s="1"/>
  <c r="P174" i="9" s="1"/>
  <c r="C68" i="9"/>
  <c r="C70" i="9" s="1"/>
  <c r="C72" i="9" s="1"/>
  <c r="C75" i="9" s="1"/>
  <c r="C177" i="9" s="1"/>
  <c r="R22" i="9"/>
  <c r="R24" i="9" s="1"/>
  <c r="R27" i="9" s="1"/>
  <c r="R29" i="9" s="1"/>
  <c r="R32" i="9" s="1"/>
  <c r="R174" i="9" s="1"/>
  <c r="G65" i="9"/>
  <c r="G68" i="9" s="1"/>
  <c r="G70" i="9" s="1"/>
  <c r="G72" i="9" s="1"/>
  <c r="G75" i="9" s="1"/>
  <c r="G177" i="9" s="1"/>
  <c r="Q93" i="9"/>
  <c r="C53" i="9"/>
  <c r="C176" i="9" s="1"/>
  <c r="C85" i="9"/>
  <c r="C88" i="9" s="1"/>
  <c r="C90" i="9" s="1"/>
  <c r="C92" i="9" s="1"/>
  <c r="C95" i="9" s="1"/>
  <c r="C178" i="9" s="1"/>
  <c r="C147" i="9"/>
  <c r="C185" i="9" s="1"/>
  <c r="P53" i="9"/>
  <c r="P176" i="9" s="1"/>
  <c r="C27" i="9"/>
  <c r="C29" i="9" s="1"/>
  <c r="C32" i="9" s="1"/>
  <c r="C174" i="9" s="1"/>
  <c r="E48" i="9"/>
  <c r="E50" i="9" s="1"/>
  <c r="E53" i="9" s="1"/>
  <c r="E176" i="9" s="1"/>
  <c r="M51" i="9"/>
  <c r="I95" i="9"/>
  <c r="I178" i="9" s="1"/>
  <c r="M145" i="9"/>
  <c r="C165" i="9"/>
  <c r="C186" i="9" s="1"/>
  <c r="C189" i="9" s="1"/>
  <c r="I181" i="9"/>
  <c r="N75" i="9"/>
  <c r="N177" i="9" s="1"/>
  <c r="M73" i="9"/>
  <c r="G85" i="9"/>
  <c r="G88" i="9" s="1"/>
  <c r="G90" i="9" s="1"/>
  <c r="G92" i="9" s="1"/>
  <c r="G95" i="9" s="1"/>
  <c r="G178" i="9" s="1"/>
  <c r="G181" i="9" s="1"/>
  <c r="G191" i="9" s="1"/>
  <c r="H108" i="9"/>
  <c r="R140" i="9"/>
  <c r="R142" i="9" s="1"/>
  <c r="R144" i="9" s="1"/>
  <c r="R147" i="9" s="1"/>
  <c r="R185" i="9" s="1"/>
  <c r="T69" i="9"/>
  <c r="T70" i="9"/>
  <c r="U163" i="9"/>
  <c r="O30" i="9"/>
  <c r="Q30" i="9"/>
  <c r="X30" i="9"/>
  <c r="X45" i="9"/>
  <c r="Z45" i="9" s="1"/>
  <c r="P64" i="9"/>
  <c r="P65" i="9" s="1"/>
  <c r="P68" i="9" s="1"/>
  <c r="P70" i="9" s="1"/>
  <c r="P72" i="9" s="1"/>
  <c r="P75" i="9" s="1"/>
  <c r="P177" i="9" s="1"/>
  <c r="V93" i="9"/>
  <c r="T93" i="9"/>
  <c r="S93" i="9" s="1"/>
  <c r="K108" i="9"/>
  <c r="Q108" i="9"/>
  <c r="R111" i="9"/>
  <c r="R179" i="9" s="1"/>
  <c r="S108" i="9"/>
  <c r="P122" i="9"/>
  <c r="P124" i="9" s="1"/>
  <c r="Q128" i="9"/>
  <c r="X128" i="9"/>
  <c r="Z128" i="9" s="1"/>
  <c r="AA128" i="9" s="1"/>
  <c r="AB128" i="9" s="1"/>
  <c r="AC128" i="9" s="1"/>
  <c r="F145" i="9"/>
  <c r="H145" i="9"/>
  <c r="Q145" i="9"/>
  <c r="H163" i="9"/>
  <c r="K163" i="9"/>
  <c r="Q163" i="9"/>
  <c r="AB195" i="6"/>
  <c r="AB193" i="6"/>
  <c r="AC195" i="6"/>
  <c r="AC193" i="6"/>
  <c r="X140" i="9"/>
  <c r="X142" i="9" s="1"/>
  <c r="X144" i="9" s="1"/>
  <c r="AA59" i="9"/>
  <c r="X85" i="9"/>
  <c r="X88" i="9" s="1"/>
  <c r="X90" i="9" s="1"/>
  <c r="X92" i="9" s="1"/>
  <c r="T26" i="9"/>
  <c r="T27" i="9" s="1"/>
  <c r="T29" i="9" s="1"/>
  <c r="T32" i="9" s="1"/>
  <c r="T174" i="9" s="1"/>
  <c r="R51" i="9"/>
  <c r="Q51" i="9" s="1"/>
  <c r="R26" i="9"/>
  <c r="T51" i="9"/>
  <c r="P178" i="9"/>
  <c r="O93" i="9"/>
  <c r="V47" i="9"/>
  <c r="X47" i="9" s="1"/>
  <c r="Z47" i="9" s="1"/>
  <c r="AA47" i="9" s="1"/>
  <c r="AB47" i="9" s="1"/>
  <c r="AC47" i="9" s="1"/>
  <c r="AB41" i="9"/>
  <c r="AB59" i="9"/>
  <c r="AB20" i="9"/>
  <c r="AA45" i="9"/>
  <c r="T126" i="9"/>
  <c r="E189" i="9"/>
  <c r="X22" i="9"/>
  <c r="X60" i="9"/>
  <c r="X61" i="9" s="1"/>
  <c r="Z19" i="9"/>
  <c r="AA13" i="9" s="1"/>
  <c r="X42" i="9"/>
  <c r="Z37" i="9" s="1"/>
  <c r="L26" i="9"/>
  <c r="L27" i="9" s="1"/>
  <c r="L29" i="9" s="1"/>
  <c r="L30" i="9" s="1"/>
  <c r="P126" i="9"/>
  <c r="P127" i="9" s="1"/>
  <c r="P130" i="9" s="1"/>
  <c r="P184" i="9" s="1"/>
  <c r="N22" i="9"/>
  <c r="N24" i="9" s="1"/>
  <c r="R126" i="9"/>
  <c r="R127" i="9" s="1"/>
  <c r="R130" i="9" s="1"/>
  <c r="R184" i="9" s="1"/>
  <c r="R189" i="9" s="1"/>
  <c r="AA80" i="9"/>
  <c r="Z135" i="9"/>
  <c r="O163" i="9"/>
  <c r="M163" i="9"/>
  <c r="I189" i="9"/>
  <c r="I191" i="9" s="1"/>
  <c r="T165" i="9"/>
  <c r="T186" i="9" s="1"/>
  <c r="K51" i="9"/>
  <c r="O108" i="9"/>
  <c r="P179" i="9"/>
  <c r="Z117" i="9"/>
  <c r="K145" i="9"/>
  <c r="L189" i="9"/>
  <c r="E85" i="9"/>
  <c r="E88" i="9" s="1"/>
  <c r="E90" i="9" s="1"/>
  <c r="E92" i="9" s="1"/>
  <c r="E95" i="9" s="1"/>
  <c r="E178" i="9" s="1"/>
  <c r="D108" i="9"/>
  <c r="E111" i="9"/>
  <c r="E179" i="9" s="1"/>
  <c r="AC119" i="9"/>
  <c r="AC137" i="9" s="1"/>
  <c r="S30" i="9"/>
  <c r="AA41" i="9"/>
  <c r="H73" i="9"/>
  <c r="K93" i="9"/>
  <c r="F108" i="9"/>
  <c r="X122" i="9"/>
  <c r="X124" i="9" s="1"/>
  <c r="L126" i="9"/>
  <c r="L127" i="9" s="1"/>
  <c r="L128" i="9" s="1"/>
  <c r="K128" i="9" s="1"/>
  <c r="T140" i="9"/>
  <c r="T142" i="9" s="1"/>
  <c r="T144" i="9" s="1"/>
  <c r="O145" i="9"/>
  <c r="P185" i="9"/>
  <c r="F163" i="9"/>
  <c r="D163" i="9"/>
  <c r="V65" i="9"/>
  <c r="AA137" i="9"/>
  <c r="X108" i="9"/>
  <c r="V179" i="9"/>
  <c r="S128" i="9"/>
  <c r="L68" i="9"/>
  <c r="L70" i="9" s="1"/>
  <c r="L72" i="9" s="1"/>
  <c r="L75" i="9" s="1"/>
  <c r="L177" i="9" s="1"/>
  <c r="K73" i="9"/>
  <c r="L111" i="9"/>
  <c r="L179" i="9" s="1"/>
  <c r="N122" i="9"/>
  <c r="N124" i="9" s="1"/>
  <c r="X157" i="9"/>
  <c r="X160" i="9" s="1"/>
  <c r="X162" i="9" s="1"/>
  <c r="Z152" i="9"/>
  <c r="C181" i="9" l="1"/>
  <c r="I193" i="9"/>
  <c r="O51" i="9"/>
  <c r="Z57" i="9"/>
  <c r="L181" i="9"/>
  <c r="L191" i="9" s="1"/>
  <c r="E181" i="9"/>
  <c r="E191" i="9" s="1"/>
  <c r="P189" i="9"/>
  <c r="V126" i="9"/>
  <c r="V127" i="9" s="1"/>
  <c r="V130" i="9" s="1"/>
  <c r="V184" i="9" s="1"/>
  <c r="P181" i="9"/>
  <c r="V26" i="9"/>
  <c r="V27" i="9" s="1"/>
  <c r="V29" i="9" s="1"/>
  <c r="V32" i="9" s="1"/>
  <c r="V174" i="9" s="1"/>
  <c r="T95" i="9"/>
  <c r="T178" i="9" s="1"/>
  <c r="U93" i="9"/>
  <c r="X93" i="9"/>
  <c r="V95" i="9"/>
  <c r="Z30" i="9"/>
  <c r="AA30" i="9" s="1"/>
  <c r="AB30" i="9" s="1"/>
  <c r="AC30" i="9" s="1"/>
  <c r="V165" i="9"/>
  <c r="X24" i="9"/>
  <c r="X46" i="9"/>
  <c r="X48" i="9" s="1"/>
  <c r="X50" i="9" s="1"/>
  <c r="Z22" i="9"/>
  <c r="Z24" i="9" s="1"/>
  <c r="L195" i="9"/>
  <c r="L193" i="9"/>
  <c r="K30" i="9"/>
  <c r="M30" i="9"/>
  <c r="Z140" i="9"/>
  <c r="Z142" i="9" s="1"/>
  <c r="Z144" i="9" s="1"/>
  <c r="AA135" i="9"/>
  <c r="X62" i="9"/>
  <c r="X65" i="9" s="1"/>
  <c r="X68" i="9" s="1"/>
  <c r="AB80" i="9"/>
  <c r="AA85" i="9"/>
  <c r="AA88" i="9" s="1"/>
  <c r="AA90" i="9" s="1"/>
  <c r="AA92" i="9" s="1"/>
  <c r="T127" i="9"/>
  <c r="T130" i="9" s="1"/>
  <c r="T184" i="9" s="1"/>
  <c r="Z157" i="9"/>
  <c r="Z160" i="9" s="1"/>
  <c r="Z162" i="9" s="1"/>
  <c r="AA152" i="9"/>
  <c r="G193" i="9"/>
  <c r="X111" i="9"/>
  <c r="X179" i="9" s="1"/>
  <c r="Z108" i="9"/>
  <c r="T145" i="9"/>
  <c r="Z60" i="9"/>
  <c r="AA19" i="9"/>
  <c r="AB13" i="9" s="1"/>
  <c r="Z42" i="9"/>
  <c r="AA37" i="9" s="1"/>
  <c r="N126" i="9"/>
  <c r="N127" i="9" s="1"/>
  <c r="N128" i="9" s="1"/>
  <c r="V51" i="9"/>
  <c r="X51" i="9" s="1"/>
  <c r="Z51" i="9" s="1"/>
  <c r="AA51" i="9" s="1"/>
  <c r="AB51" i="9" s="1"/>
  <c r="AC51" i="9" s="1"/>
  <c r="S51" i="9"/>
  <c r="V48" i="9"/>
  <c r="V50" i="9" s="1"/>
  <c r="T72" i="9"/>
  <c r="AB45" i="9"/>
  <c r="C191" i="9"/>
  <c r="C193" i="9" s="1"/>
  <c r="Z122" i="9"/>
  <c r="Z124" i="9" s="1"/>
  <c r="AA117" i="9"/>
  <c r="R53" i="9"/>
  <c r="R176" i="9" s="1"/>
  <c r="R181" i="9" s="1"/>
  <c r="R191" i="9" s="1"/>
  <c r="T53" i="9"/>
  <c r="T176" i="9" s="1"/>
  <c r="V66" i="9"/>
  <c r="V68" i="9" s="1"/>
  <c r="N26" i="9"/>
  <c r="N27" i="9" s="1"/>
  <c r="N29" i="9" s="1"/>
  <c r="N32" i="9" s="1"/>
  <c r="N174" i="9" s="1"/>
  <c r="N181" i="9" s="1"/>
  <c r="N191" i="9" s="1"/>
  <c r="AC20" i="9"/>
  <c r="V53" i="9" l="1"/>
  <c r="V176" i="9" s="1"/>
  <c r="P191" i="9"/>
  <c r="V69" i="9"/>
  <c r="X69" i="9" s="1"/>
  <c r="Z69" i="9" s="1"/>
  <c r="AA69" i="9" s="1"/>
  <c r="AB69" i="9" s="1"/>
  <c r="AC69" i="9" s="1"/>
  <c r="T73" i="9"/>
  <c r="S73" i="9" s="1"/>
  <c r="C34" i="8"/>
  <c r="AA57" i="9"/>
  <c r="X53" i="9"/>
  <c r="X176" i="9" s="1"/>
  <c r="X26" i="9"/>
  <c r="Z26" i="9" s="1"/>
  <c r="AA26" i="9" s="1"/>
  <c r="AB26" i="9" s="1"/>
  <c r="AC26" i="9" s="1"/>
  <c r="X126" i="9"/>
  <c r="Z61" i="9"/>
  <c r="Z62" i="9" s="1"/>
  <c r="Z65" i="9" s="1"/>
  <c r="Z68" i="9" s="1"/>
  <c r="Z70" i="9" s="1"/>
  <c r="Z72" i="9" s="1"/>
  <c r="N195" i="9"/>
  <c r="N193" i="9"/>
  <c r="P193" i="9"/>
  <c r="P195" i="9"/>
  <c r="M128" i="9"/>
  <c r="O128" i="9"/>
  <c r="R193" i="9"/>
  <c r="R195" i="9"/>
  <c r="S145" i="9"/>
  <c r="V145" i="9"/>
  <c r="V178" i="9"/>
  <c r="AB85" i="9"/>
  <c r="AB88" i="9" s="1"/>
  <c r="AB90" i="9" s="1"/>
  <c r="AB92" i="9" s="1"/>
  <c r="AC80" i="9"/>
  <c r="AC85" i="9" s="1"/>
  <c r="AC88" i="9" s="1"/>
  <c r="AC90" i="9" s="1"/>
  <c r="AC92" i="9" s="1"/>
  <c r="Z46" i="9"/>
  <c r="Z48" i="9" s="1"/>
  <c r="Z50" i="9" s="1"/>
  <c r="Z53" i="9" s="1"/>
  <c r="Z176" i="9" s="1"/>
  <c r="X163" i="9"/>
  <c r="V186" i="9"/>
  <c r="AC45" i="9"/>
  <c r="Z111" i="9"/>
  <c r="Z179" i="9" s="1"/>
  <c r="AA108" i="9"/>
  <c r="AA122" i="9"/>
  <c r="AA124" i="9" s="1"/>
  <c r="AB117" i="9"/>
  <c r="AB19" i="9"/>
  <c r="AC13" i="9" s="1"/>
  <c r="AA60" i="9"/>
  <c r="AA61" i="9" s="1"/>
  <c r="AA42" i="9"/>
  <c r="AB37" i="9" s="1"/>
  <c r="AA22" i="9"/>
  <c r="AA24" i="9" s="1"/>
  <c r="AB135" i="9"/>
  <c r="AA140" i="9"/>
  <c r="AA142" i="9" s="1"/>
  <c r="AA144" i="9" s="1"/>
  <c r="AA157" i="9"/>
  <c r="AA160" i="9" s="1"/>
  <c r="AA162" i="9" s="1"/>
  <c r="AB152" i="9"/>
  <c r="E193" i="9"/>
  <c r="T147" i="9"/>
  <c r="T185" i="9" s="1"/>
  <c r="T189" i="9" s="1"/>
  <c r="X70" i="9" l="1"/>
  <c r="X72" i="9" s="1"/>
  <c r="AA27" i="9"/>
  <c r="AA29" i="9" s="1"/>
  <c r="AA32" i="9" s="1"/>
  <c r="AA174" i="9" s="1"/>
  <c r="T75" i="9"/>
  <c r="V70" i="9"/>
  <c r="V72" i="9" s="1"/>
  <c r="AB57" i="9"/>
  <c r="Z126" i="9"/>
  <c r="X127" i="9"/>
  <c r="X130" i="9" s="1"/>
  <c r="X184" i="9" s="1"/>
  <c r="X27" i="9"/>
  <c r="X29" i="9" s="1"/>
  <c r="Z27" i="9"/>
  <c r="Z29" i="9" s="1"/>
  <c r="Z32" i="9" s="1"/>
  <c r="Z174" i="9" s="1"/>
  <c r="AA62" i="9"/>
  <c r="AA65" i="9" s="1"/>
  <c r="AA68" i="9" s="1"/>
  <c r="AA70" i="9" s="1"/>
  <c r="AA72" i="9" s="1"/>
  <c r="AB122" i="9"/>
  <c r="AB124" i="9" s="1"/>
  <c r="AC117" i="9"/>
  <c r="AC122" i="9" s="1"/>
  <c r="AC124" i="9" s="1"/>
  <c r="Z163" i="9"/>
  <c r="X165" i="9"/>
  <c r="X186" i="9" s="1"/>
  <c r="AA46" i="9"/>
  <c r="AA48" i="9" s="1"/>
  <c r="AA50" i="9" s="1"/>
  <c r="AA53" i="9" s="1"/>
  <c r="AA176" i="9" s="1"/>
  <c r="Z93" i="9"/>
  <c r="X95" i="9"/>
  <c r="X178" i="9" s="1"/>
  <c r="X145" i="9"/>
  <c r="V147" i="9"/>
  <c r="V185" i="9" s="1"/>
  <c r="V189" i="9" s="1"/>
  <c r="AB157" i="9"/>
  <c r="AB160" i="9" s="1"/>
  <c r="AB162" i="9" s="1"/>
  <c r="AC152" i="9"/>
  <c r="AC157" i="9" s="1"/>
  <c r="AC160" i="9" s="1"/>
  <c r="AC162" i="9" s="1"/>
  <c r="AB60" i="9"/>
  <c r="AC19" i="9"/>
  <c r="AB42" i="9"/>
  <c r="AC37" i="9" s="1"/>
  <c r="AB22" i="9"/>
  <c r="AB24" i="9" s="1"/>
  <c r="AB27" i="9" s="1"/>
  <c r="AB29" i="9" s="1"/>
  <c r="AB32" i="9" s="1"/>
  <c r="AB174" i="9" s="1"/>
  <c r="AB108" i="9"/>
  <c r="AA111" i="9"/>
  <c r="AA179" i="9" s="1"/>
  <c r="AB140" i="9"/>
  <c r="AB142" i="9" s="1"/>
  <c r="AB144" i="9" s="1"/>
  <c r="AC135" i="9"/>
  <c r="AC140" i="9" s="1"/>
  <c r="AC142" i="9" s="1"/>
  <c r="AC144" i="9" s="1"/>
  <c r="T177" i="9"/>
  <c r="T181" i="9" s="1"/>
  <c r="T191" i="9" s="1"/>
  <c r="V73" i="9" l="1"/>
  <c r="U73" i="9" s="1"/>
  <c r="AB61" i="9"/>
  <c r="AB62" i="9" s="1"/>
  <c r="AB65" i="9" s="1"/>
  <c r="AB68" i="9" s="1"/>
  <c r="AB70" i="9" s="1"/>
  <c r="AB72" i="9" s="1"/>
  <c r="C30" i="8"/>
  <c r="E30" i="8" s="1"/>
  <c r="X32" i="9"/>
  <c r="X174" i="9" s="1"/>
  <c r="AA126" i="9"/>
  <c r="Z127" i="9"/>
  <c r="Z130" i="9" s="1"/>
  <c r="Z184" i="9" s="1"/>
  <c r="X73" i="9"/>
  <c r="AC42" i="9"/>
  <c r="AC46" i="9" s="1"/>
  <c r="AC48" i="9" s="1"/>
  <c r="AC50" i="9" s="1"/>
  <c r="AC53" i="9" s="1"/>
  <c r="AC176" i="9" s="1"/>
  <c r="AC60" i="9"/>
  <c r="T193" i="9"/>
  <c r="T195" i="9"/>
  <c r="AC22" i="9"/>
  <c r="AC24" i="9" s="1"/>
  <c r="AC27" i="9" s="1"/>
  <c r="AC29" i="9" s="1"/>
  <c r="AC32" i="9" s="1"/>
  <c r="AC174" i="9" s="1"/>
  <c r="AB111" i="9"/>
  <c r="AB179" i="9" s="1"/>
  <c r="AC108" i="9"/>
  <c r="AC111" i="9" s="1"/>
  <c r="AC179" i="9" s="1"/>
  <c r="AA93" i="9"/>
  <c r="Z95" i="9"/>
  <c r="Z178" i="9" s="1"/>
  <c r="AC57" i="9"/>
  <c r="Z145" i="9"/>
  <c r="X147" i="9"/>
  <c r="X185" i="9" s="1"/>
  <c r="AA163" i="9"/>
  <c r="Z165" i="9"/>
  <c r="Z186" i="9" s="1"/>
  <c r="AB46" i="9"/>
  <c r="AB48" i="9" s="1"/>
  <c r="AB50" i="9" s="1"/>
  <c r="AB53" i="9" s="1"/>
  <c r="AB176" i="9" s="1"/>
  <c r="V75" i="9" l="1"/>
  <c r="V177" i="9" s="1"/>
  <c r="X189" i="9"/>
  <c r="AB126" i="9"/>
  <c r="AA127" i="9"/>
  <c r="AA130" i="9" s="1"/>
  <c r="AA184" i="9" s="1"/>
  <c r="V181" i="9"/>
  <c r="V191" i="9" s="1"/>
  <c r="V193" i="9" s="1"/>
  <c r="C31" i="8"/>
  <c r="AB163" i="9"/>
  <c r="AA165" i="9"/>
  <c r="AA186" i="9" s="1"/>
  <c r="AA145" i="9"/>
  <c r="Z147" i="9"/>
  <c r="Z185" i="9" s="1"/>
  <c r="AC61" i="9"/>
  <c r="AC62" i="9" s="1"/>
  <c r="AC65" i="9" s="1"/>
  <c r="AC68" i="9" s="1"/>
  <c r="AC70" i="9" s="1"/>
  <c r="AC72" i="9" s="1"/>
  <c r="Z73" i="9"/>
  <c r="X75" i="9"/>
  <c r="X177" i="9" s="1"/>
  <c r="AB93" i="9"/>
  <c r="AA95" i="9"/>
  <c r="AA178" i="9" s="1"/>
  <c r="E29" i="8" l="1"/>
  <c r="E31" i="8" s="1"/>
  <c r="Z189" i="9"/>
  <c r="AC126" i="9"/>
  <c r="AC127" i="9" s="1"/>
  <c r="AC130" i="9" s="1"/>
  <c r="AC184" i="9" s="1"/>
  <c r="AB127" i="9"/>
  <c r="AB130" i="9" s="1"/>
  <c r="AB184" i="9" s="1"/>
  <c r="V195" i="9"/>
  <c r="X181" i="9"/>
  <c r="X191" i="9" s="1"/>
  <c r="X193" i="9" s="1"/>
  <c r="AB145" i="9"/>
  <c r="AA147" i="9"/>
  <c r="AA185" i="9" s="1"/>
  <c r="AC93" i="9"/>
  <c r="AC95" i="9" s="1"/>
  <c r="AC178" i="9" s="1"/>
  <c r="AB95" i="9"/>
  <c r="AB178" i="9" s="1"/>
  <c r="AC163" i="9"/>
  <c r="AC165" i="9" s="1"/>
  <c r="AC186" i="9" s="1"/>
  <c r="AB165" i="9"/>
  <c r="AB186" i="9" s="1"/>
  <c r="AA73" i="9"/>
  <c r="Z75" i="9"/>
  <c r="Z177" i="9" s="1"/>
  <c r="X195" i="9" l="1"/>
  <c r="AA189" i="9"/>
  <c r="Z181" i="9"/>
  <c r="Z191" i="9" s="1"/>
  <c r="Z195" i="9" s="1"/>
  <c r="AB73" i="9"/>
  <c r="AA75" i="9"/>
  <c r="AA177" i="9" s="1"/>
  <c r="AC145" i="9"/>
  <c r="AC147" i="9" s="1"/>
  <c r="AC185" i="9" s="1"/>
  <c r="AB147" i="9"/>
  <c r="AB185" i="9" s="1"/>
  <c r="AB189" i="9" l="1"/>
  <c r="AC189" i="9"/>
  <c r="Z193" i="9"/>
  <c r="AA181" i="9"/>
  <c r="AA191" i="9" s="1"/>
  <c r="AA195" i="9" s="1"/>
  <c r="AC73" i="9"/>
  <c r="AC75" i="9" s="1"/>
  <c r="AC177" i="9" s="1"/>
  <c r="AB75" i="9"/>
  <c r="AB177" i="9" s="1"/>
  <c r="AA193" i="9" l="1"/>
  <c r="AC181" i="9"/>
  <c r="AC191" i="9" s="1"/>
  <c r="AB181" i="9"/>
  <c r="AB191" i="9" s="1"/>
  <c r="AB195" i="9" s="1"/>
  <c r="AB193" i="9" l="1"/>
  <c r="AC195" i="9"/>
  <c r="AC193" i="9"/>
  <c r="C41" i="8"/>
  <c r="E5" i="8"/>
  <c r="F5" i="8" s="1"/>
  <c r="G5" i="8" s="1"/>
  <c r="H5" i="8" s="1"/>
  <c r="I5" i="8" s="1"/>
  <c r="W5" i="8" l="1"/>
  <c r="X5" i="8" s="1"/>
  <c r="Y5" i="8" s="1"/>
  <c r="Z5" i="8" s="1"/>
  <c r="N5" i="8"/>
  <c r="O5" i="8" s="1"/>
  <c r="P5" i="8" s="1"/>
  <c r="F34" i="5" l="1"/>
  <c r="H34" i="5"/>
  <c r="F30" i="5"/>
  <c r="H30" i="5"/>
  <c r="X13" i="4" l="1"/>
  <c r="V22" i="4"/>
  <c r="V24" i="4" s="1"/>
  <c r="C40" i="8" l="1"/>
  <c r="AC132" i="4"/>
  <c r="AC97" i="4"/>
  <c r="AB97" i="4"/>
  <c r="AA97" i="4"/>
  <c r="Z97" i="4"/>
  <c r="AC55" i="4"/>
  <c r="AC34" i="4"/>
  <c r="AB16" i="4"/>
  <c r="AB40" i="4" s="1"/>
  <c r="AB15" i="4"/>
  <c r="AB39" i="4" s="1"/>
  <c r="AC15" i="4"/>
  <c r="AC16" i="4" l="1"/>
  <c r="C17" i="8"/>
  <c r="AC39" i="4"/>
  <c r="AB5" i="5"/>
  <c r="AC5" i="5" s="1"/>
  <c r="AD5" i="5" s="1"/>
  <c r="AE5" i="5" s="1"/>
  <c r="AB153" i="4"/>
  <c r="AC153" i="4"/>
  <c r="AC114" i="4"/>
  <c r="AC82" i="4"/>
  <c r="AC40" i="4"/>
  <c r="E17" i="8" l="1"/>
  <c r="V62" i="4"/>
  <c r="X37" i="4"/>
  <c r="V157" i="4"/>
  <c r="V140" i="4"/>
  <c r="V142" i="4" s="1"/>
  <c r="V144" i="4" s="1"/>
  <c r="V80" i="4"/>
  <c r="F17" i="8" l="1"/>
  <c r="F18" i="8" s="1"/>
  <c r="V101" i="4"/>
  <c r="X101" i="4" s="1"/>
  <c r="Z101" i="4" s="1"/>
  <c r="V45" i="4" l="1"/>
  <c r="V46" i="4" s="1"/>
  <c r="V47" i="4" s="1"/>
  <c r="H17" i="8" l="1"/>
  <c r="I17" i="8"/>
  <c r="I18" i="8" s="1"/>
  <c r="G17" i="8"/>
  <c r="X57" i="4"/>
  <c r="V64" i="4"/>
  <c r="V65" i="4" s="1"/>
  <c r="S5" i="5"/>
  <c r="T5" i="5" s="1"/>
  <c r="U5" i="5" s="1"/>
  <c r="E5" i="5"/>
  <c r="G5" i="5" s="1"/>
  <c r="I5" i="5" s="1"/>
  <c r="K5" i="5" s="1"/>
  <c r="M5" i="5" s="1"/>
  <c r="X64" i="4" l="1"/>
  <c r="Z64" i="4" s="1"/>
  <c r="AA64" i="4" s="1"/>
  <c r="AB64" i="4" s="1"/>
  <c r="AC64" i="4" s="1"/>
  <c r="V66" i="4"/>
  <c r="N184" i="4"/>
  <c r="L184" i="4"/>
  <c r="I184" i="4"/>
  <c r="C184" i="4"/>
  <c r="L174" i="4"/>
  <c r="I174" i="4"/>
  <c r="AB172" i="4"/>
  <c r="AC172" i="4" s="1"/>
  <c r="Y163" i="4"/>
  <c r="W163" i="4"/>
  <c r="R163" i="4"/>
  <c r="P163" i="4"/>
  <c r="N163" i="4"/>
  <c r="O163" i="4" s="1"/>
  <c r="L163" i="4"/>
  <c r="I163" i="4"/>
  <c r="G163" i="4"/>
  <c r="E163" i="4"/>
  <c r="C163" i="4"/>
  <c r="D163" i="4" s="1"/>
  <c r="T157" i="4"/>
  <c r="T160" i="4" s="1"/>
  <c r="T162" i="4" s="1"/>
  <c r="R157" i="4"/>
  <c r="R160" i="4" s="1"/>
  <c r="R162" i="4" s="1"/>
  <c r="P157" i="4"/>
  <c r="P160" i="4" s="1"/>
  <c r="P162" i="4" s="1"/>
  <c r="P165" i="4" s="1"/>
  <c r="P186" i="4" s="1"/>
  <c r="N157" i="4"/>
  <c r="N160" i="4" s="1"/>
  <c r="N162" i="4" s="1"/>
  <c r="N165" i="4" s="1"/>
  <c r="N186" i="4" s="1"/>
  <c r="L157" i="4"/>
  <c r="L160" i="4" s="1"/>
  <c r="L162" i="4" s="1"/>
  <c r="L165" i="4" s="1"/>
  <c r="L186" i="4" s="1"/>
  <c r="I157" i="4"/>
  <c r="I160" i="4" s="1"/>
  <c r="I162" i="4" s="1"/>
  <c r="G157" i="4"/>
  <c r="G160" i="4" s="1"/>
  <c r="G162" i="4" s="1"/>
  <c r="G165" i="4" s="1"/>
  <c r="G186" i="4" s="1"/>
  <c r="E157" i="4"/>
  <c r="E160" i="4" s="1"/>
  <c r="E162" i="4" s="1"/>
  <c r="E165" i="4" s="1"/>
  <c r="E186" i="4" s="1"/>
  <c r="C157" i="4"/>
  <c r="C160" i="4" s="1"/>
  <c r="C162" i="4" s="1"/>
  <c r="C165" i="4" s="1"/>
  <c r="C186" i="4" s="1"/>
  <c r="AB154" i="4"/>
  <c r="AC154" i="4" s="1"/>
  <c r="X152" i="4"/>
  <c r="Z152" i="4" s="1"/>
  <c r="V160" i="4"/>
  <c r="V162" i="4" s="1"/>
  <c r="Y145" i="4"/>
  <c r="W145" i="4"/>
  <c r="R145" i="4"/>
  <c r="P145" i="4"/>
  <c r="Q145" i="4" s="1"/>
  <c r="N145" i="4"/>
  <c r="L145" i="4"/>
  <c r="I145" i="4"/>
  <c r="G145" i="4"/>
  <c r="H145" i="4" s="1"/>
  <c r="E145" i="4"/>
  <c r="F145" i="4" s="1"/>
  <c r="C145" i="4"/>
  <c r="G143" i="4"/>
  <c r="L140" i="4"/>
  <c r="L142" i="4" s="1"/>
  <c r="L144" i="4" s="1"/>
  <c r="E140" i="4"/>
  <c r="E142" i="4" s="1"/>
  <c r="E144" i="4" s="1"/>
  <c r="C140" i="4"/>
  <c r="C142" i="4" s="1"/>
  <c r="C144" i="4" s="1"/>
  <c r="C147" i="4" s="1"/>
  <c r="C185" i="4" s="1"/>
  <c r="X139" i="4"/>
  <c r="Z139" i="4" s="1"/>
  <c r="AA139" i="4" s="1"/>
  <c r="AB139" i="4" s="1"/>
  <c r="AC139" i="4" s="1"/>
  <c r="T139" i="4"/>
  <c r="R139" i="4"/>
  <c r="P139" i="4"/>
  <c r="P140" i="4" s="1"/>
  <c r="P142" i="4" s="1"/>
  <c r="P144" i="4" s="1"/>
  <c r="P147" i="4" s="1"/>
  <c r="P185" i="4" s="1"/>
  <c r="N139" i="4"/>
  <c r="N140" i="4" s="1"/>
  <c r="N142" i="4" s="1"/>
  <c r="N144" i="4" s="1"/>
  <c r="I139" i="4"/>
  <c r="I140" i="4" s="1"/>
  <c r="I142" i="4" s="1"/>
  <c r="I144" i="4" s="1"/>
  <c r="I147" i="4" s="1"/>
  <c r="I185" i="4" s="1"/>
  <c r="G139" i="4"/>
  <c r="G140" i="4" s="1"/>
  <c r="G142" i="4" s="1"/>
  <c r="G144" i="4" s="1"/>
  <c r="X135" i="4"/>
  <c r="T137" i="4"/>
  <c r="R137" i="4"/>
  <c r="AA136" i="4"/>
  <c r="Z136" i="4"/>
  <c r="X136" i="4"/>
  <c r="T136" i="4"/>
  <c r="R136" i="4"/>
  <c r="AB132" i="4"/>
  <c r="E130" i="4"/>
  <c r="E184" i="4" s="1"/>
  <c r="Y128" i="4"/>
  <c r="W128" i="4"/>
  <c r="T128" i="4"/>
  <c r="R128" i="4"/>
  <c r="P128" i="4"/>
  <c r="F128" i="4"/>
  <c r="D128" i="4"/>
  <c r="I126" i="4"/>
  <c r="G126" i="4"/>
  <c r="C126" i="4"/>
  <c r="I122" i="4"/>
  <c r="I124" i="4" s="1"/>
  <c r="E122" i="4"/>
  <c r="E124" i="4" s="1"/>
  <c r="E126" i="4" s="1"/>
  <c r="C122" i="4"/>
  <c r="C124" i="4" s="1"/>
  <c r="T121" i="4"/>
  <c r="X121" i="4" s="1"/>
  <c r="Z121" i="4" s="1"/>
  <c r="AA121" i="4" s="1"/>
  <c r="AB121" i="4" s="1"/>
  <c r="AC121" i="4" s="1"/>
  <c r="N121" i="4"/>
  <c r="L121" i="4"/>
  <c r="G121" i="4"/>
  <c r="T120" i="4"/>
  <c r="R120" i="4"/>
  <c r="R122" i="4" s="1"/>
  <c r="R124" i="4" s="1"/>
  <c r="R126" i="4" s="1"/>
  <c r="P120" i="4"/>
  <c r="N120" i="4"/>
  <c r="L120" i="4"/>
  <c r="G120" i="4"/>
  <c r="X119" i="4"/>
  <c r="X137" i="4" s="1"/>
  <c r="AB118" i="4"/>
  <c r="AB59" i="4" s="1"/>
  <c r="X117" i="4"/>
  <c r="P117" i="4"/>
  <c r="AB114" i="4"/>
  <c r="N111" i="4"/>
  <c r="N179" i="4" s="1"/>
  <c r="G111" i="4"/>
  <c r="G179" i="4" s="1"/>
  <c r="Y108" i="4"/>
  <c r="W108" i="4"/>
  <c r="T108" i="4"/>
  <c r="R108" i="4"/>
  <c r="R111" i="4" s="1"/>
  <c r="R179" i="4" s="1"/>
  <c r="P108" i="4"/>
  <c r="L108" i="4"/>
  <c r="L111" i="4" s="1"/>
  <c r="L179" i="4" s="1"/>
  <c r="I108" i="4"/>
  <c r="E108" i="4"/>
  <c r="C108" i="4"/>
  <c r="C111" i="4" s="1"/>
  <c r="C179" i="4" s="1"/>
  <c r="Y93" i="4"/>
  <c r="W93" i="4"/>
  <c r="R93" i="4"/>
  <c r="P93" i="4"/>
  <c r="M93" i="4"/>
  <c r="I93" i="4"/>
  <c r="K93" i="4" s="1"/>
  <c r="F93" i="4"/>
  <c r="D93" i="4"/>
  <c r="L90" i="4"/>
  <c r="L92" i="4" s="1"/>
  <c r="L95" i="4" s="1"/>
  <c r="L178" i="4" s="1"/>
  <c r="N85" i="4"/>
  <c r="N88" i="4" s="1"/>
  <c r="N90" i="4" s="1"/>
  <c r="N92" i="4" s="1"/>
  <c r="N95" i="4" s="1"/>
  <c r="N178" i="4" s="1"/>
  <c r="L85" i="4"/>
  <c r="AB82" i="4"/>
  <c r="AA82" i="4"/>
  <c r="Z82" i="4"/>
  <c r="X82" i="4"/>
  <c r="V82" i="4"/>
  <c r="V85" i="4" s="1"/>
  <c r="T82" i="4"/>
  <c r="T85" i="4" s="1"/>
  <c r="T88" i="4" s="1"/>
  <c r="T90" i="4" s="1"/>
  <c r="T92" i="4" s="1"/>
  <c r="R82" i="4"/>
  <c r="R85" i="4" s="1"/>
  <c r="R88" i="4" s="1"/>
  <c r="R90" i="4" s="1"/>
  <c r="R92" i="4" s="1"/>
  <c r="P82" i="4"/>
  <c r="P85" i="4" s="1"/>
  <c r="P88" i="4" s="1"/>
  <c r="P90" i="4" s="1"/>
  <c r="P92" i="4" s="1"/>
  <c r="P95" i="4" s="1"/>
  <c r="I82" i="4"/>
  <c r="G82" i="4"/>
  <c r="E82" i="4"/>
  <c r="C82" i="4"/>
  <c r="G81" i="4"/>
  <c r="E81" i="4"/>
  <c r="E85" i="4" s="1"/>
  <c r="E88" i="4" s="1"/>
  <c r="E90" i="4" s="1"/>
  <c r="E92" i="4" s="1"/>
  <c r="E95" i="4" s="1"/>
  <c r="E178" i="4" s="1"/>
  <c r="C81" i="4"/>
  <c r="Y73" i="4"/>
  <c r="W73" i="4"/>
  <c r="R73" i="4"/>
  <c r="P73" i="4"/>
  <c r="N73" i="4"/>
  <c r="L73" i="4"/>
  <c r="I73" i="4"/>
  <c r="I81" i="4" s="1"/>
  <c r="F73" i="4"/>
  <c r="D73" i="4"/>
  <c r="R69" i="4"/>
  <c r="P69" i="4"/>
  <c r="N69" i="4"/>
  <c r="L69" i="4"/>
  <c r="I69" i="4"/>
  <c r="G69" i="4"/>
  <c r="C69" i="4"/>
  <c r="L66" i="4"/>
  <c r="I66" i="4"/>
  <c r="G66" i="4"/>
  <c r="E66" i="4"/>
  <c r="C66" i="4"/>
  <c r="T64" i="4"/>
  <c r="R64" i="4"/>
  <c r="N64" i="4"/>
  <c r="I64" i="4"/>
  <c r="G64" i="4"/>
  <c r="P62" i="4"/>
  <c r="P64" i="4" s="1"/>
  <c r="P65" i="4" s="1"/>
  <c r="P68" i="4" s="1"/>
  <c r="P70" i="4" s="1"/>
  <c r="P72" i="4" s="1"/>
  <c r="P75" i="4" s="1"/>
  <c r="P177" i="4" s="1"/>
  <c r="N62" i="4"/>
  <c r="N65" i="4" s="1"/>
  <c r="N68" i="4" s="1"/>
  <c r="N70" i="4" s="1"/>
  <c r="N72" i="4" s="1"/>
  <c r="N75" i="4" s="1"/>
  <c r="N177" i="4" s="1"/>
  <c r="L62" i="4"/>
  <c r="L65" i="4" s="1"/>
  <c r="L68" i="4" s="1"/>
  <c r="L70" i="4" s="1"/>
  <c r="L72" i="4" s="1"/>
  <c r="L75" i="4" s="1"/>
  <c r="L177" i="4" s="1"/>
  <c r="I62" i="4"/>
  <c r="G62" i="4"/>
  <c r="G65" i="4" s="1"/>
  <c r="G68" i="4" s="1"/>
  <c r="G70" i="4" s="1"/>
  <c r="G72" i="4" s="1"/>
  <c r="G75" i="4" s="1"/>
  <c r="G177" i="4" s="1"/>
  <c r="E62" i="4"/>
  <c r="E65" i="4" s="1"/>
  <c r="E68" i="4" s="1"/>
  <c r="E70" i="4" s="1"/>
  <c r="E72" i="4" s="1"/>
  <c r="E75" i="4" s="1"/>
  <c r="E177" i="4" s="1"/>
  <c r="C62" i="4"/>
  <c r="C65" i="4" s="1"/>
  <c r="C68" i="4" s="1"/>
  <c r="T60" i="4"/>
  <c r="R60" i="4"/>
  <c r="R62" i="4" s="1"/>
  <c r="AA59" i="4"/>
  <c r="Z59" i="4"/>
  <c r="AB55" i="4"/>
  <c r="Y51" i="4"/>
  <c r="W51" i="4"/>
  <c r="P51" i="4"/>
  <c r="N51" i="4"/>
  <c r="L51" i="4"/>
  <c r="I51" i="4"/>
  <c r="K51" i="4" s="1"/>
  <c r="E51" i="4"/>
  <c r="C51" i="4"/>
  <c r="T47" i="4"/>
  <c r="R47" i="4"/>
  <c r="P47" i="4"/>
  <c r="N47" i="4"/>
  <c r="L47" i="4"/>
  <c r="I47" i="4"/>
  <c r="G47" i="4"/>
  <c r="E47" i="4"/>
  <c r="C47" i="4"/>
  <c r="R46" i="4"/>
  <c r="R48" i="4" s="1"/>
  <c r="R50" i="4" s="1"/>
  <c r="G46" i="4"/>
  <c r="E46" i="4"/>
  <c r="C46" i="4"/>
  <c r="C48" i="4" s="1"/>
  <c r="C50" i="4" s="1"/>
  <c r="X45" i="4"/>
  <c r="T45" i="4"/>
  <c r="T46" i="4" s="1"/>
  <c r="T48" i="4" s="1"/>
  <c r="T50" i="4" s="1"/>
  <c r="P45" i="4"/>
  <c r="P46" i="4" s="1"/>
  <c r="N45" i="4"/>
  <c r="N46" i="4" s="1"/>
  <c r="N48" i="4" s="1"/>
  <c r="N50" i="4" s="1"/>
  <c r="N53" i="4" s="1"/>
  <c r="N176" i="4" s="1"/>
  <c r="L45" i="4"/>
  <c r="L46" i="4" s="1"/>
  <c r="L48" i="4" s="1"/>
  <c r="L50" i="4" s="1"/>
  <c r="L53" i="4" s="1"/>
  <c r="L176" i="4" s="1"/>
  <c r="I45" i="4"/>
  <c r="I46" i="4" s="1"/>
  <c r="AA40" i="4"/>
  <c r="Z40" i="4"/>
  <c r="X40" i="4"/>
  <c r="AA39" i="4"/>
  <c r="Z39" i="4"/>
  <c r="X39" i="4"/>
  <c r="AB34" i="4"/>
  <c r="T30" i="4"/>
  <c r="R30" i="4"/>
  <c r="P30" i="4"/>
  <c r="N30" i="4"/>
  <c r="E29" i="4"/>
  <c r="E32" i="4" s="1"/>
  <c r="E174" i="4" s="1"/>
  <c r="I26" i="4"/>
  <c r="G26" i="4"/>
  <c r="C26" i="4"/>
  <c r="I22" i="4"/>
  <c r="I24" i="4" s="1"/>
  <c r="G22" i="4"/>
  <c r="G24" i="4" s="1"/>
  <c r="E22" i="4"/>
  <c r="E24" i="4" s="1"/>
  <c r="E26" i="4" s="1"/>
  <c r="C22" i="4"/>
  <c r="C24" i="4" s="1"/>
  <c r="T21" i="4"/>
  <c r="X21" i="4" s="1"/>
  <c r="Z21" i="4" s="1"/>
  <c r="AA21" i="4" s="1"/>
  <c r="AB21" i="4" s="1"/>
  <c r="AC21" i="4" s="1"/>
  <c r="R21" i="4"/>
  <c r="P21" i="4"/>
  <c r="N21" i="4"/>
  <c r="L21" i="4"/>
  <c r="T20" i="4"/>
  <c r="R20" i="4"/>
  <c r="P20" i="4"/>
  <c r="N20" i="4"/>
  <c r="L20" i="4"/>
  <c r="X19" i="4"/>
  <c r="X60" i="4" s="1"/>
  <c r="X61" i="4" s="1"/>
  <c r="V7" i="4"/>
  <c r="X7" i="4" s="1"/>
  <c r="Z7" i="4" s="1"/>
  <c r="AA7" i="4" s="1"/>
  <c r="AB7" i="4" s="1"/>
  <c r="AC7" i="4" s="1"/>
  <c r="V6" i="4"/>
  <c r="X6" i="4" s="1"/>
  <c r="Z6" i="4" s="1"/>
  <c r="AA6" i="4" s="1"/>
  <c r="AB6" i="4" s="1"/>
  <c r="AC6" i="4" s="1"/>
  <c r="V5" i="4"/>
  <c r="X5" i="4" s="1"/>
  <c r="Z5" i="4" s="1"/>
  <c r="AA5" i="4" s="1"/>
  <c r="AB5" i="4" s="1"/>
  <c r="AC5" i="4" s="1"/>
  <c r="H73" i="4" l="1"/>
  <c r="C85" i="4"/>
  <c r="C88" i="4" s="1"/>
  <c r="C90" i="4" s="1"/>
  <c r="C92" i="4" s="1"/>
  <c r="C95" i="4" s="1"/>
  <c r="C178" i="4" s="1"/>
  <c r="R95" i="4"/>
  <c r="R178" i="4" s="1"/>
  <c r="N122" i="4"/>
  <c r="N124" i="4" s="1"/>
  <c r="N126" i="4" s="1"/>
  <c r="N127" i="4" s="1"/>
  <c r="N128" i="4" s="1"/>
  <c r="M128" i="4" s="1"/>
  <c r="L22" i="4"/>
  <c r="L24" i="4" s="1"/>
  <c r="G27" i="4"/>
  <c r="G29" i="4" s="1"/>
  <c r="G32" i="4" s="1"/>
  <c r="G174" i="4" s="1"/>
  <c r="P48" i="4"/>
  <c r="P50" i="4" s="1"/>
  <c r="P53" i="4" s="1"/>
  <c r="I65" i="4"/>
  <c r="I68" i="4" s="1"/>
  <c r="I70" i="4" s="1"/>
  <c r="I72" i="4" s="1"/>
  <c r="I75" i="4" s="1"/>
  <c r="I177" i="4" s="1"/>
  <c r="I85" i="4"/>
  <c r="I88" i="4" s="1"/>
  <c r="I90" i="4" s="1"/>
  <c r="I92" i="4" s="1"/>
  <c r="I95" i="4" s="1"/>
  <c r="I178" i="4" s="1"/>
  <c r="S128" i="4"/>
  <c r="N147" i="4"/>
  <c r="N185" i="4" s="1"/>
  <c r="F163" i="4"/>
  <c r="N22" i="4"/>
  <c r="N24" i="4" s="1"/>
  <c r="I48" i="4"/>
  <c r="I50" i="4" s="1"/>
  <c r="I53" i="4" s="1"/>
  <c r="I176" i="4" s="1"/>
  <c r="C70" i="4"/>
  <c r="C72" i="4" s="1"/>
  <c r="C75" i="4" s="1"/>
  <c r="C177" i="4" s="1"/>
  <c r="C189" i="4"/>
  <c r="R165" i="4"/>
  <c r="R186" i="4" s="1"/>
  <c r="Q163" i="4"/>
  <c r="P22" i="4"/>
  <c r="P24" i="4" s="1"/>
  <c r="C27" i="4"/>
  <c r="C29" i="4" s="1"/>
  <c r="C32" i="4" s="1"/>
  <c r="C174" i="4" s="1"/>
  <c r="O30" i="4"/>
  <c r="H51" i="4"/>
  <c r="R22" i="4"/>
  <c r="R24" i="4" s="1"/>
  <c r="C53" i="4"/>
  <c r="C176" i="4" s="1"/>
  <c r="C181" i="4" s="1"/>
  <c r="C191" i="4" s="1"/>
  <c r="C193" i="4" s="1"/>
  <c r="G122" i="4"/>
  <c r="G124" i="4" s="1"/>
  <c r="G127" i="4" s="1"/>
  <c r="G130" i="4" s="1"/>
  <c r="G184" i="4" s="1"/>
  <c r="T22" i="4"/>
  <c r="T24" i="4" s="1"/>
  <c r="T26" i="4" s="1"/>
  <c r="V26" i="4" s="1"/>
  <c r="E48" i="4"/>
  <c r="E50" i="4" s="1"/>
  <c r="E53" i="4" s="1"/>
  <c r="E176" i="4" s="1"/>
  <c r="M51" i="4"/>
  <c r="H93" i="4"/>
  <c r="L122" i="4"/>
  <c r="L124" i="4" s="1"/>
  <c r="L126" i="4" s="1"/>
  <c r="L127" i="4" s="1"/>
  <c r="L128" i="4" s="1"/>
  <c r="R140" i="4"/>
  <c r="R142" i="4" s="1"/>
  <c r="R144" i="4" s="1"/>
  <c r="R147" i="4" s="1"/>
  <c r="R185" i="4" s="1"/>
  <c r="G147" i="4"/>
  <c r="G185" i="4" s="1"/>
  <c r="G189" i="4" s="1"/>
  <c r="E147" i="4"/>
  <c r="E185" i="4" s="1"/>
  <c r="G48" i="4"/>
  <c r="G50" i="4" s="1"/>
  <c r="G53" i="4" s="1"/>
  <c r="G176" i="4" s="1"/>
  <c r="C127" i="4"/>
  <c r="T140" i="4"/>
  <c r="T142" i="4" s="1"/>
  <c r="T144" i="4" s="1"/>
  <c r="I27" i="4"/>
  <c r="I29" i="4" s="1"/>
  <c r="I30" i="4" s="1"/>
  <c r="H30" i="4" s="1"/>
  <c r="I127" i="4"/>
  <c r="I128" i="4" s="1"/>
  <c r="H128" i="4" s="1"/>
  <c r="D145" i="4"/>
  <c r="I165" i="4"/>
  <c r="I186" i="4" s="1"/>
  <c r="I189" i="4" s="1"/>
  <c r="H163" i="4"/>
  <c r="X120" i="4"/>
  <c r="Z120" i="4" s="1"/>
  <c r="AA120" i="4" s="1"/>
  <c r="AB120" i="4" s="1"/>
  <c r="AC120" i="4" s="1"/>
  <c r="T122" i="4"/>
  <c r="V128" i="4"/>
  <c r="X128" i="4" s="1"/>
  <c r="Z128" i="4" s="1"/>
  <c r="AA128" i="4" s="1"/>
  <c r="AB128" i="4" s="1"/>
  <c r="AC128" i="4" s="1"/>
  <c r="Z57" i="4"/>
  <c r="V108" i="4"/>
  <c r="X108" i="4" s="1"/>
  <c r="X111" i="4" s="1"/>
  <c r="AB136" i="4"/>
  <c r="AC118" i="4"/>
  <c r="X140" i="4"/>
  <c r="X142" i="4" s="1"/>
  <c r="V68" i="4"/>
  <c r="Z19" i="4"/>
  <c r="Z42" i="4" s="1"/>
  <c r="X20" i="4"/>
  <c r="Z20" i="4" s="1"/>
  <c r="Q30" i="4"/>
  <c r="S30" i="4"/>
  <c r="V30" i="4"/>
  <c r="X30" i="4" s="1"/>
  <c r="Z30" i="4" s="1"/>
  <c r="AA30" i="4" s="1"/>
  <c r="AB30" i="4" s="1"/>
  <c r="AC30" i="4" s="1"/>
  <c r="D51" i="4"/>
  <c r="F51" i="4"/>
  <c r="K73" i="4"/>
  <c r="M73" i="4"/>
  <c r="M108" i="4"/>
  <c r="S108" i="4"/>
  <c r="Z117" i="4"/>
  <c r="Z119" i="4"/>
  <c r="AA119" i="4" s="1"/>
  <c r="T124" i="4"/>
  <c r="T126" i="4" s="1"/>
  <c r="T163" i="4"/>
  <c r="T62" i="4"/>
  <c r="T65" i="4" s="1"/>
  <c r="T68" i="4" s="1"/>
  <c r="X157" i="4"/>
  <c r="O93" i="4"/>
  <c r="P178" i="4"/>
  <c r="N26" i="4"/>
  <c r="N27" i="4" s="1"/>
  <c r="N29" i="4" s="1"/>
  <c r="N32" i="4" s="1"/>
  <c r="N174" i="4" s="1"/>
  <c r="N181" i="4" s="1"/>
  <c r="T93" i="4"/>
  <c r="V93" i="4" s="1"/>
  <c r="L26" i="4"/>
  <c r="L27" i="4" s="1"/>
  <c r="L29" i="4" s="1"/>
  <c r="L30" i="4" s="1"/>
  <c r="R26" i="4"/>
  <c r="R27" i="4" s="1"/>
  <c r="R29" i="4" s="1"/>
  <c r="R32" i="4" s="1"/>
  <c r="R174" i="4" s="1"/>
  <c r="T51" i="4"/>
  <c r="V51" i="4" s="1"/>
  <c r="X51" i="4" s="1"/>
  <c r="Z51" i="4" s="1"/>
  <c r="T145" i="4"/>
  <c r="V145" i="4" s="1"/>
  <c r="P26" i="4"/>
  <c r="P27" i="4" s="1"/>
  <c r="P29" i="4" s="1"/>
  <c r="P32" i="4" s="1"/>
  <c r="P174" i="4" s="1"/>
  <c r="R51" i="4"/>
  <c r="Q51" i="4" s="1"/>
  <c r="Z45" i="4"/>
  <c r="P176" i="4"/>
  <c r="O51" i="4"/>
  <c r="Z135" i="4"/>
  <c r="X144" i="4"/>
  <c r="S163" i="4"/>
  <c r="R65" i="4"/>
  <c r="R68" i="4" s="1"/>
  <c r="R70" i="4" s="1"/>
  <c r="R72" i="4" s="1"/>
  <c r="R75" i="4" s="1"/>
  <c r="R177" i="4" s="1"/>
  <c r="V88" i="4"/>
  <c r="X80" i="4"/>
  <c r="I111" i="4"/>
  <c r="I179" i="4" s="1"/>
  <c r="K108" i="4"/>
  <c r="H108" i="4"/>
  <c r="X18" i="4"/>
  <c r="Q93" i="4"/>
  <c r="P121" i="4"/>
  <c r="P122" i="4" s="1"/>
  <c r="P124" i="4" s="1"/>
  <c r="L147" i="4"/>
  <c r="L185" i="4" s="1"/>
  <c r="L189" i="4" s="1"/>
  <c r="O145" i="4"/>
  <c r="M163" i="4"/>
  <c r="K163" i="4"/>
  <c r="AA152" i="4"/>
  <c r="AB152" i="4" s="1"/>
  <c r="Z157" i="4"/>
  <c r="Z160" i="4" s="1"/>
  <c r="Z162" i="4" s="1"/>
  <c r="L181" i="4"/>
  <c r="Q128" i="4"/>
  <c r="E189" i="4"/>
  <c r="Q73" i="4"/>
  <c r="O73" i="4"/>
  <c r="G85" i="4"/>
  <c r="G88" i="4" s="1"/>
  <c r="G90" i="4" s="1"/>
  <c r="G92" i="4" s="1"/>
  <c r="G95" i="4" s="1"/>
  <c r="G178" i="4" s="1"/>
  <c r="R127" i="4"/>
  <c r="R130" i="4" s="1"/>
  <c r="R184" i="4" s="1"/>
  <c r="R189" i="4" s="1"/>
  <c r="F108" i="4"/>
  <c r="D108" i="4"/>
  <c r="E111" i="4"/>
  <c r="E179" i="4" s="1"/>
  <c r="E181" i="4" s="1"/>
  <c r="M145" i="4"/>
  <c r="K145" i="4"/>
  <c r="Q108" i="4"/>
  <c r="P111" i="4"/>
  <c r="N189" i="4"/>
  <c r="X42" i="4"/>
  <c r="T111" i="4"/>
  <c r="T179" i="4" s="1"/>
  <c r="V122" i="4"/>
  <c r="V124" i="4" s="1"/>
  <c r="H25" i="3"/>
  <c r="J25" i="3"/>
  <c r="F25" i="3"/>
  <c r="L191" i="4" l="1"/>
  <c r="E191" i="4"/>
  <c r="I181" i="4"/>
  <c r="X26" i="4"/>
  <c r="Z26" i="4" s="1"/>
  <c r="AA26" i="4" s="1"/>
  <c r="AB26" i="4" s="1"/>
  <c r="AC26" i="4" s="1"/>
  <c r="V27" i="4"/>
  <c r="V29" i="4" s="1"/>
  <c r="V32" i="4" s="1"/>
  <c r="V174" i="4" s="1"/>
  <c r="C7" i="5" s="1"/>
  <c r="C32" i="5" s="1"/>
  <c r="E193" i="4"/>
  <c r="I191" i="4"/>
  <c r="Z137" i="4"/>
  <c r="Z140" i="4" s="1"/>
  <c r="Z142" i="4" s="1"/>
  <c r="Z144" i="4" s="1"/>
  <c r="T27" i="4"/>
  <c r="T29" i="4" s="1"/>
  <c r="T32" i="4" s="1"/>
  <c r="T174" i="4" s="1"/>
  <c r="X122" i="4"/>
  <c r="X124" i="4" s="1"/>
  <c r="K128" i="4"/>
  <c r="G181" i="4"/>
  <c r="G191" i="4" s="1"/>
  <c r="I193" i="4" s="1"/>
  <c r="V126" i="4"/>
  <c r="V127" i="4" s="1"/>
  <c r="V130" i="4" s="1"/>
  <c r="AA117" i="4"/>
  <c r="Z122" i="4"/>
  <c r="Z124" i="4" s="1"/>
  <c r="AA19" i="4"/>
  <c r="AB19" i="4" s="1"/>
  <c r="AC19" i="4" s="1"/>
  <c r="AC42" i="4" s="1"/>
  <c r="AB157" i="4"/>
  <c r="AB160" i="4" s="1"/>
  <c r="AB162" i="4" s="1"/>
  <c r="AC152" i="4"/>
  <c r="AC157" i="4" s="1"/>
  <c r="AC160" i="4" s="1"/>
  <c r="AC162" i="4" s="1"/>
  <c r="X160" i="4"/>
  <c r="X162" i="4" s="1"/>
  <c r="V163" i="4"/>
  <c r="X163" i="4" s="1"/>
  <c r="Z163" i="4" s="1"/>
  <c r="AC136" i="4"/>
  <c r="AC59" i="4"/>
  <c r="V111" i="4"/>
  <c r="X22" i="4"/>
  <c r="X24" i="4" s="1"/>
  <c r="T69" i="4"/>
  <c r="T70" i="4" s="1"/>
  <c r="T72" i="4" s="1"/>
  <c r="T73" i="4" s="1"/>
  <c r="V73" i="4" s="1"/>
  <c r="Z13" i="4"/>
  <c r="N191" i="4"/>
  <c r="N193" i="4" s="1"/>
  <c r="T165" i="4"/>
  <c r="T186" i="4" s="1"/>
  <c r="Z60" i="4"/>
  <c r="AA57" i="4" s="1"/>
  <c r="X47" i="4"/>
  <c r="V147" i="4"/>
  <c r="V90" i="4"/>
  <c r="V92" i="4" s="1"/>
  <c r="V95" i="4" s="1"/>
  <c r="G193" i="4"/>
  <c r="P126" i="4"/>
  <c r="P127" i="4" s="1"/>
  <c r="P130" i="4" s="1"/>
  <c r="P184" i="4" s="1"/>
  <c r="P189" i="4" s="1"/>
  <c r="AA20" i="4"/>
  <c r="AB20" i="4" s="1"/>
  <c r="AB119" i="4"/>
  <c r="AA137" i="4"/>
  <c r="AA51" i="4"/>
  <c r="AB51" i="4" s="1"/>
  <c r="AC51" i="4" s="1"/>
  <c r="S51" i="4"/>
  <c r="K30" i="4"/>
  <c r="M30" i="4"/>
  <c r="X62" i="4"/>
  <c r="X65" i="4" s="1"/>
  <c r="X68" i="4" s="1"/>
  <c r="AA42" i="4"/>
  <c r="Z18" i="4"/>
  <c r="X41" i="4"/>
  <c r="R53" i="4"/>
  <c r="R176" i="4" s="1"/>
  <c r="R181" i="4" s="1"/>
  <c r="R191" i="4" s="1"/>
  <c r="T53" i="4"/>
  <c r="T176" i="4" s="1"/>
  <c r="AA122" i="4"/>
  <c r="AA124" i="4" s="1"/>
  <c r="AB117" i="4"/>
  <c r="L193" i="4"/>
  <c r="AA45" i="4"/>
  <c r="S93" i="4"/>
  <c r="X93" i="4"/>
  <c r="O108" i="4"/>
  <c r="P179" i="4"/>
  <c r="P181" i="4" s="1"/>
  <c r="T95" i="4"/>
  <c r="T178" i="4" s="1"/>
  <c r="O128" i="4"/>
  <c r="AA157" i="4"/>
  <c r="AA160" i="4" s="1"/>
  <c r="AA162" i="4" s="1"/>
  <c r="Z80" i="4"/>
  <c r="X85" i="4"/>
  <c r="X88" i="4" s="1"/>
  <c r="X90" i="4" s="1"/>
  <c r="X92" i="4" s="1"/>
  <c r="X145" i="4"/>
  <c r="Z145" i="4" s="1"/>
  <c r="AA145" i="4" s="1"/>
  <c r="AB145" i="4" s="1"/>
  <c r="AC145" i="4" s="1"/>
  <c r="S145" i="4"/>
  <c r="Z108" i="4"/>
  <c r="T127" i="4"/>
  <c r="T130" i="4" s="1"/>
  <c r="T184" i="4" s="1"/>
  <c r="T147" i="4"/>
  <c r="T185" i="4" s="1"/>
  <c r="AA60" i="4" l="1"/>
  <c r="V165" i="4"/>
  <c r="V186" i="4" s="1"/>
  <c r="C16" i="5" s="1"/>
  <c r="X27" i="4"/>
  <c r="X29" i="4" s="1"/>
  <c r="X32" i="4" s="1"/>
  <c r="X174" i="4" s="1"/>
  <c r="E7" i="5" s="1"/>
  <c r="P191" i="4"/>
  <c r="P193" i="4" s="1"/>
  <c r="AA135" i="4"/>
  <c r="V184" i="4"/>
  <c r="C14" i="5" s="1"/>
  <c r="C33" i="5" s="1"/>
  <c r="C34" i="5" s="1"/>
  <c r="X126" i="4"/>
  <c r="AA13" i="4"/>
  <c r="AA163" i="4"/>
  <c r="AB163" i="4" s="1"/>
  <c r="Z165" i="4"/>
  <c r="Z186" i="4" s="1"/>
  <c r="G16" i="5" s="1"/>
  <c r="X165" i="4"/>
  <c r="X186" i="4" s="1"/>
  <c r="E16" i="5" s="1"/>
  <c r="X95" i="4"/>
  <c r="X178" i="4" s="1"/>
  <c r="Z93" i="4"/>
  <c r="AB122" i="4"/>
  <c r="AB124" i="4" s="1"/>
  <c r="AC117" i="4"/>
  <c r="Z37" i="4"/>
  <c r="X46" i="4"/>
  <c r="AB137" i="4"/>
  <c r="AC119" i="4"/>
  <c r="AC20" i="4"/>
  <c r="Z47" i="4"/>
  <c r="AA47" i="4" s="1"/>
  <c r="AB47" i="4" s="1"/>
  <c r="AC47" i="4" s="1"/>
  <c r="AB57" i="4"/>
  <c r="V69" i="4"/>
  <c r="V70" i="4" s="1"/>
  <c r="V72" i="4" s="1"/>
  <c r="V75" i="4" s="1"/>
  <c r="T189" i="4"/>
  <c r="X48" i="4"/>
  <c r="X50" i="4" s="1"/>
  <c r="X53" i="4" s="1"/>
  <c r="X176" i="4" s="1"/>
  <c r="E8" i="5" s="1"/>
  <c r="V48" i="4"/>
  <c r="V50" i="4" s="1"/>
  <c r="V53" i="4" s="1"/>
  <c r="V185" i="4"/>
  <c r="V179" i="4"/>
  <c r="S73" i="4"/>
  <c r="Z61" i="4"/>
  <c r="Z62" i="4" s="1"/>
  <c r="Z65" i="4" s="1"/>
  <c r="Z68" i="4" s="1"/>
  <c r="T75" i="4"/>
  <c r="T177" i="4" s="1"/>
  <c r="T181" i="4" s="1"/>
  <c r="T191" i="4" s="1"/>
  <c r="T193" i="4" s="1"/>
  <c r="Z85" i="4"/>
  <c r="Z88" i="4" s="1"/>
  <c r="Z90" i="4" s="1"/>
  <c r="Z92" i="4" s="1"/>
  <c r="AA80" i="4"/>
  <c r="AB80" i="4" s="1"/>
  <c r="AB45" i="4"/>
  <c r="AB60" i="4"/>
  <c r="AB42" i="4"/>
  <c r="AA140" i="4"/>
  <c r="AA142" i="4" s="1"/>
  <c r="AA144" i="4" s="1"/>
  <c r="AA147" i="4" s="1"/>
  <c r="AA185" i="4" s="1"/>
  <c r="AB135" i="4"/>
  <c r="AA108" i="4"/>
  <c r="AB108" i="4" s="1"/>
  <c r="AC108" i="4" s="1"/>
  <c r="AA18" i="4"/>
  <c r="AB18" i="4" s="1"/>
  <c r="AC18" i="4" s="1"/>
  <c r="AC41" i="4" s="1"/>
  <c r="Z41" i="4"/>
  <c r="Z22" i="4"/>
  <c r="Z24" i="4" s="1"/>
  <c r="Z27" i="4" s="1"/>
  <c r="Z29" i="4" s="1"/>
  <c r="Z32" i="4" s="1"/>
  <c r="Z174" i="4" s="1"/>
  <c r="G7" i="5" s="1"/>
  <c r="V178" i="4"/>
  <c r="X147" i="4"/>
  <c r="X185" i="4" s="1"/>
  <c r="Z147" i="4"/>
  <c r="Z185" i="4" s="1"/>
  <c r="T30" i="1"/>
  <c r="R193" i="4" l="1"/>
  <c r="AA165" i="4"/>
  <c r="AA186" i="4" s="1"/>
  <c r="I16" i="5" s="1"/>
  <c r="AA22" i="4"/>
  <c r="AA24" i="4" s="1"/>
  <c r="AA27" i="4" s="1"/>
  <c r="AA29" i="4" s="1"/>
  <c r="AA32" i="4" s="1"/>
  <c r="AA174" i="4" s="1"/>
  <c r="I7" i="5" s="1"/>
  <c r="Z126" i="4"/>
  <c r="X127" i="4"/>
  <c r="X130" i="4" s="1"/>
  <c r="X184" i="4" s="1"/>
  <c r="E14" i="5" s="1"/>
  <c r="AB140" i="4"/>
  <c r="AC135" i="4"/>
  <c r="AC45" i="4"/>
  <c r="AB85" i="4"/>
  <c r="AB88" i="4" s="1"/>
  <c r="AB90" i="4" s="1"/>
  <c r="AC80" i="4"/>
  <c r="AC85" i="4" s="1"/>
  <c r="AC88" i="4" s="1"/>
  <c r="AC90" i="4" s="1"/>
  <c r="AC92" i="4" s="1"/>
  <c r="X69" i="4"/>
  <c r="AC57" i="4"/>
  <c r="AC137" i="4"/>
  <c r="AC60" i="4"/>
  <c r="AB13" i="4"/>
  <c r="Z46" i="4"/>
  <c r="Z48" i="4" s="1"/>
  <c r="Z50" i="4" s="1"/>
  <c r="Z53" i="4" s="1"/>
  <c r="Z176" i="4" s="1"/>
  <c r="G8" i="5" s="1"/>
  <c r="AC122" i="4"/>
  <c r="AC124" i="4" s="1"/>
  <c r="Z95" i="4"/>
  <c r="Z178" i="4" s="1"/>
  <c r="AA93" i="4"/>
  <c r="AB93" i="4" s="1"/>
  <c r="AC93" i="4" s="1"/>
  <c r="AC163" i="4"/>
  <c r="AC165" i="4" s="1"/>
  <c r="AC186" i="4" s="1"/>
  <c r="M16" i="5" s="1"/>
  <c r="AB165" i="4"/>
  <c r="AB186" i="4" s="1"/>
  <c r="K16" i="5" s="1"/>
  <c r="AB142" i="4"/>
  <c r="AB144" i="4" s="1"/>
  <c r="AB147" i="4" s="1"/>
  <c r="AB185" i="4" s="1"/>
  <c r="V176" i="4"/>
  <c r="C8" i="5" s="1"/>
  <c r="AA37" i="4"/>
  <c r="C10" i="5"/>
  <c r="V189" i="4"/>
  <c r="C15" i="5"/>
  <c r="C29" i="5" s="1"/>
  <c r="I15" i="5"/>
  <c r="G15" i="5"/>
  <c r="X189" i="4"/>
  <c r="E15" i="5"/>
  <c r="X179" i="4"/>
  <c r="E10" i="5" s="1"/>
  <c r="X73" i="4"/>
  <c r="V177" i="4"/>
  <c r="AB41" i="4"/>
  <c r="AA41" i="4"/>
  <c r="AA85" i="4"/>
  <c r="AA88" i="4" s="1"/>
  <c r="AA90" i="4" s="1"/>
  <c r="AA92" i="4" s="1"/>
  <c r="AA95" i="4" s="1"/>
  <c r="AA178" i="4" s="1"/>
  <c r="AA61" i="4"/>
  <c r="AA62" i="4" s="1"/>
  <c r="AA65" i="4" s="1"/>
  <c r="AA68" i="4" s="1"/>
  <c r="T20" i="1"/>
  <c r="V20" i="1" s="1"/>
  <c r="AA126" i="4" l="1"/>
  <c r="Z127" i="4"/>
  <c r="Z130" i="4" s="1"/>
  <c r="Z184" i="4" s="1"/>
  <c r="AB92" i="4"/>
  <c r="AB95" i="4" s="1"/>
  <c r="AB178" i="4" s="1"/>
  <c r="AA46" i="4"/>
  <c r="AA48" i="4" s="1"/>
  <c r="AA50" i="4" s="1"/>
  <c r="AA53" i="4" s="1"/>
  <c r="AA176" i="4" s="1"/>
  <c r="I8" i="5" s="1"/>
  <c r="AB37" i="4"/>
  <c r="AC13" i="4"/>
  <c r="AC22" i="4" s="1"/>
  <c r="AC24" i="4" s="1"/>
  <c r="AC27" i="4" s="1"/>
  <c r="AC29" i="4" s="1"/>
  <c r="AC32" i="4" s="1"/>
  <c r="AC174" i="4" s="1"/>
  <c r="M7" i="5" s="1"/>
  <c r="AB22" i="4"/>
  <c r="AB24" i="4" s="1"/>
  <c r="AB27" i="4" s="1"/>
  <c r="AB29" i="4" s="1"/>
  <c r="AB32" i="4" s="1"/>
  <c r="AB174" i="4" s="1"/>
  <c r="K7" i="5" s="1"/>
  <c r="AC61" i="4"/>
  <c r="AC62" i="4" s="1"/>
  <c r="AC65" i="4" s="1"/>
  <c r="AC68" i="4" s="1"/>
  <c r="Z69" i="4"/>
  <c r="X70" i="4"/>
  <c r="X72" i="4" s="1"/>
  <c r="X75" i="4" s="1"/>
  <c r="X177" i="4" s="1"/>
  <c r="AC95" i="4"/>
  <c r="AC178" i="4" s="1"/>
  <c r="AC140" i="4"/>
  <c r="AC142" i="4" s="1"/>
  <c r="AC144" i="4" s="1"/>
  <c r="AC147" i="4" s="1"/>
  <c r="AC185" i="4" s="1"/>
  <c r="K15" i="5"/>
  <c r="V181" i="4"/>
  <c r="V191" i="4" s="1"/>
  <c r="V193" i="4" s="1"/>
  <c r="C9" i="5"/>
  <c r="C11" i="5" s="1"/>
  <c r="C17" i="5"/>
  <c r="E17" i="5"/>
  <c r="AA101" i="4"/>
  <c r="Z111" i="4"/>
  <c r="Z179" i="4" s="1"/>
  <c r="G10" i="5" s="1"/>
  <c r="Z73" i="4"/>
  <c r="AB61" i="4"/>
  <c r="T21" i="1"/>
  <c r="V21" i="1" s="1"/>
  <c r="G14" i="5" l="1"/>
  <c r="G17" i="5" s="1"/>
  <c r="Z189" i="4"/>
  <c r="AB126" i="4"/>
  <c r="AA127" i="4"/>
  <c r="AA130" i="4" s="1"/>
  <c r="AA184" i="4" s="1"/>
  <c r="C28" i="5"/>
  <c r="C20" i="5"/>
  <c r="M15" i="5"/>
  <c r="AA69" i="4"/>
  <c r="Z70" i="4"/>
  <c r="Z72" i="4" s="1"/>
  <c r="Z75" i="4" s="1"/>
  <c r="Z177" i="4" s="1"/>
  <c r="AC37" i="4"/>
  <c r="AC46" i="4" s="1"/>
  <c r="AC48" i="4" s="1"/>
  <c r="AC50" i="4" s="1"/>
  <c r="AC53" i="4" s="1"/>
  <c r="AC176" i="4" s="1"/>
  <c r="M8" i="5" s="1"/>
  <c r="AB46" i="4"/>
  <c r="AB48" i="4" s="1"/>
  <c r="AB50" i="4" s="1"/>
  <c r="AB53" i="4" s="1"/>
  <c r="AB176" i="4" s="1"/>
  <c r="K8" i="5" s="1"/>
  <c r="T22" i="1"/>
  <c r="AB62" i="4"/>
  <c r="AB65" i="4" s="1"/>
  <c r="AB68" i="4" s="1"/>
  <c r="X181" i="4"/>
  <c r="X191" i="4" s="1"/>
  <c r="X193" i="4" s="1"/>
  <c r="E9" i="5"/>
  <c r="E11" i="5" s="1"/>
  <c r="AB101" i="4"/>
  <c r="AC101" i="4" s="1"/>
  <c r="AC111" i="4" s="1"/>
  <c r="AA111" i="4"/>
  <c r="AA179" i="4" s="1"/>
  <c r="I10" i="5" s="1"/>
  <c r="AA73" i="4"/>
  <c r="AB73" i="4" s="1"/>
  <c r="AC73" i="4" s="1"/>
  <c r="C30" i="5" l="1"/>
  <c r="I14" i="5"/>
  <c r="I17" i="5" s="1"/>
  <c r="AA189" i="4"/>
  <c r="AC126" i="4"/>
  <c r="AC127" i="4" s="1"/>
  <c r="AC130" i="4" s="1"/>
  <c r="AC184" i="4" s="1"/>
  <c r="AB127" i="4"/>
  <c r="AB130" i="4" s="1"/>
  <c r="AB184" i="4" s="1"/>
  <c r="AB69" i="4"/>
  <c r="AC69" i="4" s="1"/>
  <c r="AC70" i="4" s="1"/>
  <c r="AC72" i="4" s="1"/>
  <c r="AC75" i="4" s="1"/>
  <c r="AC177" i="4" s="1"/>
  <c r="M9" i="5" s="1"/>
  <c r="AA70" i="4"/>
  <c r="AA72" i="4" s="1"/>
  <c r="AA75" i="4" s="1"/>
  <c r="AA177" i="4" s="1"/>
  <c r="AB111" i="4"/>
  <c r="AB179" i="4" s="1"/>
  <c r="AC179" i="4"/>
  <c r="M10" i="5" s="1"/>
  <c r="Z181" i="4"/>
  <c r="Z191" i="4" s="1"/>
  <c r="Z193" i="4" s="1"/>
  <c r="G9" i="5"/>
  <c r="G11" i="5" s="1"/>
  <c r="G20" i="5" s="1"/>
  <c r="M11" i="5" l="1"/>
  <c r="K14" i="5"/>
  <c r="K17" i="5" s="1"/>
  <c r="AB189" i="4"/>
  <c r="M14" i="5"/>
  <c r="M17" i="5" s="1"/>
  <c r="AC189" i="4"/>
  <c r="AB70" i="4"/>
  <c r="AB72" i="4" s="1"/>
  <c r="AB75" i="4" s="1"/>
  <c r="AB177" i="4" s="1"/>
  <c r="K9" i="5" s="1"/>
  <c r="K10" i="5"/>
  <c r="AC181" i="4"/>
  <c r="AC191" i="4" s="1"/>
  <c r="AA181" i="4"/>
  <c r="AA191" i="4" s="1"/>
  <c r="AA193" i="4" s="1"/>
  <c r="I9" i="5"/>
  <c r="I11" i="5" s="1"/>
  <c r="I20" i="5" s="1"/>
  <c r="E20" i="5"/>
  <c r="S17" i="3"/>
  <c r="R17" i="3"/>
  <c r="Q17" i="3"/>
  <c r="P17" i="3"/>
  <c r="S11" i="3"/>
  <c r="R11" i="3"/>
  <c r="Q11" i="3"/>
  <c r="P11" i="3"/>
  <c r="Q5" i="3"/>
  <c r="R5" i="3" s="1"/>
  <c r="S5" i="3" s="1"/>
  <c r="T5" i="3" s="1"/>
  <c r="E5" i="3"/>
  <c r="G5" i="3" s="1"/>
  <c r="I5" i="3" s="1"/>
  <c r="K5" i="3" s="1"/>
  <c r="Q20" i="3" l="1"/>
  <c r="R20" i="3"/>
  <c r="AB181" i="4"/>
  <c r="AB191" i="4" s="1"/>
  <c r="AB193" i="4" s="1"/>
  <c r="M20" i="5"/>
  <c r="M21" i="5" s="1"/>
  <c r="K11" i="5"/>
  <c r="K20" i="5" s="1"/>
  <c r="S20" i="3"/>
  <c r="P20" i="3"/>
  <c r="AC193" i="4" l="1"/>
  <c r="N184" i="2"/>
  <c r="L184" i="2"/>
  <c r="I184" i="2"/>
  <c r="C184" i="2"/>
  <c r="L174" i="2"/>
  <c r="I174" i="2"/>
  <c r="AB172" i="2"/>
  <c r="Y163" i="2"/>
  <c r="W163" i="2"/>
  <c r="U163" i="2"/>
  <c r="R163" i="2"/>
  <c r="P163" i="2"/>
  <c r="N163" i="2"/>
  <c r="O163" i="2" s="1"/>
  <c r="L163" i="2"/>
  <c r="I163" i="2"/>
  <c r="G163" i="2"/>
  <c r="E163" i="2"/>
  <c r="C163" i="2"/>
  <c r="D163" i="2" s="1"/>
  <c r="T157" i="2"/>
  <c r="T160" i="2" s="1"/>
  <c r="T162" i="2" s="1"/>
  <c r="T163" i="2" s="1"/>
  <c r="R157" i="2"/>
  <c r="R160" i="2" s="1"/>
  <c r="R162" i="2" s="1"/>
  <c r="P157" i="2"/>
  <c r="P160" i="2" s="1"/>
  <c r="P162" i="2" s="1"/>
  <c r="P165" i="2" s="1"/>
  <c r="P186" i="2" s="1"/>
  <c r="N157" i="2"/>
  <c r="N160" i="2" s="1"/>
  <c r="N162" i="2" s="1"/>
  <c r="N165" i="2" s="1"/>
  <c r="N186" i="2" s="1"/>
  <c r="L157" i="2"/>
  <c r="L160" i="2" s="1"/>
  <c r="L162" i="2" s="1"/>
  <c r="L165" i="2" s="1"/>
  <c r="L186" i="2" s="1"/>
  <c r="I157" i="2"/>
  <c r="I160" i="2" s="1"/>
  <c r="I162" i="2" s="1"/>
  <c r="G157" i="2"/>
  <c r="G160" i="2" s="1"/>
  <c r="G162" i="2" s="1"/>
  <c r="G165" i="2" s="1"/>
  <c r="G186" i="2" s="1"/>
  <c r="E157" i="2"/>
  <c r="E160" i="2" s="1"/>
  <c r="E162" i="2" s="1"/>
  <c r="E165" i="2" s="1"/>
  <c r="E186" i="2" s="1"/>
  <c r="C157" i="2"/>
  <c r="C160" i="2" s="1"/>
  <c r="C162" i="2" s="1"/>
  <c r="C165" i="2" s="1"/>
  <c r="C186" i="2" s="1"/>
  <c r="AB154" i="2"/>
  <c r="AB153" i="2"/>
  <c r="V152" i="2"/>
  <c r="V157" i="2" s="1"/>
  <c r="V160" i="2" s="1"/>
  <c r="V162" i="2" s="1"/>
  <c r="AB149" i="2"/>
  <c r="Y145" i="2"/>
  <c r="W145" i="2"/>
  <c r="U145" i="2"/>
  <c r="R145" i="2"/>
  <c r="P145" i="2"/>
  <c r="N145" i="2"/>
  <c r="L145" i="2"/>
  <c r="I145" i="2"/>
  <c r="G145" i="2"/>
  <c r="E145" i="2"/>
  <c r="C145" i="2"/>
  <c r="G143" i="2"/>
  <c r="L140" i="2"/>
  <c r="L142" i="2" s="1"/>
  <c r="L144" i="2" s="1"/>
  <c r="E140" i="2"/>
  <c r="E142" i="2" s="1"/>
  <c r="E144" i="2" s="1"/>
  <c r="E147" i="2" s="1"/>
  <c r="E185" i="2" s="1"/>
  <c r="C140" i="2"/>
  <c r="C142" i="2" s="1"/>
  <c r="C144" i="2" s="1"/>
  <c r="C147" i="2" s="1"/>
  <c r="C185" i="2" s="1"/>
  <c r="T139" i="2"/>
  <c r="V139" i="2" s="1"/>
  <c r="X139" i="2" s="1"/>
  <c r="Z139" i="2" s="1"/>
  <c r="AA139" i="2" s="1"/>
  <c r="AB139" i="2" s="1"/>
  <c r="R139" i="2"/>
  <c r="P139" i="2"/>
  <c r="P140" i="2" s="1"/>
  <c r="P142" i="2" s="1"/>
  <c r="P144" i="2" s="1"/>
  <c r="P147" i="2" s="1"/>
  <c r="N139" i="2"/>
  <c r="N140" i="2" s="1"/>
  <c r="N142" i="2" s="1"/>
  <c r="N144" i="2" s="1"/>
  <c r="I139" i="2"/>
  <c r="I140" i="2" s="1"/>
  <c r="I142" i="2" s="1"/>
  <c r="I144" i="2" s="1"/>
  <c r="G139" i="2"/>
  <c r="G140" i="2" s="1"/>
  <c r="G142" i="2" s="1"/>
  <c r="V137" i="2"/>
  <c r="T137" i="2"/>
  <c r="R137" i="2"/>
  <c r="AA136" i="2"/>
  <c r="Z136" i="2"/>
  <c r="X136" i="2"/>
  <c r="V136" i="2"/>
  <c r="T136" i="2"/>
  <c r="R136" i="2"/>
  <c r="AB132" i="2"/>
  <c r="E130" i="2"/>
  <c r="E184" i="2" s="1"/>
  <c r="Y128" i="2"/>
  <c r="W128" i="2"/>
  <c r="U128" i="2"/>
  <c r="R128" i="2"/>
  <c r="P128" i="2"/>
  <c r="F128" i="2"/>
  <c r="D128" i="2"/>
  <c r="I126" i="2"/>
  <c r="G126" i="2"/>
  <c r="C126" i="2"/>
  <c r="I122" i="2"/>
  <c r="I124" i="2" s="1"/>
  <c r="E122" i="2"/>
  <c r="E124" i="2" s="1"/>
  <c r="E126" i="2" s="1"/>
  <c r="C122" i="2"/>
  <c r="C124" i="2" s="1"/>
  <c r="C127" i="2" s="1"/>
  <c r="T121" i="2"/>
  <c r="V121" i="2" s="1"/>
  <c r="X121" i="2" s="1"/>
  <c r="Z121" i="2" s="1"/>
  <c r="AA121" i="2" s="1"/>
  <c r="AB121" i="2" s="1"/>
  <c r="N121" i="2"/>
  <c r="L121" i="2"/>
  <c r="G121" i="2"/>
  <c r="T120" i="2"/>
  <c r="R120" i="2"/>
  <c r="R122" i="2" s="1"/>
  <c r="R124" i="2" s="1"/>
  <c r="P120" i="2"/>
  <c r="N120" i="2"/>
  <c r="L120" i="2"/>
  <c r="G120" i="2"/>
  <c r="G122" i="2" s="1"/>
  <c r="G124" i="2" s="1"/>
  <c r="G127" i="2" s="1"/>
  <c r="G130" i="2" s="1"/>
  <c r="G184" i="2" s="1"/>
  <c r="X119" i="2"/>
  <c r="Z119" i="2" s="1"/>
  <c r="AB118" i="2"/>
  <c r="AB136" i="2" s="1"/>
  <c r="V117" i="2"/>
  <c r="X117" i="2" s="1"/>
  <c r="P117" i="2"/>
  <c r="P121" i="2" s="1"/>
  <c r="AB114" i="2"/>
  <c r="N111" i="2"/>
  <c r="N179" i="2" s="1"/>
  <c r="G111" i="2"/>
  <c r="G179" i="2" s="1"/>
  <c r="Y108" i="2"/>
  <c r="W108" i="2"/>
  <c r="U108" i="2"/>
  <c r="T108" i="2"/>
  <c r="T111" i="2" s="1"/>
  <c r="T179" i="2" s="1"/>
  <c r="R108" i="2"/>
  <c r="R111" i="2" s="1"/>
  <c r="R179" i="2" s="1"/>
  <c r="P108" i="2"/>
  <c r="P111" i="2" s="1"/>
  <c r="P179" i="2" s="1"/>
  <c r="L108" i="2"/>
  <c r="L111" i="2" s="1"/>
  <c r="L179" i="2" s="1"/>
  <c r="I108" i="2"/>
  <c r="K108" i="2" s="1"/>
  <c r="E108" i="2"/>
  <c r="E111" i="2" s="1"/>
  <c r="E179" i="2" s="1"/>
  <c r="C108" i="2"/>
  <c r="V101" i="2"/>
  <c r="X101" i="2" s="1"/>
  <c r="Z101" i="2" s="1"/>
  <c r="AA101" i="2" s="1"/>
  <c r="AB101" i="2" s="1"/>
  <c r="AB97" i="2"/>
  <c r="Y93" i="2"/>
  <c r="W93" i="2"/>
  <c r="U93" i="2"/>
  <c r="R93" i="2"/>
  <c r="P93" i="2"/>
  <c r="Q93" i="2" s="1"/>
  <c r="M93" i="2"/>
  <c r="I93" i="2"/>
  <c r="K93" i="2" s="1"/>
  <c r="H93" i="2"/>
  <c r="F93" i="2"/>
  <c r="D93" i="2"/>
  <c r="L90" i="2"/>
  <c r="L92" i="2" s="1"/>
  <c r="L95" i="2" s="1"/>
  <c r="L178" i="2" s="1"/>
  <c r="N85" i="2"/>
  <c r="N88" i="2" s="1"/>
  <c r="N90" i="2" s="1"/>
  <c r="N92" i="2" s="1"/>
  <c r="N95" i="2" s="1"/>
  <c r="N178" i="2" s="1"/>
  <c r="L85" i="2"/>
  <c r="AB82" i="2"/>
  <c r="AA82" i="2"/>
  <c r="Z82" i="2"/>
  <c r="X82" i="2"/>
  <c r="V82" i="2"/>
  <c r="T82" i="2"/>
  <c r="T85" i="2" s="1"/>
  <c r="T88" i="2" s="1"/>
  <c r="T90" i="2" s="1"/>
  <c r="T92" i="2" s="1"/>
  <c r="R82" i="2"/>
  <c r="R85" i="2" s="1"/>
  <c r="R88" i="2" s="1"/>
  <c r="R90" i="2" s="1"/>
  <c r="R92" i="2" s="1"/>
  <c r="R95" i="2" s="1"/>
  <c r="R178" i="2" s="1"/>
  <c r="P82" i="2"/>
  <c r="P85" i="2" s="1"/>
  <c r="P88" i="2" s="1"/>
  <c r="P90" i="2" s="1"/>
  <c r="P92" i="2" s="1"/>
  <c r="P95" i="2" s="1"/>
  <c r="I82" i="2"/>
  <c r="G82" i="2"/>
  <c r="E82" i="2"/>
  <c r="C82" i="2"/>
  <c r="G81" i="2"/>
  <c r="G85" i="2" s="1"/>
  <c r="G88" i="2" s="1"/>
  <c r="G90" i="2" s="1"/>
  <c r="G92" i="2" s="1"/>
  <c r="G95" i="2" s="1"/>
  <c r="G178" i="2" s="1"/>
  <c r="E81" i="2"/>
  <c r="C81" i="2"/>
  <c r="V80" i="2"/>
  <c r="AB77" i="2"/>
  <c r="Y73" i="2"/>
  <c r="W73" i="2"/>
  <c r="U73" i="2"/>
  <c r="R73" i="2"/>
  <c r="P73" i="2"/>
  <c r="N73" i="2"/>
  <c r="L73" i="2"/>
  <c r="I73" i="2"/>
  <c r="I81" i="2" s="1"/>
  <c r="F73" i="2"/>
  <c r="D73" i="2"/>
  <c r="R69" i="2"/>
  <c r="P69" i="2"/>
  <c r="N69" i="2"/>
  <c r="L69" i="2"/>
  <c r="I69" i="2"/>
  <c r="G69" i="2"/>
  <c r="C69" i="2"/>
  <c r="L66" i="2"/>
  <c r="I66" i="2"/>
  <c r="G66" i="2"/>
  <c r="E66" i="2"/>
  <c r="C66" i="2"/>
  <c r="T64" i="2"/>
  <c r="V64" i="2" s="1"/>
  <c r="X64" i="2" s="1"/>
  <c r="Z64" i="2" s="1"/>
  <c r="AA64" i="2" s="1"/>
  <c r="AB64" i="2" s="1"/>
  <c r="R64" i="2"/>
  <c r="N64" i="2"/>
  <c r="I64" i="2"/>
  <c r="G64" i="2"/>
  <c r="P62" i="2"/>
  <c r="N62" i="2"/>
  <c r="N65" i="2" s="1"/>
  <c r="N68" i="2" s="1"/>
  <c r="N70" i="2" s="1"/>
  <c r="N72" i="2" s="1"/>
  <c r="N75" i="2" s="1"/>
  <c r="N177" i="2" s="1"/>
  <c r="L62" i="2"/>
  <c r="L65" i="2" s="1"/>
  <c r="L68" i="2" s="1"/>
  <c r="L70" i="2" s="1"/>
  <c r="L72" i="2" s="1"/>
  <c r="L75" i="2" s="1"/>
  <c r="L177" i="2" s="1"/>
  <c r="I62" i="2"/>
  <c r="I65" i="2" s="1"/>
  <c r="G62" i="2"/>
  <c r="E62" i="2"/>
  <c r="E65" i="2" s="1"/>
  <c r="C62" i="2"/>
  <c r="C65" i="2" s="1"/>
  <c r="V60" i="2"/>
  <c r="T60" i="2"/>
  <c r="T62" i="2" s="1"/>
  <c r="R60" i="2"/>
  <c r="R62" i="2" s="1"/>
  <c r="R65" i="2" s="1"/>
  <c r="R68" i="2" s="1"/>
  <c r="AA59" i="2"/>
  <c r="Z59" i="2"/>
  <c r="X59" i="2"/>
  <c r="V59" i="2"/>
  <c r="V57" i="2"/>
  <c r="AB55" i="2"/>
  <c r="Y51" i="2"/>
  <c r="W51" i="2"/>
  <c r="U51" i="2"/>
  <c r="P51" i="2"/>
  <c r="N51" i="2"/>
  <c r="L51" i="2"/>
  <c r="I51" i="2"/>
  <c r="H51" i="2" s="1"/>
  <c r="E51" i="2"/>
  <c r="F51" i="2" s="1"/>
  <c r="C51" i="2"/>
  <c r="T47" i="2"/>
  <c r="V47" i="2" s="1"/>
  <c r="X47" i="2" s="1"/>
  <c r="Z47" i="2" s="1"/>
  <c r="AA47" i="2" s="1"/>
  <c r="AB47" i="2" s="1"/>
  <c r="R47" i="2"/>
  <c r="P47" i="2"/>
  <c r="N47" i="2"/>
  <c r="L47" i="2"/>
  <c r="I47" i="2"/>
  <c r="G47" i="2"/>
  <c r="E47" i="2"/>
  <c r="C47" i="2"/>
  <c r="R46" i="2"/>
  <c r="R48" i="2" s="1"/>
  <c r="R50" i="2" s="1"/>
  <c r="G46" i="2"/>
  <c r="E46" i="2"/>
  <c r="C46" i="2"/>
  <c r="T45" i="2"/>
  <c r="T46" i="2" s="1"/>
  <c r="P45" i="2"/>
  <c r="P46" i="2" s="1"/>
  <c r="P48" i="2" s="1"/>
  <c r="P50" i="2" s="1"/>
  <c r="P53" i="2" s="1"/>
  <c r="N45" i="2"/>
  <c r="N46" i="2" s="1"/>
  <c r="N48" i="2" s="1"/>
  <c r="N50" i="2" s="1"/>
  <c r="N53" i="2" s="1"/>
  <c r="N176" i="2" s="1"/>
  <c r="L45" i="2"/>
  <c r="L46" i="2" s="1"/>
  <c r="L48" i="2" s="1"/>
  <c r="L50" i="2" s="1"/>
  <c r="L53" i="2" s="1"/>
  <c r="L176" i="2" s="1"/>
  <c r="I45" i="2"/>
  <c r="I46" i="2" s="1"/>
  <c r="I48" i="2" s="1"/>
  <c r="I50" i="2" s="1"/>
  <c r="I53" i="2" s="1"/>
  <c r="I176" i="2" s="1"/>
  <c r="V42" i="2"/>
  <c r="AA40" i="2"/>
  <c r="Z40" i="2"/>
  <c r="X40" i="2"/>
  <c r="V40" i="2"/>
  <c r="AA39" i="2"/>
  <c r="Z39" i="2"/>
  <c r="X39" i="2"/>
  <c r="V39" i="2"/>
  <c r="V37" i="2"/>
  <c r="AB34" i="2"/>
  <c r="R30" i="2"/>
  <c r="T30" i="2" s="1"/>
  <c r="V30" i="2" s="1"/>
  <c r="X30" i="2" s="1"/>
  <c r="Z30" i="2" s="1"/>
  <c r="AA30" i="2" s="1"/>
  <c r="AB30" i="2" s="1"/>
  <c r="P30" i="2"/>
  <c r="Q30" i="2" s="1"/>
  <c r="N30" i="2"/>
  <c r="E29" i="2"/>
  <c r="E32" i="2" s="1"/>
  <c r="E174" i="2" s="1"/>
  <c r="I26" i="2"/>
  <c r="G26" i="2"/>
  <c r="C26" i="2"/>
  <c r="I22" i="2"/>
  <c r="I24" i="2" s="1"/>
  <c r="G22" i="2"/>
  <c r="G24" i="2" s="1"/>
  <c r="E22" i="2"/>
  <c r="E24" i="2" s="1"/>
  <c r="E26" i="2" s="1"/>
  <c r="C22" i="2"/>
  <c r="C24" i="2" s="1"/>
  <c r="C27" i="2" s="1"/>
  <c r="C29" i="2" s="1"/>
  <c r="C32" i="2" s="1"/>
  <c r="C174" i="2" s="1"/>
  <c r="T21" i="2"/>
  <c r="V21" i="2" s="1"/>
  <c r="X21" i="2" s="1"/>
  <c r="Z21" i="2" s="1"/>
  <c r="AA21" i="2" s="1"/>
  <c r="AB21" i="2" s="1"/>
  <c r="R21" i="2"/>
  <c r="P21" i="2"/>
  <c r="N21" i="2"/>
  <c r="L21" i="2"/>
  <c r="T20" i="2"/>
  <c r="V20" i="2" s="1"/>
  <c r="R20" i="2"/>
  <c r="P20" i="2"/>
  <c r="N20" i="2"/>
  <c r="N22" i="2" s="1"/>
  <c r="N24" i="2" s="1"/>
  <c r="L20" i="2"/>
  <c r="L22" i="2" s="1"/>
  <c r="L24" i="2" s="1"/>
  <c r="X19" i="2"/>
  <c r="X60" i="2" s="1"/>
  <c r="V18" i="2"/>
  <c r="V41" i="2" s="1"/>
  <c r="AB16" i="2"/>
  <c r="AB40" i="2" s="1"/>
  <c r="AB15" i="2"/>
  <c r="AB59" i="2" s="1"/>
  <c r="V13" i="2"/>
  <c r="X13" i="2" s="1"/>
  <c r="V7" i="2"/>
  <c r="X7" i="2" s="1"/>
  <c r="Z7" i="2" s="1"/>
  <c r="AA7" i="2" s="1"/>
  <c r="AB7" i="2" s="1"/>
  <c r="V6" i="2"/>
  <c r="X6" i="2" s="1"/>
  <c r="Z6" i="2" s="1"/>
  <c r="AA6" i="2" s="1"/>
  <c r="AB6" i="2" s="1"/>
  <c r="V5" i="2"/>
  <c r="X5" i="2" s="1"/>
  <c r="Z5" i="2" s="1"/>
  <c r="AA5" i="2" s="1"/>
  <c r="AB5" i="2" s="1"/>
  <c r="V85" i="2" l="1"/>
  <c r="V88" i="2" s="1"/>
  <c r="V90" i="2" s="1"/>
  <c r="V92" i="2" s="1"/>
  <c r="I127" i="2"/>
  <c r="I128" i="2" s="1"/>
  <c r="H128" i="2" s="1"/>
  <c r="G27" i="2"/>
  <c r="G29" i="2" s="1"/>
  <c r="G32" i="2" s="1"/>
  <c r="G174" i="2" s="1"/>
  <c r="R70" i="2"/>
  <c r="R72" i="2" s="1"/>
  <c r="R75" i="2" s="1"/>
  <c r="R177" i="2" s="1"/>
  <c r="R201" i="2" s="1"/>
  <c r="C85" i="2"/>
  <c r="C88" i="2" s="1"/>
  <c r="C90" i="2" s="1"/>
  <c r="C92" i="2" s="1"/>
  <c r="C95" i="2" s="1"/>
  <c r="C178" i="2" s="1"/>
  <c r="Z117" i="2"/>
  <c r="L122" i="2"/>
  <c r="L124" i="2" s="1"/>
  <c r="P22" i="2"/>
  <c r="P24" i="2" s="1"/>
  <c r="O30" i="2"/>
  <c r="D51" i="2"/>
  <c r="T65" i="2"/>
  <c r="T68" i="2" s="1"/>
  <c r="H73" i="2"/>
  <c r="E85" i="2"/>
  <c r="E88" i="2" s="1"/>
  <c r="E90" i="2" s="1"/>
  <c r="E92" i="2" s="1"/>
  <c r="E95" i="2" s="1"/>
  <c r="E178" i="2" s="1"/>
  <c r="G144" i="2"/>
  <c r="G147" i="2" s="1"/>
  <c r="G185" i="2" s="1"/>
  <c r="R165" i="2"/>
  <c r="R186" i="2" s="1"/>
  <c r="Q163" i="2"/>
  <c r="V135" i="2"/>
  <c r="X135" i="2" s="1"/>
  <c r="R22" i="2"/>
  <c r="R24" i="2" s="1"/>
  <c r="T140" i="2"/>
  <c r="T142" i="2" s="1"/>
  <c r="T144" i="2" s="1"/>
  <c r="L147" i="2"/>
  <c r="L185" i="2" s="1"/>
  <c r="N122" i="2"/>
  <c r="N124" i="2" s="1"/>
  <c r="T48" i="2"/>
  <c r="T50" i="2" s="1"/>
  <c r="V61" i="2"/>
  <c r="V62" i="2" s="1"/>
  <c r="V65" i="2" s="1"/>
  <c r="V68" i="2" s="1"/>
  <c r="C68" i="2"/>
  <c r="C70" i="2" s="1"/>
  <c r="C72" i="2" s="1"/>
  <c r="C75" i="2" s="1"/>
  <c r="C177" i="2" s="1"/>
  <c r="I147" i="2"/>
  <c r="I185" i="2" s="1"/>
  <c r="R140" i="2"/>
  <c r="R142" i="2" s="1"/>
  <c r="R144" i="2" s="1"/>
  <c r="R147" i="2" s="1"/>
  <c r="R185" i="2" s="1"/>
  <c r="R199" i="2" s="1"/>
  <c r="I27" i="2"/>
  <c r="I29" i="2" s="1"/>
  <c r="I30" i="2" s="1"/>
  <c r="H30" i="2" s="1"/>
  <c r="C48" i="2"/>
  <c r="C50" i="2" s="1"/>
  <c r="C53" i="2" s="1"/>
  <c r="C176" i="2" s="1"/>
  <c r="E68" i="2"/>
  <c r="E70" i="2" s="1"/>
  <c r="E72" i="2" s="1"/>
  <c r="E75" i="2" s="1"/>
  <c r="E177" i="2" s="1"/>
  <c r="T122" i="2"/>
  <c r="T124" i="2" s="1"/>
  <c r="X37" i="2"/>
  <c r="G65" i="2"/>
  <c r="G68" i="2" s="1"/>
  <c r="G70" i="2" s="1"/>
  <c r="G72" i="2" s="1"/>
  <c r="G75" i="2" s="1"/>
  <c r="G177" i="2" s="1"/>
  <c r="F163" i="2"/>
  <c r="I68" i="2"/>
  <c r="I70" i="2" s="1"/>
  <c r="I72" i="2" s="1"/>
  <c r="I75" i="2" s="1"/>
  <c r="I177" i="2" s="1"/>
  <c r="I165" i="2"/>
  <c r="I186" i="2" s="1"/>
  <c r="H163" i="2"/>
  <c r="AB39" i="2"/>
  <c r="V45" i="2"/>
  <c r="X45" i="2" s="1"/>
  <c r="Z45" i="2" s="1"/>
  <c r="E48" i="2"/>
  <c r="E50" i="2" s="1"/>
  <c r="E53" i="2" s="1"/>
  <c r="E176" i="2" s="1"/>
  <c r="E181" i="2" s="1"/>
  <c r="G48" i="2"/>
  <c r="G50" i="2" s="1"/>
  <c r="G53" i="2" s="1"/>
  <c r="G176" i="2" s="1"/>
  <c r="G181" i="2" s="1"/>
  <c r="K51" i="2"/>
  <c r="M51" i="2"/>
  <c r="P64" i="2"/>
  <c r="P65" i="2" s="1"/>
  <c r="P68" i="2" s="1"/>
  <c r="P70" i="2" s="1"/>
  <c r="P72" i="2" s="1"/>
  <c r="P75" i="2" s="1"/>
  <c r="P177" i="2" s="1"/>
  <c r="K73" i="2"/>
  <c r="M73" i="2"/>
  <c r="X80" i="2"/>
  <c r="Z80" i="2" s="1"/>
  <c r="AA80" i="2" s="1"/>
  <c r="F108" i="2"/>
  <c r="M108" i="2"/>
  <c r="S108" i="2"/>
  <c r="V108" i="2"/>
  <c r="X108" i="2" s="1"/>
  <c r="P122" i="2"/>
  <c r="P124" i="2" s="1"/>
  <c r="P126" i="2" s="1"/>
  <c r="H145" i="2"/>
  <c r="K145" i="2"/>
  <c r="M145" i="2"/>
  <c r="Q145" i="2"/>
  <c r="K163" i="2"/>
  <c r="M163" i="2"/>
  <c r="O93" i="2"/>
  <c r="P178" i="2"/>
  <c r="X20" i="2"/>
  <c r="V22" i="2"/>
  <c r="V24" i="2" s="1"/>
  <c r="P176" i="2"/>
  <c r="O51" i="2"/>
  <c r="R51" i="2"/>
  <c r="Q51" i="2" s="1"/>
  <c r="R26" i="2"/>
  <c r="T26" i="2" s="1"/>
  <c r="V26" i="2" s="1"/>
  <c r="X26" i="2" s="1"/>
  <c r="Z26" i="2" s="1"/>
  <c r="AA26" i="2" s="1"/>
  <c r="AB26" i="2" s="1"/>
  <c r="T51" i="2"/>
  <c r="T53" i="2" s="1"/>
  <c r="T176" i="2" s="1"/>
  <c r="T198" i="2" s="1"/>
  <c r="L26" i="2"/>
  <c r="L27" i="2" s="1"/>
  <c r="L29" i="2" s="1"/>
  <c r="L30" i="2" s="1"/>
  <c r="N26" i="2"/>
  <c r="N27" i="2" s="1"/>
  <c r="N29" i="2" s="1"/>
  <c r="N32" i="2" s="1"/>
  <c r="N174" i="2" s="1"/>
  <c r="N181" i="2" s="1"/>
  <c r="L126" i="2"/>
  <c r="L127" i="2" s="1"/>
  <c r="L128" i="2" s="1"/>
  <c r="K128" i="2" s="1"/>
  <c r="P26" i="2"/>
  <c r="P27" i="2" s="1"/>
  <c r="P29" i="2" s="1"/>
  <c r="P32" i="2" s="1"/>
  <c r="P174" i="2" s="1"/>
  <c r="X18" i="2"/>
  <c r="G189" i="2"/>
  <c r="P185" i="2"/>
  <c r="V46" i="2"/>
  <c r="V48" i="2" s="1"/>
  <c r="V50" i="2" s="1"/>
  <c r="I85" i="2"/>
  <c r="I88" i="2" s="1"/>
  <c r="I90" i="2" s="1"/>
  <c r="I92" i="2" s="1"/>
  <c r="I95" i="2" s="1"/>
  <c r="I178" i="2" s="1"/>
  <c r="T93" i="2"/>
  <c r="D108" i="2"/>
  <c r="C111" i="2"/>
  <c r="C179" i="2" s="1"/>
  <c r="Z137" i="2"/>
  <c r="AA119" i="2"/>
  <c r="T128" i="2"/>
  <c r="V128" i="2" s="1"/>
  <c r="X128" i="2" s="1"/>
  <c r="Z128" i="2" s="1"/>
  <c r="AA128" i="2" s="1"/>
  <c r="AB128" i="2" s="1"/>
  <c r="Q128" i="2"/>
  <c r="F145" i="2"/>
  <c r="D145" i="2"/>
  <c r="C189" i="2"/>
  <c r="L181" i="2"/>
  <c r="T145" i="2"/>
  <c r="X42" i="2"/>
  <c r="Q73" i="2"/>
  <c r="O73" i="2"/>
  <c r="T165" i="2"/>
  <c r="T186" i="2" s="1"/>
  <c r="R126" i="2"/>
  <c r="T126" i="2" s="1"/>
  <c r="V126" i="2" s="1"/>
  <c r="X126" i="2" s="1"/>
  <c r="Z126" i="2" s="1"/>
  <c r="AA126" i="2" s="1"/>
  <c r="AB126" i="2" s="1"/>
  <c r="T22" i="2"/>
  <c r="T24" i="2" s="1"/>
  <c r="T27" i="2" s="1"/>
  <c r="T29" i="2" s="1"/>
  <c r="T32" i="2" s="1"/>
  <c r="T174" i="2" s="1"/>
  <c r="T196" i="2" s="1"/>
  <c r="V111" i="2"/>
  <c r="V179" i="2" s="1"/>
  <c r="L189" i="2"/>
  <c r="E189" i="2"/>
  <c r="N147" i="2"/>
  <c r="N185" i="2" s="1"/>
  <c r="N189" i="2" s="1"/>
  <c r="Z19" i="2"/>
  <c r="Z85" i="2"/>
  <c r="Z88" i="2" s="1"/>
  <c r="Z90" i="2" s="1"/>
  <c r="Z92" i="2" s="1"/>
  <c r="Z108" i="2"/>
  <c r="X111" i="2"/>
  <c r="X179" i="2" s="1"/>
  <c r="S163" i="2"/>
  <c r="V163" i="2"/>
  <c r="X163" i="2" s="1"/>
  <c r="Z163" i="2" s="1"/>
  <c r="AA163" i="2" s="1"/>
  <c r="AB163" i="2" s="1"/>
  <c r="T69" i="2"/>
  <c r="V69" i="2" s="1"/>
  <c r="X69" i="2" s="1"/>
  <c r="Z69" i="2" s="1"/>
  <c r="AA69" i="2" s="1"/>
  <c r="AB69" i="2" s="1"/>
  <c r="AA117" i="2"/>
  <c r="N126" i="2"/>
  <c r="N127" i="2" s="1"/>
  <c r="N128" i="2" s="1"/>
  <c r="X57" i="2"/>
  <c r="V120" i="2"/>
  <c r="X120" i="2" s="1"/>
  <c r="Z120" i="2" s="1"/>
  <c r="AA120" i="2" s="1"/>
  <c r="AB120" i="2" s="1"/>
  <c r="X152" i="2"/>
  <c r="O108" i="2"/>
  <c r="I111" i="2"/>
  <c r="I179" i="2" s="1"/>
  <c r="X85" i="2"/>
  <c r="X88" i="2" s="1"/>
  <c r="X90" i="2" s="1"/>
  <c r="X92" i="2" s="1"/>
  <c r="Q108" i="2"/>
  <c r="H108" i="2"/>
  <c r="X137" i="2"/>
  <c r="X140" i="2" s="1"/>
  <c r="X142" i="2" s="1"/>
  <c r="X144" i="2" s="1"/>
  <c r="V140" i="2"/>
  <c r="V142" i="2" s="1"/>
  <c r="V144" i="2" s="1"/>
  <c r="C181" i="2" l="1"/>
  <c r="I189" i="2"/>
  <c r="P127" i="2"/>
  <c r="P130" i="2" s="1"/>
  <c r="P184" i="2" s="1"/>
  <c r="G191" i="2"/>
  <c r="C191" i="2"/>
  <c r="C193" i="2" s="1"/>
  <c r="I181" i="2"/>
  <c r="I191" i="2" s="1"/>
  <c r="P181" i="2"/>
  <c r="N191" i="2"/>
  <c r="R27" i="2"/>
  <c r="R29" i="2" s="1"/>
  <c r="R32" i="2" s="1"/>
  <c r="R174" i="2" s="1"/>
  <c r="R53" i="2"/>
  <c r="R176" i="2" s="1"/>
  <c r="R198" i="2" s="1"/>
  <c r="V27" i="2"/>
  <c r="V29" i="2" s="1"/>
  <c r="V32" i="2" s="1"/>
  <c r="V174" i="2" s="1"/>
  <c r="V7" i="12" s="1"/>
  <c r="K30" i="2"/>
  <c r="M30" i="2"/>
  <c r="V122" i="2"/>
  <c r="V124" i="2" s="1"/>
  <c r="V127" i="2" s="1"/>
  <c r="V130" i="2" s="1"/>
  <c r="V184" i="2" s="1"/>
  <c r="V14" i="12" s="1"/>
  <c r="S145" i="2"/>
  <c r="V145" i="2"/>
  <c r="X145" i="2" s="1"/>
  <c r="Z145" i="2" s="1"/>
  <c r="AA145" i="2" s="1"/>
  <c r="AB145" i="2" s="1"/>
  <c r="Z122" i="2"/>
  <c r="Z124" i="2" s="1"/>
  <c r="Z127" i="2" s="1"/>
  <c r="Z130" i="2" s="1"/>
  <c r="Z184" i="2" s="1"/>
  <c r="X14" i="12" s="1"/>
  <c r="AB117" i="2"/>
  <c r="AA122" i="2"/>
  <c r="AA124" i="2" s="1"/>
  <c r="AA127" i="2" s="1"/>
  <c r="AA130" i="2" s="1"/>
  <c r="AA184" i="2" s="1"/>
  <c r="Y14" i="12" s="1"/>
  <c r="AA108" i="2"/>
  <c r="Z111" i="2"/>
  <c r="Z179" i="2" s="1"/>
  <c r="Z135" i="2"/>
  <c r="V93" i="2"/>
  <c r="S93" i="2"/>
  <c r="T127" i="2"/>
  <c r="T130" i="2" s="1"/>
  <c r="T184" i="2" s="1"/>
  <c r="X157" i="2"/>
  <c r="X160" i="2" s="1"/>
  <c r="X162" i="2" s="1"/>
  <c r="X165" i="2" s="1"/>
  <c r="X186" i="2" s="1"/>
  <c r="W16" i="12" s="1"/>
  <c r="Z152" i="2"/>
  <c r="T70" i="2"/>
  <c r="T72" i="2" s="1"/>
  <c r="AA85" i="2"/>
  <c r="AA88" i="2" s="1"/>
  <c r="AA90" i="2" s="1"/>
  <c r="AA92" i="2" s="1"/>
  <c r="AB80" i="2"/>
  <c r="AB85" i="2" s="1"/>
  <c r="AB88" i="2" s="1"/>
  <c r="AB90" i="2" s="1"/>
  <c r="AB92" i="2" s="1"/>
  <c r="T95" i="2"/>
  <c r="T178" i="2" s="1"/>
  <c r="X41" i="2"/>
  <c r="Z18" i="2"/>
  <c r="Z13" i="2"/>
  <c r="AA13" i="2" s="1"/>
  <c r="T147" i="2"/>
  <c r="T185" i="2" s="1"/>
  <c r="T199" i="2" s="1"/>
  <c r="E191" i="2"/>
  <c r="E193" i="2" s="1"/>
  <c r="V51" i="2"/>
  <c r="X51" i="2" s="1"/>
  <c r="Z51" i="2" s="1"/>
  <c r="AA51" i="2" s="1"/>
  <c r="AB51" i="2" s="1"/>
  <c r="S51" i="2"/>
  <c r="AA45" i="2"/>
  <c r="X22" i="2"/>
  <c r="X24" i="2" s="1"/>
  <c r="X27" i="2" s="1"/>
  <c r="X29" i="2" s="1"/>
  <c r="X32" i="2" s="1"/>
  <c r="X174" i="2" s="1"/>
  <c r="W7" i="12" s="1"/>
  <c r="Z20" i="2"/>
  <c r="R127" i="2"/>
  <c r="R130" i="2" s="1"/>
  <c r="R184" i="2" s="1"/>
  <c r="L191" i="2"/>
  <c r="L193" i="2" s="1"/>
  <c r="AA137" i="2"/>
  <c r="AB119" i="2"/>
  <c r="AB137" i="2" s="1"/>
  <c r="V165" i="2"/>
  <c r="V186" i="2" s="1"/>
  <c r="V16" i="12" s="1"/>
  <c r="O128" i="2"/>
  <c r="M128" i="2"/>
  <c r="X61" i="2"/>
  <c r="X62" i="2" s="1"/>
  <c r="X65" i="2" s="1"/>
  <c r="X68" i="2" s="1"/>
  <c r="X70" i="2" s="1"/>
  <c r="X72" i="2" s="1"/>
  <c r="Z57" i="2"/>
  <c r="Z60" i="2"/>
  <c r="AA19" i="2"/>
  <c r="Z42" i="2"/>
  <c r="V70" i="2"/>
  <c r="V72" i="2" s="1"/>
  <c r="P189" i="2"/>
  <c r="P191" i="2" s="1"/>
  <c r="P193" i="2" s="1"/>
  <c r="X122" i="2"/>
  <c r="X124" i="2" s="1"/>
  <c r="X127" i="2" s="1"/>
  <c r="X130" i="2" s="1"/>
  <c r="X184" i="2" s="1"/>
  <c r="W14" i="12" s="1"/>
  <c r="O145" i="2"/>
  <c r="V147" i="2" l="1"/>
  <c r="V185" i="2" s="1"/>
  <c r="V15" i="12" s="1"/>
  <c r="F30" i="12" s="1"/>
  <c r="G30" i="12" s="1"/>
  <c r="I193" i="2"/>
  <c r="F34" i="12"/>
  <c r="G34" i="12" s="1"/>
  <c r="V17" i="12"/>
  <c r="F33" i="12"/>
  <c r="F35" i="12" s="1"/>
  <c r="AB14" i="5"/>
  <c r="W14" i="8"/>
  <c r="AA15" i="5"/>
  <c r="V15" i="8"/>
  <c r="AA16" i="5"/>
  <c r="V16" i="8"/>
  <c r="AB7" i="5"/>
  <c r="W7" i="8"/>
  <c r="AB16" i="5"/>
  <c r="W16" i="8"/>
  <c r="AD14" i="5"/>
  <c r="Y14" i="8"/>
  <c r="AC14" i="5"/>
  <c r="X14" i="8"/>
  <c r="AA14" i="5"/>
  <c r="G33" i="5" s="1"/>
  <c r="I33" i="5" s="1"/>
  <c r="V14" i="8"/>
  <c r="AA7" i="5"/>
  <c r="G32" i="5" s="1"/>
  <c r="V7" i="8"/>
  <c r="I32" i="5"/>
  <c r="R189" i="2"/>
  <c r="R195" i="2"/>
  <c r="V53" i="2"/>
  <c r="V176" i="2" s="1"/>
  <c r="V8" i="12" s="1"/>
  <c r="N193" i="2"/>
  <c r="T189" i="2"/>
  <c r="T195" i="2"/>
  <c r="AB122" i="2"/>
  <c r="AB124" i="2" s="1"/>
  <c r="AB127" i="2" s="1"/>
  <c r="AB130" i="2" s="1"/>
  <c r="AB184" i="2" s="1"/>
  <c r="R181" i="2"/>
  <c r="R191" i="2" s="1"/>
  <c r="R193" i="2" s="1"/>
  <c r="R196" i="2"/>
  <c r="X46" i="2"/>
  <c r="X48" i="2" s="1"/>
  <c r="X50" i="2" s="1"/>
  <c r="X53" i="2" s="1"/>
  <c r="X176" i="2" s="1"/>
  <c r="W8" i="12" s="1"/>
  <c r="Z37" i="2"/>
  <c r="X93" i="2"/>
  <c r="V95" i="2"/>
  <c r="V178" i="2" s="1"/>
  <c r="V10" i="12" s="1"/>
  <c r="AA20" i="2"/>
  <c r="Z22" i="2"/>
  <c r="Z24" i="2" s="1"/>
  <c r="Z27" i="2" s="1"/>
  <c r="Z29" i="2" s="1"/>
  <c r="Z32" i="2" s="1"/>
  <c r="Z174" i="2" s="1"/>
  <c r="X7" i="12" s="1"/>
  <c r="AA60" i="2"/>
  <c r="AA42" i="2"/>
  <c r="AB19" i="2"/>
  <c r="AB45" i="2"/>
  <c r="T73" i="2"/>
  <c r="Z140" i="2"/>
  <c r="Z142" i="2" s="1"/>
  <c r="Z144" i="2" s="1"/>
  <c r="Z147" i="2" s="1"/>
  <c r="Z185" i="2" s="1"/>
  <c r="X15" i="12" s="1"/>
  <c r="AA135" i="2"/>
  <c r="V189" i="2"/>
  <c r="AA152" i="2"/>
  <c r="Z157" i="2"/>
  <c r="Z160" i="2" s="1"/>
  <c r="Z162" i="2" s="1"/>
  <c r="Z165" i="2" s="1"/>
  <c r="Z186" i="2" s="1"/>
  <c r="X16" i="12" s="1"/>
  <c r="X147" i="2"/>
  <c r="X185" i="2" s="1"/>
  <c r="W15" i="12" s="1"/>
  <c r="W17" i="12" s="1"/>
  <c r="Z61" i="2"/>
  <c r="Z62" i="2" s="1"/>
  <c r="Z65" i="2" s="1"/>
  <c r="Z68" i="2" s="1"/>
  <c r="Z70" i="2" s="1"/>
  <c r="Z72" i="2" s="1"/>
  <c r="AA57" i="2"/>
  <c r="X189" i="2"/>
  <c r="AB108" i="2"/>
  <c r="AB111" i="2" s="1"/>
  <c r="AB179" i="2" s="1"/>
  <c r="AA111" i="2"/>
  <c r="AA179" i="2" s="1"/>
  <c r="Z41" i="2"/>
  <c r="AA18" i="2"/>
  <c r="AB13" i="2" s="1"/>
  <c r="G193" i="2"/>
  <c r="G34" i="5" l="1"/>
  <c r="I34" i="5"/>
  <c r="X17" i="12"/>
  <c r="AA17" i="5"/>
  <c r="Z14" i="8"/>
  <c r="Z14" i="12"/>
  <c r="AB15" i="5"/>
  <c r="AB17" i="5" s="1"/>
  <c r="W15" i="8"/>
  <c r="W17" i="8" s="1"/>
  <c r="AC16" i="5"/>
  <c r="X16" i="8"/>
  <c r="AC15" i="5"/>
  <c r="X15" i="8"/>
  <c r="X17" i="8" s="1"/>
  <c r="AC7" i="5"/>
  <c r="X7" i="8"/>
  <c r="AA10" i="5"/>
  <c r="V10" i="8"/>
  <c r="AB8" i="5"/>
  <c r="W8" i="8"/>
  <c r="AA8" i="5"/>
  <c r="V8" i="8"/>
  <c r="F33" i="8"/>
  <c r="F34" i="8"/>
  <c r="G34" i="8" s="1"/>
  <c r="V17" i="8"/>
  <c r="F30" i="8"/>
  <c r="G30" i="8" s="1"/>
  <c r="G29" i="5"/>
  <c r="I29" i="5" s="1"/>
  <c r="AC17" i="5"/>
  <c r="T14" i="3"/>
  <c r="AE14" i="5"/>
  <c r="Z189" i="2"/>
  <c r="AB135" i="2"/>
  <c r="AB140" i="2" s="1"/>
  <c r="AB142" i="2" s="1"/>
  <c r="AB144" i="2" s="1"/>
  <c r="AB147" i="2" s="1"/>
  <c r="AB185" i="2" s="1"/>
  <c r="AA140" i="2"/>
  <c r="AA142" i="2" s="1"/>
  <c r="AA144" i="2" s="1"/>
  <c r="AA147" i="2" s="1"/>
  <c r="AA185" i="2" s="1"/>
  <c r="Y15" i="12" s="1"/>
  <c r="AA61" i="2"/>
  <c r="AA62" i="2" s="1"/>
  <c r="AA65" i="2" s="1"/>
  <c r="AA68" i="2" s="1"/>
  <c r="AA70" i="2" s="1"/>
  <c r="AA72" i="2" s="1"/>
  <c r="AB57" i="2"/>
  <c r="V73" i="2"/>
  <c r="S73" i="2"/>
  <c r="AB20" i="2"/>
  <c r="AA22" i="2"/>
  <c r="AA24" i="2" s="1"/>
  <c r="AA27" i="2" s="1"/>
  <c r="AA29" i="2" s="1"/>
  <c r="AA32" i="2" s="1"/>
  <c r="AA174" i="2" s="1"/>
  <c r="Y7" i="12" s="1"/>
  <c r="AA41" i="2"/>
  <c r="AB18" i="2"/>
  <c r="AB41" i="2" s="1"/>
  <c r="T75" i="2"/>
  <c r="T177" i="2" s="1"/>
  <c r="AA37" i="2"/>
  <c r="Z46" i="2"/>
  <c r="Z48" i="2" s="1"/>
  <c r="Z50" i="2" s="1"/>
  <c r="Z53" i="2" s="1"/>
  <c r="Z176" i="2" s="1"/>
  <c r="X8" i="12" s="1"/>
  <c r="Z93" i="2"/>
  <c r="X95" i="2"/>
  <c r="X178" i="2" s="1"/>
  <c r="W10" i="12" s="1"/>
  <c r="AB152" i="2"/>
  <c r="AB157" i="2" s="1"/>
  <c r="AB160" i="2" s="1"/>
  <c r="AB162" i="2" s="1"/>
  <c r="AB165" i="2" s="1"/>
  <c r="AB186" i="2" s="1"/>
  <c r="AA157" i="2"/>
  <c r="AA160" i="2" s="1"/>
  <c r="AA162" i="2" s="1"/>
  <c r="AA165" i="2" s="1"/>
  <c r="AA186" i="2" s="1"/>
  <c r="Y16" i="12" s="1"/>
  <c r="AB60" i="2"/>
  <c r="AB42" i="2"/>
  <c r="Z16" i="8" l="1"/>
  <c r="Z16" i="12"/>
  <c r="Y17" i="12"/>
  <c r="Z15" i="8"/>
  <c r="Z17" i="8" s="1"/>
  <c r="Z15" i="12"/>
  <c r="Z17" i="12"/>
  <c r="AD16" i="5"/>
  <c r="Y16" i="8"/>
  <c r="AB10" i="5"/>
  <c r="W10" i="8"/>
  <c r="AC8" i="5"/>
  <c r="X8" i="8"/>
  <c r="AD7" i="5"/>
  <c r="Y7" i="8"/>
  <c r="AD15" i="5"/>
  <c r="AD17" i="5" s="1"/>
  <c r="Y15" i="8"/>
  <c r="F35" i="8"/>
  <c r="T16" i="3"/>
  <c r="AE16" i="5"/>
  <c r="AE17" i="5" s="1"/>
  <c r="T15" i="3"/>
  <c r="T17" i="3" s="1"/>
  <c r="AE15" i="5"/>
  <c r="T181" i="2"/>
  <c r="T191" i="2" s="1"/>
  <c r="T193" i="2" s="1"/>
  <c r="T201" i="2"/>
  <c r="AB22" i="2"/>
  <c r="AB24" i="2" s="1"/>
  <c r="AB27" i="2" s="1"/>
  <c r="AB29" i="2" s="1"/>
  <c r="AB32" i="2" s="1"/>
  <c r="AB174" i="2" s="1"/>
  <c r="X73" i="2"/>
  <c r="V75" i="2"/>
  <c r="V177" i="2" s="1"/>
  <c r="AB61" i="2"/>
  <c r="AB62" i="2"/>
  <c r="AB65" i="2" s="1"/>
  <c r="AB68" i="2" s="1"/>
  <c r="AB70" i="2" s="1"/>
  <c r="AB72" i="2" s="1"/>
  <c r="AB37" i="2"/>
  <c r="AB46" i="2" s="1"/>
  <c r="AB48" i="2" s="1"/>
  <c r="AB50" i="2" s="1"/>
  <c r="AB53" i="2" s="1"/>
  <c r="AB176" i="2" s="1"/>
  <c r="AA46" i="2"/>
  <c r="AA48" i="2" s="1"/>
  <c r="AA50" i="2" s="1"/>
  <c r="AA53" i="2" s="1"/>
  <c r="AA176" i="2" s="1"/>
  <c r="Y8" i="12" s="1"/>
  <c r="AA189" i="2"/>
  <c r="AA93" i="2"/>
  <c r="Z95" i="2"/>
  <c r="Z178" i="2" s="1"/>
  <c r="X10" i="12" s="1"/>
  <c r="AB189" i="2"/>
  <c r="Z8" i="8" l="1"/>
  <c r="Z8" i="12"/>
  <c r="V9" i="8"/>
  <c r="V11" i="8" s="1"/>
  <c r="V20" i="8" s="1"/>
  <c r="V9" i="12"/>
  <c r="Z7" i="8"/>
  <c r="Z7" i="12"/>
  <c r="Y17" i="8"/>
  <c r="AC10" i="5"/>
  <c r="X10" i="8"/>
  <c r="AD8" i="5"/>
  <c r="Y8" i="8"/>
  <c r="F29" i="8"/>
  <c r="G29" i="8" s="1"/>
  <c r="T8" i="3"/>
  <c r="AE8" i="5"/>
  <c r="V181" i="2"/>
  <c r="V191" i="2" s="1"/>
  <c r="V193" i="2" s="1"/>
  <c r="AA9" i="5"/>
  <c r="T7" i="3"/>
  <c r="AE7" i="5"/>
  <c r="AB93" i="2"/>
  <c r="AB95" i="2" s="1"/>
  <c r="AB178" i="2" s="1"/>
  <c r="AA95" i="2"/>
  <c r="AA178" i="2" s="1"/>
  <c r="Y10" i="12" s="1"/>
  <c r="Z73" i="2"/>
  <c r="X75" i="2"/>
  <c r="X177" i="2" s="1"/>
  <c r="W9" i="8" l="1"/>
  <c r="W11" i="8" s="1"/>
  <c r="W20" i="8" s="1"/>
  <c r="W9" i="12"/>
  <c r="W11" i="12" s="1"/>
  <c r="W20" i="12" s="1"/>
  <c r="Z10" i="8"/>
  <c r="Z10" i="12"/>
  <c r="F29" i="12"/>
  <c r="V11" i="12"/>
  <c r="V20" i="12" s="1"/>
  <c r="AD10" i="5"/>
  <c r="Y10" i="8"/>
  <c r="G31" i="8"/>
  <c r="F31" i="8"/>
  <c r="F37" i="8" s="1"/>
  <c r="AA11" i="5"/>
  <c r="AA20" i="5" s="1"/>
  <c r="C24" i="5" s="1"/>
  <c r="G28" i="5"/>
  <c r="X181" i="2"/>
  <c r="X191" i="2" s="1"/>
  <c r="X193" i="2" s="1"/>
  <c r="AB9" i="5"/>
  <c r="AB11" i="5" s="1"/>
  <c r="AB20" i="5" s="1"/>
  <c r="T10" i="3"/>
  <c r="AE10" i="5"/>
  <c r="AA73" i="2"/>
  <c r="Z75" i="2"/>
  <c r="Z177" i="2" s="1"/>
  <c r="C25" i="5" l="1"/>
  <c r="X9" i="8"/>
  <c r="X11" i="8" s="1"/>
  <c r="X20" i="8" s="1"/>
  <c r="X9" i="12"/>
  <c r="X11" i="12" s="1"/>
  <c r="X20" i="12" s="1"/>
  <c r="F31" i="12"/>
  <c r="F37" i="12" s="1"/>
  <c r="G29" i="12"/>
  <c r="G31" i="12" s="1"/>
  <c r="G30" i="5"/>
  <c r="I28" i="5"/>
  <c r="I30" i="5" s="1"/>
  <c r="I36" i="5" s="1"/>
  <c r="Z181" i="2"/>
  <c r="Z191" i="2" s="1"/>
  <c r="Z193" i="2" s="1"/>
  <c r="AC9" i="5"/>
  <c r="AC11" i="5" s="1"/>
  <c r="AC20" i="5" s="1"/>
  <c r="E24" i="5"/>
  <c r="E25" i="5"/>
  <c r="AB73" i="2"/>
  <c r="AB75" i="2" s="1"/>
  <c r="AB177" i="2" s="1"/>
  <c r="Z9" i="12" s="1"/>
  <c r="Z11" i="12" s="1"/>
  <c r="Z20" i="12" s="1"/>
  <c r="AA75" i="2"/>
  <c r="AA177" i="2" s="1"/>
  <c r="Y9" i="8" l="1"/>
  <c r="Y11" i="8" s="1"/>
  <c r="Y20" i="8" s="1"/>
  <c r="Y9" i="12"/>
  <c r="Y11" i="12" s="1"/>
  <c r="Y20" i="12" s="1"/>
  <c r="AE9" i="5"/>
  <c r="AE11" i="5" s="1"/>
  <c r="AE20" i="5" s="1"/>
  <c r="Z9" i="8"/>
  <c r="Z11" i="8" s="1"/>
  <c r="Z20" i="8" s="1"/>
  <c r="AA181" i="2"/>
  <c r="AA191" i="2" s="1"/>
  <c r="AA193" i="2" s="1"/>
  <c r="AD9" i="5"/>
  <c r="AD11" i="5" s="1"/>
  <c r="AD20" i="5" s="1"/>
  <c r="K25" i="5"/>
  <c r="K24" i="5"/>
  <c r="G25" i="5"/>
  <c r="G24" i="5"/>
  <c r="AB181" i="2"/>
  <c r="AB191" i="2" s="1"/>
  <c r="T9" i="3"/>
  <c r="T11" i="3" s="1"/>
  <c r="T20" i="3" s="1"/>
  <c r="V30" i="1"/>
  <c r="X30" i="1" s="1"/>
  <c r="T128" i="1"/>
  <c r="AB193" i="2" l="1"/>
  <c r="I25" i="5"/>
  <c r="I24" i="5"/>
  <c r="AB154" i="1"/>
  <c r="AB153" i="1"/>
  <c r="AB118" i="1"/>
  <c r="AB136" i="1" s="1"/>
  <c r="AB16" i="1"/>
  <c r="AB40" i="1" s="1"/>
  <c r="AB15" i="1"/>
  <c r="AB59" i="1" s="1"/>
  <c r="AB172" i="1"/>
  <c r="AB149" i="1"/>
  <c r="AB132" i="1"/>
  <c r="AB114" i="1"/>
  <c r="AB97" i="1"/>
  <c r="AB77" i="1"/>
  <c r="AB55" i="1"/>
  <c r="AB34" i="1"/>
  <c r="AB82" i="1"/>
  <c r="T108" i="1"/>
  <c r="AB39" i="1" l="1"/>
  <c r="Z30" i="1" l="1"/>
  <c r="AA30" i="1" s="1"/>
  <c r="AB30" i="1" s="1"/>
  <c r="Y163" i="1" l="1"/>
  <c r="Y145" i="1"/>
  <c r="Y128" i="1"/>
  <c r="Y108" i="1"/>
  <c r="Y93" i="1"/>
  <c r="Y73" i="1"/>
  <c r="Y51" i="1"/>
  <c r="W163" i="1"/>
  <c r="W145" i="1"/>
  <c r="W128" i="1"/>
  <c r="W108" i="1"/>
  <c r="W93" i="1"/>
  <c r="W73" i="1"/>
  <c r="W51" i="1"/>
  <c r="V128" i="1"/>
  <c r="V108" i="1"/>
  <c r="X108" i="1" l="1"/>
  <c r="Z108" i="1" s="1"/>
  <c r="AA108" i="1" s="1"/>
  <c r="AB108" i="1" s="1"/>
  <c r="X128" i="1"/>
  <c r="Z128" i="1" s="1"/>
  <c r="AA128" i="1" s="1"/>
  <c r="AB128" i="1" s="1"/>
  <c r="T121" i="1"/>
  <c r="T120" i="1"/>
  <c r="T24" i="1" l="1"/>
  <c r="T26" i="1" l="1"/>
  <c r="T27" i="1" s="1"/>
  <c r="T29" i="1" s="1"/>
  <c r="T122" i="1"/>
  <c r="V18" i="1" l="1"/>
  <c r="X18" i="1" s="1"/>
  <c r="Z18" i="1" s="1"/>
  <c r="AA18" i="1" s="1"/>
  <c r="AB18" i="1" s="1"/>
  <c r="AB41" i="1" s="1"/>
  <c r="V59" i="1"/>
  <c r="X119" i="1"/>
  <c r="Z119" i="1" s="1"/>
  <c r="AA119" i="1" s="1"/>
  <c r="AB119" i="1" s="1"/>
  <c r="AB137" i="1" s="1"/>
  <c r="X19" i="1"/>
  <c r="Z19" i="1" s="1"/>
  <c r="AA19" i="1" s="1"/>
  <c r="AB19" i="1" s="1"/>
  <c r="AB60" i="1" l="1"/>
  <c r="AB42" i="1"/>
  <c r="R73" i="1"/>
  <c r="R46" i="1" l="1"/>
  <c r="V37" i="1" l="1"/>
  <c r="V101" i="1"/>
  <c r="X101" i="1" s="1"/>
  <c r="T64" i="1"/>
  <c r="V64" i="1" s="1"/>
  <c r="T139" i="1"/>
  <c r="T47" i="1"/>
  <c r="V47" i="1" s="1"/>
  <c r="T45" i="1"/>
  <c r="V45" i="1" s="1"/>
  <c r="R21" i="1"/>
  <c r="P21" i="1"/>
  <c r="V7" i="1"/>
  <c r="X7" i="1" s="1"/>
  <c r="Z7" i="1" s="1"/>
  <c r="AA7" i="1" s="1"/>
  <c r="AB7" i="1" s="1"/>
  <c r="V6" i="1"/>
  <c r="X6" i="1" s="1"/>
  <c r="Z6" i="1" s="1"/>
  <c r="AA6" i="1" s="1"/>
  <c r="AB6" i="1" s="1"/>
  <c r="V5" i="1"/>
  <c r="X5" i="1" s="1"/>
  <c r="Z5" i="1" s="1"/>
  <c r="AA5" i="1" s="1"/>
  <c r="AB5" i="1" s="1"/>
  <c r="R163" i="1"/>
  <c r="R157" i="1"/>
  <c r="R160" i="1" s="1"/>
  <c r="R162" i="1" s="1"/>
  <c r="R145" i="1"/>
  <c r="R139" i="1"/>
  <c r="R137" i="1"/>
  <c r="R136" i="1"/>
  <c r="R128" i="1"/>
  <c r="S128" i="1" s="1"/>
  <c r="R120" i="1"/>
  <c r="R122" i="1" s="1"/>
  <c r="R124" i="1" s="1"/>
  <c r="R108" i="1"/>
  <c r="R93" i="1"/>
  <c r="R82" i="1"/>
  <c r="R85" i="1" s="1"/>
  <c r="R88" i="1" s="1"/>
  <c r="R90" i="1" s="1"/>
  <c r="R92" i="1" s="1"/>
  <c r="R95" i="1" s="1"/>
  <c r="R69" i="1"/>
  <c r="R64" i="1"/>
  <c r="R60" i="1"/>
  <c r="R62" i="1" s="1"/>
  <c r="R47" i="1"/>
  <c r="R48" i="1" s="1"/>
  <c r="R50" i="1" s="1"/>
  <c r="R51" i="1" s="1"/>
  <c r="R30" i="1"/>
  <c r="S30" i="1" s="1"/>
  <c r="R20" i="1"/>
  <c r="V13" i="1"/>
  <c r="X13" i="1" l="1"/>
  <c r="V22" i="1"/>
  <c r="V24" i="1" s="1"/>
  <c r="R111" i="1"/>
  <c r="R179" i="1" s="1"/>
  <c r="S108" i="1"/>
  <c r="R165" i="1"/>
  <c r="R186" i="1" s="1"/>
  <c r="R22" i="1"/>
  <c r="R24" i="1" s="1"/>
  <c r="R26" i="1" s="1"/>
  <c r="R140" i="1"/>
  <c r="R142" i="1" s="1"/>
  <c r="R144" i="1" s="1"/>
  <c r="R147" i="1" s="1"/>
  <c r="R185" i="1" s="1"/>
  <c r="R65" i="1"/>
  <c r="R68" i="1" s="1"/>
  <c r="R178" i="1"/>
  <c r="R126" i="1"/>
  <c r="R53" i="1" l="1"/>
  <c r="V26" i="1"/>
  <c r="V27" i="1" s="1"/>
  <c r="V29" i="1" s="1"/>
  <c r="V32" i="1" s="1"/>
  <c r="T32" i="1"/>
  <c r="R27" i="1"/>
  <c r="R29" i="1" s="1"/>
  <c r="R32" i="1" s="1"/>
  <c r="R174" i="1" s="1"/>
  <c r="R127" i="1"/>
  <c r="R130" i="1" s="1"/>
  <c r="R184" i="1" s="1"/>
  <c r="R189" i="1" s="1"/>
  <c r="R70" i="1"/>
  <c r="R72" i="1" s="1"/>
  <c r="R75" i="1" s="1"/>
  <c r="R177" i="1" s="1"/>
  <c r="T111" i="1"/>
  <c r="P62" i="1"/>
  <c r="P64" i="1" s="1"/>
  <c r="N121" i="1" l="1"/>
  <c r="N21" i="1" l="1"/>
  <c r="C22" i="1"/>
  <c r="P128" i="1" l="1"/>
  <c r="Q128" i="1" s="1"/>
  <c r="P30" i="1"/>
  <c r="Q30" i="1" l="1"/>
  <c r="N184" i="1"/>
  <c r="L184" i="1"/>
  <c r="I184" i="1"/>
  <c r="C184" i="1"/>
  <c r="L174" i="1"/>
  <c r="I174" i="1"/>
  <c r="P163" i="1"/>
  <c r="N163" i="1"/>
  <c r="L163" i="1"/>
  <c r="I163" i="1"/>
  <c r="G163" i="1"/>
  <c r="E163" i="1"/>
  <c r="C163" i="1"/>
  <c r="P157" i="1"/>
  <c r="P160" i="1" s="1"/>
  <c r="P162" i="1" s="1"/>
  <c r="N157" i="1"/>
  <c r="N160" i="1" s="1"/>
  <c r="N162" i="1" s="1"/>
  <c r="L157" i="1"/>
  <c r="L160" i="1" s="1"/>
  <c r="L162" i="1" s="1"/>
  <c r="I157" i="1"/>
  <c r="I160" i="1" s="1"/>
  <c r="I162" i="1" s="1"/>
  <c r="G157" i="1"/>
  <c r="G160" i="1" s="1"/>
  <c r="G162" i="1" s="1"/>
  <c r="E157" i="1"/>
  <c r="E160" i="1" s="1"/>
  <c r="E162" i="1" s="1"/>
  <c r="C157" i="1"/>
  <c r="C160" i="1" s="1"/>
  <c r="C162" i="1" s="1"/>
  <c r="T157" i="1"/>
  <c r="T160" i="1" s="1"/>
  <c r="T162" i="1" s="1"/>
  <c r="P145" i="1"/>
  <c r="Q145" i="1" s="1"/>
  <c r="N145" i="1"/>
  <c r="L145" i="1"/>
  <c r="I145" i="1"/>
  <c r="G145" i="1"/>
  <c r="E145" i="1"/>
  <c r="C145" i="1"/>
  <c r="G143" i="1"/>
  <c r="L140" i="1"/>
  <c r="L142" i="1" s="1"/>
  <c r="L144" i="1" s="1"/>
  <c r="L147" i="1" s="1"/>
  <c r="L185" i="1" s="1"/>
  <c r="E140" i="1"/>
  <c r="E142" i="1" s="1"/>
  <c r="E144" i="1" s="1"/>
  <c r="E147" i="1" s="1"/>
  <c r="E185" i="1" s="1"/>
  <c r="C140" i="1"/>
  <c r="C142" i="1" s="1"/>
  <c r="C144" i="1" s="1"/>
  <c r="V139" i="1"/>
  <c r="X139" i="1" s="1"/>
  <c r="Z139" i="1" s="1"/>
  <c r="AA139" i="1" s="1"/>
  <c r="AB139" i="1" s="1"/>
  <c r="P139" i="1"/>
  <c r="P140" i="1" s="1"/>
  <c r="P142" i="1" s="1"/>
  <c r="P144" i="1" s="1"/>
  <c r="N139" i="1"/>
  <c r="N140" i="1" s="1"/>
  <c r="N142" i="1" s="1"/>
  <c r="N144" i="1" s="1"/>
  <c r="I139" i="1"/>
  <c r="I140" i="1" s="1"/>
  <c r="I142" i="1" s="1"/>
  <c r="I144" i="1" s="1"/>
  <c r="G139" i="1"/>
  <c r="G140" i="1" s="1"/>
  <c r="G142" i="1" s="1"/>
  <c r="AA137" i="1"/>
  <c r="Z137" i="1"/>
  <c r="X137" i="1"/>
  <c r="V137" i="1"/>
  <c r="T137" i="1"/>
  <c r="AA136" i="1"/>
  <c r="Z136" i="1"/>
  <c r="X136" i="1"/>
  <c r="V136" i="1"/>
  <c r="T136" i="1"/>
  <c r="E130" i="1"/>
  <c r="E184" i="1" s="1"/>
  <c r="F128" i="1"/>
  <c r="D128" i="1"/>
  <c r="I126" i="1"/>
  <c r="G126" i="1"/>
  <c r="C126" i="1"/>
  <c r="I122" i="1"/>
  <c r="I124" i="1" s="1"/>
  <c r="E122" i="1"/>
  <c r="E124" i="1" s="1"/>
  <c r="E126" i="1" s="1"/>
  <c r="C122" i="1"/>
  <c r="C124" i="1" s="1"/>
  <c r="V121" i="1"/>
  <c r="X121" i="1" s="1"/>
  <c r="Z121" i="1" s="1"/>
  <c r="AA121" i="1" s="1"/>
  <c r="AB121" i="1" s="1"/>
  <c r="L121" i="1"/>
  <c r="G121" i="1"/>
  <c r="P120" i="1"/>
  <c r="N120" i="1"/>
  <c r="L120" i="1"/>
  <c r="L122" i="1" s="1"/>
  <c r="L124" i="1" s="1"/>
  <c r="L126" i="1" s="1"/>
  <c r="G120" i="1"/>
  <c r="G122" i="1" s="1"/>
  <c r="G124" i="1" s="1"/>
  <c r="P117" i="1"/>
  <c r="N111" i="1"/>
  <c r="N179" i="1" s="1"/>
  <c r="G111" i="1"/>
  <c r="G179" i="1" s="1"/>
  <c r="P108" i="1"/>
  <c r="Q108" i="1" s="1"/>
  <c r="L108" i="1"/>
  <c r="I108" i="1"/>
  <c r="E108" i="1"/>
  <c r="F108" i="1" s="1"/>
  <c r="C108" i="1"/>
  <c r="C111" i="1" s="1"/>
  <c r="C179" i="1" s="1"/>
  <c r="Z101" i="1"/>
  <c r="AA101" i="1" s="1"/>
  <c r="P93" i="1"/>
  <c r="Q93" i="1" s="1"/>
  <c r="M93" i="1"/>
  <c r="I93" i="1"/>
  <c r="K93" i="1" s="1"/>
  <c r="F93" i="1"/>
  <c r="D93" i="1"/>
  <c r="L90" i="1"/>
  <c r="L92" i="1" s="1"/>
  <c r="L95" i="1" s="1"/>
  <c r="L178" i="1" s="1"/>
  <c r="N85" i="1"/>
  <c r="N88" i="1" s="1"/>
  <c r="N90" i="1" s="1"/>
  <c r="N92" i="1" s="1"/>
  <c r="N95" i="1" s="1"/>
  <c r="L85" i="1"/>
  <c r="AA82" i="1"/>
  <c r="Z82" i="1"/>
  <c r="X82" i="1"/>
  <c r="V82" i="1"/>
  <c r="T82" i="1"/>
  <c r="P82" i="1"/>
  <c r="P85" i="1" s="1"/>
  <c r="P88" i="1" s="1"/>
  <c r="P90" i="1" s="1"/>
  <c r="P92" i="1" s="1"/>
  <c r="I82" i="1"/>
  <c r="G82" i="1"/>
  <c r="E82" i="1"/>
  <c r="C82" i="1"/>
  <c r="G81" i="1"/>
  <c r="E81" i="1"/>
  <c r="C81" i="1"/>
  <c r="V80" i="1"/>
  <c r="P73" i="1"/>
  <c r="N73" i="1"/>
  <c r="L73" i="1"/>
  <c r="I73" i="1"/>
  <c r="H73" i="1" s="1"/>
  <c r="F73" i="1"/>
  <c r="D73" i="1"/>
  <c r="P69" i="1"/>
  <c r="N69" i="1"/>
  <c r="L69" i="1"/>
  <c r="I69" i="1"/>
  <c r="G69" i="1"/>
  <c r="C69" i="1"/>
  <c r="L66" i="1"/>
  <c r="I66" i="1"/>
  <c r="G66" i="1"/>
  <c r="E66" i="1"/>
  <c r="C66" i="1"/>
  <c r="X64" i="1"/>
  <c r="Z64" i="1" s="1"/>
  <c r="AA64" i="1" s="1"/>
  <c r="AB64" i="1" s="1"/>
  <c r="N64" i="1"/>
  <c r="I64" i="1"/>
  <c r="G64" i="1"/>
  <c r="P65" i="1"/>
  <c r="P68" i="1" s="1"/>
  <c r="N62" i="1"/>
  <c r="N65" i="1" s="1"/>
  <c r="N68" i="1" s="1"/>
  <c r="L62" i="1"/>
  <c r="L65" i="1" s="1"/>
  <c r="I62" i="1"/>
  <c r="G62" i="1"/>
  <c r="E62" i="1"/>
  <c r="E65" i="1" s="1"/>
  <c r="C62" i="1"/>
  <c r="C65" i="1" s="1"/>
  <c r="AA60" i="1"/>
  <c r="Z60" i="1"/>
  <c r="X60" i="1"/>
  <c r="V60" i="1"/>
  <c r="X57" i="1" s="1"/>
  <c r="T60" i="1"/>
  <c r="T62" i="1" s="1"/>
  <c r="T65" i="1" s="1"/>
  <c r="T68" i="1" s="1"/>
  <c r="AA59" i="1"/>
  <c r="Z59" i="1"/>
  <c r="X59" i="1"/>
  <c r="P51" i="1"/>
  <c r="Q51" i="1" s="1"/>
  <c r="N51" i="1"/>
  <c r="L51" i="1"/>
  <c r="I51" i="1"/>
  <c r="H51" i="1" s="1"/>
  <c r="E51" i="1"/>
  <c r="C51" i="1"/>
  <c r="P47" i="1"/>
  <c r="X47" i="1" s="1"/>
  <c r="Z47" i="1" s="1"/>
  <c r="AA47" i="1" s="1"/>
  <c r="AB47" i="1" s="1"/>
  <c r="N47" i="1"/>
  <c r="L47" i="1"/>
  <c r="I47" i="1"/>
  <c r="G47" i="1"/>
  <c r="E47" i="1"/>
  <c r="C47" i="1"/>
  <c r="G46" i="1"/>
  <c r="E46" i="1"/>
  <c r="C46" i="1"/>
  <c r="P45" i="1"/>
  <c r="P46" i="1" s="1"/>
  <c r="N45" i="1"/>
  <c r="N46" i="1" s="1"/>
  <c r="L45" i="1"/>
  <c r="L46" i="1" s="1"/>
  <c r="I45" i="1"/>
  <c r="I46" i="1" s="1"/>
  <c r="AA42" i="1"/>
  <c r="Z42" i="1"/>
  <c r="X42" i="1"/>
  <c r="V42" i="1"/>
  <c r="AA41" i="1"/>
  <c r="Z41" i="1"/>
  <c r="X41" i="1"/>
  <c r="V41" i="1"/>
  <c r="AA40" i="1"/>
  <c r="Z40" i="1"/>
  <c r="X40" i="1"/>
  <c r="V40" i="1"/>
  <c r="AA39" i="1"/>
  <c r="Z39" i="1"/>
  <c r="X39" i="1"/>
  <c r="V39" i="1"/>
  <c r="N30" i="1"/>
  <c r="O30" i="1" s="1"/>
  <c r="E29" i="1"/>
  <c r="E32" i="1" s="1"/>
  <c r="E174" i="1" s="1"/>
  <c r="I26" i="1"/>
  <c r="G26" i="1"/>
  <c r="C26" i="1"/>
  <c r="I22" i="1"/>
  <c r="I24" i="1" s="1"/>
  <c r="G22" i="1"/>
  <c r="G24" i="1" s="1"/>
  <c r="E22" i="1"/>
  <c r="E24" i="1" s="1"/>
  <c r="E26" i="1" s="1"/>
  <c r="C24" i="1"/>
  <c r="X21" i="1"/>
  <c r="Z21" i="1" s="1"/>
  <c r="AA21" i="1" s="1"/>
  <c r="AB21" i="1" s="1"/>
  <c r="L21" i="1"/>
  <c r="P20" i="1"/>
  <c r="P22" i="1" s="1"/>
  <c r="P24" i="1" s="1"/>
  <c r="P26" i="1" s="1"/>
  <c r="N20" i="1"/>
  <c r="N22" i="1" s="1"/>
  <c r="N24" i="1" s="1"/>
  <c r="L20" i="1"/>
  <c r="P147" i="1" l="1"/>
  <c r="Z57" i="1"/>
  <c r="AA57" i="1" s="1"/>
  <c r="AB57" i="1" s="1"/>
  <c r="AB61" i="1" s="1"/>
  <c r="AB62" i="1" s="1"/>
  <c r="T69" i="1"/>
  <c r="V69" i="1" s="1"/>
  <c r="X69" i="1"/>
  <c r="Z69" i="1" s="1"/>
  <c r="AA69" i="1" s="1"/>
  <c r="AB69" i="1" s="1"/>
  <c r="AA111" i="1"/>
  <c r="AB101" i="1"/>
  <c r="AB111" i="1" s="1"/>
  <c r="AB179" i="1" s="1"/>
  <c r="T163" i="1"/>
  <c r="T165" i="1" s="1"/>
  <c r="V61" i="1"/>
  <c r="V62" i="1" s="1"/>
  <c r="M51" i="1"/>
  <c r="E48" i="1"/>
  <c r="E50" i="1" s="1"/>
  <c r="E53" i="1" s="1"/>
  <c r="E176" i="1" s="1"/>
  <c r="E68" i="1"/>
  <c r="E70" i="1" s="1"/>
  <c r="E72" i="1" s="1"/>
  <c r="E75" i="1" s="1"/>
  <c r="E177" i="1" s="1"/>
  <c r="N70" i="1"/>
  <c r="N72" i="1" s="1"/>
  <c r="N75" i="1" s="1"/>
  <c r="N177" i="1" s="1"/>
  <c r="P95" i="1"/>
  <c r="O93" i="1" s="1"/>
  <c r="I165" i="1"/>
  <c r="I186" i="1" s="1"/>
  <c r="G48" i="1"/>
  <c r="G50" i="1" s="1"/>
  <c r="G53" i="1" s="1"/>
  <c r="G176" i="1" s="1"/>
  <c r="P70" i="1"/>
  <c r="P72" i="1" s="1"/>
  <c r="I147" i="1"/>
  <c r="I185" i="1" s="1"/>
  <c r="F163" i="1"/>
  <c r="M145" i="1"/>
  <c r="E165" i="1"/>
  <c r="E186" i="1" s="1"/>
  <c r="E189" i="1" s="1"/>
  <c r="N165" i="1"/>
  <c r="N186" i="1" s="1"/>
  <c r="P48" i="1"/>
  <c r="P50" i="1" s="1"/>
  <c r="P53" i="1" s="1"/>
  <c r="G165" i="1"/>
  <c r="G186" i="1" s="1"/>
  <c r="P165" i="1"/>
  <c r="P186" i="1" s="1"/>
  <c r="I65" i="1"/>
  <c r="I68" i="1" s="1"/>
  <c r="I70" i="1" s="1"/>
  <c r="I72" i="1" s="1"/>
  <c r="I75" i="1" s="1"/>
  <c r="I177" i="1" s="1"/>
  <c r="C127" i="1"/>
  <c r="C147" i="1"/>
  <c r="C185" i="1" s="1"/>
  <c r="D163" i="1"/>
  <c r="Q73" i="1"/>
  <c r="O73" i="1"/>
  <c r="V117" i="1"/>
  <c r="P121" i="1"/>
  <c r="P122" i="1" s="1"/>
  <c r="P124" i="1" s="1"/>
  <c r="P126" i="1" s="1"/>
  <c r="I48" i="1"/>
  <c r="I50" i="1" s="1"/>
  <c r="I53" i="1" s="1"/>
  <c r="I176" i="1" s="1"/>
  <c r="C68" i="1"/>
  <c r="C70" i="1" s="1"/>
  <c r="C72" i="1" s="1"/>
  <c r="C75" i="1" s="1"/>
  <c r="C177" i="1" s="1"/>
  <c r="I127" i="1"/>
  <c r="I128" i="1" s="1"/>
  <c r="H128" i="1" s="1"/>
  <c r="P75" i="1"/>
  <c r="P177" i="1" s="1"/>
  <c r="D108" i="1"/>
  <c r="F145" i="1"/>
  <c r="G27" i="1"/>
  <c r="G29" i="1" s="1"/>
  <c r="G32" i="1" s="1"/>
  <c r="G174" i="1" s="1"/>
  <c r="L22" i="1"/>
  <c r="L24" i="1" s="1"/>
  <c r="L26" i="1" s="1"/>
  <c r="L27" i="1" s="1"/>
  <c r="L29" i="1" s="1"/>
  <c r="L30" i="1" s="1"/>
  <c r="N48" i="1"/>
  <c r="N50" i="1" s="1"/>
  <c r="N53" i="1" s="1"/>
  <c r="N176" i="1" s="1"/>
  <c r="G144" i="1"/>
  <c r="G147" i="1" s="1"/>
  <c r="G185" i="1" s="1"/>
  <c r="C165" i="1"/>
  <c r="C186" i="1" s="1"/>
  <c r="L165" i="1"/>
  <c r="L186" i="1" s="1"/>
  <c r="L189" i="1" s="1"/>
  <c r="H163" i="1"/>
  <c r="Q163" i="1"/>
  <c r="O163" i="1"/>
  <c r="X37" i="1"/>
  <c r="Z37" i="1" s="1"/>
  <c r="AA37" i="1" s="1"/>
  <c r="AB37" i="1" s="1"/>
  <c r="V46" i="1"/>
  <c r="V48" i="1" s="1"/>
  <c r="V50" i="1" s="1"/>
  <c r="N178" i="1"/>
  <c r="N26" i="1"/>
  <c r="V135" i="1"/>
  <c r="V140" i="1" s="1"/>
  <c r="V142" i="1" s="1"/>
  <c r="V144" i="1" s="1"/>
  <c r="G85" i="1"/>
  <c r="G88" i="1" s="1"/>
  <c r="G90" i="1" s="1"/>
  <c r="G92" i="1" s="1"/>
  <c r="G95" i="1" s="1"/>
  <c r="G178" i="1" s="1"/>
  <c r="L68" i="1"/>
  <c r="L70" i="1" s="1"/>
  <c r="L72" i="1" s="1"/>
  <c r="L75" i="1" s="1"/>
  <c r="L177" i="1" s="1"/>
  <c r="L127" i="1"/>
  <c r="L128" i="1" s="1"/>
  <c r="I27" i="1"/>
  <c r="I29" i="1" s="1"/>
  <c r="I30" i="1" s="1"/>
  <c r="H30" i="1" s="1"/>
  <c r="K51" i="1"/>
  <c r="N122" i="1"/>
  <c r="N124" i="1" s="1"/>
  <c r="N126" i="1" s="1"/>
  <c r="H145" i="1"/>
  <c r="Z13" i="1"/>
  <c r="AA13" i="1" s="1"/>
  <c r="AB13" i="1" s="1"/>
  <c r="L48" i="1"/>
  <c r="L50" i="1" s="1"/>
  <c r="L53" i="1" s="1"/>
  <c r="L176" i="1" s="1"/>
  <c r="M73" i="1"/>
  <c r="E111" i="1"/>
  <c r="E179" i="1" s="1"/>
  <c r="N147" i="1"/>
  <c r="O145" i="1" s="1"/>
  <c r="D145" i="1"/>
  <c r="C27" i="1"/>
  <c r="C29" i="1" s="1"/>
  <c r="C32" i="1" s="1"/>
  <c r="C174" i="1" s="1"/>
  <c r="C48" i="1"/>
  <c r="C50" i="1" s="1"/>
  <c r="C53" i="1" s="1"/>
  <c r="C176" i="1" s="1"/>
  <c r="G65" i="1"/>
  <c r="G68" i="1" s="1"/>
  <c r="G70" i="1" s="1"/>
  <c r="G72" i="1" s="1"/>
  <c r="G75" i="1" s="1"/>
  <c r="G177" i="1" s="1"/>
  <c r="C85" i="1"/>
  <c r="C88" i="1" s="1"/>
  <c r="C90" i="1" s="1"/>
  <c r="C92" i="1" s="1"/>
  <c r="C95" i="1" s="1"/>
  <c r="C178" i="1" s="1"/>
  <c r="H93" i="1"/>
  <c r="G127" i="1"/>
  <c r="G130" i="1" s="1"/>
  <c r="G184" i="1" s="1"/>
  <c r="V152" i="1"/>
  <c r="V157" i="1" s="1"/>
  <c r="M163" i="1"/>
  <c r="V85" i="1"/>
  <c r="V88" i="1" s="1"/>
  <c r="V90" i="1" s="1"/>
  <c r="V92" i="1" s="1"/>
  <c r="X80" i="1"/>
  <c r="H108" i="1"/>
  <c r="I111" i="1"/>
  <c r="I179" i="1" s="1"/>
  <c r="K108" i="1"/>
  <c r="E85" i="1"/>
  <c r="E88" i="1" s="1"/>
  <c r="E90" i="1" s="1"/>
  <c r="E92" i="1" s="1"/>
  <c r="E95" i="1" s="1"/>
  <c r="E178" i="1" s="1"/>
  <c r="P111" i="1"/>
  <c r="T85" i="1"/>
  <c r="T88" i="1" s="1"/>
  <c r="T90" i="1" s="1"/>
  <c r="T92" i="1" s="1"/>
  <c r="P185" i="1"/>
  <c r="D51" i="1"/>
  <c r="T140" i="1"/>
  <c r="F51" i="1"/>
  <c r="K73" i="1"/>
  <c r="I81" i="1"/>
  <c r="I85" i="1" s="1"/>
  <c r="I88" i="1" s="1"/>
  <c r="I90" i="1" s="1"/>
  <c r="I92" i="1" s="1"/>
  <c r="I95" i="1" s="1"/>
  <c r="I178" i="1" s="1"/>
  <c r="L111" i="1"/>
  <c r="L179" i="1" s="1"/>
  <c r="M108" i="1"/>
  <c r="K163" i="1"/>
  <c r="K145" i="1"/>
  <c r="T93" i="1" l="1"/>
  <c r="AB65" i="1"/>
  <c r="AB68" i="1" s="1"/>
  <c r="AB70" i="1" s="1"/>
  <c r="AB72" i="1" s="1"/>
  <c r="S163" i="1"/>
  <c r="V163" i="1"/>
  <c r="X163" i="1" s="1"/>
  <c r="Z163" i="1" s="1"/>
  <c r="AA163" i="1" s="1"/>
  <c r="AB163" i="1" s="1"/>
  <c r="T70" i="1"/>
  <c r="T72" i="1" s="1"/>
  <c r="X117" i="1"/>
  <c r="I189" i="1"/>
  <c r="P178" i="1"/>
  <c r="E181" i="1"/>
  <c r="E191" i="1" s="1"/>
  <c r="O51" i="1"/>
  <c r="P176" i="1"/>
  <c r="G189" i="1"/>
  <c r="C189" i="1"/>
  <c r="X152" i="1"/>
  <c r="X157" i="1" s="1"/>
  <c r="X160" i="1" s="1"/>
  <c r="X162" i="1" s="1"/>
  <c r="V160" i="1"/>
  <c r="V162" i="1" s="1"/>
  <c r="K128" i="1"/>
  <c r="X135" i="1"/>
  <c r="Z135" i="1" s="1"/>
  <c r="AA135" i="1" s="1"/>
  <c r="N185" i="1"/>
  <c r="N189" i="1" s="1"/>
  <c r="L181" i="1"/>
  <c r="L191" i="1" s="1"/>
  <c r="C181" i="1"/>
  <c r="T142" i="1"/>
  <c r="T144" i="1" s="1"/>
  <c r="T46" i="1"/>
  <c r="T48" i="1" s="1"/>
  <c r="T50" i="1" s="1"/>
  <c r="G181" i="1"/>
  <c r="N27" i="1"/>
  <c r="N29" i="1" s="1"/>
  <c r="N32" i="1" s="1"/>
  <c r="N174" i="1" s="1"/>
  <c r="N181" i="1" s="1"/>
  <c r="P127" i="1"/>
  <c r="P130" i="1" s="1"/>
  <c r="I181" i="1"/>
  <c r="M30" i="1"/>
  <c r="K30" i="1"/>
  <c r="V120" i="1"/>
  <c r="V122" i="1" s="1"/>
  <c r="T124" i="1"/>
  <c r="N127" i="1"/>
  <c r="N128" i="1" s="1"/>
  <c r="Z80" i="1"/>
  <c r="X85" i="1"/>
  <c r="X88" i="1" s="1"/>
  <c r="X90" i="1" s="1"/>
  <c r="X92" i="1" s="1"/>
  <c r="X45" i="1"/>
  <c r="O108" i="1"/>
  <c r="P179" i="1"/>
  <c r="P27" i="1"/>
  <c r="P29" i="1" s="1"/>
  <c r="T126" i="1" l="1"/>
  <c r="T127" i="1" s="1"/>
  <c r="T130" i="1" s="1"/>
  <c r="T51" i="1"/>
  <c r="T53" i="1" s="1"/>
  <c r="T145" i="1"/>
  <c r="AA140" i="1"/>
  <c r="AB135" i="1"/>
  <c r="AB140" i="1" s="1"/>
  <c r="AB142" i="1" s="1"/>
  <c r="AB144" i="1" s="1"/>
  <c r="T73" i="1"/>
  <c r="S93" i="1"/>
  <c r="V93" i="1"/>
  <c r="T95" i="1"/>
  <c r="T178" i="1" s="1"/>
  <c r="I191" i="1"/>
  <c r="L193" i="1" s="1"/>
  <c r="Z117" i="1"/>
  <c r="AA117" i="1" s="1"/>
  <c r="AB117" i="1" s="1"/>
  <c r="N191" i="1"/>
  <c r="N193" i="1" s="1"/>
  <c r="G191" i="1"/>
  <c r="G193" i="1" s="1"/>
  <c r="C191" i="1"/>
  <c r="C193" i="1" s="1"/>
  <c r="Z152" i="1"/>
  <c r="AA152" i="1" s="1"/>
  <c r="X61" i="1"/>
  <c r="X62" i="1" s="1"/>
  <c r="V65" i="1"/>
  <c r="V68" i="1" s="1"/>
  <c r="X140" i="1"/>
  <c r="X142" i="1" s="1"/>
  <c r="X144" i="1" s="1"/>
  <c r="O128" i="1"/>
  <c r="T179" i="1"/>
  <c r="V126" i="1"/>
  <c r="X126" i="1" s="1"/>
  <c r="Z126" i="1" s="1"/>
  <c r="AA126" i="1" s="1"/>
  <c r="AB126" i="1" s="1"/>
  <c r="X26" i="1"/>
  <c r="Z26" i="1" s="1"/>
  <c r="AA26" i="1" s="1"/>
  <c r="AB26" i="1" s="1"/>
  <c r="X20" i="1"/>
  <c r="X22" i="1" s="1"/>
  <c r="X24" i="1" s="1"/>
  <c r="Z45" i="1"/>
  <c r="X46" i="1"/>
  <c r="X48" i="1" s="1"/>
  <c r="X50" i="1" s="1"/>
  <c r="AA80" i="1"/>
  <c r="Z85" i="1"/>
  <c r="Z88" i="1" s="1"/>
  <c r="Z90" i="1" s="1"/>
  <c r="Z92" i="1" s="1"/>
  <c r="X120" i="1"/>
  <c r="X122" i="1" s="1"/>
  <c r="V124" i="1"/>
  <c r="M128" i="1"/>
  <c r="Z140" i="1"/>
  <c r="Z142" i="1" s="1"/>
  <c r="Z144" i="1" s="1"/>
  <c r="AA142" i="1"/>
  <c r="AA144" i="1" s="1"/>
  <c r="V111" i="1"/>
  <c r="V179" i="1" s="1"/>
  <c r="AA85" i="1" l="1"/>
  <c r="AA88" i="1" s="1"/>
  <c r="AA90" i="1" s="1"/>
  <c r="AA92" i="1" s="1"/>
  <c r="AB80" i="1"/>
  <c r="AB85" i="1" s="1"/>
  <c r="AB88" i="1" s="1"/>
  <c r="AB90" i="1" s="1"/>
  <c r="AB92" i="1" s="1"/>
  <c r="V70" i="1"/>
  <c r="V72" i="1" s="1"/>
  <c r="AA157" i="1"/>
  <c r="AA160" i="1" s="1"/>
  <c r="AA162" i="1" s="1"/>
  <c r="AA165" i="1" s="1"/>
  <c r="AB152" i="1"/>
  <c r="AB157" i="1" s="1"/>
  <c r="AB160" i="1" s="1"/>
  <c r="AB162" i="1" s="1"/>
  <c r="AB165" i="1" s="1"/>
  <c r="AB186" i="1" s="1"/>
  <c r="X93" i="1"/>
  <c r="V95" i="1"/>
  <c r="V178" i="1" s="1"/>
  <c r="S73" i="1"/>
  <c r="V73" i="1"/>
  <c r="X73" i="1" s="1"/>
  <c r="Z73" i="1" s="1"/>
  <c r="AA73" i="1" s="1"/>
  <c r="AB73" i="1" s="1"/>
  <c r="AB75" i="1" s="1"/>
  <c r="AB177" i="1" s="1"/>
  <c r="T75" i="1"/>
  <c r="T177" i="1" s="1"/>
  <c r="S145" i="1"/>
  <c r="V145" i="1"/>
  <c r="T147" i="1"/>
  <c r="T185" i="1" s="1"/>
  <c r="E193" i="1"/>
  <c r="I193" i="1"/>
  <c r="Z157" i="1"/>
  <c r="Z160" i="1" s="1"/>
  <c r="Z162" i="1" s="1"/>
  <c r="V127" i="1"/>
  <c r="Z61" i="1"/>
  <c r="X65" i="1"/>
  <c r="X68" i="1" s="1"/>
  <c r="X70" i="1" s="1"/>
  <c r="X72" i="1" s="1"/>
  <c r="X75" i="1" s="1"/>
  <c r="X177" i="1" s="1"/>
  <c r="Z20" i="1"/>
  <c r="Z22" i="1" s="1"/>
  <c r="Z24" i="1" s="1"/>
  <c r="Z27" i="1" s="1"/>
  <c r="Z29" i="1" s="1"/>
  <c r="T186" i="1"/>
  <c r="X27" i="1"/>
  <c r="X29" i="1" s="1"/>
  <c r="X32" i="1" s="1"/>
  <c r="X111" i="1"/>
  <c r="X179" i="1" s="1"/>
  <c r="Z46" i="1"/>
  <c r="Z48" i="1" s="1"/>
  <c r="Z50" i="1" s="1"/>
  <c r="AA45" i="1"/>
  <c r="P184" i="1"/>
  <c r="P189" i="1" s="1"/>
  <c r="Z120" i="1"/>
  <c r="AA120" i="1" s="1"/>
  <c r="X124" i="1"/>
  <c r="X127" i="1" s="1"/>
  <c r="V9" i="5" l="1"/>
  <c r="R10" i="5"/>
  <c r="D10" i="5" s="1"/>
  <c r="D10" i="8"/>
  <c r="V16" i="5"/>
  <c r="V75" i="1"/>
  <c r="V177" i="1" s="1"/>
  <c r="D9" i="8" s="1"/>
  <c r="C9" i="3"/>
  <c r="D9" i="3" s="1"/>
  <c r="R9" i="5"/>
  <c r="D9" i="5" s="1"/>
  <c r="AA122" i="1"/>
  <c r="AA124" i="1" s="1"/>
  <c r="AA127" i="1" s="1"/>
  <c r="AB120" i="1"/>
  <c r="AB122" i="1" s="1"/>
  <c r="AB124" i="1" s="1"/>
  <c r="AB127" i="1" s="1"/>
  <c r="AB130" i="1" s="1"/>
  <c r="AB184" i="1" s="1"/>
  <c r="K14" i="3" s="1"/>
  <c r="AA46" i="1"/>
  <c r="AA48" i="1" s="1"/>
  <c r="AA50" i="1" s="1"/>
  <c r="AB45" i="1"/>
  <c r="AB46" i="1" s="1"/>
  <c r="AB48" i="1" s="1"/>
  <c r="AB50" i="1" s="1"/>
  <c r="E9" i="3"/>
  <c r="F9" i="3" s="1"/>
  <c r="S9" i="5"/>
  <c r="F9" i="5" s="1"/>
  <c r="X145" i="1"/>
  <c r="V147" i="1"/>
  <c r="V185" i="1" s="1"/>
  <c r="K9" i="3"/>
  <c r="L9" i="3" s="1"/>
  <c r="L9" i="5"/>
  <c r="Z93" i="1"/>
  <c r="X95" i="1"/>
  <c r="X178" i="1" s="1"/>
  <c r="K16" i="3"/>
  <c r="L16" i="3" s="1"/>
  <c r="L16" i="5"/>
  <c r="C10" i="3"/>
  <c r="D10" i="3" s="1"/>
  <c r="Z62" i="1"/>
  <c r="Z65" i="1" s="1"/>
  <c r="Z68" i="1" s="1"/>
  <c r="Z70" i="1" s="1"/>
  <c r="Z72" i="1" s="1"/>
  <c r="Z75" i="1" s="1"/>
  <c r="Z177" i="1" s="1"/>
  <c r="AA20" i="1"/>
  <c r="V165" i="1"/>
  <c r="V186" i="1" s="1"/>
  <c r="D16" i="8" s="1"/>
  <c r="T184" i="1"/>
  <c r="Z122" i="1"/>
  <c r="Z124" i="1" s="1"/>
  <c r="Z127" i="1" s="1"/>
  <c r="Z111" i="1"/>
  <c r="Z179" i="1" s="1"/>
  <c r="AA179" i="1"/>
  <c r="S10" i="5" l="1"/>
  <c r="F10" i="5" s="1"/>
  <c r="D15" i="8"/>
  <c r="L14" i="5"/>
  <c r="V14" i="5"/>
  <c r="C16" i="3"/>
  <c r="D16" i="3" s="1"/>
  <c r="R16" i="5"/>
  <c r="D16" i="5" s="1"/>
  <c r="G9" i="3"/>
  <c r="H9" i="3" s="1"/>
  <c r="T9" i="5"/>
  <c r="H9" i="5" s="1"/>
  <c r="AA93" i="1"/>
  <c r="Z95" i="1"/>
  <c r="Z178" i="1" s="1"/>
  <c r="C15" i="3"/>
  <c r="D15" i="3" s="1"/>
  <c r="R15" i="5"/>
  <c r="Z145" i="1"/>
  <c r="X147" i="1"/>
  <c r="X185" i="1" s="1"/>
  <c r="E10" i="3"/>
  <c r="F10" i="3" s="1"/>
  <c r="L14" i="3"/>
  <c r="AA22" i="1"/>
  <c r="AA24" i="1" s="1"/>
  <c r="AA27" i="1" s="1"/>
  <c r="AA29" i="1" s="1"/>
  <c r="AB20" i="1"/>
  <c r="AB22" i="1" s="1"/>
  <c r="AB24" i="1" s="1"/>
  <c r="AB27" i="1" s="1"/>
  <c r="AB29" i="1" s="1"/>
  <c r="AB32" i="1" s="1"/>
  <c r="AB174" i="1" s="1"/>
  <c r="T189" i="1"/>
  <c r="Z130" i="1"/>
  <c r="AA130" i="1"/>
  <c r="X130" i="1"/>
  <c r="AA61" i="1"/>
  <c r="X165" i="1"/>
  <c r="X186" i="1" s="1"/>
  <c r="V130" i="1"/>
  <c r="V184" i="1" s="1"/>
  <c r="D29" i="5" l="1"/>
  <c r="E29" i="5" s="1"/>
  <c r="R14" i="5"/>
  <c r="D14" i="5" s="1"/>
  <c r="V7" i="5"/>
  <c r="T10" i="5"/>
  <c r="H10" i="5" s="1"/>
  <c r="D33" i="5"/>
  <c r="E16" i="3"/>
  <c r="F16" i="3" s="1"/>
  <c r="S16" i="5"/>
  <c r="F16" i="5" s="1"/>
  <c r="L7" i="5"/>
  <c r="E15" i="3"/>
  <c r="F15" i="3" s="1"/>
  <c r="S15" i="5"/>
  <c r="F15" i="5" s="1"/>
  <c r="AA145" i="1"/>
  <c r="Z147" i="1"/>
  <c r="Z185" i="1" s="1"/>
  <c r="R17" i="5"/>
  <c r="D17" i="5" s="1"/>
  <c r="D15" i="5"/>
  <c r="AB93" i="1"/>
  <c r="AB95" i="1" s="1"/>
  <c r="AB178" i="1" s="1"/>
  <c r="AA95" i="1"/>
  <c r="AA178" i="1" s="1"/>
  <c r="G10" i="3"/>
  <c r="H10" i="3" s="1"/>
  <c r="V189" i="1"/>
  <c r="C14" i="3"/>
  <c r="D14" i="3" s="1"/>
  <c r="K7" i="3"/>
  <c r="AA62" i="1"/>
  <c r="AA65" i="1" s="1"/>
  <c r="AA68" i="1" s="1"/>
  <c r="AA70" i="1" s="1"/>
  <c r="AA72" i="1" s="1"/>
  <c r="AA75" i="1" s="1"/>
  <c r="AA177" i="1" s="1"/>
  <c r="AA186" i="1"/>
  <c r="Z165" i="1"/>
  <c r="Z186" i="1" s="1"/>
  <c r="X184" i="1"/>
  <c r="S14" i="5" l="1"/>
  <c r="E18" i="8"/>
  <c r="V10" i="5"/>
  <c r="D34" i="8"/>
  <c r="E34" i="8" s="1"/>
  <c r="D17" i="8"/>
  <c r="D14" i="8"/>
  <c r="M33" i="5"/>
  <c r="E33" i="5"/>
  <c r="S17" i="5"/>
  <c r="E18" i="5" s="1"/>
  <c r="F14" i="5"/>
  <c r="G16" i="3"/>
  <c r="H16" i="3" s="1"/>
  <c r="T16" i="5"/>
  <c r="H16" i="5" s="1"/>
  <c r="I16" i="3"/>
  <c r="J16" i="3" s="1"/>
  <c r="U16" i="5"/>
  <c r="J16" i="5" s="1"/>
  <c r="I9" i="3"/>
  <c r="J9" i="3" s="1"/>
  <c r="U9" i="5"/>
  <c r="J9" i="5" s="1"/>
  <c r="U10" i="5"/>
  <c r="J10" i="5" s="1"/>
  <c r="I10" i="3"/>
  <c r="J10" i="3" s="1"/>
  <c r="L10" i="5"/>
  <c r="K10" i="3"/>
  <c r="L10" i="3" s="1"/>
  <c r="G15" i="3"/>
  <c r="H15" i="3" s="1"/>
  <c r="T15" i="5"/>
  <c r="AB145" i="1"/>
  <c r="AB147" i="1" s="1"/>
  <c r="AB185" i="1" s="1"/>
  <c r="AA147" i="1"/>
  <c r="AA185" i="1" s="1"/>
  <c r="X189" i="1"/>
  <c r="E14" i="3"/>
  <c r="C17" i="3"/>
  <c r="D17" i="3" s="1"/>
  <c r="L7" i="3"/>
  <c r="AA184" i="1"/>
  <c r="Z184" i="1"/>
  <c r="T14" i="5" l="1"/>
  <c r="H14" i="5" s="1"/>
  <c r="U14" i="5"/>
  <c r="G18" i="8"/>
  <c r="V15" i="5"/>
  <c r="V17" i="5" s="1"/>
  <c r="K18" i="5" s="1"/>
  <c r="J14" i="5"/>
  <c r="I15" i="3"/>
  <c r="J15" i="3" s="1"/>
  <c r="U15" i="5"/>
  <c r="J15" i="5" s="1"/>
  <c r="K15" i="3"/>
  <c r="AB189" i="1"/>
  <c r="T17" i="5"/>
  <c r="G18" i="5" s="1"/>
  <c r="H15" i="5"/>
  <c r="F17" i="5"/>
  <c r="Z189" i="1"/>
  <c r="G14" i="3"/>
  <c r="AA189" i="1"/>
  <c r="I14" i="3"/>
  <c r="F14" i="3"/>
  <c r="E17" i="3"/>
  <c r="P32" i="1"/>
  <c r="P174" i="1" s="1"/>
  <c r="P181" i="1" s="1"/>
  <c r="P191" i="1" s="1"/>
  <c r="P193" i="1" s="1"/>
  <c r="T174" i="1"/>
  <c r="H18" i="8" l="1"/>
  <c r="H17" i="5"/>
  <c r="L15" i="5"/>
  <c r="L15" i="3"/>
  <c r="K17" i="3"/>
  <c r="U17" i="5"/>
  <c r="I18" i="5" s="1"/>
  <c r="E18" i="3"/>
  <c r="F17" i="3"/>
  <c r="J14" i="3"/>
  <c r="I17" i="3"/>
  <c r="H14" i="3"/>
  <c r="G17" i="3"/>
  <c r="V174" i="1"/>
  <c r="Z32" i="1"/>
  <c r="Z174" i="1" s="1"/>
  <c r="AA32" i="1"/>
  <c r="AA174" i="1" s="1"/>
  <c r="X174" i="1"/>
  <c r="D33" i="8" l="1"/>
  <c r="E7" i="3"/>
  <c r="S7" i="5"/>
  <c r="I7" i="3"/>
  <c r="J7" i="3" s="1"/>
  <c r="U7" i="5"/>
  <c r="G7" i="3"/>
  <c r="H7" i="3" s="1"/>
  <c r="T7" i="5"/>
  <c r="C7" i="3"/>
  <c r="D7" i="3" s="1"/>
  <c r="R7" i="5"/>
  <c r="J17" i="5"/>
  <c r="K18" i="3"/>
  <c r="L17" i="3"/>
  <c r="L17" i="5"/>
  <c r="G18" i="3"/>
  <c r="H17" i="3"/>
  <c r="I18" i="3"/>
  <c r="J17" i="3"/>
  <c r="F7" i="3"/>
  <c r="R176" i="1"/>
  <c r="R181" i="1" s="1"/>
  <c r="R191" i="1" s="1"/>
  <c r="D35" i="8" l="1"/>
  <c r="D7" i="5"/>
  <c r="D32" i="5"/>
  <c r="H7" i="5"/>
  <c r="J7" i="5"/>
  <c r="F7" i="5"/>
  <c r="R193" i="1"/>
  <c r="T176" i="1"/>
  <c r="T181" i="1" s="1"/>
  <c r="V51" i="1"/>
  <c r="V53" i="1" s="1"/>
  <c r="V176" i="1" s="1"/>
  <c r="S51" i="1"/>
  <c r="R8" i="5" l="1"/>
  <c r="D8" i="5"/>
  <c r="D28" i="5"/>
  <c r="M32" i="5"/>
  <c r="M34" i="5" s="1"/>
  <c r="D34" i="5"/>
  <c r="E32" i="5"/>
  <c r="E34" i="5" s="1"/>
  <c r="R11" i="5"/>
  <c r="X51" i="1"/>
  <c r="X53" i="1" s="1"/>
  <c r="X176" i="1" s="1"/>
  <c r="V181" i="1"/>
  <c r="V191" i="1" s="1"/>
  <c r="C8" i="3"/>
  <c r="T191" i="1"/>
  <c r="T193" i="1" s="1"/>
  <c r="D8" i="8" l="1"/>
  <c r="D30" i="5"/>
  <c r="E28" i="5"/>
  <c r="E30" i="5" s="1"/>
  <c r="E36" i="5" s="1"/>
  <c r="X181" i="1"/>
  <c r="X191" i="1" s="1"/>
  <c r="X193" i="1" s="1"/>
  <c r="S8" i="5"/>
  <c r="R20" i="5"/>
  <c r="D20" i="5" s="1"/>
  <c r="D11" i="5"/>
  <c r="E8" i="3"/>
  <c r="E11" i="3" s="1"/>
  <c r="Z51" i="1"/>
  <c r="D8" i="3"/>
  <c r="C11" i="3"/>
  <c r="V193" i="1"/>
  <c r="F8" i="3" l="1"/>
  <c r="D31" i="8"/>
  <c r="D37" i="8" s="1"/>
  <c r="C21" i="5"/>
  <c r="C22" i="5"/>
  <c r="F8" i="5"/>
  <c r="S11" i="5"/>
  <c r="E12" i="5" s="1"/>
  <c r="Z53" i="1"/>
  <c r="Z176" i="1" s="1"/>
  <c r="AA51" i="1"/>
  <c r="E12" i="3"/>
  <c r="F11" i="3"/>
  <c r="E20" i="3"/>
  <c r="C20" i="3"/>
  <c r="D11" i="3"/>
  <c r="T8" i="5" l="1"/>
  <c r="H8" i="5" s="1"/>
  <c r="T11" i="5"/>
  <c r="S20" i="5"/>
  <c r="F11" i="5"/>
  <c r="E24" i="3"/>
  <c r="E25" i="3"/>
  <c r="AB51" i="1"/>
  <c r="AB53" i="1" s="1"/>
  <c r="AB176" i="1" s="1"/>
  <c r="AA53" i="1"/>
  <c r="AA176" i="1" s="1"/>
  <c r="G8" i="3"/>
  <c r="Z181" i="1"/>
  <c r="Z191" i="1" s="1"/>
  <c r="Z193" i="1" s="1"/>
  <c r="C21" i="3"/>
  <c r="D20" i="3"/>
  <c r="E21" i="3"/>
  <c r="F20" i="3"/>
  <c r="F24" i="3" s="1"/>
  <c r="U8" i="5" l="1"/>
  <c r="V8" i="5"/>
  <c r="V11" i="5" s="1"/>
  <c r="V20" i="5"/>
  <c r="K21" i="5" s="1"/>
  <c r="K12" i="5"/>
  <c r="E22" i="5"/>
  <c r="E21" i="5"/>
  <c r="J8" i="5"/>
  <c r="U11" i="5"/>
  <c r="L8" i="5"/>
  <c r="F20" i="5"/>
  <c r="T20" i="5"/>
  <c r="G22" i="5" s="1"/>
  <c r="H11" i="5"/>
  <c r="G12" i="5"/>
  <c r="H8" i="3"/>
  <c r="G11" i="3"/>
  <c r="AA181" i="1"/>
  <c r="AA191" i="1" s="1"/>
  <c r="I8" i="3"/>
  <c r="K8" i="3"/>
  <c r="AB181" i="1"/>
  <c r="AB191" i="1" s="1"/>
  <c r="K22" i="5" l="1"/>
  <c r="G21" i="5"/>
  <c r="H20" i="5"/>
  <c r="L11" i="5"/>
  <c r="U20" i="5"/>
  <c r="I22" i="5" s="1"/>
  <c r="I12" i="5"/>
  <c r="J11" i="5"/>
  <c r="L8" i="3"/>
  <c r="K11" i="3"/>
  <c r="H11" i="3"/>
  <c r="G12" i="3"/>
  <c r="G20" i="3"/>
  <c r="J8" i="3"/>
  <c r="I11" i="3"/>
  <c r="AB193" i="1"/>
  <c r="AA193" i="1"/>
  <c r="J20" i="5" l="1"/>
  <c r="I21" i="5"/>
  <c r="L20" i="5"/>
  <c r="G25" i="3"/>
  <c r="G24" i="3"/>
  <c r="I12" i="3"/>
  <c r="J11" i="3"/>
  <c r="I20" i="3"/>
  <c r="G21" i="3"/>
  <c r="H20" i="3"/>
  <c r="H24" i="3" s="1"/>
  <c r="K20" i="3"/>
  <c r="L11" i="3"/>
  <c r="K12" i="3"/>
  <c r="K24" i="3" l="1"/>
  <c r="K25" i="3"/>
  <c r="I24" i="3"/>
  <c r="I25" i="3"/>
  <c r="K21" i="3"/>
  <c r="L20" i="3"/>
  <c r="I21" i="3"/>
  <c r="J20" i="3"/>
  <c r="J24" i="3" s="1"/>
  <c r="V174" i="11"/>
  <c r="X32" i="11"/>
  <c r="X174" i="11" s="1"/>
  <c r="E7" i="12" l="1"/>
  <c r="N32" i="12" s="1"/>
  <c r="V181" i="11"/>
  <c r="V191" i="11" s="1"/>
  <c r="V193" i="11" s="1"/>
  <c r="C7" i="12"/>
  <c r="C7" i="8"/>
  <c r="N36" i="12"/>
  <c r="N45" i="12" s="1"/>
  <c r="E11" i="12"/>
  <c r="X181" i="11"/>
  <c r="X191" i="11" s="1"/>
  <c r="Z30" i="11"/>
  <c r="V195" i="11" l="1"/>
  <c r="X193" i="11"/>
  <c r="M32" i="8"/>
  <c r="M36" i="8" s="1"/>
  <c r="M45" i="8" s="1"/>
  <c r="C11" i="8"/>
  <c r="C33" i="8"/>
  <c r="D7" i="8"/>
  <c r="M32" i="12"/>
  <c r="M36" i="12" s="1"/>
  <c r="M45" i="12" s="1"/>
  <c r="C11" i="12"/>
  <c r="C33" i="12"/>
  <c r="D7" i="12"/>
  <c r="X195" i="11"/>
  <c r="E20" i="12"/>
  <c r="E12" i="12"/>
  <c r="N32" i="8"/>
  <c r="N36" i="8" s="1"/>
  <c r="N45" i="8" s="1"/>
  <c r="E11" i="8"/>
  <c r="Z32" i="11"/>
  <c r="Z174" i="11" s="1"/>
  <c r="AA30" i="11"/>
  <c r="F7" i="12" l="1"/>
  <c r="E33" i="12"/>
  <c r="E35" i="12" s="1"/>
  <c r="E37" i="12" s="1"/>
  <c r="C35" i="12"/>
  <c r="C37" i="12" s="1"/>
  <c r="C43" i="12" s="1"/>
  <c r="G33" i="12"/>
  <c r="G35" i="12" s="1"/>
  <c r="G37" i="12" s="1"/>
  <c r="C20" i="12"/>
  <c r="D11" i="12"/>
  <c r="C35" i="8"/>
  <c r="C37" i="8" s="1"/>
  <c r="C43" i="8" s="1"/>
  <c r="G33" i="8"/>
  <c r="G35" i="8" s="1"/>
  <c r="G37" i="8" s="1"/>
  <c r="E33" i="8"/>
  <c r="E35" i="8" s="1"/>
  <c r="E37" i="8" s="1"/>
  <c r="C20" i="8"/>
  <c r="D11" i="8"/>
  <c r="F11" i="12"/>
  <c r="O32" i="12"/>
  <c r="O36" i="12" s="1"/>
  <c r="O45" i="12" s="1"/>
  <c r="E25" i="12"/>
  <c r="E24" i="12"/>
  <c r="E21" i="12"/>
  <c r="E22" i="12"/>
  <c r="Z181" i="11"/>
  <c r="Z191" i="11" s="1"/>
  <c r="Z195" i="11" s="1"/>
  <c r="F7" i="8"/>
  <c r="E12" i="8"/>
  <c r="E20" i="8"/>
  <c r="AA32" i="11"/>
  <c r="AA174" i="11" s="1"/>
  <c r="AB30" i="11"/>
  <c r="G7" i="12" l="1"/>
  <c r="C24" i="8"/>
  <c r="C21" i="8"/>
  <c r="C22" i="8"/>
  <c r="D20" i="8"/>
  <c r="C25" i="8"/>
  <c r="C25" i="12"/>
  <c r="C21" i="12"/>
  <c r="D20" i="12"/>
  <c r="C22" i="12"/>
  <c r="C24" i="12"/>
  <c r="Z193" i="11"/>
  <c r="G11" i="12"/>
  <c r="P32" i="12"/>
  <c r="P36" i="12" s="1"/>
  <c r="P45" i="12" s="1"/>
  <c r="F20" i="12"/>
  <c r="F12" i="12"/>
  <c r="E21" i="8"/>
  <c r="E22" i="8"/>
  <c r="E25" i="8"/>
  <c r="E24" i="8"/>
  <c r="O32" i="8"/>
  <c r="O36" i="8" s="1"/>
  <c r="O45" i="8" s="1"/>
  <c r="F11" i="8"/>
  <c r="AA181" i="11"/>
  <c r="AA191" i="11" s="1"/>
  <c r="AA193" i="11" s="1"/>
  <c r="G7" i="8"/>
  <c r="AC30" i="11"/>
  <c r="AC32" i="11" s="1"/>
  <c r="AC174" i="11" s="1"/>
  <c r="AB32" i="11"/>
  <c r="AB174" i="11" s="1"/>
  <c r="H7" i="12" l="1"/>
  <c r="Q32" i="12" s="1"/>
  <c r="Q36" i="12" s="1"/>
  <c r="Q45" i="12" s="1"/>
  <c r="I7" i="12"/>
  <c r="I11" i="12"/>
  <c r="R32" i="12"/>
  <c r="R36" i="12" s="1"/>
  <c r="R45" i="12" s="1"/>
  <c r="H11" i="12"/>
  <c r="F22" i="12"/>
  <c r="F21" i="12"/>
  <c r="F24" i="12"/>
  <c r="F25" i="12"/>
  <c r="G12" i="12"/>
  <c r="G20" i="12"/>
  <c r="AA195" i="11"/>
  <c r="AB181" i="11"/>
  <c r="AB191" i="11" s="1"/>
  <c r="AB195" i="11" s="1"/>
  <c r="H7" i="8"/>
  <c r="P32" i="8"/>
  <c r="P36" i="8" s="1"/>
  <c r="P45" i="8" s="1"/>
  <c r="G11" i="8"/>
  <c r="F20" i="8"/>
  <c r="F12" i="8"/>
  <c r="AC181" i="11"/>
  <c r="AC191" i="11" s="1"/>
  <c r="I7" i="8"/>
  <c r="AB193" i="11" l="1"/>
  <c r="H12" i="12"/>
  <c r="H20" i="12"/>
  <c r="G22" i="12"/>
  <c r="G24" i="12"/>
  <c r="G25" i="12"/>
  <c r="G21" i="12"/>
  <c r="AC195" i="11"/>
  <c r="I12" i="12"/>
  <c r="I20" i="12"/>
  <c r="AC193" i="11"/>
  <c r="Q32" i="8"/>
  <c r="Q36" i="8" s="1"/>
  <c r="Q45" i="8" s="1"/>
  <c r="H11" i="8"/>
  <c r="G20" i="8"/>
  <c r="G12" i="8"/>
  <c r="F21" i="8"/>
  <c r="F22" i="8"/>
  <c r="F25" i="8"/>
  <c r="F24" i="8"/>
  <c r="R32" i="8"/>
  <c r="R36" i="8" s="1"/>
  <c r="R45" i="8" s="1"/>
  <c r="I11" i="8"/>
  <c r="H25" i="12" l="1"/>
  <c r="H21" i="12"/>
  <c r="H24" i="12"/>
  <c r="H22" i="12"/>
  <c r="I22" i="12"/>
  <c r="I21" i="12"/>
  <c r="G21" i="8"/>
  <c r="G24" i="8"/>
  <c r="G25" i="8"/>
  <c r="G22" i="8"/>
  <c r="I12" i="8"/>
  <c r="I20" i="8"/>
  <c r="H20" i="8"/>
  <c r="H12" i="8"/>
  <c r="H25" i="8" l="1"/>
  <c r="H24" i="8"/>
  <c r="H21" i="8"/>
  <c r="H22" i="8"/>
  <c r="I22" i="8"/>
  <c r="I21" i="8"/>
  <c r="V32" i="13"/>
  <c r="V174" i="13"/>
  <c r="L7" i="14" s="1"/>
  <c r="X29" i="13"/>
  <c r="X32" i="13" s="1"/>
  <c r="X174" i="13" s="1"/>
  <c r="Q7" i="19" s="1"/>
  <c r="Q11" i="19" s="1"/>
  <c r="Q20" i="19" s="1"/>
  <c r="K21" i="19" s="1"/>
  <c r="M7" i="14" l="1"/>
  <c r="D7" i="14"/>
  <c r="K7" i="17"/>
  <c r="N7" i="14"/>
  <c r="D26" i="14" s="1"/>
  <c r="V181" i="13"/>
  <c r="V191" i="13" s="1"/>
  <c r="X181" i="13"/>
  <c r="X191" i="13" s="1"/>
  <c r="Z30" i="13"/>
  <c r="F26" i="17" l="1"/>
  <c r="F37" i="17" s="1"/>
  <c r="K11" i="17"/>
  <c r="X193" i="13"/>
  <c r="V193" i="13"/>
  <c r="X195" i="13"/>
  <c r="E11" i="14"/>
  <c r="V195" i="13"/>
  <c r="C11" i="14"/>
  <c r="Z32" i="13"/>
  <c r="Z174" i="13" s="1"/>
  <c r="R7" i="19" s="1"/>
  <c r="R11" i="19" s="1"/>
  <c r="R20" i="19" s="1"/>
  <c r="L21" i="19" s="1"/>
  <c r="AA30" i="13"/>
  <c r="L7" i="17" l="1"/>
  <c r="L11" i="17" s="1"/>
  <c r="O7" i="14"/>
  <c r="D12" i="17"/>
  <c r="K20" i="17"/>
  <c r="L11" i="14"/>
  <c r="D11" i="14" s="1"/>
  <c r="N11" i="14"/>
  <c r="C20" i="14"/>
  <c r="E20" i="14"/>
  <c r="Z181" i="13"/>
  <c r="Z191" i="13" s="1"/>
  <c r="Z193" i="13" s="1"/>
  <c r="AA32" i="13"/>
  <c r="AA174" i="13" s="1"/>
  <c r="S7" i="19" s="1"/>
  <c r="S11" i="19" s="1"/>
  <c r="S20" i="19" s="1"/>
  <c r="M21" i="19" s="1"/>
  <c r="AB30" i="13"/>
  <c r="M7" i="17" l="1"/>
  <c r="M11" i="17" s="1"/>
  <c r="P7" i="14"/>
  <c r="E12" i="17"/>
  <c r="L20" i="17"/>
  <c r="D22" i="17"/>
  <c r="D21" i="17"/>
  <c r="N20" i="14"/>
  <c r="E22" i="14" s="1"/>
  <c r="E32" i="14"/>
  <c r="E26" i="14"/>
  <c r="F11" i="14"/>
  <c r="O11" i="14"/>
  <c r="O20" i="14" s="1"/>
  <c r="M11" i="14"/>
  <c r="L20" i="14"/>
  <c r="M20" i="14" s="1"/>
  <c r="E12" i="14"/>
  <c r="Z195" i="13"/>
  <c r="AA181" i="13"/>
  <c r="AA191" i="13" s="1"/>
  <c r="AA195" i="13" s="1"/>
  <c r="AB32" i="13"/>
  <c r="AB174" i="13" s="1"/>
  <c r="T7" i="19" s="1"/>
  <c r="T11" i="19" s="1"/>
  <c r="T20" i="19" s="1"/>
  <c r="N21" i="19" s="1"/>
  <c r="AC30" i="13"/>
  <c r="AC32" i="13" s="1"/>
  <c r="AC174" i="13" s="1"/>
  <c r="U7" i="19" s="1"/>
  <c r="U11" i="19" s="1"/>
  <c r="U20" i="19" s="1"/>
  <c r="O21" i="19" s="1"/>
  <c r="E22" i="17" l="1"/>
  <c r="E21" i="17"/>
  <c r="O7" i="17"/>
  <c r="O11" i="17" s="1"/>
  <c r="R7" i="14"/>
  <c r="AA193" i="13"/>
  <c r="N7" i="17"/>
  <c r="N11" i="17" s="1"/>
  <c r="Q7" i="14"/>
  <c r="F12" i="17"/>
  <c r="M20" i="17"/>
  <c r="E21" i="14"/>
  <c r="C22" i="14"/>
  <c r="C21" i="14"/>
  <c r="F12" i="14"/>
  <c r="D20" i="14"/>
  <c r="F20" i="14"/>
  <c r="F22" i="14" s="1"/>
  <c r="G11" i="14"/>
  <c r="P11" i="14"/>
  <c r="P20" i="14" s="1"/>
  <c r="AC181" i="13"/>
  <c r="AC191" i="13" s="1"/>
  <c r="AB181" i="13"/>
  <c r="AB191" i="13" s="1"/>
  <c r="AB195" i="13" s="1"/>
  <c r="H12" i="17" l="1"/>
  <c r="O20" i="17"/>
  <c r="G12" i="17"/>
  <c r="N20" i="17"/>
  <c r="F21" i="17"/>
  <c r="F22" i="17"/>
  <c r="AC195" i="13"/>
  <c r="F21" i="14"/>
  <c r="G12" i="14"/>
  <c r="G20" i="14"/>
  <c r="G22" i="14" s="1"/>
  <c r="I11" i="14"/>
  <c r="R11" i="14"/>
  <c r="R20" i="14" s="1"/>
  <c r="H11" i="14"/>
  <c r="H20" i="14" s="1"/>
  <c r="Q11" i="14"/>
  <c r="Q20" i="14" s="1"/>
  <c r="I20" i="14"/>
  <c r="AC193" i="13"/>
  <c r="AB193" i="13"/>
  <c r="G21" i="17" l="1"/>
  <c r="G22" i="17"/>
  <c r="H21" i="17"/>
  <c r="H22" i="17"/>
  <c r="I12" i="14"/>
  <c r="G21" i="14"/>
  <c r="H12" i="14"/>
  <c r="H22" i="14"/>
  <c r="H21" i="14"/>
  <c r="I22" i="14"/>
  <c r="I21" i="14"/>
</calcChain>
</file>

<file path=xl/comments1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update, but use new forcast model on monthly forecast spreadsheet.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8/20 final valuation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BACK AFTER 11.01.19 FORECAST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matches cert report, so doesn't exclude tca 8888 (tribal land)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why is this not 1,157,010,697 and matches cert report?
Diff is TCA 8888, which is tribal trust land according to Don's comment.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updated with "B120 Avista Elec by TCA 2019" workbook.
Total Cert = $1,234,752,192
Total TCA 8888 (tribal trust land by filtering State TCA column) = $3,489,148
Net Total = $1,231,263,044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X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adjustment increase per Ryan's meeting 12/13 - amt is equal to ID/OR/WA-GD true-ups.  This is the gross up of the $763k addition.
7/2: TOOK OUT ADJ WHEN GIVEN PRELIM VALUATION.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in March with new statements
4/23/20: Use "Wa2020 payments" workbook.  Take Electric Totals in cell K:68 and divide by Equalized Value (amount above) on this spreadsheet.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franchise adjustment taken at system level, not state level.</t>
        </r>
      </text>
    </comment>
    <comment ref="X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-$1k plug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pay Idaho in December</t>
        </r>
      </text>
    </comment>
    <comment ref="X6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vehicles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all payments are in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non-op in forecast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don't include non-op in new forecast process.</t>
        </r>
      </text>
    </comment>
    <comment ref="X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I be updating this?  Just keeping it the same for now… total Oregon Electric matches final valuation.</t>
        </r>
      </text>
    </comment>
    <comment ref="V9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V10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Z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V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updated with "C50 Avista Gas by TCA 2019" workbook.
Total Cert = $306,603,362
Total TCA 8888 (tribal trust land by filtering State TCA column) = $264,563
Net Total = $306,338,799</t>
        </r>
      </text>
    </comment>
    <comment ref="V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Use "Wa2020 payments" workbook.  Take Gas Totals in cell K:69 and divide by Equalized Value (amount above) on this spreadsheet.</t>
        </r>
      </text>
    </comment>
    <comment ref="V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when pay in December</t>
        </r>
      </text>
    </comment>
    <comment ref="Z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V1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 - includes locally assessed property (like last year)</t>
        </r>
      </text>
    </comment>
  </commentList>
</comments>
</file>

<file path=xl/comments10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update, but use new forcast model on monthly forecast spreadsheet.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NEW FORECAST MODEL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
Clear since already included in assessment amount above.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Clear since already included in assessment amount above.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Clear since already included in assessment amount above.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Clear since already included in assessment amount above.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BACK AFTER 11.01.19 FORECAST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in March with new statements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
</t>
        </r>
      </text>
    </comment>
    <comment ref="X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</t>
        </r>
      </text>
    </comment>
    <comment ref="X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pay Idaho in December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all payments are in</t>
        </r>
      </text>
    </comment>
    <comment ref="V9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V10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X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  Sum GD AN &amp; GD OR</t>
        </r>
      </text>
    </comment>
    <comment ref="Z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X1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change based on cells in formula - update on monthly file</t>
        </r>
      </text>
    </comment>
    <comment ref="V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when pay in December</t>
        </r>
      </text>
    </comment>
    <comment ref="X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  Sum GD AN &amp; GD OR</t>
        </r>
      </text>
    </comment>
    <comment ref="Z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5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See "Plant Additions - Cognos for 11.1.19 update" 
calculated based on % of gas additions for Oregon only.</t>
        </r>
      </text>
    </comment>
    <comment ref="V1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 - includes locally assessed property (like last year)</t>
        </r>
      </text>
    </comment>
  </commentList>
</comments>
</file>

<file path=xl/comments11.xml><?xml version="1.0" encoding="utf-8"?>
<comments xmlns="http://schemas.openxmlformats.org/spreadsheetml/2006/main">
  <authors>
    <author>Author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new forecast model  - and $763k adjustment per Ryan's meeting.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forecast model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new forecast model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forecast model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>old vs new forecast model change - added in $763k addition per meeting with Ryan 12/13.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vs new forecast model change</t>
        </r>
      </text>
    </comment>
    <comment ref="M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provide to forecast team</t>
        </r>
      </text>
    </comment>
    <comment ref="N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this provides forecast team with no additional change to budget overall since last time… just moves between state/jurisdictions.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don't update to forecast team 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don't update to forecast team 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don't update to forecast team </t>
        </r>
      </text>
    </comment>
    <comment ref="R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don't update to forecast team </t>
        </r>
      </text>
    </comment>
  </commentList>
</comments>
</file>

<file path=xl/comments12.xml><?xml version="1.0" encoding="utf-8"?>
<comments xmlns="http://schemas.openxmlformats.org/spreadsheetml/2006/main">
  <authors>
    <author>Author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new forecast model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forecast model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new forecast model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forecast model</t>
        </r>
      </text>
    </comment>
    <comment ref="N32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  <r>
          <rPr>
            <sz val="9"/>
            <color indexed="81"/>
            <rFont val="Tahoma"/>
            <family val="2"/>
          </rPr>
          <t>old vs new forecast model change</t>
        </r>
      </text>
    </comment>
    <comment ref="N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old vs new forecast model change</t>
        </r>
      </text>
    </comment>
  </commentList>
</comments>
</file>

<file path=xl/comments13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update, but use new forcast model on monthly forecast spreadsheet.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NEW FORECAST MODEL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
Clear since already included in assessment amount above.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Clear since already included in assessment amount above.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Clear since already included in assessment amount above.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in March with new statements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amounts will change from above - </t>
        </r>
        <r>
          <rPr>
            <b/>
            <sz val="9"/>
            <color indexed="81"/>
            <rFont val="Tahoma"/>
            <family val="2"/>
          </rPr>
          <t>need to add back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pay Idaho in December</t>
        </r>
      </text>
    </comment>
    <comment ref="X5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update based on amounts from formula
</t>
        </r>
        <r>
          <rPr>
            <b/>
            <sz val="9"/>
            <color indexed="81"/>
            <rFont val="Tahoma"/>
            <family val="2"/>
          </rPr>
          <t xml:space="preserve">
need to update with ED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all payments are in</t>
        </r>
      </text>
    </comment>
    <comment ref="V9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V10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X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  Sum GD AN &amp; GD OR</t>
        </r>
      </text>
    </comment>
    <comment ref="Z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X1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change based on cells in formula - update on monthly file</t>
        </r>
      </text>
    </comment>
    <comment ref="V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when pay in December</t>
        </r>
      </text>
    </comment>
    <comment ref="X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  Sum GD AN &amp; GD OR</t>
        </r>
      </text>
    </comment>
    <comment ref="Z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5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See "Plant Additions - Cognos for 11.1.19 update" 
calculated based on % of gas additions for Oregon only.</t>
        </r>
      </text>
    </comment>
    <comment ref="V1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 - includes locally assessed property (like last year)</t>
        </r>
      </text>
    </comment>
  </commentList>
</comments>
</file>

<file path=xl/comments14.xml><?xml version="1.0" encoding="utf-8"?>
<comments xmlns="http://schemas.openxmlformats.org/spreadsheetml/2006/main">
  <authors>
    <author>Author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</commentList>
</comments>
</file>

<file path=xl/comments15.xml><?xml version="1.0" encoding="utf-8"?>
<comments xmlns="http://schemas.openxmlformats.org/spreadsheetml/2006/main">
  <authors>
    <author>Author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</commentList>
</comments>
</file>

<file path=xl/comments16.xml><?xml version="1.0" encoding="utf-8"?>
<comments xmlns="http://schemas.openxmlformats.org/spreadsheetml/2006/main">
  <authors>
    <author>Author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</commentList>
</comments>
</file>

<file path=xl/comments17.xml><?xml version="1.0" encoding="utf-8"?>
<comments xmlns="http://schemas.openxmlformats.org/spreadsheetml/2006/main">
  <authors>
    <author>Author</author>
  </authors>
  <commentLis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update, but use new forcast model on monthly forecast spreadsheet.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8/20 final valuation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BACK AFTER 11.01.19 FORECAST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matches cert report, so doesn't exclude tca 8888 (tribal land)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why is this not 1,157,010,697 and matches cert report?
Diff is TCA 8888, which is tribal trust land according to Don's comment.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updated with "B120 Avista Elec by TCA 2019" workbook.
Total Cert = $1,234,752,192
Total TCA 8888 (tribal trust land by filtering State TCA column) = $3,489,148
Net Total = $1,231,263,044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X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adjustment increase per Ryan's meeting 12/13 - amt is equal to ID/OR/WA-GD true-ups.  This is the gross up of the $763k addition.
7/2: TOOK OUT ADJ WHEN GIVEN PRELIM VALUATION.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in March with new statements
4/23/20: Use "Wa2020 payments" workbook.  Take Electric Totals in cell K:68 and divide by Equalized Value (amount above) on this spreadsheet.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franchise adjustment taken at system level, not state level.</t>
        </r>
      </text>
    </comment>
    <comment ref="X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-$1k plug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pay Idaho in December</t>
        </r>
      </text>
    </comment>
    <comment ref="X6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vehicles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all payments are in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non-op in forecast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don't include non-op in new forecast process.</t>
        </r>
      </text>
    </comment>
    <comment ref="X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I be updating this?  Just keeping it the same for now… total Oregon Electric matches final valuation.</t>
        </r>
      </text>
    </comment>
    <comment ref="V9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V10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Z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V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updated with "C50 Avista Gas by TCA 2019" workbook.
Total Cert = $306,603,362
Total TCA 8888 (tribal trust land by filtering State TCA column) = $264,563
Net Total = $306,338,799</t>
        </r>
      </text>
    </comment>
    <comment ref="V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Use "Wa2020 payments" workbook.  Take Gas Totals in cell K:69 and divide by Equalized Value (amount above) on this spreadsheet.</t>
        </r>
      </text>
    </comment>
    <comment ref="V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when pay in December</t>
        </r>
      </text>
    </comment>
    <comment ref="Z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V1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 - includes locally assessed property (like last year)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Q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after WA was paid</t>
        </r>
      </text>
    </comment>
    <comment ref="Q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new forecast model  - and $763k adjustment per Ryan's meeting.
Memo was never adjusted… so look to 12/10 forecast amt for comparison to current.
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 was never adjusted… so look to 12/10 forecast amt for comparison to current.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 change from prelim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change from prelim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after working to reduce valuation </t>
        </r>
      </text>
    </comment>
    <comment ref="F43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12/10/19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update, but use new forcast model on monthly forecast spreadsheet.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6/30 prelim valuation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BACK AFTER 11.01.19 FORECAST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X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$7k plug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matches cert report, so doesn't exclude tca 8888 (tribal land)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why is this not 1,157,010,697 and matches cert report?
Diff is TCA 8888, which is tribal trust land according to Don's comment.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updated with "B120 Avista Elec by TCA 2019" workbook.
Total Cert = $1,234,752,192
Total TCA 8888 (tribal trust land by filtering State TCA column) = $3,489,148
Net Total = $1,231,263,044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X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adjustment increase per Ryan's meeting 12/13 - amt is equal to ID/OR/WA-GD true-ups.  This is the gross up of the $763k addition.
7/2: TOOK OUT ADJ WHEN GIVEN PRELIM VALUATION.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in March with new statements
4/23/20: Use "Wa2020 payments" workbook.  Take Electric Totals in cell K:68 and divide by Equalized Value (amount above) on this spreadsheet.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franchise adjustment taken at system level, not state level.</t>
        </r>
      </text>
    </comment>
    <comment ref="X4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-$1k plug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pay Idaho in December</t>
        </r>
      </text>
    </comment>
    <comment ref="X6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vehicles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all payments are in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non-op in forecast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don't include non-op in new forecast process.</t>
        </r>
      </text>
    </comment>
    <comment ref="X8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I be updating this?  Just keeping it the same for now… total Oregon Electric matches final valuation.</t>
        </r>
      </text>
    </comment>
    <comment ref="V9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V10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Z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X12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-$2k plug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V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updated with "C50 Avista Gas by TCA 2019" workbook.
Total Cert = $306,603,362
Total TCA 8888 (tribal trust land by filtering State TCA column) = $264,563
Net Total = $306,338,799</t>
        </r>
      </text>
    </comment>
    <comment ref="V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Use "Wa2020 payments" workbook.  Take Gas Totals in cell K:69 and divide by Equalized Value (amount above) on this spreadsheet.</t>
        </r>
      </text>
    </comment>
    <comment ref="V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when pay in December</t>
        </r>
      </text>
    </comment>
    <comment ref="Z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V1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 - includes locally assessed property (like last year)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after WA was paid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new forecast model  - and $763k adjustment per Ryan's meeting.
Memo was never adjusted… so look to 12/10 forecast amt for comparison to current.
</t>
        </r>
      </text>
    </comment>
    <comment ref="K1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Memo was never adjusted… so look to 12/10 forecast amt for comparison to current.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change from prelim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after working to reduce valuation </t>
        </r>
      </text>
    </comment>
  </commentList>
</comments>
</file>

<file path=xl/comments6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update, but use new forcast model on monthly forecast spreadsheet.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NEW FORECAST MODEL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
Clear since already included in assessment amount above.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Clear since already included in assessment amount above.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Clear since already included in assessment amount above.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Clear since already included in assessment amount above.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BACK AFTER 11.01.19 FORECAST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matches cert report, so doesn't exclude tca 8888 (tribal land)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why is this not 1,157,010,697 and matches cert report?
Diff is TCA 8888, which is tribal trust land according to Don's comment.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updated with "B120 Avista Elec by TCA 2019" workbook.
Total Cert = $1,234,752,192
Total TCA 8888 (tribal trust land by filtering State TCA column) = $3,489,148
Net Total = $1,231,263,044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X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adjustment increase per Ryan's meeting 12/13 - amt is equal to ID/OR/WA-GD true-ups.  This is the gross up of the $763k addition.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in March with new statements
4/23/20: Use "Wa2020 payments" workbook.  Take Electric Totals in cell K:68 and divide by Equalized Value (amount above) on this spreadsheet.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pay Idaho in December</t>
        </r>
      </text>
    </comment>
    <comment ref="X6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vehicles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all payments are in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non-op in forecast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don't include non-op in new forecast process.</t>
        </r>
      </text>
    </comment>
    <comment ref="V9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V10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X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  Sum GD AN &amp; GD OR</t>
        </r>
      </text>
    </comment>
    <comment ref="Z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V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updated with "C50 Avista Gas by TCA 2019" workbook.
Total Cert = $306,603,362
Total TCA 8888 (tribal trust land by filtering State TCA column) = $264,563
Net Total = $306,338,799</t>
        </r>
      </text>
    </comment>
    <comment ref="V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Use "Wa2020 payments" workbook.  Take Gas Totals in cell K:69 and divide by Equalized Value (amount above) on this spreadsheet.</t>
        </r>
      </text>
    </comment>
    <comment ref="V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when pay in December</t>
        </r>
      </text>
    </comment>
    <comment ref="Z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V1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 - includes locally assessed property (like last year)</t>
        </r>
      </text>
    </comment>
  </commentList>
</comments>
</file>

<file path=xl/comments7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update, but use new forcast model on monthly forecast spreadsheet.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NEW FORECAST MODEL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
Clear since already included in assessment amount above.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Clear since already included in assessment amount above.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Clear since already included in assessment amount above.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Clear since already included in assessment amount above.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BACK AFTER 11.01.19 FORECAST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matches cert report, so doesn't exclude tca 8888 (tribal land)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why is this not 1,157,010,697 and matches cert report?
Diff is TCA 8888, which is tribal trust land according to Don's comment.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updated with "B120 Avista Elec by TCA 2019" workbook.
Total Cert = $1,234,752,192
Total TCA 8888 (tribal trust land by filtering State TCA column) = $3,489,148
Net Total = $1,231,263,044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X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adjustment increase per Ryan's meeting 12/13 - amt is equal to ID/OR/WA-GD true-ups.  This is the gross up of the $763k addition.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in March with new statements
4/23/20: Use "Wa2020 payments" workbook.  Take Electric Totals in cell K:68 and divide by Equalized Value (amount above) on this spreadsheet.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
</t>
        </r>
      </text>
    </comment>
    <comment ref="X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</t>
        </r>
      </text>
    </comment>
    <comment ref="X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pay Idaho in December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all payments are in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non-op in forecast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don't include non-op in new forecast process.</t>
        </r>
      </text>
    </comment>
    <comment ref="V9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V10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X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  Sum GD AN &amp; GD OR</t>
        </r>
      </text>
    </comment>
    <comment ref="Z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V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updated with "C50 Avista Gas by TCA 2019" workbook.
Total Cert = $306,603,362
Total TCA 8888 (tribal trust land by filtering State TCA column) = $264,563
Net Total = $306,338,799</t>
        </r>
      </text>
    </comment>
    <comment ref="V1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4/23/20: Use "Wa2020 payments" workbook.  Take Gas Totals in cell K:69 and divide by Equalized Value (amount above) on this spreadsheet.</t>
        </r>
      </text>
    </comment>
    <comment ref="X1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change based on cells in formula - update on monthly file</t>
        </r>
      </text>
    </comment>
    <comment ref="V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when pay in December</t>
        </r>
      </text>
    </comment>
    <comment ref="X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  Sum GD AN &amp; GD OR</t>
        </r>
      </text>
    </comment>
    <comment ref="Z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5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See "Plant Additions - Cognos for 11.1.19 update" 
calculated based on % of gas additions for Oregon only.</t>
        </r>
      </text>
    </comment>
    <comment ref="V1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 - includes locally assessed property (like last year)</t>
        </r>
      </text>
    </comment>
  </commentList>
</comments>
</file>

<file path=xl/comments8.xml><?xml version="1.0" encoding="utf-8"?>
<comments xmlns="http://schemas.openxmlformats.org/spreadsheetml/2006/main">
  <authors>
    <author>Author</author>
  </authors>
  <commentList>
    <comment ref="N7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new forecast model  - and $763k adjustment per Ryan's meeting.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new forecast model</t>
        </r>
      </text>
    </comment>
    <comment ref="K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after working to reduce valuation </t>
        </r>
      </text>
    </comment>
    <comment ref="F3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 change from prelim</t>
        </r>
      </text>
    </comment>
  </commentList>
</comments>
</file>

<file path=xl/comments9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update, but use new forcast model on monthly forecast spreadsheet.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BASED ON NEW FORECAST MODEL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
Clear since already included in assessment amount above.</t>
        </r>
      </text>
    </comment>
    <comment ref="Z1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Clear since already included in assessment amount above.</t>
        </r>
      </text>
    </comment>
    <comment ref="Z1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Clear since already included in assessment amount above.</t>
        </r>
      </text>
    </comment>
    <comment ref="Z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Clear since already included in assessment amount above.</t>
        </r>
      </text>
    </comment>
    <comment ref="Z1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ADDED BACK AFTER 11.01.19 FORECAST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X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X2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X2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from new forecast model</t>
        </r>
      </text>
    </comment>
    <comment ref="A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R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matches cert report, so doesn't exclude tca 8888 (tribal land)</t>
        </r>
      </text>
    </comment>
    <comment ref="T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why is this not 1,157,010,697 and matches cert report?
Diff is TCA 8888, which is tribal trust land according to Don's comment.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add 1,234,752,192 later since now known from cert report.  Amt could be further reduced by TCA 8888 (tribal trust land)….like last year.  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Not sure why this line is here.  Left over fromYvonne.</t>
        </r>
      </text>
    </comment>
    <comment ref="X2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adjustment increase per Ryan's meeting 12/13 - amt is equal to ID/OR/WA-GD true-ups.  This is the gross up of the $763k addition.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in March with new statements</t>
        </r>
      </text>
    </comment>
    <comment ref="X3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
</t>
        </r>
      </text>
    </comment>
    <comment ref="X4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</t>
        </r>
      </text>
    </comment>
    <comment ref="X4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
</t>
        </r>
      </text>
    </comment>
    <comment ref="V5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pay Idaho in December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after all payments are in</t>
        </r>
      </text>
    </comment>
    <comment ref="V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includes non-op in forecast</t>
        </r>
      </text>
    </comment>
    <comment ref="X7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we don't include non-op in new forecast process.</t>
        </r>
      </text>
    </comment>
    <comment ref="V9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9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V10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1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</t>
        </r>
      </text>
    </comment>
    <comment ref="X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  Sum GD AN &amp; GD OR</t>
        </r>
      </text>
    </comment>
    <comment ref="Z11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A12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licensed vehicles, Tribal exemption, exempt software.</t>
        </r>
      </text>
    </comment>
    <comment ref="A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Certification report comes separate from annual assessment report</t>
        </r>
      </text>
    </comment>
    <comment ref="V12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add 293,333,504 later since now known from cert report.  Amt could be further reduced by TCA 8888 (tribal trust land).  </t>
        </r>
      </text>
    </comment>
    <comment ref="X13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will change based on cells in formula - update on monthly file</t>
        </r>
      </text>
    </comment>
    <comment ref="V14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 when pay in December</t>
        </r>
      </text>
    </comment>
    <comment ref="X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Cognos (thru 9/30) &amp; Frank's new Q2 UI Planner (Q4).  Sum GD AN &amp; GD OR</t>
        </r>
      </text>
    </comment>
    <comment ref="Z15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UI Planner Transfers 2019 Budget 6-29-2019 updated for Q2 TTP</t>
        </r>
      </text>
    </comment>
    <comment ref="X15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See "Plant Additions - Cognos for 11.1.19 update" 
calculated based on % of gas additions for Oregon only.</t>
        </r>
      </text>
    </comment>
    <comment ref="V16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updated with known since just paid Oregon - 
use the similar "formula" type as T:93 … back in using tax due to get the tax rate.</t>
        </r>
      </text>
    </comment>
    <comment ref="V165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match what we paid - includes locally assessed property (like last year)</t>
        </r>
      </text>
    </comment>
  </commentList>
</comments>
</file>

<file path=xl/sharedStrings.xml><?xml version="1.0" encoding="utf-8"?>
<sst xmlns="http://schemas.openxmlformats.org/spreadsheetml/2006/main" count="5088" uniqueCount="266">
  <si>
    <t>REVISED</t>
  </si>
  <si>
    <t xml:space="preserve"> </t>
  </si>
  <si>
    <t>at 5/18/2016</t>
  </si>
  <si>
    <t>in thousands</t>
  </si>
  <si>
    <t>BOOK VALUE @ DEC</t>
  </si>
  <si>
    <t>YEAR ASSESSED</t>
  </si>
  <si>
    <t>YEAR TAX ACCRUED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</si>
  <si>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</si>
  <si>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</si>
  <si>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</si>
  <si>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</si>
  <si>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</si>
  <si>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</si>
  <si>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</si>
  <si>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</si>
  <si>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</si>
  <si>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</si>
  <si>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</si>
  <si>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</si>
  <si>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2010 Actual</t>
  </si>
  <si>
    <t>2011 Actual</t>
  </si>
  <si>
    <t>2012 Actual</t>
  </si>
  <si>
    <t>2013 ACTUALS</t>
  </si>
  <si>
    <t>2014 ACTUALS</t>
  </si>
  <si>
    <t>2015 ACTUALS</t>
  </si>
  <si>
    <t>2018 Estimate</t>
  </si>
  <si>
    <t>2019 Estimate</t>
  </si>
  <si>
    <t>2020 Estimate</t>
  </si>
  <si>
    <t>2021 Estimate</t>
  </si>
  <si>
    <t>WASHINGTON - ELECTRIC</t>
  </si>
  <si>
    <t>HIST COST INDICATOR</t>
  </si>
  <si>
    <t>ESTIMATED SYSTEM VALUE</t>
  </si>
  <si>
    <t>ADD : NET ADDITIONS TO PLANT</t>
  </si>
  <si>
    <t>LESS: Intangibles Other</t>
  </si>
  <si>
    <t>ADD : Smart Grid CIAC</t>
  </si>
  <si>
    <t>LESS : Vehicles</t>
  </si>
  <si>
    <t>LESS : DEPR EST (see Form 1 page 115 rounded)</t>
  </si>
  <si>
    <t>TAXABLE PERCENTAGE</t>
  </si>
  <si>
    <t>STATE ALLOCATION %</t>
  </si>
  <si>
    <t>ALLOCATED VALUE</t>
  </si>
  <si>
    <t>add:adjustments</t>
  </si>
  <si>
    <t>GROSS ASSESSED VALUE</t>
  </si>
  <si>
    <t>ASSESSED VALUE</t>
  </si>
  <si>
    <t>OTHER</t>
  </si>
  <si>
    <t>TAX RATE</t>
  </si>
  <si>
    <t>TAX</t>
  </si>
  <si>
    <t>2010 ACTUAL</t>
  </si>
  <si>
    <t>2013 Actual</t>
  </si>
  <si>
    <t>2014 Actual</t>
  </si>
  <si>
    <t>2015 Actual</t>
  </si>
  <si>
    <t>2016 ACTUAL</t>
  </si>
  <si>
    <t>IDAHO - ELECTRIC</t>
  </si>
  <si>
    <t>LESS : DEPR EST</t>
  </si>
  <si>
    <t>LESS : OTHER</t>
  </si>
  <si>
    <t>AMENDED VALUE</t>
  </si>
  <si>
    <t>RATIO</t>
  </si>
  <si>
    <t>MONTANA - ELECTRIC</t>
  </si>
  <si>
    <t>(combine  E &amp; G)</t>
  </si>
  <si>
    <t>ADD : NET ADDITIONS TO PLANT - E &amp; G</t>
  </si>
  <si>
    <t>LESS : INTANGIBLE EST</t>
  </si>
  <si>
    <t>add: adjustments</t>
  </si>
  <si>
    <t>EQUALIZATION FACTOR</t>
  </si>
  <si>
    <t>GROSS MARKET VALUE</t>
  </si>
  <si>
    <t>taxable VALUE</t>
  </si>
  <si>
    <t>adjustments</t>
  </si>
  <si>
    <t>taxable value</t>
  </si>
  <si>
    <t>OREGON - ELECTRIC</t>
  </si>
  <si>
    <t>10/11 ACTUAL</t>
  </si>
  <si>
    <t>11/12 Actual</t>
  </si>
  <si>
    <t>12/13 Actual</t>
  </si>
  <si>
    <t>13/14 Actual</t>
  </si>
  <si>
    <t>14/15 Actual</t>
  </si>
  <si>
    <t>15/16 Actual</t>
  </si>
  <si>
    <t>16/17 Actual</t>
  </si>
  <si>
    <t>19/20 Estimate</t>
  </si>
  <si>
    <t>(Imnaha transmission line)</t>
  </si>
  <si>
    <t>ADD : LOLO-OXBOW TRANSMISSION LINE - LOCATION 640 (ptn in ID, ptn in OR)</t>
  </si>
  <si>
    <t>ADD: POLL CONTROL EQUIP</t>
  </si>
  <si>
    <t>Coyote Springs II &amp; misc</t>
  </si>
  <si>
    <t>LESS : DEPR</t>
  </si>
  <si>
    <t>ADD : 100% CS II GENERATING PLANT March 1, 2003 ?</t>
  </si>
  <si>
    <t>na</t>
  </si>
  <si>
    <t>Other Misc property taxes</t>
  </si>
  <si>
    <t>In Lieu of Ad Valorem Taxes for 5 year staring in 2003 - Flat Rate</t>
  </si>
  <si>
    <t>Estimated levy rate</t>
  </si>
  <si>
    <t>% ownership of plant</t>
  </si>
  <si>
    <t>Tax due from Avista Corp</t>
  </si>
  <si>
    <t>WASHINGTON - GAS</t>
  </si>
  <si>
    <t xml:space="preserve">2010 Actual </t>
  </si>
  <si>
    <t>2013 Actuals</t>
  </si>
  <si>
    <t>2014 Actuals</t>
  </si>
  <si>
    <t>2015 Actuals</t>
  </si>
  <si>
    <t>LESS : DEPR EST(see Form 1 pg 115 - Rounded)</t>
  </si>
  <si>
    <t>IDAHO - GAS</t>
  </si>
  <si>
    <t>OREGON - GAS</t>
  </si>
  <si>
    <t>ESTIMATED STATE VALUE</t>
  </si>
  <si>
    <t>ADD : NET ADDs TO PLANT (OREGON ONLY)</t>
  </si>
  <si>
    <t>STATE VALUE</t>
  </si>
  <si>
    <t>Adjustments:</t>
  </si>
  <si>
    <t>at 10/13/2015</t>
  </si>
  <si>
    <t>SUMMARY:</t>
  </si>
  <si>
    <t xml:space="preserve">Actual </t>
  </si>
  <si>
    <t>Actual</t>
  </si>
  <si>
    <t>Estimate</t>
  </si>
  <si>
    <t>ELECTRIC:</t>
  </si>
  <si>
    <t xml:space="preserve">     WASHINGTON</t>
  </si>
  <si>
    <t xml:space="preserve">     EST ADJ TO WASH</t>
  </si>
  <si>
    <t xml:space="preserve">     IDAHO</t>
  </si>
  <si>
    <t xml:space="preserve">     MONTANA</t>
  </si>
  <si>
    <t xml:space="preserve">     OREGON - Transm line only</t>
  </si>
  <si>
    <t xml:space="preserve">     OREGON - Coyote Springs II</t>
  </si>
  <si>
    <t xml:space="preserve">          SUBTOTAL</t>
  </si>
  <si>
    <t>GAS:</t>
  </si>
  <si>
    <t xml:space="preserve">     WASHINGTON </t>
  </si>
  <si>
    <t xml:space="preserve">     OREGON</t>
  </si>
  <si>
    <t>TOTAL EST TAX</t>
  </si>
  <si>
    <t>Uses 2% levy increases</t>
  </si>
  <si>
    <t>at 05/02/2017</t>
  </si>
  <si>
    <t>HIST COST INDICATOR-State Assessment</t>
  </si>
  <si>
    <t>STATE ALLOCATION % - 3 Factor calculation - page 9 of WA Appraisal</t>
  </si>
  <si>
    <t>**EQUALIZED VALUE per state Certification Report</t>
  </si>
  <si>
    <t>equalization factor (state adj to reflect annual assessment impacts)</t>
  </si>
  <si>
    <t>TAXABLE PERCENTAGE - Total Plant net of Exemptions- page 3 of WA Appraisal</t>
  </si>
  <si>
    <t>ASSESSED VALUE - (for county taxation)</t>
  </si>
  <si>
    <t>TAX RATE (actuals from WA payment summary sheet - wgted rate)</t>
  </si>
  <si>
    <t>2017-2021</t>
  </si>
  <si>
    <t>ASSESSED VALUE OREGON</t>
  </si>
  <si>
    <t>ASSESSED VALUE - before Intangible adj</t>
  </si>
  <si>
    <t>2016 ACTUALS</t>
  </si>
  <si>
    <t>2016 Actuals</t>
  </si>
  <si>
    <t>ACTUAL</t>
  </si>
  <si>
    <t>2017 Actuals</t>
  </si>
  <si>
    <t>at 08/13/2018</t>
  </si>
  <si>
    <t>17/18 Actual</t>
  </si>
  <si>
    <t>17/18 Actuals</t>
  </si>
  <si>
    <t>2022 Estimate</t>
  </si>
  <si>
    <t>20/21 Estimate</t>
  </si>
  <si>
    <t>21/22 Estimate</t>
  </si>
  <si>
    <t>22/23 Estimate</t>
  </si>
  <si>
    <r>
      <t xml:space="preserve">ASSESSED VALUE - </t>
    </r>
    <r>
      <rPr>
        <b/>
        <u/>
        <sz val="11"/>
        <rFont val="Calibri"/>
        <family val="2"/>
        <scheme val="minor"/>
      </rPr>
      <t>after</t>
    </r>
    <r>
      <rPr>
        <b/>
        <sz val="11"/>
        <rFont val="Calibri"/>
        <family val="2"/>
        <scheme val="minor"/>
      </rPr>
      <t xml:space="preserve"> Intangible adj</t>
    </r>
  </si>
  <si>
    <r>
      <t>RATIO (</t>
    </r>
    <r>
      <rPr>
        <b/>
        <sz val="11"/>
        <color rgb="FF0000CC"/>
        <rFont val="Calibri"/>
        <family val="2"/>
        <scheme val="minor"/>
      </rPr>
      <t>see County allocation report</t>
    </r>
    <r>
      <rPr>
        <b/>
        <sz val="11"/>
        <rFont val="Calibri"/>
        <family val="2"/>
        <scheme val="minor"/>
      </rPr>
      <t>)</t>
    </r>
  </si>
  <si>
    <t>at 08/17/2018</t>
  </si>
  <si>
    <t>Uses 1% levy increases</t>
  </si>
  <si>
    <t>Uses 1.5% levy increases</t>
  </si>
  <si>
    <t>2022-2023</t>
  </si>
  <si>
    <t>2018-2023</t>
  </si>
  <si>
    <t>at 01/10/2019</t>
  </si>
  <si>
    <t xml:space="preserve">YEAR TAX PAYABLE </t>
  </si>
  <si>
    <t>2018 Actuals</t>
  </si>
  <si>
    <t>2018 Actual</t>
  </si>
  <si>
    <t>18/19 Actual</t>
  </si>
  <si>
    <r>
      <t xml:space="preserve">PROPERTY TAX ESTIMATES FOR </t>
    </r>
    <r>
      <rPr>
        <b/>
        <u/>
        <sz val="11"/>
        <color indexed="12"/>
        <rFont val="Calibri"/>
        <family val="2"/>
        <scheme val="minor"/>
      </rPr>
      <t xml:space="preserve">5YR FORECAST </t>
    </r>
    <r>
      <rPr>
        <b/>
        <sz val="10"/>
        <color indexed="12"/>
        <rFont val="Helv"/>
      </rPr>
      <t/>
    </r>
  </si>
  <si>
    <t>2023-2024</t>
  </si>
  <si>
    <t>2023 Estimate</t>
  </si>
  <si>
    <t>at 05/01/2019</t>
  </si>
  <si>
    <t>Property Tax Forecast Comparison</t>
  </si>
  <si>
    <t>01.10.19 Forecast</t>
  </si>
  <si>
    <t>Electric</t>
  </si>
  <si>
    <t>WA</t>
  </si>
  <si>
    <t>ID</t>
  </si>
  <si>
    <t>MT</t>
  </si>
  <si>
    <t>OR</t>
  </si>
  <si>
    <t>Electric Total</t>
  </si>
  <si>
    <t>Gas</t>
  </si>
  <si>
    <t>Gas Total</t>
  </si>
  <si>
    <t>Total</t>
  </si>
  <si>
    <t>05.01.19 Forecast</t>
  </si>
  <si>
    <t>wa Gas</t>
  </si>
  <si>
    <t>WA ED</t>
  </si>
  <si>
    <t>ID ED</t>
  </si>
  <si>
    <t>ID GD</t>
  </si>
  <si>
    <t>MT ED</t>
  </si>
  <si>
    <t>at 06/01/2019</t>
  </si>
  <si>
    <t>06.01.19 Forecast</t>
  </si>
  <si>
    <t>01.01.19 Budget</t>
  </si>
  <si>
    <t>Change from Budget</t>
  </si>
  <si>
    <t>2024-2025</t>
  </si>
  <si>
    <t>2024 Estimate</t>
  </si>
  <si>
    <t>23/24 Estimate</t>
  </si>
  <si>
    <t>24/25 Estimate</t>
  </si>
  <si>
    <t>Change from 5.1.19</t>
  </si>
  <si>
    <t>ID/OR/MT</t>
  </si>
  <si>
    <t>ID/OR</t>
  </si>
  <si>
    <t>New</t>
  </si>
  <si>
    <t>Delta</t>
  </si>
  <si>
    <t>WA E</t>
  </si>
  <si>
    <t>WA G</t>
  </si>
  <si>
    <t>at 07/17/2019</t>
  </si>
  <si>
    <t>07.17.19 Forecast</t>
  </si>
  <si>
    <t>Less: 2018 WA levy rate change</t>
  </si>
  <si>
    <t>Less: 1/2 OR 2019/20 (mid year)</t>
  </si>
  <si>
    <t>Add: 1/2 OR 2018/19 (mid year)</t>
  </si>
  <si>
    <t>Estimated 2019 Prop Tax Expense</t>
  </si>
  <si>
    <t>Change from 7.17.19</t>
  </si>
  <si>
    <t>at 11/1/2019</t>
  </si>
  <si>
    <t>at 11/01/2019</t>
  </si>
  <si>
    <t>at 12/10/2019</t>
  </si>
  <si>
    <t>12.10.19 Forecast</t>
  </si>
  <si>
    <t>12.10.19 vs 07.17.19 Net Change in Forecast</t>
  </si>
  <si>
    <t>ID/OR/WA-GD true-ups to move to WA-ED:</t>
  </si>
  <si>
    <t>ID/OR/WA-GD true-ups to move into WA-ED:</t>
  </si>
  <si>
    <t>at 04/23/2020</t>
  </si>
  <si>
    <t>4.23.20 Forecast</t>
  </si>
  <si>
    <t xml:space="preserve">   WA E</t>
  </si>
  <si>
    <t xml:space="preserve">   WA G</t>
  </si>
  <si>
    <t>no change</t>
  </si>
  <si>
    <t>at 06/16/2020</t>
  </si>
  <si>
    <t>updated from 6/8 prelim valuation</t>
  </si>
  <si>
    <t>6.16.20 Forecast</t>
  </si>
  <si>
    <t>to be rec'vd end of June</t>
  </si>
  <si>
    <t xml:space="preserve">   ID E</t>
  </si>
  <si>
    <t xml:space="preserve">   ID G</t>
  </si>
  <si>
    <t xml:space="preserve">   OR E</t>
  </si>
  <si>
    <t xml:space="preserve">   OR G</t>
  </si>
  <si>
    <t xml:space="preserve">   MT E</t>
  </si>
  <si>
    <t>Change from 4.23.20</t>
  </si>
  <si>
    <t>based on 6/8 prelim value</t>
  </si>
  <si>
    <t>updated from 6/12 final valuation</t>
  </si>
  <si>
    <t>based on 6/12 final value</t>
  </si>
  <si>
    <t>updated from 5/26 prelim valuation</t>
  </si>
  <si>
    <t>Original</t>
  </si>
  <si>
    <t>Final</t>
  </si>
  <si>
    <t>Savings</t>
  </si>
  <si>
    <t>Amount from States</t>
  </si>
  <si>
    <t>based on 6/30 final value</t>
  </si>
  <si>
    <t>based on 5/26 final value</t>
  </si>
  <si>
    <t>at 07/02/2020</t>
  </si>
  <si>
    <t>based on 6/30 prelim value</t>
  </si>
  <si>
    <t>looking to 12/10 forecast</t>
  </si>
  <si>
    <t>…why does Dan show $1,957 - new?</t>
  </si>
  <si>
    <t>updated from 6/16 prelim valuation</t>
  </si>
  <si>
    <t>no updated</t>
  </si>
  <si>
    <t>updated from 6/30 prelim valuation</t>
  </si>
  <si>
    <t>based on 6/30 prelim valuation</t>
  </si>
  <si>
    <t>Dates Received</t>
  </si>
  <si>
    <t>n/a</t>
  </si>
  <si>
    <t>6/30/20</t>
  </si>
  <si>
    <t>Change</t>
  </si>
  <si>
    <t>5/26/20</t>
  </si>
  <si>
    <t>Forecasted</t>
  </si>
  <si>
    <t>State Original</t>
  </si>
  <si>
    <t>Tax to Pay</t>
  </si>
  <si>
    <t xml:space="preserve">Valuation Amount </t>
  </si>
  <si>
    <t>forecast</t>
  </si>
  <si>
    <t>6/8/20</t>
  </si>
  <si>
    <t>6/12/20</t>
  </si>
  <si>
    <t>5/21/20</t>
  </si>
  <si>
    <t>over/(under)</t>
  </si>
  <si>
    <t>7.06.20 Forecast</t>
  </si>
  <si>
    <t>based on 7/9 final value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</si>
  <si>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rgb="FFFF0000"/>
        <rFont val="Calibri"/>
        <family val="2"/>
        <scheme val="minor"/>
      </rPr>
      <t xml:space="preserve"> 7/24/20 - per Ryan's directive, decreased monthly spreadsheet</t>
    </r>
  </si>
  <si>
    <t>by $1M and provided to forecasting.</t>
  </si>
  <si>
    <t>based on 8/20 final valuation</t>
  </si>
  <si>
    <t>8.20.20 Forecast</t>
  </si>
  <si>
    <t>Change from 7.06.20</t>
  </si>
  <si>
    <t>based on 8/20 final value</t>
  </si>
  <si>
    <t>based on 6/8 final value</t>
  </si>
  <si>
    <t>TOTAL</t>
  </si>
  <si>
    <t>Valuation Amount (000's)</t>
  </si>
  <si>
    <t>8/20/20</t>
  </si>
  <si>
    <t>7/9/20</t>
  </si>
  <si>
    <t>based on 7/9 final valuation</t>
  </si>
  <si>
    <t>based on 6/12 final valuation</t>
  </si>
  <si>
    <t>based on 6/30 final valuation</t>
  </si>
  <si>
    <t>based on 6/8 final valuation</t>
  </si>
  <si>
    <t>based on 5/26 final valuation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</si>
</sst>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0.0000%"/>
    <numFmt numFmtId="166" formatCode="0.00000%"/>
    <numFmt numFmtId="167" formatCode="0.000"/>
    <numFmt numFmtId="168" formatCode="0.0000"/>
    <numFmt numFmtId="169" formatCode="0.000000"/>
    <numFmt numFmtId="170" formatCode="0.00000"/>
    <numFmt numFmtId="171" formatCode="0.000000%"/>
    <numFmt numFmtId="172" formatCode="0.000%"/>
    <numFmt numFmtId="173" formatCode="#,##0.0"/>
    <numFmt numFmtId="174" formatCode="_(* #,##0_);_(* \(#,##0\);_(* &quot;-&quot;??_);_(@_)"/>
    <numFmt numFmtId="175" formatCode="#,##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12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rgb="FF660066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990033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6">
    <xf numFmtId="0" fontId="0" fillId="0" borderId="0" xfId="0"/>
    <xf numFmtId="164" fontId="0" fillId="0" borderId="0" xfId="2" applyNumberFormat="1" applyFont="1"/>
    <xf numFmtId="164" fontId="0" fillId="0" borderId="0" xfId="2" applyNumberFormat="1" applyFont="1" applyFill="1"/>
    <xf numFmtId="164" fontId="0" fillId="0" borderId="0" xfId="2" applyNumberFormat="1" applyFont="1" applyBorder="1"/>
    <xf numFmtId="164" fontId="0" fillId="0" borderId="0" xfId="2" applyNumberFormat="1" applyFont="1" applyFill="1" applyBorder="1"/>
    <xf numFmtId="164" fontId="0" fillId="0" borderId="0" xfId="2" applyNumberFormat="1" applyFont="1" applyFill="1" applyAlignment="1">
      <alignment horizontal="center"/>
    </xf>
    <xf numFmtId="164" fontId="0" fillId="0" borderId="11" xfId="2" applyNumberFormat="1" applyFont="1" applyBorder="1"/>
    <xf numFmtId="164" fontId="0" fillId="0" borderId="13" xfId="2" applyNumberFormat="1" applyFont="1" applyBorder="1"/>
    <xf numFmtId="164" fontId="0" fillId="0" borderId="13" xfId="2" applyNumberFormat="1" applyFont="1" applyFill="1" applyBorder="1"/>
    <xf numFmtId="0" fontId="5" fillId="0" borderId="0" xfId="0" applyFont="1"/>
    <xf numFmtId="10" fontId="0" fillId="0" borderId="0" xfId="2" applyNumberFormat="1" applyFont="1"/>
    <xf numFmtId="0" fontId="5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Font="1" applyBorder="1"/>
    <xf numFmtId="0" fontId="0" fillId="0" borderId="6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7" xfId="0" applyFont="1" applyBorder="1"/>
    <xf numFmtId="0" fontId="7" fillId="2" borderId="1" xfId="0" applyFont="1" applyFill="1" applyBorder="1" applyAlignment="1">
      <alignment horizontal="center"/>
    </xf>
    <xf numFmtId="0" fontId="5" fillId="0" borderId="0" xfId="0" applyFont="1" applyBorder="1"/>
    <xf numFmtId="0" fontId="7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2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4" fontId="5" fillId="0" borderId="5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4" fontId="9" fillId="0" borderId="5" xfId="2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4" borderId="4" xfId="0" quotePrefix="1" applyFont="1" applyFill="1" applyBorder="1" applyAlignment="1">
      <alignment horizontal="center"/>
    </xf>
    <xf numFmtId="0" fontId="5" fillId="0" borderId="4" xfId="0" quotePrefix="1" applyFont="1" applyFill="1" applyBorder="1" applyAlignment="1">
      <alignment horizontal="center"/>
    </xf>
    <xf numFmtId="164" fontId="5" fillId="0" borderId="4" xfId="2" quotePrefix="1" applyNumberFormat="1" applyFont="1" applyFill="1" applyBorder="1" applyAlignment="1">
      <alignment horizontal="center"/>
    </xf>
    <xf numFmtId="0" fontId="9" fillId="0" borderId="7" xfId="0" applyFont="1" applyBorder="1"/>
    <xf numFmtId="0" fontId="9" fillId="4" borderId="8" xfId="0" applyFont="1" applyFill="1" applyBorder="1"/>
    <xf numFmtId="0" fontId="9" fillId="0" borderId="8" xfId="0" applyFont="1" applyFill="1" applyBorder="1"/>
    <xf numFmtId="164" fontId="9" fillId="0" borderId="8" xfId="2" applyNumberFormat="1" applyFont="1" applyFill="1" applyBorder="1"/>
    <xf numFmtId="0" fontId="9" fillId="0" borderId="9" xfId="0" applyFont="1" applyBorder="1"/>
    <xf numFmtId="0" fontId="9" fillId="4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4" fontId="10" fillId="0" borderId="8" xfId="2" applyNumberFormat="1" applyFont="1" applyFill="1" applyBorder="1" applyAlignment="1">
      <alignment horizontal="center"/>
    </xf>
    <xf numFmtId="0" fontId="11" fillId="0" borderId="9" xfId="0" applyFont="1" applyBorder="1"/>
    <xf numFmtId="0" fontId="5" fillId="4" borderId="5" xfId="0" applyFont="1" applyFill="1" applyBorder="1"/>
    <xf numFmtId="0" fontId="9" fillId="4" borderId="5" xfId="0" applyFont="1" applyFill="1" applyBorder="1"/>
    <xf numFmtId="0" fontId="9" fillId="0" borderId="5" xfId="0" applyFont="1" applyFill="1" applyBorder="1"/>
    <xf numFmtId="164" fontId="5" fillId="0" borderId="5" xfId="2" applyNumberFormat="1" applyFont="1" applyFill="1" applyBorder="1"/>
    <xf numFmtId="0" fontId="5" fillId="0" borderId="5" xfId="0" applyFont="1" applyFill="1" applyBorder="1"/>
    <xf numFmtId="0" fontId="12" fillId="4" borderId="5" xfId="0" applyFont="1" applyFill="1" applyBorder="1" applyAlignment="1">
      <alignment horizontal="center"/>
    </xf>
    <xf numFmtId="164" fontId="12" fillId="0" borderId="5" xfId="2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3" fontId="9" fillId="4" borderId="5" xfId="0" applyNumberFormat="1" applyFont="1" applyFill="1" applyBorder="1" applyAlignment="1">
      <alignment horizontal="right"/>
    </xf>
    <xf numFmtId="3" fontId="9" fillId="0" borderId="5" xfId="0" applyNumberFormat="1" applyFont="1" applyFill="1" applyBorder="1" applyAlignment="1">
      <alignment horizontal="right"/>
    </xf>
    <xf numFmtId="164" fontId="12" fillId="0" borderId="5" xfId="2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164" fontId="9" fillId="0" borderId="5" xfId="2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3" fontId="12" fillId="4" borderId="5" xfId="0" applyNumberFormat="1" applyFont="1" applyFill="1" applyBorder="1" applyAlignment="1">
      <alignment horizontal="right"/>
    </xf>
    <xf numFmtId="0" fontId="9" fillId="0" borderId="9" xfId="0" applyFont="1" applyFill="1" applyBorder="1"/>
    <xf numFmtId="3" fontId="12" fillId="5" borderId="5" xfId="0" applyNumberFormat="1" applyFont="1" applyFill="1" applyBorder="1" applyAlignment="1">
      <alignment horizontal="right"/>
    </xf>
    <xf numFmtId="3" fontId="9" fillId="4" borderId="8" xfId="0" applyNumberFormat="1" applyFont="1" applyFill="1" applyBorder="1" applyAlignment="1">
      <alignment horizontal="right"/>
    </xf>
    <xf numFmtId="3" fontId="12" fillId="4" borderId="8" xfId="0" applyNumberFormat="1" applyFont="1" applyFill="1" applyBorder="1" applyAlignment="1">
      <alignment horizontal="right"/>
    </xf>
    <xf numFmtId="3" fontId="12" fillId="0" borderId="8" xfId="0" applyNumberFormat="1" applyFont="1" applyFill="1" applyBorder="1" applyAlignment="1">
      <alignment horizontal="right"/>
    </xf>
    <xf numFmtId="164" fontId="12" fillId="0" borderId="8" xfId="2" applyNumberFormat="1" applyFont="1" applyFill="1" applyBorder="1" applyAlignment="1">
      <alignment horizontal="right"/>
    </xf>
    <xf numFmtId="3" fontId="5" fillId="4" borderId="8" xfId="0" applyNumberFormat="1" applyFont="1" applyFill="1" applyBorder="1" applyAlignment="1">
      <alignment horizontal="right"/>
    </xf>
    <xf numFmtId="3" fontId="9" fillId="0" borderId="8" xfId="0" applyNumberFormat="1" applyFont="1" applyFill="1" applyBorder="1" applyAlignment="1">
      <alignment horizontal="right"/>
    </xf>
    <xf numFmtId="164" fontId="9" fillId="0" borderId="8" xfId="2" applyNumberFormat="1" applyFont="1" applyFill="1" applyBorder="1" applyAlignment="1">
      <alignment horizontal="right"/>
    </xf>
    <xf numFmtId="3" fontId="12" fillId="5" borderId="8" xfId="0" applyNumberFormat="1" applyFont="1" applyFill="1" applyBorder="1" applyAlignment="1">
      <alignment horizontal="right"/>
    </xf>
    <xf numFmtId="165" fontId="9" fillId="4" borderId="5" xfId="0" applyNumberFormat="1" applyFont="1" applyFill="1" applyBorder="1" applyAlignment="1">
      <alignment horizontal="right"/>
    </xf>
    <xf numFmtId="165" fontId="9" fillId="0" borderId="5" xfId="0" applyNumberFormat="1" applyFont="1" applyFill="1" applyBorder="1" applyAlignment="1">
      <alignment horizontal="right"/>
    </xf>
    <xf numFmtId="166" fontId="9" fillId="4" borderId="5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horizontal="right"/>
    </xf>
    <xf numFmtId="165" fontId="9" fillId="4" borderId="8" xfId="0" applyNumberFormat="1" applyFont="1" applyFill="1" applyBorder="1" applyAlignment="1">
      <alignment horizontal="right"/>
    </xf>
    <xf numFmtId="165" fontId="9" fillId="0" borderId="8" xfId="0" applyNumberFormat="1" applyFont="1" applyFill="1" applyBorder="1" applyAlignment="1">
      <alignment horizontal="right"/>
    </xf>
    <xf numFmtId="164" fontId="13" fillId="0" borderId="8" xfId="2" applyNumberFormat="1" applyFont="1" applyFill="1" applyBorder="1" applyAlignment="1">
      <alignment horizontal="right"/>
    </xf>
    <xf numFmtId="166" fontId="9" fillId="4" borderId="8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167" fontId="9" fillId="4" borderId="8" xfId="0" applyNumberFormat="1" applyFont="1" applyFill="1" applyBorder="1" applyAlignment="1">
      <alignment horizontal="right"/>
    </xf>
    <xf numFmtId="168" fontId="9" fillId="4" borderId="8" xfId="0" applyNumberFormat="1" applyFont="1" applyFill="1" applyBorder="1" applyAlignment="1">
      <alignment horizontal="right"/>
    </xf>
    <xf numFmtId="168" fontId="10" fillId="0" borderId="8" xfId="0" applyNumberFormat="1" applyFont="1" applyFill="1" applyBorder="1" applyAlignment="1">
      <alignment horizontal="right"/>
    </xf>
    <xf numFmtId="167" fontId="12" fillId="0" borderId="8" xfId="0" applyNumberFormat="1" applyFont="1" applyFill="1" applyBorder="1" applyAlignment="1">
      <alignment horizontal="right"/>
    </xf>
    <xf numFmtId="3" fontId="9" fillId="4" borderId="4" xfId="0" applyNumberFormat="1" applyFont="1" applyFill="1" applyBorder="1" applyAlignment="1">
      <alignment horizontal="right"/>
    </xf>
    <xf numFmtId="3" fontId="9" fillId="0" borderId="4" xfId="0" applyNumberFormat="1" applyFont="1" applyFill="1" applyBorder="1" applyAlignment="1">
      <alignment horizontal="right"/>
    </xf>
    <xf numFmtId="164" fontId="12" fillId="0" borderId="4" xfId="2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10" fontId="7" fillId="4" borderId="0" xfId="2" applyNumberFormat="1" applyFont="1" applyFill="1"/>
    <xf numFmtId="169" fontId="9" fillId="4" borderId="8" xfId="0" applyNumberFormat="1" applyFont="1" applyFill="1" applyBorder="1" applyAlignment="1">
      <alignment horizontal="right"/>
    </xf>
    <xf numFmtId="170" fontId="9" fillId="4" borderId="8" xfId="0" applyNumberFormat="1" applyFont="1" applyFill="1" applyBorder="1" applyAlignment="1">
      <alignment horizontal="right"/>
    </xf>
    <xf numFmtId="164" fontId="8" fillId="4" borderId="0" xfId="2" applyNumberFormat="1" applyFont="1" applyFill="1"/>
    <xf numFmtId="170" fontId="12" fillId="0" borderId="0" xfId="0" applyNumberFormat="1" applyFont="1" applyFill="1" applyBorder="1" applyAlignment="1">
      <alignment horizontal="right"/>
    </xf>
    <xf numFmtId="164" fontId="14" fillId="4" borderId="0" xfId="2" applyNumberFormat="1" applyFont="1" applyFill="1"/>
    <xf numFmtId="0" fontId="5" fillId="4" borderId="5" xfId="0" applyFont="1" applyFill="1" applyBorder="1" applyAlignment="1">
      <alignment horizontal="right"/>
    </xf>
    <xf numFmtId="0" fontId="9" fillId="4" borderId="5" xfId="0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3" fontId="9" fillId="4" borderId="10" xfId="0" applyNumberFormat="1" applyFont="1" applyFill="1" applyBorder="1"/>
    <xf numFmtId="3" fontId="12" fillId="0" borderId="10" xfId="0" applyNumberFormat="1" applyFont="1" applyFill="1" applyBorder="1"/>
    <xf numFmtId="164" fontId="12" fillId="0" borderId="10" xfId="2" applyNumberFormat="1" applyFont="1" applyFill="1" applyBorder="1"/>
    <xf numFmtId="0" fontId="5" fillId="4" borderId="11" xfId="0" applyFont="1" applyFill="1" applyBorder="1"/>
    <xf numFmtId="0" fontId="5" fillId="0" borderId="11" xfId="0" applyFont="1" applyFill="1" applyBorder="1"/>
    <xf numFmtId="164" fontId="5" fillId="0" borderId="11" xfId="2" applyNumberFormat="1" applyFont="1" applyFill="1" applyBorder="1"/>
    <xf numFmtId="0" fontId="9" fillId="0" borderId="11" xfId="0" applyFont="1" applyFill="1" applyBorder="1" applyAlignment="1">
      <alignment horizontal="center"/>
    </xf>
    <xf numFmtId="0" fontId="9" fillId="0" borderId="5" xfId="0" applyFont="1" applyBorder="1"/>
    <xf numFmtId="0" fontId="9" fillId="0" borderId="8" xfId="0" applyFont="1" applyFill="1" applyBorder="1" applyAlignment="1">
      <alignment horizontal="center"/>
    </xf>
    <xf numFmtId="0" fontId="11" fillId="0" borderId="5" xfId="0" applyFont="1" applyBorder="1"/>
    <xf numFmtId="164" fontId="10" fillId="0" borderId="5" xfId="2" applyNumberFormat="1" applyFont="1" applyFill="1" applyBorder="1" applyAlignment="1">
      <alignment horizontal="right"/>
    </xf>
    <xf numFmtId="3" fontId="10" fillId="4" borderId="5" xfId="0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64" fontId="6" fillId="0" borderId="5" xfId="2" applyNumberFormat="1" applyFont="1" applyFill="1" applyBorder="1" applyAlignment="1">
      <alignment horizontal="right"/>
    </xf>
    <xf numFmtId="3" fontId="10" fillId="3" borderId="8" xfId="0" applyNumberFormat="1" applyFont="1" applyFill="1" applyBorder="1" applyAlignment="1">
      <alignment horizontal="center"/>
    </xf>
    <xf numFmtId="171" fontId="9" fillId="4" borderId="8" xfId="0" applyNumberFormat="1" applyFont="1" applyFill="1" applyBorder="1" applyAlignment="1">
      <alignment horizontal="right"/>
    </xf>
    <xf numFmtId="165" fontId="9" fillId="3" borderId="8" xfId="0" applyNumberFormat="1" applyFont="1" applyFill="1" applyBorder="1" applyAlignment="1">
      <alignment horizontal="right"/>
    </xf>
    <xf numFmtId="3" fontId="9" fillId="3" borderId="5" xfId="0" applyNumberFormat="1" applyFont="1" applyFill="1" applyBorder="1" applyAlignment="1">
      <alignment horizontal="right"/>
    </xf>
    <xf numFmtId="3" fontId="9" fillId="3" borderId="8" xfId="0" applyNumberFormat="1" applyFont="1" applyFill="1" applyBorder="1" applyAlignment="1">
      <alignment horizontal="right"/>
    </xf>
    <xf numFmtId="2" fontId="9" fillId="4" borderId="8" xfId="0" applyNumberFormat="1" applyFont="1" applyFill="1" applyBorder="1" applyAlignment="1">
      <alignment horizontal="right"/>
    </xf>
    <xf numFmtId="2" fontId="9" fillId="0" borderId="8" xfId="0" applyNumberFormat="1" applyFont="1" applyFill="1" applyBorder="1" applyAlignment="1">
      <alignment horizontal="right"/>
    </xf>
    <xf numFmtId="2" fontId="12" fillId="0" borderId="8" xfId="0" applyNumberFormat="1" applyFont="1" applyFill="1" applyBorder="1" applyAlignment="1">
      <alignment horizontal="right"/>
    </xf>
    <xf numFmtId="172" fontId="14" fillId="4" borderId="0" xfId="2" applyNumberFormat="1" applyFont="1" applyFill="1"/>
    <xf numFmtId="170" fontId="9" fillId="0" borderId="0" xfId="0" applyNumberFormat="1" applyFont="1" applyFill="1" applyBorder="1" applyAlignment="1">
      <alignment horizontal="right"/>
    </xf>
    <xf numFmtId="10" fontId="8" fillId="4" borderId="0" xfId="2" applyNumberFormat="1" applyFont="1" applyFill="1"/>
    <xf numFmtId="0" fontId="9" fillId="0" borderId="5" xfId="0" applyFont="1" applyFill="1" applyBorder="1" applyAlignment="1">
      <alignment horizontal="right"/>
    </xf>
    <xf numFmtId="0" fontId="9" fillId="0" borderId="8" xfId="0" applyFont="1" applyBorder="1"/>
    <xf numFmtId="3" fontId="9" fillId="0" borderId="10" xfId="0" applyNumberFormat="1" applyFont="1" applyFill="1" applyBorder="1"/>
    <xf numFmtId="0" fontId="9" fillId="0" borderId="0" xfId="0" applyFont="1"/>
    <xf numFmtId="0" fontId="5" fillId="4" borderId="0" xfId="0" applyFont="1" applyFill="1" applyBorder="1"/>
    <xf numFmtId="0" fontId="5" fillId="0" borderId="0" xfId="0" applyFont="1" applyFill="1" applyBorder="1"/>
    <xf numFmtId="164" fontId="5" fillId="0" borderId="0" xfId="2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3" fontId="9" fillId="4" borderId="12" xfId="0" applyNumberFormat="1" applyFont="1" applyFill="1" applyBorder="1"/>
    <xf numFmtId="3" fontId="9" fillId="0" borderId="12" xfId="0" applyNumberFormat="1" applyFont="1" applyFill="1" applyBorder="1"/>
    <xf numFmtId="164" fontId="10" fillId="0" borderId="12" xfId="2" applyNumberFormat="1" applyFont="1" applyFill="1" applyBorder="1"/>
    <xf numFmtId="3" fontId="10" fillId="0" borderId="12" xfId="0" applyNumberFormat="1" applyFont="1" applyFill="1" applyBorder="1"/>
    <xf numFmtId="164" fontId="9" fillId="0" borderId="12" xfId="2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3" fontId="12" fillId="6" borderId="5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right"/>
    </xf>
    <xf numFmtId="2" fontId="9" fillId="0" borderId="5" xfId="0" applyNumberFormat="1" applyFont="1" applyFill="1" applyBorder="1" applyAlignment="1">
      <alignment horizontal="right"/>
    </xf>
    <xf numFmtId="2" fontId="12" fillId="0" borderId="5" xfId="0" applyNumberFormat="1" applyFont="1" applyFill="1" applyBorder="1" applyAlignment="1">
      <alignment horizontal="right"/>
    </xf>
    <xf numFmtId="0" fontId="9" fillId="0" borderId="9" xfId="0" quotePrefix="1" applyFont="1" applyBorder="1" applyAlignment="1">
      <alignment horizontal="left"/>
    </xf>
    <xf numFmtId="168" fontId="5" fillId="0" borderId="8" xfId="0" applyNumberFormat="1" applyFont="1" applyFill="1" applyBorder="1" applyAlignment="1">
      <alignment horizontal="right"/>
    </xf>
    <xf numFmtId="168" fontId="12" fillId="0" borderId="8" xfId="0" applyNumberFormat="1" applyFont="1" applyFill="1" applyBorder="1" applyAlignment="1">
      <alignment horizontal="right"/>
    </xf>
    <xf numFmtId="168" fontId="8" fillId="0" borderId="8" xfId="0" applyNumberFormat="1" applyFont="1" applyFill="1" applyBorder="1" applyAlignment="1">
      <alignment horizontal="right"/>
    </xf>
    <xf numFmtId="168" fontId="9" fillId="3" borderId="8" xfId="0" applyNumberFormat="1" applyFont="1" applyFill="1" applyBorder="1" applyAlignment="1">
      <alignment horizontal="right"/>
    </xf>
    <xf numFmtId="164" fontId="8" fillId="0" borderId="8" xfId="2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164" fontId="8" fillId="0" borderId="5" xfId="2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10" fontId="14" fillId="4" borderId="0" xfId="2" applyNumberFormat="1" applyFont="1" applyFill="1"/>
    <xf numFmtId="172" fontId="8" fillId="4" borderId="0" xfId="2" applyNumberFormat="1" applyFont="1" applyFill="1"/>
    <xf numFmtId="0" fontId="9" fillId="0" borderId="0" xfId="0" applyFont="1" applyBorder="1"/>
    <xf numFmtId="3" fontId="5" fillId="0" borderId="0" xfId="0" applyNumberFormat="1" applyFon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9" fillId="0" borderId="8" xfId="2" applyNumberFormat="1" applyFont="1" applyFill="1" applyBorder="1" applyAlignment="1">
      <alignment horizontal="center"/>
    </xf>
    <xf numFmtId="164" fontId="9" fillId="0" borderId="5" xfId="2" applyNumberFormat="1" applyFont="1" applyFill="1" applyBorder="1"/>
    <xf numFmtId="168" fontId="9" fillId="0" borderId="8" xfId="0" applyNumberFormat="1" applyFont="1" applyFill="1" applyBorder="1" applyAlignment="1">
      <alignment horizontal="right"/>
    </xf>
    <xf numFmtId="164" fontId="9" fillId="0" borderId="4" xfId="2" applyNumberFormat="1" applyFont="1" applyFill="1" applyBorder="1" applyAlignment="1">
      <alignment horizontal="right"/>
    </xf>
    <xf numFmtId="3" fontId="9" fillId="4" borderId="8" xfId="0" applyNumberFormat="1" applyFont="1" applyFill="1" applyBorder="1"/>
    <xf numFmtId="3" fontId="9" fillId="0" borderId="8" xfId="0" applyNumberFormat="1" applyFont="1" applyFill="1" applyBorder="1"/>
    <xf numFmtId="164" fontId="12" fillId="0" borderId="8" xfId="2" applyNumberFormat="1" applyFont="1" applyFill="1" applyBorder="1"/>
    <xf numFmtId="3" fontId="12" fillId="0" borderId="8" xfId="0" applyNumberFormat="1" applyFont="1" applyFill="1" applyBorder="1"/>
    <xf numFmtId="173" fontId="9" fillId="4" borderId="8" xfId="0" applyNumberFormat="1" applyFont="1" applyFill="1" applyBorder="1"/>
    <xf numFmtId="173" fontId="9" fillId="0" borderId="8" xfId="0" applyNumberFormat="1" applyFont="1" applyFill="1" applyBorder="1"/>
    <xf numFmtId="3" fontId="5" fillId="4" borderId="0" xfId="0" applyNumberFormat="1" applyFont="1" applyFill="1" applyBorder="1" applyAlignment="1">
      <alignment horizontal="center"/>
    </xf>
    <xf numFmtId="0" fontId="11" fillId="0" borderId="4" xfId="0" applyFont="1" applyBorder="1"/>
    <xf numFmtId="0" fontId="9" fillId="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64" fontId="10" fillId="0" borderId="12" xfId="2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4" borderId="4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3" fontId="9" fillId="4" borderId="5" xfId="1" applyNumberFormat="1" applyFont="1" applyFill="1" applyBorder="1"/>
    <xf numFmtId="3" fontId="9" fillId="0" borderId="0" xfId="1" applyNumberFormat="1" applyFont="1" applyFill="1" applyBorder="1"/>
    <xf numFmtId="164" fontId="12" fillId="0" borderId="0" xfId="2" applyNumberFormat="1" applyFont="1" applyFill="1" applyBorder="1"/>
    <xf numFmtId="3" fontId="12" fillId="0" borderId="5" xfId="1" applyNumberFormat="1" applyFont="1" applyFill="1" applyBorder="1"/>
    <xf numFmtId="3" fontId="9" fillId="0" borderId="5" xfId="1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164" fontId="12" fillId="0" borderId="0" xfId="2" applyNumberFormat="1" applyFont="1" applyFill="1" applyBorder="1" applyAlignment="1">
      <alignment horizontal="right"/>
    </xf>
    <xf numFmtId="3" fontId="9" fillId="4" borderId="5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3" fontId="12" fillId="0" borderId="5" xfId="1" applyNumberFormat="1" applyFont="1" applyFill="1" applyBorder="1" applyAlignment="1">
      <alignment horizontal="right"/>
    </xf>
    <xf numFmtId="3" fontId="9" fillId="0" borderId="5" xfId="1" applyNumberFormat="1" applyFont="1" applyFill="1" applyBorder="1" applyAlignment="1">
      <alignment horizontal="right"/>
    </xf>
    <xf numFmtId="10" fontId="9" fillId="4" borderId="8" xfId="2" applyNumberFormat="1" applyFont="1" applyFill="1" applyBorder="1" applyAlignment="1">
      <alignment horizontal="center"/>
    </xf>
    <xf numFmtId="10" fontId="9" fillId="0" borderId="0" xfId="2" applyNumberFormat="1" applyFont="1" applyFill="1" applyBorder="1" applyAlignment="1">
      <alignment horizontal="center"/>
    </xf>
    <xf numFmtId="10" fontId="5" fillId="4" borderId="8" xfId="2" applyNumberFormat="1" applyFont="1" applyFill="1" applyBorder="1" applyAlignment="1">
      <alignment horizontal="center"/>
    </xf>
    <xf numFmtId="10" fontId="9" fillId="0" borderId="8" xfId="2" applyNumberFormat="1" applyFont="1" applyFill="1" applyBorder="1" applyAlignment="1">
      <alignment horizontal="center"/>
    </xf>
    <xf numFmtId="1" fontId="9" fillId="4" borderId="12" xfId="2" applyNumberFormat="1" applyFont="1" applyFill="1" applyBorder="1"/>
    <xf numFmtId="1" fontId="9" fillId="0" borderId="0" xfId="2" applyNumberFormat="1" applyFont="1" applyFill="1" applyBorder="1"/>
    <xf numFmtId="1" fontId="5" fillId="4" borderId="12" xfId="2" applyNumberFormat="1" applyFont="1" applyFill="1" applyBorder="1"/>
    <xf numFmtId="1" fontId="9" fillId="0" borderId="12" xfId="2" applyNumberFormat="1" applyFont="1" applyFill="1" applyBorder="1"/>
    <xf numFmtId="0" fontId="9" fillId="4" borderId="12" xfId="0" applyFont="1" applyFill="1" applyBorder="1"/>
    <xf numFmtId="0" fontId="9" fillId="0" borderId="0" xfId="0" applyFont="1" applyFill="1" applyBorder="1"/>
    <xf numFmtId="0" fontId="5" fillId="4" borderId="12" xfId="0" applyFont="1" applyFill="1" applyBorder="1"/>
    <xf numFmtId="0" fontId="9" fillId="0" borderId="12" xfId="0" applyFont="1" applyFill="1" applyBorder="1"/>
    <xf numFmtId="10" fontId="8" fillId="4" borderId="12" xfId="2" applyNumberFormat="1" applyFont="1" applyFill="1" applyBorder="1"/>
    <xf numFmtId="9" fontId="9" fillId="4" borderId="12" xfId="2" applyFont="1" applyFill="1" applyBorder="1"/>
    <xf numFmtId="9" fontId="9" fillId="0" borderId="0" xfId="2" applyFont="1" applyFill="1" applyBorder="1"/>
    <xf numFmtId="9" fontId="9" fillId="0" borderId="12" xfId="2" applyFont="1" applyFill="1" applyBorder="1"/>
    <xf numFmtId="9" fontId="9" fillId="4" borderId="8" xfId="2" applyFont="1" applyFill="1" applyBorder="1"/>
    <xf numFmtId="9" fontId="9" fillId="0" borderId="8" xfId="2" applyFont="1" applyFill="1" applyBorder="1"/>
    <xf numFmtId="3" fontId="9" fillId="0" borderId="0" xfId="0" applyNumberFormat="1" applyFont="1" applyFill="1" applyBorder="1"/>
    <xf numFmtId="164" fontId="10" fillId="0" borderId="0" xfId="2" applyNumberFormat="1" applyFont="1" applyFill="1" applyBorder="1"/>
    <xf numFmtId="3" fontId="12" fillId="4" borderId="5" xfId="0" applyNumberFormat="1" applyFont="1" applyFill="1" applyBorder="1" applyAlignment="1">
      <alignment horizontal="center"/>
    </xf>
    <xf numFmtId="165" fontId="5" fillId="0" borderId="0" xfId="2" applyNumberFormat="1" applyFont="1"/>
    <xf numFmtId="165" fontId="9" fillId="4" borderId="8" xfId="2" applyNumberFormat="1" applyFont="1" applyFill="1" applyBorder="1" applyAlignment="1">
      <alignment horizontal="right"/>
    </xf>
    <xf numFmtId="165" fontId="10" fillId="0" borderId="8" xfId="2" applyNumberFormat="1" applyFont="1" applyFill="1" applyBorder="1" applyAlignment="1">
      <alignment horizontal="right"/>
    </xf>
    <xf numFmtId="165" fontId="12" fillId="0" borderId="8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10" fontId="14" fillId="0" borderId="0" xfId="2" applyNumberFormat="1" applyFont="1" applyFill="1"/>
    <xf numFmtId="164" fontId="14" fillId="0" borderId="0" xfId="2" applyNumberFormat="1" applyFont="1" applyFill="1"/>
    <xf numFmtId="170" fontId="5" fillId="4" borderId="8" xfId="0" applyNumberFormat="1" applyFont="1" applyFill="1" applyBorder="1" applyAlignment="1">
      <alignment horizontal="right"/>
    </xf>
    <xf numFmtId="164" fontId="9" fillId="4" borderId="0" xfId="2" applyNumberFormat="1" applyFont="1" applyFill="1"/>
    <xf numFmtId="0" fontId="9" fillId="0" borderId="4" xfId="0" applyFont="1" applyBorder="1"/>
    <xf numFmtId="0" fontId="5" fillId="4" borderId="4" xfId="0" applyFont="1" applyFill="1" applyBorder="1"/>
    <xf numFmtId="0" fontId="9" fillId="4" borderId="4" xfId="0" applyFont="1" applyFill="1" applyBorder="1"/>
    <xf numFmtId="0" fontId="5" fillId="0" borderId="4" xfId="0" applyFont="1" applyFill="1" applyBorder="1"/>
    <xf numFmtId="164" fontId="5" fillId="0" borderId="4" xfId="2" applyNumberFormat="1" applyFont="1" applyFill="1" applyBorder="1"/>
    <xf numFmtId="0" fontId="16" fillId="0" borderId="5" xfId="0" applyFont="1" applyBorder="1"/>
    <xf numFmtId="3" fontId="5" fillId="4" borderId="4" xfId="0" applyNumberFormat="1" applyFont="1" applyFill="1" applyBorder="1" applyAlignment="1">
      <alignment horizontal="right"/>
    </xf>
    <xf numFmtId="0" fontId="17" fillId="0" borderId="0" xfId="0" applyFont="1" applyFill="1" applyBorder="1"/>
    <xf numFmtId="164" fontId="9" fillId="0" borderId="12" xfId="2" applyNumberFormat="1" applyFont="1" applyFill="1" applyBorder="1" applyAlignment="1">
      <alignment horizontal="center"/>
    </xf>
    <xf numFmtId="10" fontId="9" fillId="4" borderId="5" xfId="0" applyNumberFormat="1" applyFont="1" applyFill="1" applyBorder="1" applyAlignment="1">
      <alignment horizontal="right"/>
    </xf>
    <xf numFmtId="10" fontId="9" fillId="0" borderId="5" xfId="0" applyNumberFormat="1" applyFont="1" applyFill="1" applyBorder="1" applyAlignment="1">
      <alignment horizontal="right"/>
    </xf>
    <xf numFmtId="10" fontId="12" fillId="0" borderId="5" xfId="0" applyNumberFormat="1" applyFont="1" applyFill="1" applyBorder="1" applyAlignment="1">
      <alignment horizontal="right"/>
    </xf>
    <xf numFmtId="167" fontId="9" fillId="0" borderId="8" xfId="0" applyNumberFormat="1" applyFont="1" applyFill="1" applyBorder="1" applyAlignment="1">
      <alignment horizontal="right"/>
    </xf>
    <xf numFmtId="3" fontId="5" fillId="4" borderId="10" xfId="0" applyNumberFormat="1" applyFont="1" applyFill="1" applyBorder="1"/>
    <xf numFmtId="164" fontId="9" fillId="0" borderId="10" xfId="2" applyNumberFormat="1" applyFont="1" applyFill="1" applyBorder="1"/>
    <xf numFmtId="0" fontId="9" fillId="0" borderId="0" xfId="0" applyFont="1" applyFill="1"/>
    <xf numFmtId="0" fontId="17" fillId="0" borderId="0" xfId="0" applyFont="1" applyFill="1"/>
    <xf numFmtId="0" fontId="5" fillId="0" borderId="13" xfId="0" applyFont="1" applyBorder="1"/>
    <xf numFmtId="0" fontId="18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9" fillId="0" borderId="9" xfId="0" quotePrefix="1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0" borderId="9" xfId="0" applyFont="1" applyFill="1" applyBorder="1"/>
    <xf numFmtId="0" fontId="9" fillId="0" borderId="11" xfId="0" applyFont="1" applyFill="1" applyBorder="1"/>
    <xf numFmtId="0" fontId="9" fillId="0" borderId="16" xfId="0" applyFont="1" applyFill="1" applyBorder="1"/>
    <xf numFmtId="164" fontId="9" fillId="0" borderId="11" xfId="2" applyNumberFormat="1" applyFont="1" applyFill="1" applyBorder="1"/>
    <xf numFmtId="0" fontId="7" fillId="0" borderId="3" xfId="0" applyFont="1" applyFill="1" applyBorder="1" applyAlignment="1">
      <alignment horizontal="center"/>
    </xf>
    <xf numFmtId="0" fontId="9" fillId="0" borderId="15" xfId="0" applyFont="1" applyFill="1" applyBorder="1"/>
    <xf numFmtId="164" fontId="9" fillId="0" borderId="15" xfId="2" applyNumberFormat="1" applyFont="1" applyFill="1" applyBorder="1"/>
    <xf numFmtId="0" fontId="10" fillId="0" borderId="4" xfId="0" applyFont="1" applyFill="1" applyBorder="1" applyAlignment="1">
      <alignment horizontal="center"/>
    </xf>
    <xf numFmtId="164" fontId="10" fillId="0" borderId="4" xfId="2" applyNumberFormat="1" applyFont="1" applyFill="1" applyBorder="1" applyAlignment="1">
      <alignment horizontal="center"/>
    </xf>
    <xf numFmtId="3" fontId="9" fillId="4" borderId="5" xfId="0" applyNumberFormat="1" applyFont="1" applyFill="1" applyBorder="1"/>
    <xf numFmtId="3" fontId="12" fillId="0" borderId="5" xfId="0" applyNumberFormat="1" applyFont="1" applyFill="1" applyBorder="1"/>
    <xf numFmtId="164" fontId="12" fillId="0" borderId="5" xfId="2" applyNumberFormat="1" applyFont="1" applyFill="1" applyBorder="1"/>
    <xf numFmtId="3" fontId="10" fillId="0" borderId="5" xfId="0" applyNumberFormat="1" applyFont="1" applyFill="1" applyBorder="1"/>
    <xf numFmtId="164" fontId="10" fillId="0" borderId="5" xfId="2" applyNumberFormat="1" applyFont="1" applyFill="1" applyBorder="1"/>
    <xf numFmtId="3" fontId="21" fillId="4" borderId="5" xfId="0" applyNumberFormat="1" applyFont="1" applyFill="1" applyBorder="1"/>
    <xf numFmtId="3" fontId="5" fillId="4" borderId="5" xfId="0" applyNumberFormat="1" applyFont="1" applyFill="1" applyBorder="1"/>
    <xf numFmtId="3" fontId="9" fillId="0" borderId="5" xfId="0" applyNumberFormat="1" applyFont="1" applyFill="1" applyBorder="1"/>
    <xf numFmtId="3" fontId="9" fillId="2" borderId="5" xfId="0" applyNumberFormat="1" applyFont="1" applyFill="1" applyBorder="1"/>
    <xf numFmtId="173" fontId="9" fillId="4" borderId="5" xfId="0" applyNumberFormat="1" applyFont="1" applyFill="1" applyBorder="1"/>
    <xf numFmtId="173" fontId="9" fillId="0" borderId="5" xfId="0" applyNumberFormat="1" applyFont="1" applyFill="1" applyBorder="1"/>
    <xf numFmtId="3" fontId="10" fillId="0" borderId="8" xfId="0" applyNumberFormat="1" applyFont="1" applyFill="1" applyBorder="1"/>
    <xf numFmtId="164" fontId="10" fillId="0" borderId="8" xfId="2" applyNumberFormat="1" applyFont="1" applyFill="1" applyBorder="1"/>
    <xf numFmtId="3" fontId="9" fillId="2" borderId="10" xfId="0" applyNumberFormat="1" applyFont="1" applyFill="1" applyBorder="1"/>
    <xf numFmtId="0" fontId="22" fillId="0" borderId="1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64" fontId="5" fillId="0" borderId="15" xfId="2" applyNumberFormat="1" applyFont="1" applyFill="1" applyBorder="1" applyAlignment="1">
      <alignment horizontal="center"/>
    </xf>
    <xf numFmtId="0" fontId="5" fillId="0" borderId="11" xfId="0" applyFont="1" applyBorder="1"/>
    <xf numFmtId="3" fontId="9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/>
    <xf numFmtId="164" fontId="9" fillId="0" borderId="16" xfId="2" applyNumberFormat="1" applyFont="1" applyFill="1" applyBorder="1"/>
    <xf numFmtId="164" fontId="5" fillId="0" borderId="0" xfId="2" applyNumberFormat="1" applyFont="1" applyFill="1"/>
    <xf numFmtId="172" fontId="9" fillId="0" borderId="8" xfId="2" applyNumberFormat="1" applyFont="1" applyFill="1" applyBorder="1" applyAlignment="1">
      <alignment horizontal="right"/>
    </xf>
    <xf numFmtId="170" fontId="9" fillId="0" borderId="8" xfId="0" applyNumberFormat="1" applyFont="1" applyFill="1" applyBorder="1" applyAlignment="1">
      <alignment horizontal="right"/>
    </xf>
    <xf numFmtId="164" fontId="8" fillId="0" borderId="0" xfId="2" applyNumberFormat="1" applyFont="1" applyFill="1"/>
    <xf numFmtId="169" fontId="9" fillId="0" borderId="8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3" fontId="5" fillId="0" borderId="5" xfId="0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7" borderId="0" xfId="0" applyFont="1" applyFill="1"/>
    <xf numFmtId="0" fontId="10" fillId="7" borderId="8" xfId="0" applyFont="1" applyFill="1" applyBorder="1" applyAlignment="1">
      <alignment horizontal="center"/>
    </xf>
    <xf numFmtId="172" fontId="9" fillId="7" borderId="8" xfId="2" applyNumberFormat="1" applyFont="1" applyFill="1" applyBorder="1" applyAlignment="1">
      <alignment horizontal="right"/>
    </xf>
    <xf numFmtId="170" fontId="9" fillId="7" borderId="8" xfId="0" applyNumberFormat="1" applyFont="1" applyFill="1" applyBorder="1" applyAlignment="1">
      <alignment horizontal="right"/>
    </xf>
    <xf numFmtId="3" fontId="9" fillId="7" borderId="10" xfId="0" applyNumberFormat="1" applyFont="1" applyFill="1" applyBorder="1"/>
    <xf numFmtId="164" fontId="14" fillId="7" borderId="0" xfId="2" applyNumberFormat="1" applyFont="1" applyFill="1"/>
    <xf numFmtId="3" fontId="10" fillId="7" borderId="5" xfId="0" applyNumberFormat="1" applyFont="1" applyFill="1" applyBorder="1"/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9" fillId="7" borderId="5" xfId="0" applyFont="1" applyFill="1" applyBorder="1" applyAlignment="1">
      <alignment horizontal="center"/>
    </xf>
    <xf numFmtId="0" fontId="5" fillId="7" borderId="4" xfId="0" quotePrefix="1" applyFont="1" applyFill="1" applyBorder="1" applyAlignment="1">
      <alignment horizontal="center"/>
    </xf>
    <xf numFmtId="0" fontId="9" fillId="7" borderId="8" xfId="0" applyFont="1" applyFill="1" applyBorder="1"/>
    <xf numFmtId="0" fontId="12" fillId="7" borderId="5" xfId="0" applyFont="1" applyFill="1" applyBorder="1" applyAlignment="1">
      <alignment horizontal="center"/>
    </xf>
    <xf numFmtId="3" fontId="12" fillId="7" borderId="5" xfId="0" applyNumberFormat="1" applyFont="1" applyFill="1" applyBorder="1" applyAlignment="1">
      <alignment horizontal="right"/>
    </xf>
    <xf numFmtId="165" fontId="12" fillId="7" borderId="5" xfId="0" applyNumberFormat="1" applyFont="1" applyFill="1" applyBorder="1" applyAlignment="1">
      <alignment horizontal="right"/>
    </xf>
    <xf numFmtId="165" fontId="12" fillId="7" borderId="8" xfId="0" applyNumberFormat="1" applyFont="1" applyFill="1" applyBorder="1" applyAlignment="1">
      <alignment horizontal="right"/>
    </xf>
    <xf numFmtId="172" fontId="12" fillId="7" borderId="8" xfId="2" applyNumberFormat="1" applyFont="1" applyFill="1" applyBorder="1" applyAlignment="1">
      <alignment horizontal="right"/>
    </xf>
    <xf numFmtId="3" fontId="12" fillId="7" borderId="4" xfId="0" applyNumberFormat="1" applyFont="1" applyFill="1" applyBorder="1" applyAlignment="1">
      <alignment horizontal="right"/>
    </xf>
    <xf numFmtId="170" fontId="12" fillId="7" borderId="8" xfId="0" applyNumberFormat="1" applyFont="1" applyFill="1" applyBorder="1" applyAlignment="1">
      <alignment horizontal="right"/>
    </xf>
    <xf numFmtId="0" fontId="12" fillId="7" borderId="5" xfId="0" applyFont="1" applyFill="1" applyBorder="1" applyAlignment="1">
      <alignment horizontal="right"/>
    </xf>
    <xf numFmtId="3" fontId="12" fillId="7" borderId="10" xfId="0" applyNumberFormat="1" applyFont="1" applyFill="1" applyBorder="1"/>
    <xf numFmtId="0" fontId="5" fillId="7" borderId="5" xfId="0" applyFont="1" applyFill="1" applyBorder="1"/>
    <xf numFmtId="3" fontId="10" fillId="7" borderId="5" xfId="0" applyNumberFormat="1" applyFont="1" applyFill="1" applyBorder="1" applyAlignment="1">
      <alignment horizontal="right"/>
    </xf>
    <xf numFmtId="3" fontId="12" fillId="7" borderId="8" xfId="0" applyNumberFormat="1" applyFont="1" applyFill="1" applyBorder="1" applyAlignment="1">
      <alignment horizontal="right"/>
    </xf>
    <xf numFmtId="2" fontId="12" fillId="7" borderId="8" xfId="0" applyNumberFormat="1" applyFont="1" applyFill="1" applyBorder="1" applyAlignment="1">
      <alignment horizontal="right"/>
    </xf>
    <xf numFmtId="3" fontId="10" fillId="7" borderId="12" xfId="0" applyNumberFormat="1" applyFont="1" applyFill="1" applyBorder="1"/>
    <xf numFmtId="2" fontId="12" fillId="7" borderId="5" xfId="0" applyNumberFormat="1" applyFont="1" applyFill="1" applyBorder="1" applyAlignment="1">
      <alignment horizontal="right"/>
    </xf>
    <xf numFmtId="168" fontId="12" fillId="7" borderId="8" xfId="0" applyNumberFormat="1" applyFont="1" applyFill="1" applyBorder="1" applyAlignment="1">
      <alignment horizontal="right"/>
    </xf>
    <xf numFmtId="173" fontId="12" fillId="7" borderId="8" xfId="0" applyNumberFormat="1" applyFont="1" applyFill="1" applyBorder="1"/>
    <xf numFmtId="3" fontId="12" fillId="7" borderId="5" xfId="1" applyNumberFormat="1" applyFont="1" applyFill="1" applyBorder="1"/>
    <xf numFmtId="3" fontId="12" fillId="7" borderId="5" xfId="1" applyNumberFormat="1" applyFont="1" applyFill="1" applyBorder="1" applyAlignment="1">
      <alignment horizontal="right"/>
    </xf>
    <xf numFmtId="10" fontId="12" fillId="7" borderId="8" xfId="2" applyNumberFormat="1" applyFont="1" applyFill="1" applyBorder="1" applyAlignment="1">
      <alignment horizontal="center"/>
    </xf>
    <xf numFmtId="1" fontId="12" fillId="7" borderId="12" xfId="2" applyNumberFormat="1" applyFont="1" applyFill="1" applyBorder="1"/>
    <xf numFmtId="0" fontId="12" fillId="7" borderId="12" xfId="0" applyFont="1" applyFill="1" applyBorder="1"/>
    <xf numFmtId="9" fontId="12" fillId="7" borderId="12" xfId="2" applyFont="1" applyFill="1" applyBorder="1"/>
    <xf numFmtId="9" fontId="12" fillId="7" borderId="8" xfId="2" applyFont="1" applyFill="1" applyBorder="1"/>
    <xf numFmtId="3" fontId="10" fillId="7" borderId="8" xfId="0" applyNumberFormat="1" applyFont="1" applyFill="1" applyBorder="1"/>
    <xf numFmtId="165" fontId="12" fillId="7" borderId="8" xfId="2" applyNumberFormat="1" applyFont="1" applyFill="1" applyBorder="1" applyAlignment="1">
      <alignment horizontal="right"/>
    </xf>
    <xf numFmtId="3" fontId="12" fillId="7" borderId="8" xfId="0" applyNumberFormat="1" applyFont="1" applyFill="1" applyBorder="1"/>
    <xf numFmtId="10" fontId="12" fillId="7" borderId="5" xfId="0" applyNumberFormat="1" applyFont="1" applyFill="1" applyBorder="1" applyAlignment="1">
      <alignment horizontal="right"/>
    </xf>
    <xf numFmtId="167" fontId="12" fillId="7" borderId="8" xfId="0" applyNumberFormat="1" applyFont="1" applyFill="1" applyBorder="1" applyAlignment="1">
      <alignment horizontal="right"/>
    </xf>
    <xf numFmtId="0" fontId="10" fillId="7" borderId="4" xfId="0" applyFont="1" applyFill="1" applyBorder="1" applyAlignment="1">
      <alignment horizontal="center"/>
    </xf>
    <xf numFmtId="3" fontId="12" fillId="7" borderId="5" xfId="0" applyNumberFormat="1" applyFont="1" applyFill="1" applyBorder="1"/>
    <xf numFmtId="173" fontId="12" fillId="7" borderId="5" xfId="0" applyNumberFormat="1" applyFont="1" applyFill="1" applyBorder="1"/>
    <xf numFmtId="3" fontId="6" fillId="7" borderId="5" xfId="0" applyNumberFormat="1" applyFont="1" applyFill="1" applyBorder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13" xfId="0" applyNumberFormat="1" applyBorder="1"/>
    <xf numFmtId="3" fontId="23" fillId="0" borderId="0" xfId="0" applyNumberFormat="1" applyFont="1"/>
    <xf numFmtId="164" fontId="1" fillId="0" borderId="0" xfId="2" applyNumberFormat="1" applyFont="1"/>
    <xf numFmtId="164" fontId="23" fillId="0" borderId="0" xfId="2" applyNumberFormat="1" applyFont="1"/>
    <xf numFmtId="3" fontId="9" fillId="8" borderId="8" xfId="0" applyNumberFormat="1" applyFont="1" applyFill="1" applyBorder="1"/>
    <xf numFmtId="174" fontId="0" fillId="0" borderId="0" xfId="1" applyNumberFormat="1" applyFont="1"/>
    <xf numFmtId="3" fontId="10" fillId="0" borderId="5" xfId="2" applyNumberFormat="1" applyFont="1" applyFill="1" applyBorder="1"/>
    <xf numFmtId="0" fontId="23" fillId="0" borderId="0" xfId="0" applyFont="1" applyAlignment="1">
      <alignment horizontal="center"/>
    </xf>
    <xf numFmtId="174" fontId="0" fillId="0" borderId="0" xfId="0" applyNumberFormat="1" applyFont="1"/>
    <xf numFmtId="3" fontId="9" fillId="7" borderId="5" xfId="0" applyNumberFormat="1" applyFont="1" applyFill="1" applyBorder="1" applyAlignment="1">
      <alignment horizontal="right"/>
    </xf>
    <xf numFmtId="165" fontId="9" fillId="7" borderId="5" xfId="0" applyNumberFormat="1" applyFont="1" applyFill="1" applyBorder="1" applyAlignment="1">
      <alignment horizontal="right"/>
    </xf>
    <xf numFmtId="165" fontId="9" fillId="7" borderId="8" xfId="0" applyNumberFormat="1" applyFont="1" applyFill="1" applyBorder="1" applyAlignment="1">
      <alignment horizontal="right"/>
    </xf>
    <xf numFmtId="2" fontId="9" fillId="7" borderId="5" xfId="0" applyNumberFormat="1" applyFont="1" applyFill="1" applyBorder="1" applyAlignment="1">
      <alignment horizontal="right"/>
    </xf>
    <xf numFmtId="168" fontId="9" fillId="7" borderId="8" xfId="0" applyNumberFormat="1" applyFont="1" applyFill="1" applyBorder="1" applyAlignment="1">
      <alignment horizontal="right"/>
    </xf>
    <xf numFmtId="3" fontId="9" fillId="7" borderId="4" xfId="0" applyNumberFormat="1" applyFont="1" applyFill="1" applyBorder="1" applyAlignment="1">
      <alignment horizontal="right"/>
    </xf>
    <xf numFmtId="0" fontId="24" fillId="0" borderId="0" xfId="0" applyFont="1"/>
    <xf numFmtId="41" fontId="1" fillId="0" borderId="0" xfId="2" applyNumberFormat="1" applyFont="1"/>
    <xf numFmtId="41" fontId="0" fillId="0" borderId="0" xfId="0" applyNumberFormat="1" applyFont="1"/>
    <xf numFmtId="0" fontId="23" fillId="0" borderId="0" xfId="0" applyFont="1" applyAlignment="1">
      <alignment horizontal="center"/>
    </xf>
    <xf numFmtId="175" fontId="12" fillId="7" borderId="5" xfId="0" applyNumberFormat="1" applyFont="1" applyFill="1" applyBorder="1"/>
    <xf numFmtId="0" fontId="8" fillId="0" borderId="9" xfId="0" applyFont="1" applyBorder="1"/>
    <xf numFmtId="3" fontId="12" fillId="0" borderId="10" xfId="2" applyNumberFormat="1" applyFont="1" applyFill="1" applyBorder="1"/>
    <xf numFmtId="173" fontId="9" fillId="0" borderId="8" xfId="2" applyNumberFormat="1" applyFont="1" applyFill="1" applyBorder="1"/>
    <xf numFmtId="3" fontId="9" fillId="0" borderId="8" xfId="2" applyNumberFormat="1" applyFont="1" applyFill="1" applyBorder="1"/>
    <xf numFmtId="3" fontId="12" fillId="0" borderId="8" xfId="2" applyNumberFormat="1" applyFont="1" applyFill="1" applyBorder="1"/>
    <xf numFmtId="3" fontId="9" fillId="0" borderId="10" xfId="2" applyNumberFormat="1" applyFont="1" applyFill="1" applyBorder="1"/>
    <xf numFmtId="0" fontId="0" fillId="0" borderId="0" xfId="0" applyBorder="1"/>
    <xf numFmtId="0" fontId="23" fillId="0" borderId="0" xfId="0" applyFont="1" applyBorder="1" applyAlignment="1">
      <alignment horizontal="center"/>
    </xf>
    <xf numFmtId="3" fontId="0" fillId="0" borderId="0" xfId="0" applyNumberFormat="1" applyBorder="1"/>
    <xf numFmtId="3" fontId="23" fillId="0" borderId="0" xfId="0" applyNumberFormat="1" applyFont="1" applyBorder="1"/>
    <xf numFmtId="0" fontId="24" fillId="0" borderId="0" xfId="0" applyFont="1" applyFill="1"/>
    <xf numFmtId="0" fontId="23" fillId="0" borderId="0" xfId="0" applyFont="1" applyFill="1"/>
    <xf numFmtId="41" fontId="0" fillId="0" borderId="0" xfId="0" applyNumberFormat="1" applyFont="1" applyFill="1"/>
    <xf numFmtId="41" fontId="1" fillId="0" borderId="0" xfId="2" applyNumberFormat="1" applyFont="1" applyFill="1"/>
    <xf numFmtId="0" fontId="0" fillId="0" borderId="0" xfId="0" applyFill="1"/>
    <xf numFmtId="10" fontId="0" fillId="0" borderId="0" xfId="2" applyNumberFormat="1" applyFont="1" applyFill="1"/>
    <xf numFmtId="0" fontId="25" fillId="0" borderId="0" xfId="0" applyFont="1" applyFill="1"/>
    <xf numFmtId="3" fontId="0" fillId="0" borderId="0" xfId="0" applyNumberFormat="1" applyFill="1"/>
    <xf numFmtId="0" fontId="23" fillId="0" borderId="0" xfId="0" applyFont="1" applyFill="1" applyAlignment="1">
      <alignment horizontal="center"/>
    </xf>
    <xf numFmtId="3" fontId="0" fillId="0" borderId="11" xfId="0" applyNumberFormat="1" applyFill="1" applyBorder="1"/>
    <xf numFmtId="3" fontId="0" fillId="0" borderId="13" xfId="0" applyNumberFormat="1" applyFill="1" applyBorder="1"/>
    <xf numFmtId="3" fontId="0" fillId="0" borderId="0" xfId="0" applyNumberFormat="1" applyFill="1" applyBorder="1"/>
    <xf numFmtId="3" fontId="23" fillId="0" borderId="0" xfId="0" applyNumberFormat="1" applyFont="1" applyFill="1"/>
    <xf numFmtId="175" fontId="12" fillId="7" borderId="10" xfId="0" applyNumberFormat="1" applyFont="1" applyFill="1" applyBorder="1"/>
    <xf numFmtId="3" fontId="0" fillId="0" borderId="11" xfId="0" applyNumberFormat="1" applyBorder="1"/>
    <xf numFmtId="0" fontId="0" fillId="0" borderId="11" xfId="0" applyBorder="1"/>
    <xf numFmtId="14" fontId="0" fillId="0" borderId="0" xfId="0" applyNumberFormat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3" fontId="12" fillId="6" borderId="8" xfId="0" applyNumberFormat="1" applyFont="1" applyFill="1" applyBorder="1" applyAlignment="1">
      <alignment horizontal="right"/>
    </xf>
    <xf numFmtId="164" fontId="5" fillId="0" borderId="5" xfId="2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0" fillId="0" borderId="9" xfId="0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5" xfId="0" applyBorder="1"/>
    <xf numFmtId="174" fontId="0" fillId="0" borderId="13" xfId="1" applyNumberFormat="1" applyFont="1" applyBorder="1"/>
    <xf numFmtId="174" fontId="0" fillId="0" borderId="0" xfId="1" applyNumberFormat="1" applyFont="1" applyBorder="1"/>
    <xf numFmtId="0" fontId="23" fillId="9" borderId="7" xfId="0" applyFont="1" applyFill="1" applyBorder="1"/>
    <xf numFmtId="174" fontId="23" fillId="9" borderId="11" xfId="1" applyNumberFormat="1" applyFont="1" applyFill="1" applyBorder="1"/>
    <xf numFmtId="0" fontId="0" fillId="0" borderId="16" xfId="0" applyBorder="1"/>
    <xf numFmtId="0" fontId="0" fillId="0" borderId="19" xfId="0" applyBorder="1"/>
    <xf numFmtId="164" fontId="0" fillId="0" borderId="0" xfId="0" applyNumberFormat="1"/>
    <xf numFmtId="0" fontId="23" fillId="0" borderId="0" xfId="0" applyFont="1" applyAlignment="1">
      <alignment horizontal="center"/>
    </xf>
    <xf numFmtId="16" fontId="0" fillId="0" borderId="0" xfId="0" applyNumberFormat="1"/>
    <xf numFmtId="0" fontId="0" fillId="0" borderId="17" xfId="0" applyFill="1" applyBorder="1"/>
    <xf numFmtId="0" fontId="0" fillId="0" borderId="0" xfId="0" applyFill="1" applyBorder="1"/>
    <xf numFmtId="14" fontId="0" fillId="0" borderId="17" xfId="0" applyNumberFormat="1" applyFill="1" applyBorder="1"/>
    <xf numFmtId="14" fontId="0" fillId="0" borderId="0" xfId="0" applyNumberFormat="1" applyFill="1" applyBorder="1"/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3" fontId="12" fillId="0" borderId="5" xfId="2" applyNumberFormat="1" applyFont="1" applyFill="1" applyBorder="1" applyAlignment="1">
      <alignment horizontal="right"/>
    </xf>
    <xf numFmtId="175" fontId="9" fillId="0" borderId="10" xfId="0" applyNumberFormat="1" applyFont="1" applyFill="1" applyBorder="1"/>
    <xf numFmtId="173" fontId="12" fillId="0" borderId="5" xfId="0" applyNumberFormat="1" applyFont="1" applyFill="1" applyBorder="1"/>
    <xf numFmtId="3" fontId="6" fillId="9" borderId="5" xfId="0" applyNumberFormat="1" applyFont="1" applyFill="1" applyBorder="1" applyAlignment="1">
      <alignment horizontal="right"/>
    </xf>
    <xf numFmtId="3" fontId="12" fillId="9" borderId="5" xfId="0" applyNumberFormat="1" applyFont="1" applyFill="1" applyBorder="1" applyAlignment="1">
      <alignment horizontal="right"/>
    </xf>
    <xf numFmtId="3" fontId="12" fillId="9" borderId="8" xfId="0" applyNumberFormat="1" applyFont="1" applyFill="1" applyBorder="1" applyAlignment="1">
      <alignment horizontal="right"/>
    </xf>
    <xf numFmtId="3" fontId="6" fillId="6" borderId="5" xfId="0" applyNumberFormat="1" applyFont="1" applyFill="1" applyBorder="1" applyAlignment="1">
      <alignment horizontal="right"/>
    </xf>
    <xf numFmtId="10" fontId="0" fillId="0" borderId="0" xfId="2" applyNumberFormat="1" applyFont="1" applyBorder="1"/>
    <xf numFmtId="0" fontId="0" fillId="0" borderId="20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23" fillId="0" borderId="25" xfId="0" applyFont="1" applyBorder="1" applyAlignment="1">
      <alignment horizontal="center"/>
    </xf>
    <xf numFmtId="3" fontId="0" fillId="0" borderId="25" xfId="0" applyNumberFormat="1" applyBorder="1"/>
    <xf numFmtId="3" fontId="0" fillId="0" borderId="26" xfId="0" applyNumberFormat="1" applyBorder="1"/>
    <xf numFmtId="10" fontId="0" fillId="0" borderId="25" xfId="2" applyNumberFormat="1" applyFont="1" applyBorder="1"/>
    <xf numFmtId="0" fontId="23" fillId="0" borderId="27" xfId="0" applyFont="1" applyBorder="1"/>
    <xf numFmtId="0" fontId="23" fillId="0" borderId="28" xfId="0" applyFont="1" applyBorder="1"/>
    <xf numFmtId="3" fontId="23" fillId="0" borderId="28" xfId="0" applyNumberFormat="1" applyFont="1" applyBorder="1"/>
    <xf numFmtId="3" fontId="23" fillId="0" borderId="29" xfId="0" applyNumberFormat="1" applyFont="1" applyBorder="1"/>
    <xf numFmtId="175" fontId="12" fillId="0" borderId="10" xfId="2" applyNumberFormat="1" applyFont="1" applyFill="1" applyBorder="1"/>
    <xf numFmtId="175" fontId="9" fillId="0" borderId="8" xfId="0" applyNumberFormat="1" applyFont="1" applyFill="1" applyBorder="1"/>
    <xf numFmtId="175" fontId="9" fillId="0" borderId="8" xfId="2" applyNumberFormat="1" applyFont="1" applyFill="1" applyBorder="1"/>
    <xf numFmtId="175" fontId="12" fillId="7" borderId="8" xfId="0" applyNumberFormat="1" applyFont="1" applyFill="1" applyBorder="1"/>
    <xf numFmtId="175" fontId="10" fillId="7" borderId="8" xfId="0" applyNumberFormat="1" applyFont="1" applyFill="1" applyBorder="1"/>
    <xf numFmtId="175" fontId="12" fillId="0" borderId="8" xfId="2" applyNumberFormat="1" applyFont="1" applyFill="1" applyBorder="1"/>
    <xf numFmtId="175" fontId="10" fillId="0" borderId="5" xfId="2" applyNumberFormat="1" applyFont="1" applyFill="1" applyBorder="1"/>
    <xf numFmtId="3" fontId="10" fillId="3" borderId="12" xfId="0" applyNumberFormat="1" applyFont="1" applyFill="1" applyBorder="1"/>
    <xf numFmtId="3" fontId="12" fillId="3" borderId="5" xfId="0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>
      <alignment horizontal="right"/>
    </xf>
    <xf numFmtId="165" fontId="12" fillId="3" borderId="5" xfId="0" applyNumberFormat="1" applyFont="1" applyFill="1" applyBorder="1" applyAlignment="1">
      <alignment horizontal="right"/>
    </xf>
    <xf numFmtId="165" fontId="12" fillId="3" borderId="8" xfId="0" applyNumberFormat="1" applyFont="1" applyFill="1" applyBorder="1" applyAlignment="1">
      <alignment horizontal="right"/>
    </xf>
    <xf numFmtId="2" fontId="12" fillId="3" borderId="5" xfId="0" applyNumberFormat="1" applyFont="1" applyFill="1" applyBorder="1" applyAlignment="1">
      <alignment horizontal="right"/>
    </xf>
    <xf numFmtId="3" fontId="9" fillId="10" borderId="5" xfId="0" applyNumberFormat="1" applyFont="1" applyFill="1" applyBorder="1" applyAlignment="1">
      <alignment horizontal="right"/>
    </xf>
    <xf numFmtId="172" fontId="6" fillId="7" borderId="8" xfId="2" applyNumberFormat="1" applyFont="1" applyFill="1" applyBorder="1" applyAlignment="1">
      <alignment horizontal="right"/>
    </xf>
    <xf numFmtId="3" fontId="6" fillId="7" borderId="4" xfId="0" applyNumberFormat="1" applyFont="1" applyFill="1" applyBorder="1" applyAlignment="1">
      <alignment horizontal="right"/>
    </xf>
    <xf numFmtId="170" fontId="12" fillId="10" borderId="8" xfId="0" applyNumberFormat="1" applyFont="1" applyFill="1" applyBorder="1" applyAlignment="1">
      <alignment horizontal="right"/>
    </xf>
    <xf numFmtId="0" fontId="12" fillId="10" borderId="5" xfId="0" applyFont="1" applyFill="1" applyBorder="1" applyAlignment="1">
      <alignment horizontal="right"/>
    </xf>
    <xf numFmtId="175" fontId="12" fillId="10" borderId="10" xfId="0" applyNumberFormat="1" applyFont="1" applyFill="1" applyBorder="1"/>
    <xf numFmtId="164" fontId="14" fillId="10" borderId="0" xfId="2" applyNumberFormat="1" applyFont="1" applyFill="1"/>
    <xf numFmtId="3" fontId="10" fillId="10" borderId="12" xfId="0" applyNumberFormat="1" applyFont="1" applyFill="1" applyBorder="1"/>
    <xf numFmtId="3" fontId="12" fillId="10" borderId="5" xfId="0" applyNumberFormat="1" applyFont="1" applyFill="1" applyBorder="1" applyAlignment="1">
      <alignment horizontal="right"/>
    </xf>
    <xf numFmtId="3" fontId="12" fillId="10" borderId="8" xfId="0" applyNumberFormat="1" applyFont="1" applyFill="1" applyBorder="1" applyAlignment="1">
      <alignment horizontal="right"/>
    </xf>
    <xf numFmtId="165" fontId="12" fillId="10" borderId="5" xfId="0" applyNumberFormat="1" applyFont="1" applyFill="1" applyBorder="1" applyAlignment="1">
      <alignment horizontal="right"/>
    </xf>
    <xf numFmtId="165" fontId="12" fillId="10" borderId="8" xfId="0" applyNumberFormat="1" applyFont="1" applyFill="1" applyBorder="1" applyAlignment="1">
      <alignment horizontal="right"/>
    </xf>
    <xf numFmtId="2" fontId="12" fillId="10" borderId="5" xfId="0" applyNumberFormat="1" applyFont="1" applyFill="1" applyBorder="1" applyAlignment="1">
      <alignment horizontal="right"/>
    </xf>
    <xf numFmtId="164" fontId="8" fillId="10" borderId="0" xfId="2" applyNumberFormat="1" applyFont="1" applyFill="1"/>
    <xf numFmtId="175" fontId="12" fillId="10" borderId="8" xfId="0" applyNumberFormat="1" applyFont="1" applyFill="1" applyBorder="1"/>
    <xf numFmtId="3" fontId="12" fillId="10" borderId="4" xfId="0" applyNumberFormat="1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3" fontId="0" fillId="10" borderId="0" xfId="0" applyNumberFormat="1" applyFill="1" applyBorder="1"/>
    <xf numFmtId="0" fontId="26" fillId="0" borderId="0" xfId="0" applyFont="1"/>
    <xf numFmtId="3" fontId="26" fillId="0" borderId="0" xfId="0" applyNumberFormat="1" applyFont="1"/>
    <xf numFmtId="0" fontId="26" fillId="0" borderId="0" xfId="0" applyFont="1" applyAlignment="1">
      <alignment horizontal="right"/>
    </xf>
    <xf numFmtId="3" fontId="0" fillId="11" borderId="0" xfId="0" applyNumberFormat="1" applyFill="1"/>
    <xf numFmtId="3" fontId="26" fillId="11" borderId="0" xfId="0" applyNumberFormat="1" applyFont="1" applyFill="1"/>
    <xf numFmtId="3" fontId="12" fillId="11" borderId="5" xfId="0" applyNumberFormat="1" applyFont="1" applyFill="1" applyBorder="1" applyAlignment="1">
      <alignment horizontal="right"/>
    </xf>
    <xf numFmtId="43" fontId="0" fillId="0" borderId="0" xfId="1" applyFont="1"/>
    <xf numFmtId="43" fontId="0" fillId="0" borderId="0" xfId="0" applyNumberFormat="1" applyFont="1"/>
    <xf numFmtId="9" fontId="0" fillId="0" borderId="0" xfId="2" applyFont="1"/>
    <xf numFmtId="3" fontId="0" fillId="11" borderId="0" xfId="0" applyNumberFormat="1" applyFill="1" applyBorder="1"/>
    <xf numFmtId="0" fontId="23" fillId="0" borderId="0" xfId="0" applyFont="1" applyAlignment="1">
      <alignment horizontal="center"/>
    </xf>
    <xf numFmtId="3" fontId="6" fillId="10" borderId="5" xfId="0" applyNumberFormat="1" applyFont="1" applyFill="1" applyBorder="1" applyAlignment="1">
      <alignment horizontal="right"/>
    </xf>
    <xf numFmtId="172" fontId="6" fillId="10" borderId="8" xfId="2" applyNumberFormat="1" applyFont="1" applyFill="1" applyBorder="1" applyAlignment="1">
      <alignment horizontal="right"/>
    </xf>
    <xf numFmtId="3" fontId="6" fillId="10" borderId="4" xfId="0" applyNumberFormat="1" applyFont="1" applyFill="1" applyBorder="1" applyAlignment="1">
      <alignment horizontal="right"/>
    </xf>
    <xf numFmtId="4" fontId="9" fillId="7" borderId="10" xfId="0" applyNumberFormat="1" applyFont="1" applyFill="1" applyBorder="1"/>
    <xf numFmtId="175" fontId="9" fillId="0" borderId="5" xfId="0" applyNumberFormat="1" applyFont="1" applyFill="1" applyBorder="1" applyAlignment="1">
      <alignment horizontal="right"/>
    </xf>
    <xf numFmtId="175" fontId="6" fillId="10" borderId="5" xfId="0" applyNumberFormat="1" applyFont="1" applyFill="1" applyBorder="1" applyAlignment="1">
      <alignment horizontal="right"/>
    </xf>
    <xf numFmtId="3" fontId="5" fillId="0" borderId="11" xfId="0" applyNumberFormat="1" applyFont="1" applyFill="1" applyBorder="1"/>
    <xf numFmtId="172" fontId="12" fillId="10" borderId="8" xfId="2" applyNumberFormat="1" applyFont="1" applyFill="1" applyBorder="1" applyAlignment="1">
      <alignment horizontal="right"/>
    </xf>
    <xf numFmtId="3" fontId="5" fillId="0" borderId="4" xfId="0" applyNumberFormat="1" applyFont="1" applyFill="1" applyBorder="1"/>
    <xf numFmtId="0" fontId="23" fillId="0" borderId="0" xfId="0" applyFont="1" applyFill="1" applyAlignment="1">
      <alignment horizontal="center"/>
    </xf>
    <xf numFmtId="175" fontId="5" fillId="0" borderId="4" xfId="0" applyNumberFormat="1" applyFont="1" applyFill="1" applyBorder="1"/>
    <xf numFmtId="0" fontId="0" fillId="0" borderId="7" xfId="0" applyBorder="1"/>
    <xf numFmtId="0" fontId="23" fillId="0" borderId="0" xfId="0" applyFont="1" applyFill="1" applyAlignment="1">
      <alignment horizontal="center"/>
    </xf>
    <xf numFmtId="3" fontId="0" fillId="10" borderId="15" xfId="0" applyNumberFormat="1" applyFill="1" applyBorder="1"/>
    <xf numFmtId="3" fontId="0" fillId="10" borderId="16" xfId="0" applyNumberFormat="1" applyFill="1" applyBorder="1"/>
    <xf numFmtId="164" fontId="0" fillId="0" borderId="0" xfId="0" applyNumberFormat="1" applyFill="1"/>
    <xf numFmtId="0" fontId="23" fillId="0" borderId="0" xfId="0" applyFont="1" applyFill="1" applyBorder="1" applyAlignment="1">
      <alignment horizontal="center"/>
    </xf>
    <xf numFmtId="3" fontId="26" fillId="0" borderId="0" xfId="0" applyNumberFormat="1" applyFont="1" applyFill="1"/>
    <xf numFmtId="0" fontId="0" fillId="0" borderId="6" xfId="0" applyBorder="1"/>
    <xf numFmtId="3" fontId="0" fillId="0" borderId="14" xfId="0" applyNumberFormat="1" applyBorder="1"/>
    <xf numFmtId="3" fontId="12" fillId="10" borderId="5" xfId="1" applyNumberFormat="1" applyFont="1" applyFill="1" applyBorder="1"/>
    <xf numFmtId="2" fontId="12" fillId="10" borderId="8" xfId="0" applyNumberFormat="1" applyFont="1" applyFill="1" applyBorder="1" applyAlignment="1">
      <alignment horizontal="right"/>
    </xf>
    <xf numFmtId="3" fontId="10" fillId="10" borderId="5" xfId="0" applyNumberFormat="1" applyFont="1" applyFill="1" applyBorder="1" applyAlignment="1">
      <alignment horizontal="right"/>
    </xf>
    <xf numFmtId="10" fontId="12" fillId="10" borderId="5" xfId="0" applyNumberFormat="1" applyFont="1" applyFill="1" applyBorder="1" applyAlignment="1">
      <alignment horizontal="right"/>
    </xf>
    <xf numFmtId="167" fontId="12" fillId="10" borderId="8" xfId="0" applyNumberFormat="1" applyFont="1" applyFill="1" applyBorder="1" applyAlignment="1">
      <alignment horizontal="right"/>
    </xf>
    <xf numFmtId="3" fontId="12" fillId="10" borderId="10" xfId="0" applyNumberFormat="1" applyFont="1" applyFill="1" applyBorder="1"/>
    <xf numFmtId="3" fontId="12" fillId="10" borderId="8" xfId="0" applyNumberFormat="1" applyFont="1" applyFill="1" applyBorder="1"/>
    <xf numFmtId="0" fontId="0" fillId="0" borderId="11" xfId="0" applyFill="1" applyBorder="1"/>
    <xf numFmtId="43" fontId="0" fillId="0" borderId="9" xfId="1" applyFont="1" applyBorder="1"/>
    <xf numFmtId="43" fontId="0" fillId="0" borderId="0" xfId="1" applyFont="1" applyBorder="1"/>
    <xf numFmtId="43" fontId="0" fillId="0" borderId="15" xfId="1" applyFont="1" applyBorder="1"/>
    <xf numFmtId="43" fontId="0" fillId="0" borderId="0" xfId="1" applyFont="1" applyFill="1" applyBorder="1"/>
    <xf numFmtId="43" fontId="0" fillId="0" borderId="7" xfId="1" applyFont="1" applyBorder="1"/>
    <xf numFmtId="43" fontId="0" fillId="0" borderId="11" xfId="1" applyFont="1" applyFill="1" applyBorder="1"/>
    <xf numFmtId="43" fontId="0" fillId="0" borderId="16" xfId="1" applyFont="1" applyBorder="1"/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3" fontId="12" fillId="10" borderId="5" xfId="1" applyNumberFormat="1" applyFont="1" applyFill="1" applyBorder="1" applyAlignment="1">
      <alignment horizontal="right"/>
    </xf>
    <xf numFmtId="10" fontId="12" fillId="10" borderId="8" xfId="2" applyNumberFormat="1" applyFont="1" applyFill="1" applyBorder="1" applyAlignment="1">
      <alignment horizontal="center"/>
    </xf>
    <xf numFmtId="1" fontId="12" fillId="10" borderId="12" xfId="2" applyNumberFormat="1" applyFont="1" applyFill="1" applyBorder="1"/>
    <xf numFmtId="0" fontId="12" fillId="10" borderId="12" xfId="0" applyFont="1" applyFill="1" applyBorder="1"/>
    <xf numFmtId="0" fontId="23" fillId="0" borderId="0" xfId="0" applyFont="1" applyFill="1" applyBorder="1" applyAlignment="1"/>
    <xf numFmtId="3" fontId="26" fillId="0" borderId="0" xfId="0" applyNumberFormat="1" applyFont="1" applyFill="1" applyBorder="1"/>
    <xf numFmtId="10" fontId="0" fillId="0" borderId="0" xfId="2" applyNumberFormat="1" applyFont="1" applyFill="1" applyBorder="1"/>
    <xf numFmtId="3" fontId="0" fillId="0" borderId="15" xfId="0" applyNumberFormat="1" applyFill="1" applyBorder="1"/>
    <xf numFmtId="3" fontId="0" fillId="10" borderId="11" xfId="0" applyNumberFormat="1" applyFill="1" applyBorder="1"/>
    <xf numFmtId="3" fontId="0" fillId="10" borderId="13" xfId="0" applyNumberFormat="1" applyFill="1" applyBorder="1"/>
    <xf numFmtId="3" fontId="0" fillId="10" borderId="14" xfId="0" applyNumberFormat="1" applyFill="1" applyBorder="1"/>
    <xf numFmtId="14" fontId="0" fillId="10" borderId="17" xfId="0" applyNumberFormat="1" applyFill="1" applyBorder="1"/>
    <xf numFmtId="0" fontId="0" fillId="10" borderId="18" xfId="0" applyFill="1" applyBorder="1" applyAlignment="1">
      <alignment horizontal="right"/>
    </xf>
    <xf numFmtId="4" fontId="12" fillId="7" borderId="10" xfId="0" applyNumberFormat="1" applyFont="1" applyFill="1" applyBorder="1"/>
    <xf numFmtId="43" fontId="0" fillId="0" borderId="0" xfId="0" applyNumberFormat="1"/>
    <xf numFmtId="43" fontId="27" fillId="0" borderId="0" xfId="1" applyFont="1"/>
    <xf numFmtId="0" fontId="0" fillId="0" borderId="8" xfId="0" applyBorder="1"/>
    <xf numFmtId="0" fontId="0" fillId="0" borderId="12" xfId="0" applyBorder="1"/>
    <xf numFmtId="43" fontId="0" fillId="0" borderId="15" xfId="1" applyFont="1" applyFill="1" applyBorder="1"/>
    <xf numFmtId="174" fontId="0" fillId="0" borderId="9" xfId="1" applyNumberFormat="1" applyFont="1" applyBorder="1"/>
    <xf numFmtId="174" fontId="0" fillId="10" borderId="9" xfId="1" applyNumberFormat="1" applyFont="1" applyFill="1" applyBorder="1"/>
    <xf numFmtId="174" fontId="0" fillId="10" borderId="0" xfId="1" applyNumberFormat="1" applyFont="1" applyFill="1" applyBorder="1"/>
    <xf numFmtId="174" fontId="0" fillId="10" borderId="15" xfId="1" applyNumberFormat="1" applyFont="1" applyFill="1" applyBorder="1"/>
    <xf numFmtId="174" fontId="0" fillId="0" borderId="0" xfId="1" applyNumberFormat="1" applyFont="1" applyFill="1" applyBorder="1"/>
    <xf numFmtId="174" fontId="0" fillId="0" borderId="9" xfId="1" applyNumberFormat="1" applyFont="1" applyFill="1" applyBorder="1"/>
    <xf numFmtId="174" fontId="0" fillId="0" borderId="15" xfId="1" applyNumberFormat="1" applyFont="1" applyFill="1" applyBorder="1"/>
    <xf numFmtId="174" fontId="0" fillId="10" borderId="11" xfId="1" applyNumberFormat="1" applyFont="1" applyFill="1" applyBorder="1"/>
    <xf numFmtId="175" fontId="5" fillId="0" borderId="0" xfId="0" applyNumberFormat="1" applyFont="1" applyFill="1" applyBorder="1"/>
    <xf numFmtId="0" fontId="0" fillId="0" borderId="15" xfId="0" applyFill="1" applyBorder="1"/>
    <xf numFmtId="0" fontId="26" fillId="0" borderId="0" xfId="0" applyFont="1" applyAlignment="1">
      <alignment horizontal="center"/>
    </xf>
    <xf numFmtId="17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4" fontId="0" fillId="10" borderId="7" xfId="1" applyNumberFormat="1" applyFont="1" applyFill="1" applyBorder="1"/>
    <xf numFmtId="174" fontId="0" fillId="10" borderId="16" xfId="1" applyNumberFormat="1" applyFont="1" applyFill="1" applyBorder="1"/>
    <xf numFmtId="174" fontId="0" fillId="10" borderId="0" xfId="1" applyNumberFormat="1" applyFont="1" applyFill="1" applyBorder="1" applyAlignment="1">
      <alignment horizontal="right"/>
    </xf>
    <xf numFmtId="174" fontId="0" fillId="10" borderId="15" xfId="1" applyNumberFormat="1" applyFont="1" applyFill="1" applyBorder="1" applyAlignment="1">
      <alignment horizontal="right"/>
    </xf>
    <xf numFmtId="174" fontId="0" fillId="0" borderId="0" xfId="1" applyNumberFormat="1" applyFont="1" applyFill="1" applyBorder="1" applyAlignment="1">
      <alignment horizontal="right"/>
    </xf>
    <xf numFmtId="174" fontId="0" fillId="0" borderId="15" xfId="1" applyNumberFormat="1" applyFont="1" applyBorder="1" applyAlignment="1">
      <alignment horizontal="right"/>
    </xf>
    <xf numFmtId="174" fontId="0" fillId="0" borderId="0" xfId="1" applyNumberFormat="1" applyFont="1" applyBorder="1" applyAlignment="1">
      <alignment horizontal="right"/>
    </xf>
    <xf numFmtId="43" fontId="0" fillId="10" borderId="14" xfId="1" applyFont="1" applyFill="1" applyBorder="1" applyAlignment="1">
      <alignment horizontal="right"/>
    </xf>
    <xf numFmtId="43" fontId="0" fillId="10" borderId="15" xfId="1" applyFont="1" applyFill="1" applyBorder="1" applyAlignment="1">
      <alignment horizontal="right"/>
    </xf>
    <xf numFmtId="43" fontId="0" fillId="0" borderId="15" xfId="1" applyFont="1" applyFill="1" applyBorder="1" applyAlignment="1">
      <alignment horizontal="right"/>
    </xf>
    <xf numFmtId="13" fontId="0" fillId="10" borderId="15" xfId="1" quotePrefix="1" applyNumberFormat="1" applyFont="1" applyFill="1" applyBorder="1" applyAlignment="1">
      <alignment horizontal="right"/>
    </xf>
    <xf numFmtId="14" fontId="0" fillId="10" borderId="15" xfId="1" quotePrefix="1" applyNumberFormat="1" applyFont="1" applyFill="1" applyBorder="1" applyAlignment="1">
      <alignment horizontal="right"/>
    </xf>
    <xf numFmtId="14" fontId="0" fillId="10" borderId="16" xfId="1" quotePrefix="1" applyNumberFormat="1" applyFont="1" applyFill="1" applyBorder="1" applyAlignment="1">
      <alignment horizontal="right"/>
    </xf>
    <xf numFmtId="13" fontId="0" fillId="10" borderId="6" xfId="1" quotePrefix="1" applyNumberFormat="1" applyFont="1" applyFill="1" applyBorder="1" applyAlignment="1">
      <alignment horizontal="right"/>
    </xf>
    <xf numFmtId="13" fontId="0" fillId="10" borderId="9" xfId="1" quotePrefix="1" applyNumberFormat="1" applyFont="1" applyFill="1" applyBorder="1" applyAlignment="1">
      <alignment horizontal="right"/>
    </xf>
    <xf numFmtId="43" fontId="0" fillId="0" borderId="9" xfId="1" applyFont="1" applyBorder="1" applyAlignment="1">
      <alignment horizontal="right"/>
    </xf>
    <xf numFmtId="14" fontId="0" fillId="10" borderId="9" xfId="1" quotePrefix="1" applyNumberFormat="1" applyFont="1" applyFill="1" applyBorder="1" applyAlignment="1">
      <alignment horizontal="right"/>
    </xf>
    <xf numFmtId="43" fontId="0" fillId="0" borderId="9" xfId="1" applyFont="1" applyFill="1" applyBorder="1" applyAlignment="1">
      <alignment horizontal="right"/>
    </xf>
    <xf numFmtId="14" fontId="0" fillId="10" borderId="7" xfId="1" quotePrefix="1" applyNumberFormat="1" applyFont="1" applyFill="1" applyBorder="1" applyAlignment="1">
      <alignment horizontal="right"/>
    </xf>
    <xf numFmtId="14" fontId="0" fillId="10" borderId="15" xfId="1" applyNumberFormat="1" applyFont="1" applyFill="1" applyBorder="1" applyAlignment="1">
      <alignment horizontal="right"/>
    </xf>
    <xf numFmtId="0" fontId="6" fillId="0" borderId="0" xfId="0" applyFont="1"/>
    <xf numFmtId="175" fontId="6" fillId="0" borderId="0" xfId="0" applyNumberFormat="1" applyFont="1"/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3" fontId="0" fillId="0" borderId="9" xfId="0" applyNumberFormat="1" applyBorder="1"/>
    <xf numFmtId="3" fontId="0" fillId="0" borderId="6" xfId="0" applyNumberFormat="1" applyBorder="1"/>
    <xf numFmtId="164" fontId="0" fillId="0" borderId="0" xfId="0" applyNumberFormat="1" applyBorder="1"/>
    <xf numFmtId="10" fontId="0" fillId="0" borderId="15" xfId="2" applyNumberFormat="1" applyFont="1" applyBorder="1"/>
    <xf numFmtId="3" fontId="23" fillId="0" borderId="7" xfId="0" applyNumberFormat="1" applyFont="1" applyBorder="1"/>
    <xf numFmtId="164" fontId="1" fillId="0" borderId="11" xfId="2" applyNumberFormat="1" applyFont="1" applyBorder="1"/>
    <xf numFmtId="3" fontId="23" fillId="0" borderId="11" xfId="0" applyNumberFormat="1" applyFont="1" applyBorder="1"/>
    <xf numFmtId="3" fontId="23" fillId="0" borderId="16" xfId="0" applyNumberFormat="1" applyFont="1" applyBorder="1"/>
    <xf numFmtId="0" fontId="23" fillId="0" borderId="9" xfId="0" applyFont="1" applyFill="1" applyBorder="1" applyAlignment="1">
      <alignment horizontal="center"/>
    </xf>
    <xf numFmtId="0" fontId="0" fillId="0" borderId="9" xfId="0" applyFill="1" applyBorder="1"/>
    <xf numFmtId="3" fontId="0" fillId="11" borderId="9" xfId="0" applyNumberFormat="1" applyFill="1" applyBorder="1"/>
    <xf numFmtId="3" fontId="0" fillId="0" borderId="9" xfId="0" applyNumberFormat="1" applyFill="1" applyBorder="1"/>
    <xf numFmtId="3" fontId="0" fillId="0" borderId="6" xfId="0" applyNumberFormat="1" applyFill="1" applyBorder="1"/>
    <xf numFmtId="10" fontId="0" fillId="0" borderId="9" xfId="2" applyNumberFormat="1" applyFont="1" applyFill="1" applyBorder="1"/>
    <xf numFmtId="10" fontId="0" fillId="0" borderId="9" xfId="2" applyNumberFormat="1" applyFont="1" applyBorder="1"/>
    <xf numFmtId="0" fontId="23" fillId="0" borderId="15" xfId="0" applyFont="1" applyFill="1" applyBorder="1" applyAlignment="1">
      <alignment horizontal="center"/>
    </xf>
    <xf numFmtId="3" fontId="0" fillId="0" borderId="14" xfId="0" applyNumberFormat="1" applyFill="1" applyBorder="1"/>
    <xf numFmtId="10" fontId="0" fillId="0" borderId="15" xfId="2" applyNumberFormat="1" applyFont="1" applyFill="1" applyBorder="1"/>
    <xf numFmtId="0" fontId="23" fillId="0" borderId="9" xfId="0" applyFont="1" applyBorder="1"/>
    <xf numFmtId="0" fontId="23" fillId="0" borderId="0" xfId="0" applyFont="1" applyBorder="1"/>
    <xf numFmtId="3" fontId="23" fillId="0" borderId="15" xfId="0" applyNumberFormat="1" applyFont="1" applyBorder="1"/>
    <xf numFmtId="0" fontId="24" fillId="0" borderId="7" xfId="0" applyFont="1" applyBorder="1"/>
    <xf numFmtId="0" fontId="23" fillId="0" borderId="11" xfId="0" applyFont="1" applyBorder="1"/>
    <xf numFmtId="41" fontId="0" fillId="0" borderId="11" xfId="0" applyNumberFormat="1" applyFont="1" applyBorder="1"/>
    <xf numFmtId="41" fontId="0" fillId="0" borderId="16" xfId="0" applyNumberFormat="1" applyFont="1" applyBorder="1"/>
    <xf numFmtId="0" fontId="24" fillId="0" borderId="9" xfId="0" applyFont="1" applyBorder="1"/>
    <xf numFmtId="41" fontId="0" fillId="0" borderId="0" xfId="0" applyNumberFormat="1" applyFont="1" applyBorder="1"/>
    <xf numFmtId="41" fontId="0" fillId="0" borderId="15" xfId="0" applyNumberFormat="1" applyFont="1" applyBorder="1"/>
    <xf numFmtId="10" fontId="0" fillId="0" borderId="11" xfId="2" applyNumberFormat="1" applyFont="1" applyBorder="1"/>
    <xf numFmtId="10" fontId="0" fillId="0" borderId="16" xfId="2" applyNumberFormat="1" applyFont="1" applyBorder="1"/>
    <xf numFmtId="0" fontId="23" fillId="0" borderId="30" xfId="0" applyFont="1" applyBorder="1"/>
    <xf numFmtId="0" fontId="0" fillId="0" borderId="31" xfId="0" applyBorder="1"/>
    <xf numFmtId="174" fontId="23" fillId="0" borderId="31" xfId="0" applyNumberFormat="1" applyFont="1" applyBorder="1"/>
    <xf numFmtId="174" fontId="23" fillId="0" borderId="32" xfId="0" applyNumberFormat="1" applyFont="1" applyBorder="1"/>
    <xf numFmtId="0" fontId="0" fillId="0" borderId="18" xfId="0" applyFill="1" applyBorder="1"/>
    <xf numFmtId="3" fontId="12" fillId="6" borderId="5" xfId="0" applyNumberFormat="1" applyFont="1" applyFill="1" applyBorder="1"/>
    <xf numFmtId="173" fontId="12" fillId="6" borderId="5" xfId="0" applyNumberFormat="1" applyFont="1" applyFill="1" applyBorder="1"/>
    <xf numFmtId="3" fontId="12" fillId="6" borderId="8" xfId="0" applyNumberFormat="1" applyFont="1" applyFill="1" applyBorder="1"/>
    <xf numFmtId="0" fontId="23" fillId="0" borderId="19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3" fillId="0" borderId="19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10" fontId="23" fillId="0" borderId="19" xfId="2" applyNumberFormat="1" applyFont="1" applyBorder="1" applyAlignment="1">
      <alignment horizontal="center" wrapText="1"/>
    </xf>
    <xf numFmtId="10" fontId="23" fillId="0" borderId="17" xfId="2" applyNumberFormat="1" applyFont="1" applyBorder="1" applyAlignment="1">
      <alignment horizontal="center" wrapText="1"/>
    </xf>
    <xf numFmtId="10" fontId="23" fillId="0" borderId="19" xfId="2" applyNumberFormat="1" applyFont="1" applyBorder="1" applyAlignment="1">
      <alignment horizontal="center"/>
    </xf>
    <xf numFmtId="10" fontId="23" fillId="0" borderId="17" xfId="2" applyNumberFormat="1" applyFont="1" applyBorder="1" applyAlignment="1">
      <alignment horizontal="center"/>
    </xf>
    <xf numFmtId="10" fontId="23" fillId="0" borderId="18" xfId="2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10" fontId="0" fillId="0" borderId="19" xfId="2" applyNumberFormat="1" applyFont="1" applyBorder="1" applyAlignment="1">
      <alignment horizontal="center" wrapText="1"/>
    </xf>
    <xf numFmtId="10" fontId="0" fillId="0" borderId="17" xfId="2" applyNumberFormat="1" applyFont="1" applyBorder="1" applyAlignment="1">
      <alignment horizontal="center" wrapText="1"/>
    </xf>
    <xf numFmtId="10" fontId="0" fillId="0" borderId="18" xfId="2" applyNumberFormat="1" applyFont="1" applyBorder="1" applyAlignment="1">
      <alignment horizontal="center" wrapText="1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colors>
    <mruColors>
      <color rgb="FFCCFF99"/>
      <color rgb="FFFBFFD7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M236"/>
  <sheetViews>
    <sheetView tabSelected="1" zoomScale="85" zoomScaleNormal="85" workbookViewId="0">
      <pane xSplit="1" ySplit="9" topLeftCell="B171" activePane="bottomRight" state="frozen"/>
      <selection activeCell="AB26" sqref="AB26"/>
      <selection pane="topRight" activeCell="AB26" sqref="AB26"/>
      <selection pane="bottomLeft" activeCell="AB26" sqref="AB26"/>
      <selection pane="bottomRight" activeCell="Z174" sqref="Z174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8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hidden="1" customWidth="1" outlineLevel="1"/>
    <col min="19" max="19" width="7.6640625" style="2" hidden="1" customWidth="1" outlineLevel="1"/>
    <col min="20" max="20" width="18.6640625" style="12" hidden="1" customWidth="1" outlineLevel="1"/>
    <col min="21" max="21" width="6.33203125" style="2" hidden="1" customWidth="1" outlineLevel="1"/>
    <col min="22" max="22" width="18.6640625" style="12" customWidth="1" collapsed="1"/>
    <col min="23" max="23" width="7.6640625" style="2" customWidth="1"/>
    <col min="24" max="24" width="18.6640625" style="12" customWidth="1"/>
    <col min="25" max="25" width="7.6640625" style="2" customWidth="1"/>
    <col min="26" max="29" width="18.6640625" style="12" customWidth="1"/>
    <col min="30" max="31" width="9.109375" style="12"/>
    <col min="32" max="33" width="10.5546875" style="12" bestFit="1" customWidth="1"/>
    <col min="34" max="36" width="9.109375" style="12"/>
    <col min="37" max="37" width="9.88671875" style="12" bestFit="1" customWidth="1"/>
    <col min="38" max="16384" width="9.109375" style="12"/>
  </cols>
  <sheetData>
    <row r="1" spans="1:32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C1" s="298" t="s">
        <v>0</v>
      </c>
      <c r="AE1" s="300"/>
      <c r="AF1" s="12" t="s">
        <v>103</v>
      </c>
    </row>
    <row r="2" spans="1:32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/>
      <c r="W2" s="4"/>
      <c r="X2" s="299"/>
      <c r="Y2" s="4"/>
      <c r="Z2" s="299"/>
      <c r="AA2" s="299"/>
      <c r="AB2" s="299"/>
      <c r="AC2" s="299"/>
    </row>
    <row r="3" spans="1:32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201</v>
      </c>
      <c r="W3" s="36"/>
      <c r="X3" s="264" t="s">
        <v>226</v>
      </c>
      <c r="Y3" s="36"/>
      <c r="Z3" s="264" t="str">
        <f>X3</f>
        <v>at 07/02/2020</v>
      </c>
      <c r="AA3" s="264" t="str">
        <f>Z3</f>
        <v>at 07/02/2020</v>
      </c>
      <c r="AB3" s="264" t="str">
        <f>Z3</f>
        <v>at 07/02/2020</v>
      </c>
      <c r="AC3" s="264" t="str">
        <f>Z3</f>
        <v>at 07/02/2020</v>
      </c>
    </row>
    <row r="4" spans="1:32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  <c r="AC4" s="16" t="s">
        <v>3</v>
      </c>
    </row>
    <row r="5" spans="1:32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9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C7" si="0">Z5+1</f>
        <v>2021</v>
      </c>
      <c r="AB5" s="307">
        <f t="shared" si="0"/>
        <v>2022</v>
      </c>
      <c r="AC5" s="307">
        <f t="shared" si="0"/>
        <v>2023</v>
      </c>
    </row>
    <row r="6" spans="1:32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42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  <c r="AC6" s="308">
        <f t="shared" si="0"/>
        <v>2024</v>
      </c>
    </row>
    <row r="7" spans="1:32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46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  <c r="AC7" s="309">
        <f t="shared" si="0"/>
        <v>2024</v>
      </c>
    </row>
    <row r="8" spans="1:32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5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  <c r="AC8" s="310" t="s">
        <v>176</v>
      </c>
    </row>
    <row r="9" spans="1:32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54"/>
      <c r="W9" s="55"/>
      <c r="X9" s="311"/>
      <c r="Y9" s="55"/>
      <c r="Z9" s="311"/>
      <c r="AA9" s="311"/>
      <c r="AB9" s="311"/>
      <c r="AC9" s="311"/>
    </row>
    <row r="10" spans="1:32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120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  <c r="AC10" s="301" t="s">
        <v>177</v>
      </c>
    </row>
    <row r="11" spans="1:32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42"/>
      <c r="W11" s="43"/>
      <c r="X11" s="308"/>
      <c r="Y11" s="43"/>
      <c r="Z11" s="308"/>
      <c r="AA11" s="308"/>
      <c r="AB11" s="308"/>
      <c r="AC11" s="308"/>
    </row>
    <row r="12" spans="1:32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68"/>
      <c r="W12" s="47"/>
      <c r="X12" s="312"/>
      <c r="Y12" s="47"/>
      <c r="Z12" s="312"/>
      <c r="AA12" s="312"/>
      <c r="AB12" s="312"/>
      <c r="AC12" s="312"/>
    </row>
    <row r="13" spans="1:32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70">
        <v>2400000</v>
      </c>
      <c r="W13" s="73"/>
      <c r="X13" s="461">
        <v>2400000</v>
      </c>
      <c r="Y13" s="73"/>
      <c r="Z13" s="313">
        <f>SUM(X13:X19)</f>
        <v>2400000</v>
      </c>
      <c r="AA13" s="313">
        <f>SUM(Z13:Z19)</f>
        <v>2565553</v>
      </c>
      <c r="AB13" s="313">
        <f>SUM(AA13:AA19)</f>
        <v>2743594</v>
      </c>
      <c r="AC13" s="313">
        <f>SUM(AB13:AB19)</f>
        <v>2892159</v>
      </c>
    </row>
    <row r="14" spans="1:32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153"/>
      <c r="W14" s="73"/>
      <c r="X14" s="461"/>
      <c r="Y14" s="73"/>
      <c r="Z14" s="313"/>
      <c r="AA14" s="313"/>
      <c r="AB14" s="313"/>
      <c r="AC14" s="313"/>
    </row>
    <row r="15" spans="1:32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153"/>
      <c r="W15" s="73"/>
      <c r="X15" s="461"/>
      <c r="Y15" s="73"/>
      <c r="Z15" s="154">
        <v>303587</v>
      </c>
      <c r="AA15" s="154">
        <v>310788</v>
      </c>
      <c r="AB15" s="154">
        <v>280335</v>
      </c>
      <c r="AC15" s="154">
        <v>329161</v>
      </c>
    </row>
    <row r="16" spans="1:32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153"/>
      <c r="W16" s="73"/>
      <c r="X16" s="461"/>
      <c r="Y16" s="73"/>
      <c r="Z16" s="154">
        <v>-18675</v>
      </c>
      <c r="AA16" s="154">
        <v>-13145</v>
      </c>
      <c r="AB16" s="154">
        <v>-12168</v>
      </c>
      <c r="AC16" s="154">
        <v>-5895</v>
      </c>
    </row>
    <row r="17" spans="1:34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153"/>
      <c r="W17" s="73"/>
      <c r="X17" s="461"/>
      <c r="Y17" s="73"/>
      <c r="Z17" s="154"/>
      <c r="AA17" s="154"/>
      <c r="AB17" s="154"/>
      <c r="AC17" s="154"/>
    </row>
    <row r="18" spans="1:34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153"/>
      <c r="W18" s="73"/>
      <c r="X18" s="461"/>
      <c r="Y18" s="73"/>
      <c r="Z18" s="154">
        <v>-6747</v>
      </c>
      <c r="AA18" s="154">
        <v>-6990</v>
      </c>
      <c r="AB18" s="154">
        <v>-6990</v>
      </c>
      <c r="AC18" s="154">
        <v>-7760</v>
      </c>
    </row>
    <row r="19" spans="1:34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155"/>
      <c r="W19" s="84"/>
      <c r="X19" s="462"/>
      <c r="Y19" s="84"/>
      <c r="Z19" s="398">
        <f>-112612</f>
        <v>-112612</v>
      </c>
      <c r="AA19" s="398">
        <f t="shared" ref="AA19:AC19" si="1">Z19</f>
        <v>-112612</v>
      </c>
      <c r="AB19" s="398">
        <f t="shared" si="1"/>
        <v>-112612</v>
      </c>
      <c r="AC19" s="398">
        <f t="shared" si="1"/>
        <v>-112612</v>
      </c>
    </row>
    <row r="20" spans="1:34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87">
        <v>0.96493331984800101</v>
      </c>
      <c r="W20" s="73"/>
      <c r="X20" s="463">
        <v>0.9588379188630457</v>
      </c>
      <c r="Y20" s="73"/>
      <c r="Z20" s="314">
        <f>SUM(X20)</f>
        <v>0.9588379188630457</v>
      </c>
      <c r="AA20" s="314">
        <f t="shared" ref="AA20:AA21" si="2">SUM(Z20)</f>
        <v>0.9588379188630457</v>
      </c>
      <c r="AB20" s="314">
        <f>SUM(AA20)</f>
        <v>0.9588379188630457</v>
      </c>
      <c r="AC20" s="314">
        <f>SUM(AB20)</f>
        <v>0.9588379188630457</v>
      </c>
    </row>
    <row r="21" spans="1:34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91">
        <v>0.56470299999999995</v>
      </c>
      <c r="W21" s="84"/>
      <c r="X21" s="464">
        <v>0.56982299999999997</v>
      </c>
      <c r="Y21" s="84"/>
      <c r="Z21" s="315">
        <f>SUM(X21)</f>
        <v>0.56982299999999997</v>
      </c>
      <c r="AA21" s="315">
        <f t="shared" si="2"/>
        <v>0.56982299999999997</v>
      </c>
      <c r="AB21" s="315">
        <f>SUM(AA21)</f>
        <v>0.56982299999999997</v>
      </c>
      <c r="AC21" s="315">
        <f>SUM(AB21)</f>
        <v>0.56982299999999997</v>
      </c>
    </row>
    <row r="22" spans="1:34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3">SUM(G13:G19)*G20*G21</f>
        <v>749495.24554680008</v>
      </c>
      <c r="I22" s="69">
        <f t="shared" si="3"/>
        <v>822232.32062400004</v>
      </c>
      <c r="J22" s="70"/>
      <c r="K22" s="71"/>
      <c r="L22" s="69">
        <f t="shared" ref="L22:N22" si="4">SUM(L13:L19)*L20*L21</f>
        <v>962461.34900000005</v>
      </c>
      <c r="M22" s="72"/>
      <c r="N22" s="69">
        <f t="shared" si="4"/>
        <v>1154211.1569999997</v>
      </c>
      <c r="O22" s="70"/>
      <c r="P22" s="70">
        <f t="shared" ref="P22" si="5">SUM(P13:P19)*P20*P21</f>
        <v>1162234.5759999999</v>
      </c>
      <c r="Q22" s="73"/>
      <c r="R22" s="70">
        <f>SUM(R13:R19)*R20*R21</f>
        <v>1207497.787</v>
      </c>
      <c r="S22" s="73"/>
      <c r="T22" s="70">
        <f>SUM(T13:T19)*T20*T21</f>
        <v>1238307.8730000001</v>
      </c>
      <c r="U22" s="73"/>
      <c r="V22" s="70">
        <f>SUM(V13:V19)*V20*V21</f>
        <v>1307761.7772435015</v>
      </c>
      <c r="W22" s="73"/>
      <c r="X22" s="461">
        <f>SUM(X13:X19)*X20*X21</f>
        <v>1311282.9586567134</v>
      </c>
      <c r="Y22" s="73"/>
      <c r="Z22" s="313">
        <f>SUM(Z13:Z19)*Z20*Z21</f>
        <v>1401735.803512753</v>
      </c>
      <c r="AA22" s="313">
        <f>SUM(AA13:AA19)*AA20*AA21</f>
        <v>1499011.6906970029</v>
      </c>
      <c r="AB22" s="313">
        <f>SUM(AB13:AB19)*AB20*AB21</f>
        <v>1580182.8376773507</v>
      </c>
      <c r="AC22" s="313">
        <f>SUM(AC13:AC19)*AC20*AC21</f>
        <v>1691037.6062663903</v>
      </c>
    </row>
    <row r="23" spans="1:34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70">
        <v>489.39157803826998</v>
      </c>
      <c r="W23" s="73"/>
      <c r="X23" s="461">
        <v>345.346</v>
      </c>
      <c r="Y23" s="73"/>
      <c r="Z23" s="313"/>
      <c r="AA23" s="313"/>
      <c r="AB23" s="313"/>
      <c r="AC23" s="313"/>
    </row>
    <row r="24" spans="1:34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6">SUM(I22)</f>
        <v>822232.32062400004</v>
      </c>
      <c r="J24" s="70"/>
      <c r="K24" s="71"/>
      <c r="L24" s="69">
        <f t="shared" ref="L24" si="7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70">
        <f>SUM(V22:V23)</f>
        <v>1308251.1688215397</v>
      </c>
      <c r="W24" s="73"/>
      <c r="X24" s="461">
        <f>SUM(X22:X23)</f>
        <v>1311628.3046567133</v>
      </c>
      <c r="Y24" s="73"/>
      <c r="Z24" s="313">
        <f t="shared" ref="Z24:AA24" si="8">SUM(Z22)</f>
        <v>1401735.803512753</v>
      </c>
      <c r="AA24" s="313">
        <f t="shared" si="8"/>
        <v>1499011.6906970029</v>
      </c>
      <c r="AB24" s="313">
        <f>SUM(AB22)</f>
        <v>1580182.8376773507</v>
      </c>
      <c r="AC24" s="313">
        <f>SUM(AC22)</f>
        <v>1691037.6062663903</v>
      </c>
    </row>
    <row r="25" spans="1:34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453">
        <v>1064023.335</v>
      </c>
      <c r="Q25" s="73"/>
      <c r="R25" s="70">
        <v>1117051.1471780001</v>
      </c>
      <c r="S25" s="73"/>
      <c r="T25" s="70">
        <v>1153650.0430000001</v>
      </c>
      <c r="U25" s="73"/>
      <c r="V25" s="483">
        <f>1234752.192-3489.148</f>
        <v>1231263.044</v>
      </c>
      <c r="W25" s="73"/>
      <c r="X25" s="313"/>
      <c r="Y25" s="73"/>
      <c r="Z25" s="313"/>
      <c r="AA25" s="313"/>
      <c r="AB25" s="313"/>
      <c r="AC25" s="313"/>
    </row>
    <row r="26" spans="1:34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484">
        <f>V25/V24</f>
        <v>0.94115187766972153</v>
      </c>
      <c r="W26" s="81"/>
      <c r="X26" s="316">
        <f>SUM(V26)</f>
        <v>0.94115187766972153</v>
      </c>
      <c r="Y26" s="81"/>
      <c r="Z26" s="316">
        <f>SUM(X26)</f>
        <v>0.94115187766972153</v>
      </c>
      <c r="AA26" s="316">
        <f t="shared" ref="AA26" si="9">SUM(Z26)</f>
        <v>0.94115187766972153</v>
      </c>
      <c r="AB26" s="316">
        <f>SUM(AA26)</f>
        <v>0.94115187766972153</v>
      </c>
      <c r="AC26" s="316">
        <f>SUM(AB26)</f>
        <v>0.94115187766972153</v>
      </c>
    </row>
    <row r="27" spans="1:34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0">SUM(G24*G26)</f>
        <v>681556.79615745938</v>
      </c>
      <c r="I27" s="69">
        <f t="shared" si="10"/>
        <v>765508.78650503687</v>
      </c>
      <c r="J27" s="70"/>
      <c r="K27" s="71"/>
      <c r="L27" s="69">
        <f t="shared" ref="L27:AA27" si="11">SUM(L24*L26)</f>
        <v>898630</v>
      </c>
      <c r="M27" s="72"/>
      <c r="N27" s="69">
        <f t="shared" si="11"/>
        <v>1070854.5930000001</v>
      </c>
      <c r="O27" s="72"/>
      <c r="P27" s="70">
        <f>SUM(P24*P26)</f>
        <v>1064023.335</v>
      </c>
      <c r="R27" s="70">
        <f>SUM(R24*R26)</f>
        <v>1117051.1471780001</v>
      </c>
      <c r="T27" s="70">
        <f>SUM(T24*T26)</f>
        <v>1153650.0430000001</v>
      </c>
      <c r="U27" s="71"/>
      <c r="V27" s="483">
        <f>SUM(V24*V26)</f>
        <v>1231263.044</v>
      </c>
      <c r="W27" s="71"/>
      <c r="X27" s="313">
        <f>SUM(X24*X26)</f>
        <v>1234441.4417324192</v>
      </c>
      <c r="Y27" s="71"/>
      <c r="Z27" s="313">
        <f t="shared" si="11"/>
        <v>1319246.2834729033</v>
      </c>
      <c r="AA27" s="313">
        <f t="shared" si="11"/>
        <v>1410797.6673483481</v>
      </c>
      <c r="AB27" s="313">
        <f>SUM(AB24*AB26)</f>
        <v>1487192.0447415074</v>
      </c>
      <c r="AC27" s="313">
        <f>SUM(AC24*AC26)</f>
        <v>1591523.2183477245</v>
      </c>
    </row>
    <row r="28" spans="1:34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483">
        <v>0</v>
      </c>
      <c r="W28" s="71"/>
      <c r="X28" s="313"/>
      <c r="Y28" s="71"/>
      <c r="Z28" s="313">
        <v>0</v>
      </c>
      <c r="AA28" s="313">
        <v>0</v>
      </c>
      <c r="AB28" s="313">
        <v>0</v>
      </c>
      <c r="AC28" s="313">
        <v>0</v>
      </c>
    </row>
    <row r="29" spans="1:34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2">SUM(G27:G28)</f>
        <v>681556.79615745938</v>
      </c>
      <c r="I29" s="99">
        <f t="shared" si="12"/>
        <v>765508.78650503687</v>
      </c>
      <c r="J29" s="100"/>
      <c r="K29" s="101"/>
      <c r="L29" s="99">
        <f t="shared" ref="L29:AA29" si="13">SUM(L27:L28)</f>
        <v>898630</v>
      </c>
      <c r="M29" s="102"/>
      <c r="N29" s="99">
        <f t="shared" si="13"/>
        <v>1070854.5930000001</v>
      </c>
      <c r="O29" s="102"/>
      <c r="P29" s="100">
        <f t="shared" si="13"/>
        <v>1064023.335</v>
      </c>
      <c r="Q29" s="101"/>
      <c r="R29" s="100">
        <f>SUM(R27:R28)</f>
        <v>1117051.1471780001</v>
      </c>
      <c r="S29" s="101"/>
      <c r="T29" s="100">
        <f>SUM(T27:T28)</f>
        <v>1153650.0430000001</v>
      </c>
      <c r="U29" s="101"/>
      <c r="V29" s="485">
        <f>SUM(V27:V28)</f>
        <v>1231263.044</v>
      </c>
      <c r="W29" s="101"/>
      <c r="X29" s="317">
        <f>SUM(X27:X28)</f>
        <v>1234441.4417324192</v>
      </c>
      <c r="Y29" s="101"/>
      <c r="Z29" s="317">
        <f t="shared" si="13"/>
        <v>1319246.2834729033</v>
      </c>
      <c r="AA29" s="317">
        <f t="shared" si="13"/>
        <v>1410797.6673483481</v>
      </c>
      <c r="AB29" s="317">
        <f>SUM(AB27:AB28)</f>
        <v>1487192.0447415074</v>
      </c>
      <c r="AC29" s="317">
        <f>SUM(AC27:AC28)</f>
        <v>1591523.2183477245</v>
      </c>
      <c r="AF29" s="480"/>
    </row>
    <row r="30" spans="1:34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459">
        <f>SUM((V30-T30)/T30)</f>
        <v>2.9527532068075697E-2</v>
      </c>
      <c r="V30" s="456">
        <f>14133776.33/1231263044</f>
        <v>1.1479087591294587E-2</v>
      </c>
      <c r="W30" s="305">
        <v>0</v>
      </c>
      <c r="X30" s="318">
        <f>SUM(V30*(1+W30))</f>
        <v>1.1479087591294587E-2</v>
      </c>
      <c r="Y30" s="305">
        <v>0</v>
      </c>
      <c r="Z30" s="318">
        <f>SUM(X30*(1+Y30))</f>
        <v>1.1479087591294587E-2</v>
      </c>
      <c r="AA30" s="318">
        <f>SUM(Z30*(1+Y30))</f>
        <v>1.1479087591294587E-2</v>
      </c>
      <c r="AB30" s="318">
        <f>SUM(AA30*(1+Y30))</f>
        <v>1.1479087591294587E-2</v>
      </c>
      <c r="AC30" s="318">
        <f>SUM(AB30*(1+$Y$30))</f>
        <v>1.1479087591294587E-2</v>
      </c>
    </row>
    <row r="31" spans="1:34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457"/>
      <c r="W31" s="71"/>
      <c r="X31" s="319"/>
      <c r="Y31" s="71"/>
      <c r="Z31" s="319"/>
      <c r="AA31" s="319"/>
      <c r="AB31" s="319"/>
      <c r="AC31" s="319"/>
    </row>
    <row r="32" spans="1:34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4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P32" si="15">SUM(N29*N30)</f>
        <v>12999.765589175515</v>
      </c>
      <c r="O32" s="113"/>
      <c r="P32" s="141">
        <f t="shared" si="15"/>
        <v>12677.752</v>
      </c>
      <c r="Q32" s="114"/>
      <c r="R32" s="141">
        <f>SUM(R29*R30)</f>
        <v>14080.649957033333</v>
      </c>
      <c r="S32" s="114"/>
      <c r="T32" s="141">
        <f>SUM(T29*T30)</f>
        <v>12863.036179999999</v>
      </c>
      <c r="U32" s="114"/>
      <c r="V32" s="508">
        <f>SUM(V29*V30)</f>
        <v>14133.776330000001</v>
      </c>
      <c r="W32" s="370"/>
      <c r="X32" s="320">
        <f>SUM(X29*X30)</f>
        <v>14170.261435970413</v>
      </c>
      <c r="Y32" s="440"/>
      <c r="Z32" s="320">
        <f>SUM(Z29*Z30)</f>
        <v>15143.743642475305</v>
      </c>
      <c r="AA32" s="320">
        <f>SUM(AA29*AA30)</f>
        <v>16194.66999708577</v>
      </c>
      <c r="AB32" s="320">
        <f>SUM(AB29*AB30)</f>
        <v>17071.60774666426</v>
      </c>
      <c r="AC32" s="320">
        <f>SUM(AC29*AC30)</f>
        <v>18269.234426992589</v>
      </c>
      <c r="AD32" s="472" t="s">
        <v>252</v>
      </c>
      <c r="AF32" s="478"/>
      <c r="AG32" s="479"/>
      <c r="AH32" s="479"/>
    </row>
    <row r="33" spans="1:33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489"/>
      <c r="W33" s="117"/>
      <c r="X33" s="116"/>
      <c r="Y33" s="117"/>
      <c r="Z33" s="116"/>
      <c r="AA33" s="116"/>
      <c r="AB33" s="116"/>
      <c r="AC33" s="116"/>
      <c r="AG33" s="479"/>
    </row>
    <row r="34" spans="1:33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120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  <c r="AC34" s="301" t="str">
        <f>$AC$10</f>
        <v>2024 Estimate</v>
      </c>
    </row>
    <row r="35" spans="1:33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65"/>
      <c r="W35" s="64"/>
      <c r="X35" s="321"/>
      <c r="Y35" s="64"/>
      <c r="Z35" s="321"/>
      <c r="AA35" s="321"/>
      <c r="AB35" s="321"/>
      <c r="AC35" s="321"/>
    </row>
    <row r="36" spans="1:33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65"/>
      <c r="W36" s="64"/>
      <c r="X36" s="321"/>
      <c r="Y36" s="64"/>
      <c r="Z36" s="321"/>
      <c r="AA36" s="321"/>
      <c r="AB36" s="321"/>
      <c r="AC36" s="321"/>
    </row>
    <row r="37" spans="1:33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70">
        <v>2481598.6882600002</v>
      </c>
      <c r="W37" s="73"/>
      <c r="X37" s="461">
        <v>2699998.3259999999</v>
      </c>
      <c r="Y37" s="73"/>
      <c r="Z37" s="313">
        <f>SUM(X37:X42)</f>
        <v>2665311.2843281999</v>
      </c>
      <c r="AA37" s="313">
        <f>SUM(Z37:Z42)</f>
        <v>2830864.2843281999</v>
      </c>
      <c r="AB37" s="313">
        <f>SUM(AA37:AA42)</f>
        <v>3008905.2843281999</v>
      </c>
      <c r="AC37" s="313">
        <f>SUM(AB37:AB42)</f>
        <v>3157470.2843281999</v>
      </c>
    </row>
    <row r="38" spans="1:33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124"/>
      <c r="W38" s="73"/>
      <c r="X38" s="505"/>
      <c r="Y38" s="73"/>
      <c r="Z38" s="322"/>
      <c r="AA38" s="322"/>
      <c r="AB38" s="322"/>
      <c r="AC38" s="322"/>
    </row>
    <row r="39" spans="1:33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153"/>
      <c r="W39" s="73"/>
      <c r="X39" s="483">
        <f>-44373.854*78.17%</f>
        <v>-34687.041671800005</v>
      </c>
      <c r="Y39" s="73"/>
      <c r="Z39" s="344">
        <f>SUM(Z15)</f>
        <v>303587</v>
      </c>
      <c r="AA39" s="344">
        <f t="shared" ref="Z39:AA40" si="16">SUM(AA15)</f>
        <v>310788</v>
      </c>
      <c r="AB39" s="344">
        <f>SUM(AB15)</f>
        <v>280335</v>
      </c>
      <c r="AC39" s="344">
        <f>SUM(AC15)</f>
        <v>329161</v>
      </c>
    </row>
    <row r="40" spans="1:33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126"/>
      <c r="W40" s="73"/>
      <c r="X40" s="483"/>
      <c r="Y40" s="73"/>
      <c r="Z40" s="344">
        <f t="shared" si="16"/>
        <v>-18675</v>
      </c>
      <c r="AA40" s="344">
        <f t="shared" si="16"/>
        <v>-13145</v>
      </c>
      <c r="AB40" s="344">
        <f>SUM(AB16)</f>
        <v>-12168</v>
      </c>
      <c r="AC40" s="344">
        <f>SUM(AC16)</f>
        <v>-5895</v>
      </c>
    </row>
    <row r="41" spans="1:33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126"/>
      <c r="W41" s="73"/>
      <c r="X41" s="483"/>
      <c r="Y41" s="73"/>
      <c r="Z41" s="344">
        <f t="shared" ref="Z41:AA42" si="17">SUM(Z18)</f>
        <v>-6747</v>
      </c>
      <c r="AA41" s="344">
        <f t="shared" si="17"/>
        <v>-6990</v>
      </c>
      <c r="AB41" s="344">
        <f>SUM(AB18)</f>
        <v>-6990</v>
      </c>
      <c r="AC41" s="344">
        <f>SUM(AC18)</f>
        <v>-7760</v>
      </c>
    </row>
    <row r="42" spans="1:33" x14ac:dyDescent="0.3">
      <c r="A42" s="56" t="s">
        <v>36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126"/>
      <c r="W42" s="73"/>
      <c r="X42" s="461"/>
      <c r="Y42" s="73"/>
      <c r="Z42" s="344">
        <f>SUM(Z19)</f>
        <v>-112612</v>
      </c>
      <c r="AA42" s="344">
        <f t="shared" si="17"/>
        <v>-112612</v>
      </c>
      <c r="AB42" s="344">
        <f>SUM(AB19)</f>
        <v>-112612</v>
      </c>
      <c r="AC42" s="344">
        <f>SUM(AC19)</f>
        <v>-112612</v>
      </c>
    </row>
    <row r="43" spans="1:33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83"/>
      <c r="W43" s="84"/>
      <c r="X43" s="462"/>
      <c r="Y43" s="84"/>
      <c r="Z43" s="323"/>
      <c r="AA43" s="323"/>
      <c r="AB43" s="323"/>
      <c r="AC43" s="323"/>
    </row>
    <row r="44" spans="1:33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87">
        <v>1</v>
      </c>
      <c r="W44" s="73"/>
      <c r="X44" s="463">
        <v>1</v>
      </c>
      <c r="Y44" s="73"/>
      <c r="Z44" s="314">
        <v>1</v>
      </c>
      <c r="AA44" s="314">
        <v>1</v>
      </c>
      <c r="AB44" s="314">
        <v>1</v>
      </c>
      <c r="AC44" s="314">
        <v>1</v>
      </c>
    </row>
    <row r="45" spans="1:33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91">
        <f>619029054/2481598688.26</f>
        <v>0.24944768746393839</v>
      </c>
      <c r="W45" s="84"/>
      <c r="X45" s="464">
        <v>0.25290000000000001</v>
      </c>
      <c r="Y45" s="84"/>
      <c r="Z45" s="315">
        <f>SUM(X45)</f>
        <v>0.25290000000000001</v>
      </c>
      <c r="AA45" s="315">
        <f t="shared" ref="AA45" si="18">SUM(Z45)</f>
        <v>0.25290000000000001</v>
      </c>
      <c r="AB45" s="315">
        <f>SUM(AA45)</f>
        <v>0.25290000000000001</v>
      </c>
      <c r="AC45" s="315">
        <f>SUM(AB45)</f>
        <v>0.25290000000000001</v>
      </c>
    </row>
    <row r="46" spans="1:33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70">
        <f>SUM(V37:V43)*V44*V45</f>
        <v>619029.054</v>
      </c>
      <c r="W46" s="73"/>
      <c r="X46" s="461">
        <f>SUM(X37:X43)*X44*X45-1</f>
        <v>674056.22380660183</v>
      </c>
      <c r="Y46" s="73"/>
      <c r="Z46" s="313">
        <f>SUM(Z37:Z43)*Z44*Z45</f>
        <v>715925.57750660181</v>
      </c>
      <c r="AA46" s="313">
        <f>SUM(AA37:AA43)*AA44*AA45</f>
        <v>760952.14640660177</v>
      </c>
      <c r="AB46" s="313">
        <f>SUM(AB37:AB43)*AB44*AB45</f>
        <v>798524.23490660184</v>
      </c>
      <c r="AC46" s="313">
        <f>SUM(AC37:AC43)*AC44*AC45</f>
        <v>849836.12750660186</v>
      </c>
    </row>
    <row r="47" spans="1:33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83">
        <f>589749.943-V46</f>
        <v>-29279.111000000034</v>
      </c>
      <c r="W47" s="84"/>
      <c r="X47" s="462">
        <f>-12448.802-342.259-900-347.706</f>
        <v>-14038.767</v>
      </c>
      <c r="Y47" s="84"/>
      <c r="Z47" s="323">
        <f>SUM(X47)</f>
        <v>-14038.767</v>
      </c>
      <c r="AA47" s="323">
        <f t="shared" ref="AA47" si="19">SUM(Z47)</f>
        <v>-14038.767</v>
      </c>
      <c r="AB47" s="323">
        <f>SUM(AA47)</f>
        <v>-14038.767</v>
      </c>
      <c r="AC47" s="323">
        <f>SUM(AB47)</f>
        <v>-14038.767</v>
      </c>
    </row>
    <row r="48" spans="1:33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0">SUM(L46:L47)</f>
        <v>469394.93499999994</v>
      </c>
      <c r="M48" s="72"/>
      <c r="N48" s="69">
        <f t="shared" si="20"/>
        <v>504910.23699999996</v>
      </c>
      <c r="O48" s="70"/>
      <c r="P48" s="70">
        <f t="shared" si="20"/>
        <v>504754.00099999999</v>
      </c>
      <c r="Q48" s="73"/>
      <c r="R48" s="70">
        <f>SUM(R46:R47)</f>
        <v>549171.69446199993</v>
      </c>
      <c r="S48" s="73"/>
      <c r="T48" s="70">
        <f t="shared" si="20"/>
        <v>573846.04099999997</v>
      </c>
      <c r="U48" s="73"/>
      <c r="V48" s="70">
        <f>SUM(V46:V47)</f>
        <v>589749.94299999997</v>
      </c>
      <c r="W48" s="73"/>
      <c r="X48" s="461">
        <f>SUM(X46:X47)</f>
        <v>660017.45680660184</v>
      </c>
      <c r="Y48" s="73"/>
      <c r="Z48" s="313">
        <f>SUM(Z46:Z47)</f>
        <v>701886.81050660182</v>
      </c>
      <c r="AA48" s="313">
        <f t="shared" si="20"/>
        <v>746913.37940660177</v>
      </c>
      <c r="AB48" s="313">
        <f>SUM(AB46:AB47)</f>
        <v>784485.46790660184</v>
      </c>
      <c r="AC48" s="313">
        <f>SUM(AC46:AC47)</f>
        <v>835797.36050660186</v>
      </c>
    </row>
    <row r="49" spans="1:30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134">
        <v>1</v>
      </c>
      <c r="W49" s="84"/>
      <c r="X49" s="504">
        <v>1</v>
      </c>
      <c r="Y49" s="84"/>
      <c r="Z49" s="324">
        <v>1</v>
      </c>
      <c r="AA49" s="324">
        <v>1</v>
      </c>
      <c r="AB49" s="324">
        <v>1</v>
      </c>
      <c r="AC49" s="324">
        <v>1</v>
      </c>
    </row>
    <row r="50" spans="1:30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1">SUM(G48*G49)</f>
        <v>426852.43202319462</v>
      </c>
      <c r="I50" s="69">
        <f t="shared" si="21"/>
        <v>468663.26434402453</v>
      </c>
      <c r="J50" s="70"/>
      <c r="K50" s="71"/>
      <c r="L50" s="69">
        <f t="shared" ref="L50:AA50" si="22">SUM(L48*L49)</f>
        <v>469394.93499999994</v>
      </c>
      <c r="M50" s="72"/>
      <c r="N50" s="69">
        <f t="shared" si="22"/>
        <v>504910.23699999996</v>
      </c>
      <c r="O50" s="70"/>
      <c r="P50" s="70">
        <f t="shared" si="22"/>
        <v>504754.00099999999</v>
      </c>
      <c r="Q50" s="73"/>
      <c r="R50" s="70">
        <f>SUM(R48*R49)</f>
        <v>549171.69446199993</v>
      </c>
      <c r="S50" s="73"/>
      <c r="T50" s="70">
        <f t="shared" si="22"/>
        <v>573846.04099999997</v>
      </c>
      <c r="U50" s="73"/>
      <c r="V50" s="70">
        <f>SUM(V48*V49)</f>
        <v>589749.94299999997</v>
      </c>
      <c r="W50" s="73"/>
      <c r="X50" s="461">
        <f t="shared" si="22"/>
        <v>660017.45680660184</v>
      </c>
      <c r="Y50" s="73"/>
      <c r="Z50" s="313">
        <f>SUM(Z48*Z49)</f>
        <v>701886.81050660182</v>
      </c>
      <c r="AA50" s="313">
        <f t="shared" si="22"/>
        <v>746913.37940660177</v>
      </c>
      <c r="AB50" s="313">
        <f>SUM(AB48*AB49)</f>
        <v>784485.46790660184</v>
      </c>
      <c r="AC50" s="313">
        <f>SUM(AC48*AC49)</f>
        <v>835797.36050660186</v>
      </c>
    </row>
    <row r="51" spans="1:30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466">
        <f>SUM((V51-T51)/T51)</f>
        <v>-6.1830860907388874E-2</v>
      </c>
      <c r="V51" s="456">
        <f>5979.19035/V50</f>
        <v>1.0138517893845731E-2</v>
      </c>
      <c r="W51" s="305">
        <f>$W$30</f>
        <v>0</v>
      </c>
      <c r="X51" s="318">
        <f>SUM(V51*(1+W51))</f>
        <v>1.0138517893845731E-2</v>
      </c>
      <c r="Y51" s="305">
        <f>$Y$30</f>
        <v>0</v>
      </c>
      <c r="Z51" s="318">
        <f>SUM(X51*(1+Y51))</f>
        <v>1.0138517893845731E-2</v>
      </c>
      <c r="AA51" s="318">
        <f>SUM(Z51*(1+Y51))</f>
        <v>1.0138517893845731E-2</v>
      </c>
      <c r="AB51" s="318">
        <f>SUM(AA51*(1+Y51))</f>
        <v>1.0138517893845731E-2</v>
      </c>
      <c r="AC51" s="318">
        <f>SUM(AB51*(1+$Y$51))</f>
        <v>1.0138517893845731E-2</v>
      </c>
    </row>
    <row r="52" spans="1:30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457"/>
      <c r="W52" s="71"/>
      <c r="X52" s="319"/>
      <c r="Y52" s="71"/>
      <c r="Z52" s="319"/>
      <c r="AA52" s="319"/>
      <c r="AB52" s="319"/>
      <c r="AC52" s="319"/>
    </row>
    <row r="53" spans="1:30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3">SUM(G50*G51)</f>
        <v>4690.254523070862</v>
      </c>
      <c r="I53" s="112">
        <f t="shared" si="23"/>
        <v>5359.0285675337436</v>
      </c>
      <c r="J53" s="141"/>
      <c r="K53" s="114"/>
      <c r="L53" s="112">
        <f t="shared" ref="L53:AA53" si="24">SUM(L50*L51)</f>
        <v>5440.7422465869995</v>
      </c>
      <c r="M53" s="113"/>
      <c r="N53" s="112">
        <f t="shared" si="24"/>
        <v>5717.717903841688</v>
      </c>
      <c r="O53" s="113"/>
      <c r="P53" s="141">
        <f t="shared" si="24"/>
        <v>5675.1669887565686</v>
      </c>
      <c r="Q53" s="114"/>
      <c r="R53" s="141">
        <f>SUM(R50*R51)</f>
        <v>6132.3038800000004</v>
      </c>
      <c r="S53" s="114"/>
      <c r="T53" s="141">
        <f>SUM(T50*T51)</f>
        <v>6201.3853499999996</v>
      </c>
      <c r="U53" s="370"/>
      <c r="V53" s="508">
        <f>SUM(V50*V51)</f>
        <v>5979.1903499999999</v>
      </c>
      <c r="W53" s="370"/>
      <c r="X53" s="533">
        <f>SUM(X50*X51)</f>
        <v>6691.5987960842849</v>
      </c>
      <c r="Y53" s="370"/>
      <c r="Z53" s="392">
        <f t="shared" si="24"/>
        <v>7116.0919877754905</v>
      </c>
      <c r="AA53" s="392">
        <f t="shared" si="24"/>
        <v>7572.5946622666179</v>
      </c>
      <c r="AB53" s="392">
        <f>SUM(AB50*AB51)</f>
        <v>7953.5199538330244</v>
      </c>
      <c r="AC53" s="392">
        <f>SUM(AC50*AC51)</f>
        <v>8473.746495125215</v>
      </c>
      <c r="AD53" s="472" t="s">
        <v>261</v>
      </c>
    </row>
    <row r="54" spans="1:30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  <c r="AC54" s="144"/>
    </row>
    <row r="55" spans="1:30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120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  <c r="AC55" s="301" t="str">
        <f>$AC$10</f>
        <v>2024 Estimate</v>
      </c>
    </row>
    <row r="56" spans="1:30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4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  <c r="AC56" s="312" t="s">
        <v>57</v>
      </c>
    </row>
    <row r="57" spans="1:30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149">
        <v>4499000</v>
      </c>
      <c r="W57" s="152"/>
      <c r="X57" s="460">
        <v>4711000</v>
      </c>
      <c r="Y57" s="152"/>
      <c r="Z57" s="325">
        <f>SUM(X57)</f>
        <v>4711000</v>
      </c>
      <c r="AA57" s="325">
        <f>SUM(Z57:Z60)</f>
        <v>4975292</v>
      </c>
      <c r="AB57" s="325">
        <f>SUM(AA57:AA60)</f>
        <v>5250538</v>
      </c>
      <c r="AC57" s="325">
        <f>SUM(AB57:AB60)</f>
        <v>5499678</v>
      </c>
    </row>
    <row r="58" spans="1:30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70">
        <v>4049000</v>
      </c>
      <c r="W58" s="73"/>
      <c r="X58" s="461">
        <v>4240000</v>
      </c>
      <c r="Y58" s="73"/>
      <c r="Z58" s="313"/>
      <c r="AA58" s="313"/>
      <c r="AB58" s="313"/>
      <c r="AC58" s="313"/>
    </row>
    <row r="59" spans="1:30" x14ac:dyDescent="0.3">
      <c r="A59" s="56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70"/>
      <c r="W59" s="73"/>
      <c r="X59" s="461"/>
      <c r="Y59" s="399"/>
      <c r="Z59" s="313">
        <f>SUM(Z15+Z16+Z17+Z18+Z118)</f>
        <v>376904</v>
      </c>
      <c r="AA59" s="313">
        <f>SUM(AA15+AA16+AA17+AA18+AA118)</f>
        <v>387858</v>
      </c>
      <c r="AB59" s="313">
        <f>SUM(AB15+AB16+AB17+AB18+AB118)</f>
        <v>361752</v>
      </c>
      <c r="AC59" s="313">
        <f>SUM(AC15+AC16+AC17+AC18+AC118)</f>
        <v>410805</v>
      </c>
    </row>
    <row r="60" spans="1:30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70"/>
      <c r="W60" s="73"/>
      <c r="X60" s="461"/>
      <c r="Y60" s="73"/>
      <c r="Z60" s="313">
        <f>SUM(Z19+Z119)</f>
        <v>-112612</v>
      </c>
      <c r="AA60" s="313">
        <f>SUM(AA19+AA119)</f>
        <v>-112612</v>
      </c>
      <c r="AB60" s="313">
        <f>SUM(AB19+AB119)</f>
        <v>-112612</v>
      </c>
      <c r="AC60" s="313">
        <f>SUM(AC19+AC119)</f>
        <v>-112612</v>
      </c>
    </row>
    <row r="61" spans="1:30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83"/>
      <c r="U61" s="84"/>
      <c r="V61" s="83"/>
      <c r="W61" s="84"/>
      <c r="X61" s="462"/>
      <c r="Y61" s="84"/>
      <c r="Z61" s="323">
        <f>SUM(Z57:Z60)*0.1*-1</f>
        <v>-497529.2</v>
      </c>
      <c r="AA61" s="323">
        <f>SUM(AA57:AA60)*0.1*-1</f>
        <v>-525053.80000000005</v>
      </c>
      <c r="AB61" s="323">
        <f>SUM(AB57:AB60)*0.1*-1</f>
        <v>-549967.80000000005</v>
      </c>
      <c r="AC61" s="323">
        <f>SUM(AC57:AC60)*0.1*-1</f>
        <v>-579787.1</v>
      </c>
    </row>
    <row r="62" spans="1:30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70">
        <f>SUM(V58:V61)</f>
        <v>4049000</v>
      </c>
      <c r="W62" s="73"/>
      <c r="X62" s="461">
        <f>SUM(X58:X61)</f>
        <v>4240000</v>
      </c>
      <c r="Y62" s="73"/>
      <c r="Z62" s="313">
        <f>SUM(Z57:Z61)</f>
        <v>4477762.8</v>
      </c>
      <c r="AA62" s="313">
        <f>SUM(AA57:AA61)</f>
        <v>4725484.2</v>
      </c>
      <c r="AB62" s="313">
        <f>SUM(AB57:AB61)</f>
        <v>4949710.2</v>
      </c>
      <c r="AC62" s="313">
        <f>SUM(AC57:AC61)</f>
        <v>5218083.9000000004</v>
      </c>
    </row>
    <row r="63" spans="1:30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87">
        <v>1</v>
      </c>
      <c r="W63" s="73"/>
      <c r="X63" s="463">
        <v>1</v>
      </c>
      <c r="Y63" s="73"/>
      <c r="Z63" s="314">
        <v>1</v>
      </c>
      <c r="AA63" s="314">
        <v>1</v>
      </c>
      <c r="AB63" s="314">
        <v>1</v>
      </c>
      <c r="AC63" s="314">
        <v>1</v>
      </c>
    </row>
    <row r="64" spans="1:30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91">
        <f>489758686/4049000000</f>
        <v>0.12095793677451222</v>
      </c>
      <c r="W64" s="84"/>
      <c r="X64" s="464">
        <v>0.11532112098199999</v>
      </c>
      <c r="Y64" s="84"/>
      <c r="Z64" s="315">
        <f t="shared" ref="Z64" si="25">SUM(X64)</f>
        <v>0.11532112098199999</v>
      </c>
      <c r="AA64" s="315">
        <f>SUM(Z64)</f>
        <v>0.11532112098199999</v>
      </c>
      <c r="AB64" s="315">
        <f>SUM(AA64)</f>
        <v>0.11532112098199999</v>
      </c>
      <c r="AC64" s="315">
        <f>SUM(AB64)</f>
        <v>0.11532112098199999</v>
      </c>
    </row>
    <row r="65" spans="1:30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26">SUM(G62*G64)</f>
        <v>350240.37700000004</v>
      </c>
      <c r="I65" s="69">
        <f t="shared" si="26"/>
        <v>370904.02</v>
      </c>
      <c r="J65" s="70"/>
      <c r="K65" s="71"/>
      <c r="L65" s="69">
        <f t="shared" ref="L65:Z65" si="27">SUM(L62*L64)</f>
        <v>379502.29200000002</v>
      </c>
      <c r="M65" s="72"/>
      <c r="N65" s="69">
        <f t="shared" si="27"/>
        <v>345023.42800000001</v>
      </c>
      <c r="O65" s="70"/>
      <c r="P65" s="70">
        <f t="shared" si="27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70">
        <f>SUM(V62*V64)</f>
        <v>489758.68599999999</v>
      </c>
      <c r="W65" s="73"/>
      <c r="X65" s="461">
        <f>SUM(X62*X64)</f>
        <v>488961.55296367995</v>
      </c>
      <c r="Y65" s="73"/>
      <c r="Z65" s="313">
        <f t="shared" si="27"/>
        <v>516380.625587499</v>
      </c>
      <c r="AA65" s="313">
        <f>SUM(AA62*AA64)</f>
        <v>544948.1351267295</v>
      </c>
      <c r="AB65" s="313">
        <f>SUM(AB62*AB64)</f>
        <v>570806.12880003941</v>
      </c>
      <c r="AC65" s="313">
        <f>SUM(AC62*AC64)</f>
        <v>601755.28472612635</v>
      </c>
    </row>
    <row r="66" spans="1:30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70">
        <f>488836.762-V65</f>
        <v>-921.92399999999907</v>
      </c>
      <c r="W66" s="73"/>
      <c r="X66" s="461">
        <v>-410.86500000000001</v>
      </c>
      <c r="Y66" s="73"/>
      <c r="Z66" s="313">
        <v>0</v>
      </c>
      <c r="AA66" s="313">
        <v>0</v>
      </c>
      <c r="AB66" s="313">
        <v>0</v>
      </c>
      <c r="AC66" s="313">
        <v>0</v>
      </c>
    </row>
    <row r="67" spans="1:30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157">
        <v>1</v>
      </c>
      <c r="W67" s="73"/>
      <c r="X67" s="465">
        <v>1</v>
      </c>
      <c r="Y67" s="73"/>
      <c r="Z67" s="326">
        <v>1</v>
      </c>
      <c r="AA67" s="326">
        <v>1</v>
      </c>
      <c r="AB67" s="326">
        <v>1</v>
      </c>
      <c r="AC67" s="326">
        <v>1</v>
      </c>
    </row>
    <row r="68" spans="1:30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28">SUM(G65:G66)*G67</f>
        <v>349938.54100000003</v>
      </c>
      <c r="I68" s="69">
        <f t="shared" si="28"/>
        <v>370623.68800000002</v>
      </c>
      <c r="J68" s="70"/>
      <c r="K68" s="71"/>
      <c r="L68" s="69">
        <f t="shared" ref="L68:N68" si="29">SUM(L65:L66)*L67</f>
        <v>379213.82400000002</v>
      </c>
      <c r="M68" s="72"/>
      <c r="N68" s="69">
        <f t="shared" si="29"/>
        <v>344746.50900000002</v>
      </c>
      <c r="O68" s="70"/>
      <c r="P68" s="70">
        <f t="shared" ref="P68:Z68" si="30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70">
        <f>SUM(V65:V66)*V67</f>
        <v>488836.76199999999</v>
      </c>
      <c r="W68" s="73"/>
      <c r="X68" s="461">
        <f>SUM(X65:X66)*X67</f>
        <v>488550.68796367996</v>
      </c>
      <c r="Y68" s="73"/>
      <c r="Z68" s="313">
        <f t="shared" si="30"/>
        <v>516380.625587499</v>
      </c>
      <c r="AA68" s="313">
        <f>SUM(AA65:AA66)*AA67</f>
        <v>544948.1351267295</v>
      </c>
      <c r="AB68" s="313">
        <f>SUM(AB65:AB66)*AB67</f>
        <v>570806.12880003941</v>
      </c>
      <c r="AC68" s="313">
        <f>SUM(AC65:AC66)*AC67</f>
        <v>601755.28472612635</v>
      </c>
    </row>
    <row r="69" spans="1:30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176">
        <f>32120.631/V68</f>
        <v>6.5708296709485206E-2</v>
      </c>
      <c r="W69" s="164"/>
      <c r="X69" s="327">
        <f>SUM(V69)</f>
        <v>6.5708296709485206E-2</v>
      </c>
      <c r="Y69" s="164"/>
      <c r="Z69" s="327">
        <f t="shared" ref="Z69" si="31">SUM(X69)</f>
        <v>6.5708296709485206E-2</v>
      </c>
      <c r="AA69" s="327">
        <f>SUM(Z69)</f>
        <v>6.5708296709485206E-2</v>
      </c>
      <c r="AB69" s="327">
        <f>SUM(AA69)</f>
        <v>6.5708296709485206E-2</v>
      </c>
      <c r="AC69" s="327">
        <f>SUM(AB69)</f>
        <v>6.5708296709485206E-2</v>
      </c>
    </row>
    <row r="70" spans="1:30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2">SUM(G68*G69)</f>
        <v>22904.265934547748</v>
      </c>
      <c r="I70" s="69">
        <f t="shared" si="32"/>
        <v>24673.979228846489</v>
      </c>
      <c r="J70" s="153"/>
      <c r="K70" s="71"/>
      <c r="L70" s="69">
        <f t="shared" ref="L70:X70" si="33">SUM(L68*L69)</f>
        <v>24737.454518899576</v>
      </c>
      <c r="M70" s="72"/>
      <c r="N70" s="69">
        <f t="shared" si="33"/>
        <v>22376.198131038327</v>
      </c>
      <c r="O70" s="165"/>
      <c r="P70" s="131">
        <f t="shared" si="33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70">
        <f>SUM(V68*V69)</f>
        <v>32120.631000000001</v>
      </c>
      <c r="W70" s="166"/>
      <c r="X70" s="313">
        <f t="shared" si="33"/>
        <v>32101.833562340606</v>
      </c>
      <c r="Y70" s="166"/>
      <c r="Z70" s="313">
        <f>SUM(Z68*Z69)</f>
        <v>33930.491361132976</v>
      </c>
      <c r="AA70" s="313">
        <f>SUM(AA68*AA69)</f>
        <v>35807.613754187776</v>
      </c>
      <c r="AB70" s="313">
        <f>SUM(AB68*AB69)</f>
        <v>37506.698474785619</v>
      </c>
      <c r="AC70" s="313">
        <f>SUM(AC68*AC69)</f>
        <v>39540.314795285063</v>
      </c>
    </row>
    <row r="71" spans="1:30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  <c r="AC71" s="313">
        <v>0</v>
      </c>
    </row>
    <row r="72" spans="1:30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4">SUM(G70:G71)</f>
        <v>22904.265934547748</v>
      </c>
      <c r="I72" s="99">
        <f t="shared" si="34"/>
        <v>24673.979228846489</v>
      </c>
      <c r="J72" s="167"/>
      <c r="K72" s="101"/>
      <c r="L72" s="99">
        <f t="shared" ref="L72:Z72" si="35">SUM(L70:L71)</f>
        <v>24737.454518899576</v>
      </c>
      <c r="M72" s="102"/>
      <c r="N72" s="99">
        <f t="shared" si="35"/>
        <v>22376.198131038327</v>
      </c>
      <c r="O72" s="102"/>
      <c r="P72" s="100">
        <f t="shared" si="35"/>
        <v>27999.644464958154</v>
      </c>
      <c r="Q72" s="101"/>
      <c r="R72" s="100">
        <f t="shared" ref="R72" si="36">SUM(R70:R71)</f>
        <v>29277.027320712124</v>
      </c>
      <c r="S72" s="101"/>
      <c r="T72" s="100">
        <f>SUM(T70:T71)</f>
        <v>30670.574000000001</v>
      </c>
      <c r="U72" s="101"/>
      <c r="V72" s="100">
        <f>SUM(V70:V71)</f>
        <v>32120.631000000001</v>
      </c>
      <c r="W72" s="101"/>
      <c r="X72" s="317">
        <f t="shared" si="35"/>
        <v>32101.833562340606</v>
      </c>
      <c r="Y72" s="101"/>
      <c r="Z72" s="317">
        <f t="shared" si="35"/>
        <v>33930.491361132976</v>
      </c>
      <c r="AA72" s="317">
        <f>SUM(AA70:AA71)</f>
        <v>35807.613754187776</v>
      </c>
      <c r="AB72" s="317">
        <f>SUM(AB70:AB71)</f>
        <v>37506.698474785619</v>
      </c>
      <c r="AC72" s="317">
        <f>SUM(AC70:AC71)</f>
        <v>39540.314795285063</v>
      </c>
    </row>
    <row r="73" spans="1:30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294">
        <f>SUM((V73-T73)/T73)</f>
        <v>-1.3491836583370404E-2</v>
      </c>
      <c r="V73" s="293">
        <f>11537.7201/V72</f>
        <v>0.3591996713887719</v>
      </c>
      <c r="W73" s="305">
        <f>$W$30</f>
        <v>0</v>
      </c>
      <c r="X73" s="318">
        <f>SUM(V73*(1+W73))</f>
        <v>0.3591996713887719</v>
      </c>
      <c r="Y73" s="305">
        <f>$Y$30</f>
        <v>0</v>
      </c>
      <c r="Z73" s="318">
        <f>SUM(X73*(1+Y73))</f>
        <v>0.3591996713887719</v>
      </c>
      <c r="AA73" s="318">
        <f>SUM(Z73*(1+Y73))</f>
        <v>0.3591996713887719</v>
      </c>
      <c r="AB73" s="318">
        <f>SUM(AA73*(1+Y73))</f>
        <v>0.3591996713887719</v>
      </c>
      <c r="AC73" s="318">
        <f>SUM(AB73*(1+$Y$73))</f>
        <v>0.3591996713887719</v>
      </c>
    </row>
    <row r="74" spans="1:30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139"/>
      <c r="W74" s="71"/>
      <c r="X74" s="319"/>
      <c r="Y74" s="71"/>
      <c r="Z74" s="319"/>
      <c r="AA74" s="319"/>
      <c r="AB74" s="319"/>
      <c r="AC74" s="319"/>
    </row>
    <row r="75" spans="1:30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37">SUM(G72*G73)</f>
        <v>7219.74299186594</v>
      </c>
      <c r="I75" s="112">
        <f t="shared" si="37"/>
        <v>8163.043288322272</v>
      </c>
      <c r="J75" s="141"/>
      <c r="K75" s="114"/>
      <c r="L75" s="112">
        <f t="shared" ref="L75:N75" si="38">SUM(L72*L73)</f>
        <v>8456.9513856009962</v>
      </c>
      <c r="M75" s="113"/>
      <c r="N75" s="112">
        <f t="shared" si="38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141">
        <f>SUM(T72*T73)</f>
        <v>11167.5306</v>
      </c>
      <c r="U75" s="370"/>
      <c r="V75" s="141">
        <f>SUM(V72*V73)</f>
        <v>11537.7201</v>
      </c>
      <c r="W75" s="370"/>
      <c r="X75" s="392">
        <f>SUM(X72*X73)</f>
        <v>11530.968066569794</v>
      </c>
      <c r="Y75" s="370"/>
      <c r="Z75" s="392">
        <f>SUM(Z72*Z73)</f>
        <v>12187.82134697853</v>
      </c>
      <c r="AA75" s="392">
        <f>SUM(AA72*AA73)</f>
        <v>12862.083093720317</v>
      </c>
      <c r="AB75" s="392">
        <f>SUM(AB72*AB73)</f>
        <v>13472.393767020747</v>
      </c>
      <c r="AC75" s="392">
        <f>SUM(AC72*AC73)</f>
        <v>14202.86808107499</v>
      </c>
      <c r="AD75" s="472" t="s">
        <v>262</v>
      </c>
    </row>
    <row r="76" spans="1:30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  <c r="AC76" s="171"/>
    </row>
    <row r="77" spans="1:30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120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">
        <v>178</v>
      </c>
      <c r="AC77" s="301" t="s">
        <v>179</v>
      </c>
    </row>
    <row r="78" spans="1:30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65"/>
      <c r="W78" s="175"/>
      <c r="X78" s="321"/>
      <c r="Y78" s="175"/>
      <c r="Z78" s="321"/>
      <c r="AA78" s="321"/>
      <c r="AB78" s="321"/>
      <c r="AC78" s="321"/>
    </row>
    <row r="79" spans="1:30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46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  <c r="AC79" s="308" t="s">
        <v>75</v>
      </c>
    </row>
    <row r="80" spans="1:30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70">
        <v>1377</v>
      </c>
      <c r="W80" s="73"/>
      <c r="X80" s="313">
        <f>SUM(V80)</f>
        <v>1377</v>
      </c>
      <c r="Y80" s="73"/>
      <c r="Z80" s="313">
        <f>SUM(X80)</f>
        <v>1377</v>
      </c>
      <c r="AA80" s="313">
        <f t="shared" ref="AA80" si="39">SUM(Z80)</f>
        <v>1377</v>
      </c>
      <c r="AB80" s="313">
        <f>SUM(AA80)</f>
        <v>1377</v>
      </c>
      <c r="AC80" s="313">
        <f>SUM(AB80)</f>
        <v>1377</v>
      </c>
    </row>
    <row r="81" spans="1:30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70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  <c r="AC81" s="313">
        <v>0</v>
      </c>
    </row>
    <row r="82" spans="1:30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70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  <c r="AC82" s="313">
        <f>SUM(AC74)</f>
        <v>0</v>
      </c>
    </row>
    <row r="83" spans="1:30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87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  <c r="AC83" s="314">
        <v>1</v>
      </c>
    </row>
    <row r="84" spans="1:30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91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  <c r="AC84" s="315">
        <v>1</v>
      </c>
    </row>
    <row r="85" spans="1:30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0">SUM((G80+G81+G82)*G83*G84)</f>
        <v>888.3152139</v>
      </c>
      <c r="I85" s="69">
        <f t="shared" si="40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1">SUM((P80+P81+P82)*P83*P84)</f>
        <v>1137.998</v>
      </c>
      <c r="Q85" s="73"/>
      <c r="R85" s="70">
        <f t="shared" ref="R85" si="42">SUM((R80+R81+R82)*R83*R84)</f>
        <v>1221</v>
      </c>
      <c r="S85" s="73"/>
      <c r="T85" s="70">
        <f t="shared" si="41"/>
        <v>1432</v>
      </c>
      <c r="U85" s="73"/>
      <c r="V85" s="70">
        <f>SUM((V80+V81+V82)*V83*V84)</f>
        <v>1377</v>
      </c>
      <c r="W85" s="73"/>
      <c r="X85" s="313">
        <f t="shared" si="41"/>
        <v>1377</v>
      </c>
      <c r="Y85" s="73"/>
      <c r="Z85" s="313">
        <f t="shared" si="41"/>
        <v>1377</v>
      </c>
      <c r="AA85" s="313">
        <f t="shared" si="41"/>
        <v>1377</v>
      </c>
      <c r="AB85" s="313">
        <f>SUM((AB80+AB81+AB82)*AB83*AB84)</f>
        <v>1377</v>
      </c>
      <c r="AC85" s="313">
        <f>SUM((AC80+AC81+AC82)*AC83*AC84)</f>
        <v>1377</v>
      </c>
    </row>
    <row r="86" spans="1:30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124"/>
      <c r="W86" s="73"/>
      <c r="X86" s="313"/>
      <c r="Y86" s="73"/>
      <c r="Z86" s="313"/>
      <c r="AA86" s="313"/>
      <c r="AB86" s="313"/>
      <c r="AC86" s="313"/>
    </row>
    <row r="87" spans="1:30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157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  <c r="AC87" s="326">
        <v>1</v>
      </c>
    </row>
    <row r="88" spans="1:30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3">SUM(G85:G86)*G87</f>
        <v>888.3152139</v>
      </c>
      <c r="I88" s="69">
        <f t="shared" si="43"/>
        <v>1002.3308361092717</v>
      </c>
      <c r="J88" s="70"/>
      <c r="K88" s="71"/>
      <c r="L88" s="69">
        <v>1190</v>
      </c>
      <c r="M88" s="72"/>
      <c r="N88" s="69">
        <f t="shared" ref="N88" si="44">SUM(N85:N86)*N87</f>
        <v>1131</v>
      </c>
      <c r="O88" s="70"/>
      <c r="P88" s="70">
        <f t="shared" ref="P88:AA88" si="45">SUM(P85:P86)*P87</f>
        <v>1137.998</v>
      </c>
      <c r="Q88" s="73"/>
      <c r="R88" s="70">
        <f t="shared" ref="R88" si="46">SUM(R85:R86)*R87</f>
        <v>1221</v>
      </c>
      <c r="S88" s="73"/>
      <c r="T88" s="70">
        <f t="shared" si="45"/>
        <v>1432</v>
      </c>
      <c r="U88" s="73"/>
      <c r="V88" s="70">
        <f>SUM(V85:V86)*V87</f>
        <v>1377</v>
      </c>
      <c r="W88" s="73"/>
      <c r="X88" s="313">
        <f t="shared" si="45"/>
        <v>1377</v>
      </c>
      <c r="Y88" s="73"/>
      <c r="Z88" s="313">
        <f t="shared" si="45"/>
        <v>1377</v>
      </c>
      <c r="AA88" s="313">
        <f t="shared" si="45"/>
        <v>1377</v>
      </c>
      <c r="AB88" s="313">
        <f>SUM(AB85:AB86)*AB87</f>
        <v>1377</v>
      </c>
      <c r="AC88" s="313">
        <f>SUM(AC85:AC86)*AC87</f>
        <v>1377</v>
      </c>
    </row>
    <row r="89" spans="1:30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176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  <c r="AC89" s="327">
        <v>1</v>
      </c>
    </row>
    <row r="90" spans="1:30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47">SUM(G88*G89)</f>
        <v>888.3152139</v>
      </c>
      <c r="I90" s="69">
        <f t="shared" si="47"/>
        <v>1002.3308361092717</v>
      </c>
      <c r="J90" s="70"/>
      <c r="K90" s="71"/>
      <c r="L90" s="69">
        <f t="shared" ref="L90:AA90" si="48">SUM(L88*L89)</f>
        <v>1190</v>
      </c>
      <c r="M90" s="72"/>
      <c r="N90" s="69">
        <f t="shared" si="48"/>
        <v>1131</v>
      </c>
      <c r="O90" s="70"/>
      <c r="P90" s="70">
        <f t="shared" si="48"/>
        <v>1137.998</v>
      </c>
      <c r="Q90" s="73"/>
      <c r="R90" s="70">
        <f t="shared" ref="R90" si="49">SUM(R88*R89)</f>
        <v>1221</v>
      </c>
      <c r="S90" s="73"/>
      <c r="T90" s="70">
        <f t="shared" si="48"/>
        <v>1432</v>
      </c>
      <c r="U90" s="73"/>
      <c r="V90" s="70">
        <f t="shared" si="48"/>
        <v>1377</v>
      </c>
      <c r="W90" s="73"/>
      <c r="X90" s="313">
        <f t="shared" si="48"/>
        <v>1377</v>
      </c>
      <c r="Y90" s="73"/>
      <c r="Z90" s="313">
        <f t="shared" si="48"/>
        <v>1377</v>
      </c>
      <c r="AA90" s="313">
        <f t="shared" si="48"/>
        <v>1377</v>
      </c>
      <c r="AB90" s="313">
        <f>SUM(AB88*AB89)</f>
        <v>1377</v>
      </c>
      <c r="AC90" s="313">
        <f>SUM(AC88*AC89)</f>
        <v>1377</v>
      </c>
    </row>
    <row r="91" spans="1:30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70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  <c r="AC91" s="313">
        <v>0</v>
      </c>
    </row>
    <row r="92" spans="1:30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0">SUM(G90:G91)</f>
        <v>888.3152139</v>
      </c>
      <c r="I92" s="99">
        <f t="shared" si="50"/>
        <v>1002.3308361092717</v>
      </c>
      <c r="J92" s="100"/>
      <c r="K92" s="101"/>
      <c r="L92" s="99">
        <f t="shared" ref="L92:AA92" si="51">SUM(L90:L91)</f>
        <v>1190</v>
      </c>
      <c r="M92" s="111"/>
      <c r="N92" s="99">
        <f t="shared" si="51"/>
        <v>1131</v>
      </c>
      <c r="O92" s="100"/>
      <c r="P92" s="100">
        <f t="shared" si="51"/>
        <v>1137.998</v>
      </c>
      <c r="Q92" s="177"/>
      <c r="R92" s="100">
        <f t="shared" ref="R92" si="52">SUM(R90:R91)</f>
        <v>1221</v>
      </c>
      <c r="S92" s="177"/>
      <c r="T92" s="100">
        <f t="shared" si="51"/>
        <v>1432</v>
      </c>
      <c r="U92" s="177"/>
      <c r="V92" s="100">
        <f t="shared" si="51"/>
        <v>1377</v>
      </c>
      <c r="W92" s="177"/>
      <c r="X92" s="317">
        <f t="shared" si="51"/>
        <v>1377</v>
      </c>
      <c r="Y92" s="177"/>
      <c r="Z92" s="317">
        <f t="shared" si="51"/>
        <v>1377</v>
      </c>
      <c r="AA92" s="317">
        <f t="shared" si="51"/>
        <v>1377</v>
      </c>
      <c r="AB92" s="317">
        <f>SUM(AB90:AB91)</f>
        <v>1377</v>
      </c>
      <c r="AC92" s="317">
        <f>SUM(AC90:AC91)</f>
        <v>1377</v>
      </c>
    </row>
    <row r="93" spans="1:30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294">
        <f>SUM((V93-T93)/R93)</f>
        <v>-2.3244457749252265E-3</v>
      </c>
      <c r="V93" s="293">
        <f>12.63643/V92</f>
        <v>9.1767828612926653E-3</v>
      </c>
      <c r="W93" s="305">
        <f>$W$30</f>
        <v>0</v>
      </c>
      <c r="X93" s="318">
        <f>SUM(V93*(1+W93))</f>
        <v>9.1767828612926653E-3</v>
      </c>
      <c r="Y93" s="305">
        <f>$Y$30</f>
        <v>0</v>
      </c>
      <c r="Z93" s="318">
        <f>SUM(X93*(1+Y93))</f>
        <v>9.1767828612926653E-3</v>
      </c>
      <c r="AA93" s="318">
        <f>SUM(Z93*(1+Y93))</f>
        <v>9.1767828612926653E-3</v>
      </c>
      <c r="AB93" s="318">
        <f>SUM(AA93*(1+Y93))</f>
        <v>9.1767828612926653E-3</v>
      </c>
      <c r="AC93" s="318">
        <f>SUM(AB93*(1+$Y$93))</f>
        <v>9.1767828612926653E-3</v>
      </c>
    </row>
    <row r="94" spans="1:30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111"/>
      <c r="W94" s="73"/>
      <c r="X94" s="319"/>
      <c r="Y94" s="73"/>
      <c r="Z94" s="319"/>
      <c r="AA94" s="319"/>
      <c r="AB94" s="319"/>
      <c r="AC94" s="319"/>
    </row>
    <row r="95" spans="1:30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3">SUM(G92*G93)</f>
        <v>8.2702146414089999</v>
      </c>
      <c r="I95" s="178">
        <f t="shared" si="53"/>
        <v>9.3172825078781703</v>
      </c>
      <c r="J95" s="179"/>
      <c r="K95" s="180"/>
      <c r="L95" s="178">
        <f t="shared" ref="L95:AA95" si="54">SUM(L92*L93)</f>
        <v>11.382350000000001</v>
      </c>
      <c r="M95" s="181"/>
      <c r="N95" s="182">
        <f t="shared" si="54"/>
        <v>10.468988399999999</v>
      </c>
      <c r="O95" s="183"/>
      <c r="P95" s="183">
        <f t="shared" si="54"/>
        <v>10.51116</v>
      </c>
      <c r="Q95" s="55"/>
      <c r="R95" s="183">
        <f t="shared" ref="R95" si="55">SUM(R92*R93)</f>
        <v>11.256590000000001</v>
      </c>
      <c r="S95" s="55"/>
      <c r="T95" s="179">
        <f>SUM(T92*T93)</f>
        <v>13.17184</v>
      </c>
      <c r="U95" s="372"/>
      <c r="V95" s="441">
        <f>SUM(V92*V93)</f>
        <v>12.636430000000001</v>
      </c>
      <c r="W95" s="372"/>
      <c r="X95" s="443">
        <f>SUM(X92*X93)</f>
        <v>12.636430000000001</v>
      </c>
      <c r="Y95" s="372"/>
      <c r="Z95" s="443">
        <f>SUM(Z92*Z93)</f>
        <v>12.636430000000001</v>
      </c>
      <c r="AA95" s="443">
        <f t="shared" si="54"/>
        <v>12.636430000000001</v>
      </c>
      <c r="AB95" s="443">
        <f>SUM(AB92*AB93)</f>
        <v>12.636430000000001</v>
      </c>
      <c r="AC95" s="443">
        <f>SUM(AC92*AC93)</f>
        <v>12.636430000000001</v>
      </c>
      <c r="AD95" s="472" t="s">
        <v>263</v>
      </c>
    </row>
    <row r="96" spans="1:30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  <c r="AC96" s="171"/>
    </row>
    <row r="97" spans="1:30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120" t="s">
        <v>74</v>
      </c>
      <c r="W97" s="174"/>
      <c r="X97" s="301" t="s">
        <v>136</v>
      </c>
      <c r="Y97" s="174"/>
      <c r="Z97" s="301" t="str">
        <f>Z77</f>
        <v>21/22 Estimate</v>
      </c>
      <c r="AA97" s="301" t="str">
        <f>AA77</f>
        <v>22/23 Estimate</v>
      </c>
      <c r="AB97" s="301" t="str">
        <f>AB77</f>
        <v>23/24 Estimate</v>
      </c>
      <c r="AC97" s="301" t="str">
        <f>AC77</f>
        <v>24/25 Estimate</v>
      </c>
    </row>
    <row r="98" spans="1:30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42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  <c r="AC98" s="308" t="s">
        <v>78</v>
      </c>
    </row>
    <row r="99" spans="1:30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42"/>
      <c r="W99" s="47"/>
      <c r="X99" s="308"/>
      <c r="Y99" s="47"/>
      <c r="Z99" s="308"/>
      <c r="AA99" s="308"/>
      <c r="AB99" s="308"/>
      <c r="AC99" s="308"/>
    </row>
    <row r="100" spans="1:30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46"/>
      <c r="W100" s="47"/>
      <c r="X100" s="308"/>
      <c r="Y100" s="47"/>
      <c r="Z100" s="308"/>
      <c r="AA100" s="308"/>
      <c r="AB100" s="308"/>
      <c r="AC100" s="308"/>
    </row>
    <row r="101" spans="1:30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197">
        <f>197600-V80</f>
        <v>196223</v>
      </c>
      <c r="W101" s="175"/>
      <c r="X101" s="503">
        <f>210000-X80</f>
        <v>208623</v>
      </c>
      <c r="Y101" s="175"/>
      <c r="Z101" s="329">
        <f>SUM(X101:X103)</f>
        <v>208623</v>
      </c>
      <c r="AA101" s="329">
        <f t="shared" ref="AA101" si="56">SUM(Z101:Z103)</f>
        <v>208623</v>
      </c>
      <c r="AB101" s="329">
        <f>SUM(AA101:AA103)</f>
        <v>208623</v>
      </c>
      <c r="AC101" s="329">
        <f>SUM(AB101:AB103)</f>
        <v>208623</v>
      </c>
    </row>
    <row r="102" spans="1:30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70">
        <v>0</v>
      </c>
      <c r="W102" s="73"/>
      <c r="X102" s="461">
        <v>0</v>
      </c>
      <c r="Y102" s="73"/>
      <c r="Z102" s="313">
        <v>0</v>
      </c>
      <c r="AA102" s="313">
        <v>0</v>
      </c>
      <c r="AB102" s="313">
        <v>0</v>
      </c>
      <c r="AC102" s="313">
        <v>0</v>
      </c>
    </row>
    <row r="103" spans="1:30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70">
        <v>0</v>
      </c>
      <c r="W103" s="73"/>
      <c r="X103" s="461">
        <v>0</v>
      </c>
      <c r="Y103" s="73"/>
      <c r="Z103" s="313">
        <v>0</v>
      </c>
      <c r="AA103" s="313">
        <v>0</v>
      </c>
      <c r="AB103" s="313">
        <v>0</v>
      </c>
      <c r="AC103" s="313">
        <v>0</v>
      </c>
    </row>
    <row r="104" spans="1:30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204">
        <v>0</v>
      </c>
      <c r="W104" s="73"/>
      <c r="X104" s="520">
        <v>0</v>
      </c>
      <c r="Y104" s="73"/>
      <c r="Z104" s="330">
        <v>0</v>
      </c>
      <c r="AA104" s="330">
        <v>0</v>
      </c>
      <c r="AB104" s="330">
        <v>0</v>
      </c>
      <c r="AC104" s="330">
        <v>0</v>
      </c>
    </row>
    <row r="105" spans="1:30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208" t="s">
        <v>81</v>
      </c>
      <c r="W105" s="174"/>
      <c r="X105" s="521" t="s">
        <v>81</v>
      </c>
      <c r="Y105" s="174"/>
      <c r="Z105" s="331" t="s">
        <v>81</v>
      </c>
      <c r="AA105" s="331" t="s">
        <v>81</v>
      </c>
      <c r="AB105" s="331" t="s">
        <v>81</v>
      </c>
      <c r="AC105" s="331" t="s">
        <v>81</v>
      </c>
    </row>
    <row r="106" spans="1:30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212">
        <v>0</v>
      </c>
      <c r="W106" s="152"/>
      <c r="X106" s="522">
        <v>0</v>
      </c>
      <c r="Y106" s="152"/>
      <c r="Z106" s="332">
        <v>0</v>
      </c>
      <c r="AA106" s="332">
        <v>0</v>
      </c>
      <c r="AB106" s="332">
        <v>0</v>
      </c>
      <c r="AC106" s="332">
        <v>0</v>
      </c>
    </row>
    <row r="107" spans="1:30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216"/>
      <c r="W107" s="152"/>
      <c r="X107" s="523"/>
      <c r="Y107" s="152"/>
      <c r="Z107" s="333"/>
      <c r="AA107" s="333"/>
      <c r="AB107" s="333"/>
      <c r="AC107" s="333"/>
    </row>
    <row r="108" spans="1:30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232">
        <f>SUM((V108-T108)/T108)</f>
        <v>-2.7004141355659494E-2</v>
      </c>
      <c r="V108" s="293">
        <f>3280.90311/V101</f>
        <v>1.6720278000030578E-2</v>
      </c>
      <c r="W108" s="305">
        <f>$W$30</f>
        <v>0</v>
      </c>
      <c r="X108" s="318">
        <f>SUM(V108*(1+W108))</f>
        <v>1.6720278000030578E-2</v>
      </c>
      <c r="Y108" s="305">
        <f>$Y$30</f>
        <v>0</v>
      </c>
      <c r="Z108" s="318">
        <f>SUM(X108*(1+Y108))</f>
        <v>1.6720278000030578E-2</v>
      </c>
      <c r="AA108" s="318">
        <f>SUM(Z108*(1+Y108))</f>
        <v>1.6720278000030578E-2</v>
      </c>
      <c r="AB108" s="318">
        <f>SUM(AA108*(1+Y108))</f>
        <v>1.6720278000030578E-2</v>
      </c>
      <c r="AC108" s="318">
        <f>SUM(AB108*(1+$Y$108))</f>
        <v>1.6720278000030578E-2</v>
      </c>
    </row>
    <row r="109" spans="1:30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220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  <c r="AC109" s="334">
        <v>1</v>
      </c>
    </row>
    <row r="110" spans="1:30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222"/>
      <c r="W110" s="55"/>
      <c r="X110" s="335"/>
      <c r="Y110" s="55"/>
      <c r="Z110" s="335"/>
      <c r="AA110" s="335"/>
      <c r="AB110" s="335"/>
      <c r="AC110" s="335"/>
    </row>
    <row r="111" spans="1:30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57">SUM(G101:G105)*G108*G109</f>
        <v>1918.901132</v>
      </c>
      <c r="I111" s="178">
        <f t="shared" si="57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58">SUM(N101:N105)*N108*N109</f>
        <v>2707.3523175999999</v>
      </c>
      <c r="O111" s="183"/>
      <c r="P111" s="179">
        <f t="shared" ref="P111" si="59">SUM(P101:P105)*P108*P109</f>
        <v>2514.9974500000003</v>
      </c>
      <c r="Q111" s="55"/>
      <c r="R111" s="179">
        <f t="shared" ref="R111" si="60">SUM(R101:R105)*R108*R109</f>
        <v>2956.1579400000001</v>
      </c>
      <c r="S111" s="55"/>
      <c r="T111" s="179">
        <f>SUM(T101:T105)*T108*T109</f>
        <v>3479.2761100000002</v>
      </c>
      <c r="U111" s="372"/>
      <c r="V111" s="441">
        <f>SUM(V101:V105)*V108*V109</f>
        <v>3280.9031100000002</v>
      </c>
      <c r="W111" s="372"/>
      <c r="X111" s="444">
        <f>SUM(X101:X105)*X108*X109</f>
        <v>3488.2345572003792</v>
      </c>
      <c r="Y111" s="372"/>
      <c r="Z111" s="444">
        <f t="shared" ref="Z111" si="61">SUM(Z101:Z105)*Z108*Z109</f>
        <v>3488.2345572003792</v>
      </c>
      <c r="AA111" s="444">
        <f>SUM(AA101:AA105)*AA108*AA109</f>
        <v>3488.2345572003792</v>
      </c>
      <c r="AB111" s="444">
        <f>SUM(AB101:AB105)*AB108*AB109</f>
        <v>3488.2345572003792</v>
      </c>
      <c r="AC111" s="444">
        <f>SUM(AC101:AC105)*AC108*AC109</f>
        <v>3488.2345572003792</v>
      </c>
      <c r="AD111" s="472" t="s">
        <v>263</v>
      </c>
    </row>
    <row r="112" spans="1:30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  <c r="AC112" s="171"/>
    </row>
    <row r="113" spans="1:29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547">
        <f>X111+X95</f>
        <v>3500.8709872003792</v>
      </c>
      <c r="Y113" s="145"/>
      <c r="Z113" s="144"/>
      <c r="AA113" s="144"/>
      <c r="AB113" s="144"/>
      <c r="AC113" s="144"/>
    </row>
    <row r="114" spans="1:29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120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  <c r="AC114" s="301" t="str">
        <f>$AB$10</f>
        <v>2023 Estimate</v>
      </c>
    </row>
    <row r="115" spans="1:29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65"/>
      <c r="W115" s="64"/>
      <c r="X115" s="321"/>
      <c r="Y115" s="64"/>
      <c r="Z115" s="321"/>
      <c r="AA115" s="321"/>
      <c r="AB115" s="321"/>
      <c r="AC115" s="321"/>
    </row>
    <row r="116" spans="1:29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63"/>
      <c r="W116" s="175"/>
      <c r="X116" s="321"/>
      <c r="Y116" s="175"/>
      <c r="Z116" s="321"/>
      <c r="AA116" s="321"/>
      <c r="AB116" s="321"/>
      <c r="AC116" s="321"/>
    </row>
    <row r="117" spans="1:29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70">
        <v>700000</v>
      </c>
      <c r="W117" s="73"/>
      <c r="X117" s="461">
        <v>730000</v>
      </c>
      <c r="Y117" s="73"/>
      <c r="Z117" s="313">
        <f>SUM(X117:X119)</f>
        <v>730000</v>
      </c>
      <c r="AA117" s="313">
        <f>SUM(Z117:Z119)</f>
        <v>828739</v>
      </c>
      <c r="AB117" s="313">
        <f>SUM(AA117:AA119)</f>
        <v>925944</v>
      </c>
      <c r="AC117" s="313">
        <f>SUM(AB117:AB119)</f>
        <v>1026519</v>
      </c>
    </row>
    <row r="118" spans="1:29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70"/>
      <c r="W118" s="73"/>
      <c r="X118" s="461"/>
      <c r="Y118" s="73"/>
      <c r="Z118" s="154">
        <f>76162+22577</f>
        <v>98739</v>
      </c>
      <c r="AA118" s="154">
        <f>77486+19719</f>
        <v>97205</v>
      </c>
      <c r="AB118" s="154">
        <f>92514+8061</f>
        <v>100575</v>
      </c>
      <c r="AC118" s="154">
        <f>75072+20227</f>
        <v>95299</v>
      </c>
    </row>
    <row r="119" spans="1:29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70"/>
      <c r="W119" s="73"/>
      <c r="X119" s="461"/>
      <c r="Y119" s="73"/>
      <c r="Z119" s="154">
        <f>X119</f>
        <v>0</v>
      </c>
      <c r="AA119" s="154">
        <f>Z119</f>
        <v>0</v>
      </c>
      <c r="AB119" s="154">
        <f>AA119</f>
        <v>0</v>
      </c>
      <c r="AC119" s="154">
        <f>AB119</f>
        <v>0</v>
      </c>
    </row>
    <row r="120" spans="1:29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87">
        <v>0.91990911480638227</v>
      </c>
      <c r="W120" s="73"/>
      <c r="X120" s="463">
        <v>0.90505688602555834</v>
      </c>
      <c r="Y120" s="73"/>
      <c r="Z120" s="314">
        <f t="shared" ref="Z120:Z121" si="62">SUM(X120)</f>
        <v>0.90505688602555834</v>
      </c>
      <c r="AA120" s="314">
        <f t="shared" ref="AA120:AC121" si="63">SUM(Z120)</f>
        <v>0.90505688602555834</v>
      </c>
      <c r="AB120" s="314">
        <f t="shared" si="63"/>
        <v>0.90505688602555834</v>
      </c>
      <c r="AC120" s="314">
        <f t="shared" si="63"/>
        <v>0.90505688602555834</v>
      </c>
    </row>
    <row r="121" spans="1:29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91">
        <v>0.50019043891570614</v>
      </c>
      <c r="W121" s="84"/>
      <c r="X121" s="464">
        <v>0.48778348960892937</v>
      </c>
      <c r="Y121" s="84"/>
      <c r="Z121" s="315">
        <f t="shared" si="62"/>
        <v>0.48778348960892937</v>
      </c>
      <c r="AA121" s="315">
        <f t="shared" si="63"/>
        <v>0.48778348960892937</v>
      </c>
      <c r="AB121" s="315">
        <f t="shared" si="63"/>
        <v>0.48778348960892937</v>
      </c>
      <c r="AC121" s="315">
        <f t="shared" si="63"/>
        <v>0.48778348960892937</v>
      </c>
    </row>
    <row r="122" spans="1:29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4">SUM(G117+G118+G119)*G120*G121</f>
        <v>188890.26799999998</v>
      </c>
      <c r="I122" s="69">
        <f t="shared" si="64"/>
        <v>199575.79679677499</v>
      </c>
      <c r="J122" s="70"/>
      <c r="K122" s="71"/>
      <c r="L122" s="69">
        <f t="shared" ref="L122:N122" si="65">SUM(L117+L118+L119)*L120*L121</f>
        <v>234774.02500000002</v>
      </c>
      <c r="M122" s="72"/>
      <c r="N122" s="69">
        <f t="shared" si="65"/>
        <v>230552.66500000001</v>
      </c>
      <c r="O122" s="70"/>
      <c r="P122" s="70">
        <f t="shared" ref="P122:Z122" si="66">SUM(P117+P118+P119)*P120*P121</f>
        <v>229911.818</v>
      </c>
      <c r="Q122" s="73"/>
      <c r="R122" s="70">
        <f t="shared" ref="R122" si="67">SUM(R117+R118+R119)*R120*R121</f>
        <v>246152.10861059991</v>
      </c>
      <c r="S122" s="73"/>
      <c r="T122" s="70">
        <f>SUM(T117+T118+T119)*T120*T121</f>
        <v>306718.19200000004</v>
      </c>
      <c r="U122" s="73"/>
      <c r="V122" s="70">
        <f>SUM(V117+V118+V119)*V120*V121</f>
        <v>322090.82072829414</v>
      </c>
      <c r="W122" s="73"/>
      <c r="X122" s="461">
        <f>SUM(X117+X118+X119)*X120*X121</f>
        <v>322274.4184969007</v>
      </c>
      <c r="Y122" s="73"/>
      <c r="Z122" s="313">
        <f t="shared" si="66"/>
        <v>365864.90316534654</v>
      </c>
      <c r="AA122" s="313">
        <f>SUM(AA117+AA118+AA119)*AA120*AA121</f>
        <v>408778.17008314276</v>
      </c>
      <c r="AB122" s="313">
        <f>SUM(AB117+AB118+AB119)*AB120*AB121</f>
        <v>453179.19698769861</v>
      </c>
      <c r="AC122" s="313">
        <f>SUM(AC117+AC118+AC119)*AC120*AC121</f>
        <v>495251.0186429536</v>
      </c>
    </row>
    <row r="123" spans="1:29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70"/>
      <c r="W123" s="73"/>
      <c r="X123" s="461"/>
      <c r="Y123" s="73"/>
      <c r="Z123" s="313"/>
      <c r="AA123" s="313"/>
      <c r="AB123" s="313"/>
      <c r="AC123" s="313"/>
    </row>
    <row r="124" spans="1:29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68">SUM(G122)</f>
        <v>188890.26799999998</v>
      </c>
      <c r="I124" s="69">
        <f t="shared" si="68"/>
        <v>199575.79679677499</v>
      </c>
      <c r="J124" s="70"/>
      <c r="K124" s="71"/>
      <c r="L124" s="69">
        <f t="shared" ref="L124:AA124" si="69">SUM(L122)</f>
        <v>234774.02500000002</v>
      </c>
      <c r="M124" s="72"/>
      <c r="N124" s="69">
        <f t="shared" si="69"/>
        <v>230552.66500000001</v>
      </c>
      <c r="O124" s="70"/>
      <c r="P124" s="70">
        <f t="shared" si="69"/>
        <v>229911.818</v>
      </c>
      <c r="Q124" s="73"/>
      <c r="R124" s="70">
        <f t="shared" ref="R124" si="70">SUM(R122)</f>
        <v>246152.10861059991</v>
      </c>
      <c r="S124" s="73"/>
      <c r="T124" s="70">
        <f t="shared" si="69"/>
        <v>306718.19200000004</v>
      </c>
      <c r="U124" s="73"/>
      <c r="V124" s="70">
        <f t="shared" si="69"/>
        <v>322090.82072829414</v>
      </c>
      <c r="W124" s="73"/>
      <c r="X124" s="461">
        <f>SUM(X122)</f>
        <v>322274.4184969007</v>
      </c>
      <c r="Y124" s="73"/>
      <c r="Z124" s="313">
        <f t="shared" si="69"/>
        <v>365864.90316534654</v>
      </c>
      <c r="AA124" s="313">
        <f t="shared" si="69"/>
        <v>408778.17008314276</v>
      </c>
      <c r="AB124" s="313">
        <f>SUM(AB122)</f>
        <v>453179.19698769861</v>
      </c>
      <c r="AC124" s="313">
        <f>SUM(AC122)</f>
        <v>495251.0186429536</v>
      </c>
    </row>
    <row r="125" spans="1:29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487">
        <v>293289.11</v>
      </c>
      <c r="U125" s="73"/>
      <c r="V125" s="488">
        <f>306603.362-264.563</f>
        <v>306338.799</v>
      </c>
      <c r="W125" s="73"/>
      <c r="X125" s="313"/>
      <c r="Y125" s="73"/>
      <c r="Z125" s="313"/>
      <c r="AA125" s="313"/>
      <c r="AB125" s="313"/>
      <c r="AC125" s="313"/>
    </row>
    <row r="126" spans="1:29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490">
        <f>V125/V124</f>
        <v>0.95109447176210571</v>
      </c>
      <c r="W126" s="230"/>
      <c r="X126" s="337">
        <f>SUM(V126)</f>
        <v>0.95109447176210571</v>
      </c>
      <c r="Y126" s="230"/>
      <c r="Z126" s="337">
        <f>SUM(X126)</f>
        <v>0.95109447176210571</v>
      </c>
      <c r="AA126" s="337">
        <f t="shared" ref="AA126" si="71">SUM(Z126)</f>
        <v>0.95109447176210571</v>
      </c>
      <c r="AB126" s="337">
        <f>SUM(AA126)</f>
        <v>0.95109447176210571</v>
      </c>
      <c r="AC126" s="337">
        <f>SUM(AB126)</f>
        <v>0.95109447176210571</v>
      </c>
    </row>
    <row r="127" spans="1:29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2">SUM(G124*G126)</f>
        <v>173804.16659564062</v>
      </c>
      <c r="I127" s="69">
        <f t="shared" si="72"/>
        <v>189501.07105461584</v>
      </c>
      <c r="J127" s="70"/>
      <c r="K127" s="71"/>
      <c r="L127" s="69">
        <f t="shared" ref="L127:AA127" si="73">SUM(L124*L126)</f>
        <v>223370.065</v>
      </c>
      <c r="M127" s="72"/>
      <c r="N127" s="69">
        <f t="shared" si="73"/>
        <v>216345.522</v>
      </c>
      <c r="O127" s="231"/>
      <c r="P127" s="70">
        <f t="shared" si="73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461">
        <f>SUM(V124*V126)</f>
        <v>306338.799</v>
      </c>
      <c r="W127" s="232"/>
      <c r="X127" s="313">
        <f>SUM(X124*X126)</f>
        <v>306513.41782274959</v>
      </c>
      <c r="Y127" s="232"/>
      <c r="Z127" s="313">
        <f t="shared" si="73"/>
        <v>347972.0868123392</v>
      </c>
      <c r="AA127" s="313">
        <f t="shared" si="73"/>
        <v>388786.65774310689</v>
      </c>
      <c r="AB127" s="313">
        <f>SUM(AB124*AB126)</f>
        <v>431016.22897259047</v>
      </c>
      <c r="AC127" s="313">
        <f>SUM(AC124*AC126)</f>
        <v>471030.50596586469</v>
      </c>
    </row>
    <row r="128" spans="1:29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459">
        <f>SUM((V128-T128)/T128)</f>
        <v>1.6036071362445833E-2</v>
      </c>
      <c r="V128" s="456">
        <f>3563960.29/306338799</f>
        <v>1.1634047994031602E-2</v>
      </c>
      <c r="W128" s="305">
        <f>$W$30</f>
        <v>0</v>
      </c>
      <c r="X128" s="318">
        <f>SUM(V128*(1+W128))</f>
        <v>1.1634047994031602E-2</v>
      </c>
      <c r="Y128" s="305">
        <f>$Y$30</f>
        <v>0</v>
      </c>
      <c r="Z128" s="318">
        <f>SUM(X128*(1+Y128))</f>
        <v>1.1634047994031602E-2</v>
      </c>
      <c r="AA128" s="318">
        <f>SUM(Z128*(1+Y128))</f>
        <v>1.1634047994031602E-2</v>
      </c>
      <c r="AB128" s="318">
        <f>SUM(AA128*(1+Y128))</f>
        <v>1.1634047994031602E-2</v>
      </c>
      <c r="AC128" s="318">
        <f>SUM(AB128*(1+$Y$128))</f>
        <v>1.1634047994031602E-2</v>
      </c>
    </row>
    <row r="129" spans="1:39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461"/>
      <c r="W129" s="420"/>
      <c r="X129" s="313"/>
      <c r="Y129" s="420"/>
      <c r="Z129" s="313"/>
      <c r="AA129" s="313"/>
      <c r="AB129" s="313"/>
      <c r="AC129" s="313"/>
      <c r="AG129" s="572"/>
      <c r="AH129" s="572"/>
      <c r="AI129" s="572"/>
      <c r="AJ129" s="572"/>
      <c r="AK129" s="572"/>
      <c r="AL129" s="572"/>
      <c r="AM129" s="572"/>
    </row>
    <row r="130" spans="1:39" ht="15" thickBot="1" x14ac:dyDescent="0.35">
      <c r="C130" s="112">
        <v>1843</v>
      </c>
      <c r="E130" s="112">
        <f>SUM(E127*E128)</f>
        <v>1939.7429074619999</v>
      </c>
      <c r="G130" s="112">
        <f t="shared" ref="G130" si="74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75">SUM(R127*R128)</f>
        <v>3018.7944147768244</v>
      </c>
      <c r="S130" s="114"/>
      <c r="T130" s="141">
        <f>SUM(T127*T128)</f>
        <v>3358.2858700000002</v>
      </c>
      <c r="U130" s="370"/>
      <c r="V130" s="508">
        <f>SUM(V127*V128)</f>
        <v>3563.96029</v>
      </c>
      <c r="W130" s="370"/>
      <c r="X130" s="320">
        <f>SUM(X127*X128)</f>
        <v>3565.99181376453</v>
      </c>
      <c r="Y130" s="370"/>
      <c r="Z130" s="320">
        <f>SUM(Z127*Z128)</f>
        <v>4048.323958558085</v>
      </c>
      <c r="AA130" s="320">
        <f>SUM(AA127*AA128)</f>
        <v>4523.1626356224433</v>
      </c>
      <c r="AB130" s="320">
        <f>SUM(AB127*AB128)</f>
        <v>5014.4634940736314</v>
      </c>
      <c r="AC130" s="320">
        <f>SUM(AC127*AC128)</f>
        <v>5479.9915130598583</v>
      </c>
      <c r="AD130" s="472" t="s">
        <v>252</v>
      </c>
      <c r="AG130" s="572"/>
      <c r="AH130" s="572"/>
      <c r="AI130" s="572"/>
      <c r="AJ130" s="572"/>
      <c r="AK130" s="573"/>
      <c r="AL130" s="572"/>
      <c r="AM130" s="572"/>
    </row>
    <row r="131" spans="1:39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491"/>
      <c r="W131" s="239"/>
      <c r="X131" s="238"/>
      <c r="Y131" s="239"/>
      <c r="Z131" s="238"/>
      <c r="AA131" s="238"/>
      <c r="AB131" s="238"/>
      <c r="AC131" s="238"/>
    </row>
    <row r="132" spans="1:39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120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  <c r="AC132" s="301" t="str">
        <f>$AC$10</f>
        <v>2024 Estimate</v>
      </c>
    </row>
    <row r="133" spans="1:39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65"/>
      <c r="W133" s="64"/>
      <c r="X133" s="321"/>
      <c r="Y133" s="64"/>
      <c r="Z133" s="321"/>
      <c r="AA133" s="321"/>
      <c r="AB133" s="321"/>
      <c r="AC133" s="321"/>
    </row>
    <row r="134" spans="1:39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65"/>
      <c r="W134" s="64"/>
      <c r="X134" s="321"/>
      <c r="Y134" s="64"/>
      <c r="Z134" s="321"/>
      <c r="AA134" s="321"/>
      <c r="AB134" s="321"/>
      <c r="AC134" s="321"/>
    </row>
    <row r="135" spans="1:39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70">
        <v>742683.92599999998</v>
      </c>
      <c r="W135" s="73"/>
      <c r="X135" s="461">
        <v>866106.81</v>
      </c>
      <c r="Y135" s="73"/>
      <c r="Z135" s="313">
        <f>SUM(X135:X137)</f>
        <v>866106.81</v>
      </c>
      <c r="AA135" s="313">
        <f>SUM(Z135:Z137)</f>
        <v>964845.81</v>
      </c>
      <c r="AB135" s="313">
        <f>SUM(AA135:AA137)</f>
        <v>1062050.81</v>
      </c>
      <c r="AC135" s="313">
        <f>SUM(AB135:AB137)</f>
        <v>1162625.81</v>
      </c>
    </row>
    <row r="136" spans="1:39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70"/>
      <c r="W136" s="73"/>
      <c r="X136" s="461"/>
      <c r="Y136" s="73"/>
      <c r="Z136" s="313">
        <f t="shared" ref="Z136:AA137" si="76">SUM(Z118)</f>
        <v>98739</v>
      </c>
      <c r="AA136" s="313">
        <f t="shared" si="76"/>
        <v>97205</v>
      </c>
      <c r="AB136" s="313">
        <f>SUM(AB118)</f>
        <v>100575</v>
      </c>
      <c r="AC136" s="313">
        <f>SUM(AC118)</f>
        <v>95299</v>
      </c>
    </row>
    <row r="137" spans="1:39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70"/>
      <c r="W137" s="73"/>
      <c r="X137" s="461"/>
      <c r="Y137" s="73"/>
      <c r="Z137" s="313">
        <f t="shared" si="76"/>
        <v>0</v>
      </c>
      <c r="AA137" s="313">
        <f t="shared" si="76"/>
        <v>0</v>
      </c>
      <c r="AB137" s="313">
        <f>SUM(AB119)</f>
        <v>0</v>
      </c>
      <c r="AC137" s="313">
        <f>SUM(AC119)</f>
        <v>0</v>
      </c>
    </row>
    <row r="138" spans="1:39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87">
        <v>1</v>
      </c>
      <c r="W138" s="73"/>
      <c r="X138" s="463">
        <v>1</v>
      </c>
      <c r="Y138" s="73"/>
      <c r="Z138" s="314">
        <v>1</v>
      </c>
      <c r="AA138" s="314">
        <v>1</v>
      </c>
      <c r="AB138" s="314">
        <v>1</v>
      </c>
      <c r="AC138" s="314">
        <v>1</v>
      </c>
    </row>
    <row r="139" spans="1:39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91">
        <v>0.18293040999999999</v>
      </c>
      <c r="W139" s="84"/>
      <c r="X139" s="464">
        <v>0.18316082</v>
      </c>
      <c r="Y139" s="84"/>
      <c r="Z139" s="315">
        <f>SUM(X139)</f>
        <v>0.18316082</v>
      </c>
      <c r="AA139" s="315">
        <f t="shared" ref="AA139:AC139" si="77">SUM(Z139)</f>
        <v>0.18316082</v>
      </c>
      <c r="AB139" s="315">
        <f t="shared" si="77"/>
        <v>0.18316082</v>
      </c>
      <c r="AC139" s="315">
        <f t="shared" si="77"/>
        <v>0.18316082</v>
      </c>
    </row>
    <row r="140" spans="1:39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78">SUM((G135+G136+G137)*G138*G139)</f>
        <v>79213.073000000004</v>
      </c>
      <c r="I140" s="99">
        <f t="shared" si="78"/>
        <v>85831.54</v>
      </c>
      <c r="J140" s="100"/>
      <c r="K140" s="101"/>
      <c r="L140" s="99">
        <f t="shared" ref="L140:T140" si="79">SUM((L135+L136+L137)*L138*L139)</f>
        <v>92701.07758538505</v>
      </c>
      <c r="M140" s="102"/>
      <c r="N140" s="99">
        <f t="shared" si="79"/>
        <v>96666.592999999993</v>
      </c>
      <c r="O140" s="100"/>
      <c r="P140" s="100">
        <f t="shared" si="79"/>
        <v>103095.598</v>
      </c>
      <c r="Q140" s="177"/>
      <c r="R140" s="100">
        <f t="shared" ref="R140" si="80">SUM((R135+R136+R137)*R138*R139)</f>
        <v>115955.848</v>
      </c>
      <c r="S140" s="177"/>
      <c r="T140" s="100">
        <f t="shared" si="79"/>
        <v>134625.429</v>
      </c>
      <c r="U140" s="177"/>
      <c r="V140" s="100">
        <f>SUM((V135+V136+V137)*V138*V139)</f>
        <v>135859.47508358964</v>
      </c>
      <c r="W140" s="177"/>
      <c r="X140" s="468">
        <f>SUM((X135+X136+X137)*X138*X139)</f>
        <v>158636.83352718421</v>
      </c>
      <c r="Y140" s="177"/>
      <c r="Z140" s="317">
        <f>SUM((Z135+Z136+Z137)*Z138*Z139)</f>
        <v>176721.94973316422</v>
      </c>
      <c r="AA140" s="317">
        <f>SUM((AA135+AA136+AA137)*AA138*AA139)</f>
        <v>194526.09724126421</v>
      </c>
      <c r="AB140" s="317">
        <f>SUM((AB135+AB136+AB137)*AB138*AB139)</f>
        <v>212947.4967127642</v>
      </c>
      <c r="AC140" s="317">
        <f>SUM((AC135+AC136+AC137)*AC138*AC139)</f>
        <v>230402.53969794422</v>
      </c>
    </row>
    <row r="141" spans="1:39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83">
        <v>-100</v>
      </c>
      <c r="W141" s="84"/>
      <c r="X141" s="462">
        <v>-100</v>
      </c>
      <c r="Y141" s="84"/>
      <c r="Z141" s="323"/>
      <c r="AA141" s="323"/>
      <c r="AB141" s="323"/>
      <c r="AC141" s="323"/>
    </row>
    <row r="142" spans="1:39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1">SUM(G140)</f>
        <v>79213.073000000004</v>
      </c>
      <c r="I142" s="69">
        <f t="shared" si="81"/>
        <v>85831.54</v>
      </c>
      <c r="J142" s="70"/>
      <c r="K142" s="71"/>
      <c r="L142" s="69">
        <f t="shared" ref="L142:AA142" si="82">SUM(L140)</f>
        <v>92701.07758538505</v>
      </c>
      <c r="M142" s="72"/>
      <c r="N142" s="69">
        <f t="shared" si="82"/>
        <v>96666.592999999993</v>
      </c>
      <c r="O142" s="70"/>
      <c r="P142" s="70">
        <f t="shared" si="82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70">
        <f>SUM(V140:V141)</f>
        <v>135759.47508358964</v>
      </c>
      <c r="W142" s="73"/>
      <c r="X142" s="461">
        <f>SUM(X140:X141)-1</f>
        <v>158535.83352718421</v>
      </c>
      <c r="Y142" s="73"/>
      <c r="Z142" s="313">
        <f t="shared" si="82"/>
        <v>176721.94973316422</v>
      </c>
      <c r="AA142" s="313">
        <f t="shared" si="82"/>
        <v>194526.09724126421</v>
      </c>
      <c r="AB142" s="313">
        <f>SUM(AB140)</f>
        <v>212947.4967127642</v>
      </c>
      <c r="AC142" s="313">
        <f>SUM(AC140)</f>
        <v>230402.53969794422</v>
      </c>
    </row>
    <row r="143" spans="1:39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134">
        <v>1</v>
      </c>
      <c r="W143" s="84"/>
      <c r="X143" s="504">
        <v>1</v>
      </c>
      <c r="Y143" s="84"/>
      <c r="Z143" s="324">
        <v>1</v>
      </c>
      <c r="AA143" s="324">
        <v>1</v>
      </c>
      <c r="AB143" s="324">
        <v>1</v>
      </c>
      <c r="AC143" s="324">
        <v>1</v>
      </c>
    </row>
    <row r="144" spans="1:39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3">SUM(G142*G143)</f>
        <v>77458.071382651833</v>
      </c>
      <c r="I144" s="69">
        <f t="shared" si="83"/>
        <v>85831.54</v>
      </c>
      <c r="J144" s="70"/>
      <c r="K144" s="71"/>
      <c r="L144" s="69">
        <f t="shared" ref="L144:AA144" si="84">SUM(L142*L143)</f>
        <v>92701.07758538505</v>
      </c>
      <c r="M144" s="72"/>
      <c r="N144" s="69">
        <f t="shared" si="84"/>
        <v>96666.592999999993</v>
      </c>
      <c r="O144" s="70"/>
      <c r="P144" s="70">
        <f t="shared" si="84"/>
        <v>103095.598</v>
      </c>
      <c r="Q144" s="73"/>
      <c r="R144" s="70">
        <f t="shared" ref="R144" si="85">SUM(R142*R143)</f>
        <v>115955.848</v>
      </c>
      <c r="S144" s="73"/>
      <c r="T144" s="70">
        <f t="shared" si="84"/>
        <v>134525.429</v>
      </c>
      <c r="U144" s="73"/>
      <c r="V144" s="70">
        <f>SUM(V142*V143)</f>
        <v>135759.47508358964</v>
      </c>
      <c r="W144" s="73"/>
      <c r="X144" s="461">
        <f t="shared" si="84"/>
        <v>158535.83352718421</v>
      </c>
      <c r="Y144" s="73"/>
      <c r="Z144" s="313">
        <f t="shared" si="84"/>
        <v>176721.94973316422</v>
      </c>
      <c r="AA144" s="313">
        <f t="shared" si="84"/>
        <v>194526.09724126421</v>
      </c>
      <c r="AB144" s="313">
        <f>SUM(AB142*AB143)</f>
        <v>212947.4967127642</v>
      </c>
      <c r="AC144" s="313">
        <f>SUM(AC142*AC143)</f>
        <v>230402.53969794422</v>
      </c>
    </row>
    <row r="145" spans="1:30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459">
        <f>SUM((V145-T145)/T145)</f>
        <v>-7.0861224244611554E-2</v>
      </c>
      <c r="V145" s="456">
        <f>1655.63895/V144</f>
        <v>1.2195384145236214E-2</v>
      </c>
      <c r="W145" s="305">
        <f>$W$30</f>
        <v>0</v>
      </c>
      <c r="X145" s="318">
        <f>SUM(V145*(1+W145))</f>
        <v>1.2195384145236214E-2</v>
      </c>
      <c r="Y145" s="305">
        <f>$Y$30</f>
        <v>0</v>
      </c>
      <c r="Z145" s="318">
        <f>SUM(X145*(1+Y145))</f>
        <v>1.2195384145236214E-2</v>
      </c>
      <c r="AA145" s="318">
        <f>SUM(Z145*(1+Y145))</f>
        <v>1.2195384145236214E-2</v>
      </c>
      <c r="AB145" s="318">
        <f>SUM(AA145*(1+Y145))</f>
        <v>1.2195384145236214E-2</v>
      </c>
      <c r="AC145" s="318">
        <f>SUM(AB145*(1+$Y$145))</f>
        <v>1.2195384145236214E-2</v>
      </c>
    </row>
    <row r="146" spans="1:30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468"/>
      <c r="W146" s="101"/>
      <c r="X146" s="317"/>
      <c r="Y146" s="101"/>
      <c r="Z146" s="317"/>
      <c r="AA146" s="317"/>
      <c r="AB146" s="317"/>
      <c r="AC146" s="317"/>
    </row>
    <row r="147" spans="1:30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86">SUM(G144*G145)</f>
        <v>1112.580366038414</v>
      </c>
      <c r="I147" s="178">
        <f t="shared" si="86"/>
        <v>1255.1733400000001</v>
      </c>
      <c r="J147" s="179"/>
      <c r="K147" s="180"/>
      <c r="L147" s="178">
        <f t="shared" ref="L147:P147" si="87">SUM(L144*L145)</f>
        <v>1336.7211187574665</v>
      </c>
      <c r="M147" s="181"/>
      <c r="N147" s="178">
        <f t="shared" si="87"/>
        <v>1396.8021189769413</v>
      </c>
      <c r="O147" s="181"/>
      <c r="P147" s="179">
        <f t="shared" si="87"/>
        <v>1470.0476900000001</v>
      </c>
      <c r="Q147" s="180"/>
      <c r="R147" s="179">
        <f t="shared" ref="R147" si="88">SUM(R144*R145)</f>
        <v>1640.8960900000002</v>
      </c>
      <c r="S147" s="180"/>
      <c r="T147" s="179">
        <f>SUM(T144*T145)</f>
        <v>1765.7096300000001</v>
      </c>
      <c r="U147" s="373"/>
      <c r="V147" s="509">
        <f>SUM(V144*V145)</f>
        <v>1655.63895</v>
      </c>
      <c r="W147" s="373"/>
      <c r="X147" s="443">
        <f>SUM(X144*X145)</f>
        <v>1933.40539064923</v>
      </c>
      <c r="Y147" s="373"/>
      <c r="Z147" s="443">
        <f>SUM(Z144*Z145)</f>
        <v>2155.1920638910619</v>
      </c>
      <c r="AA147" s="443">
        <f>SUM(AA144*AA145)</f>
        <v>2372.3204821307918</v>
      </c>
      <c r="AB147" s="443">
        <f>SUM(AB144*AB145)</f>
        <v>2596.9765251785852</v>
      </c>
      <c r="AC147" s="443">
        <f>SUM(AC144*AC145)</f>
        <v>2809.847479654466</v>
      </c>
      <c r="AD147" s="472" t="s">
        <v>264</v>
      </c>
    </row>
    <row r="148" spans="1:30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  <c r="AC148" s="144"/>
    </row>
    <row r="149" spans="1:30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187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">
        <v>178</v>
      </c>
      <c r="AC149" s="301" t="s">
        <v>179</v>
      </c>
    </row>
    <row r="150" spans="1:30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65"/>
      <c r="W150" s="64"/>
      <c r="X150" s="321"/>
      <c r="Y150" s="64"/>
      <c r="Z150" s="321"/>
      <c r="AA150" s="321"/>
      <c r="AB150" s="321"/>
      <c r="AC150" s="321"/>
    </row>
    <row r="151" spans="1:30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65"/>
      <c r="W151" s="64"/>
      <c r="X151" s="321"/>
      <c r="Y151" s="64"/>
      <c r="Z151" s="321"/>
      <c r="AA151" s="321"/>
      <c r="AB151" s="321"/>
      <c r="AC151" s="321"/>
    </row>
    <row r="152" spans="1:30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70">
        <v>324700</v>
      </c>
      <c r="W152" s="73"/>
      <c r="X152" s="461">
        <v>358400</v>
      </c>
      <c r="Y152" s="73"/>
      <c r="Z152" s="313">
        <f>SUM(X152:X154)</f>
        <v>358400</v>
      </c>
      <c r="AA152" s="313">
        <f t="shared" ref="AA152" si="89">SUM(Z152:Z154)</f>
        <v>380977</v>
      </c>
      <c r="AB152" s="313">
        <f>SUM(AA152:AA154)</f>
        <v>400696</v>
      </c>
      <c r="AC152" s="313">
        <f>SUM(AB152:AB154)</f>
        <v>422361</v>
      </c>
    </row>
    <row r="153" spans="1:30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70">
        <v>0</v>
      </c>
      <c r="W153" s="73"/>
      <c r="X153" s="461">
        <v>0</v>
      </c>
      <c r="Y153" s="73"/>
      <c r="Z153" s="154">
        <v>22577</v>
      </c>
      <c r="AA153" s="154">
        <v>19719</v>
      </c>
      <c r="AB153" s="154">
        <v>21665</v>
      </c>
      <c r="AC153" s="154">
        <v>20227</v>
      </c>
    </row>
    <row r="154" spans="1:30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70">
        <v>0</v>
      </c>
      <c r="W154" s="73"/>
      <c r="X154" s="461">
        <v>0</v>
      </c>
      <c r="Y154" s="73"/>
      <c r="Z154" s="154">
        <f>X154</f>
        <v>0</v>
      </c>
      <c r="AA154" s="154">
        <f>Z154</f>
        <v>0</v>
      </c>
      <c r="AB154" s="154">
        <f>AA154</f>
        <v>0</v>
      </c>
      <c r="AC154" s="154">
        <f>AB154</f>
        <v>0</v>
      </c>
    </row>
    <row r="155" spans="1:30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87">
        <v>1</v>
      </c>
      <c r="W155" s="73"/>
      <c r="X155" s="463">
        <v>1</v>
      </c>
      <c r="Y155" s="73"/>
      <c r="Z155" s="314">
        <v>1</v>
      </c>
      <c r="AA155" s="314">
        <v>1</v>
      </c>
      <c r="AB155" s="314">
        <v>1</v>
      </c>
      <c r="AC155" s="314">
        <v>1</v>
      </c>
    </row>
    <row r="156" spans="1:30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91">
        <v>1</v>
      </c>
      <c r="W156" s="84"/>
      <c r="X156" s="464">
        <v>1</v>
      </c>
      <c r="Y156" s="84"/>
      <c r="Z156" s="315">
        <v>1</v>
      </c>
      <c r="AA156" s="315">
        <v>1</v>
      </c>
      <c r="AB156" s="315">
        <v>1</v>
      </c>
      <c r="AC156" s="315">
        <v>1</v>
      </c>
    </row>
    <row r="157" spans="1:30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0">SUM((G152+G153+G154)*G155*G156)</f>
        <v>160600</v>
      </c>
      <c r="I157" s="99">
        <f t="shared" si="90"/>
        <v>168937</v>
      </c>
      <c r="J157" s="100"/>
      <c r="K157" s="101"/>
      <c r="L157" s="99">
        <f t="shared" ref="L157:AA157" si="91">SUM((L152+L153+L154)*L155*L156)</f>
        <v>184700</v>
      </c>
      <c r="M157" s="102"/>
      <c r="N157" s="99">
        <f t="shared" si="91"/>
        <v>209500</v>
      </c>
      <c r="O157" s="100"/>
      <c r="P157" s="100">
        <f t="shared" ref="P157" si="92">SUM((P152+P153+P154)*P155*P156)</f>
        <v>243796.47</v>
      </c>
      <c r="Q157" s="177"/>
      <c r="R157" s="100">
        <f t="shared" ref="R157" si="93">SUM((R152+R153+R154)*R155*R156)</f>
        <v>282611.34999999998</v>
      </c>
      <c r="S157" s="177"/>
      <c r="T157" s="100">
        <f t="shared" si="91"/>
        <v>340600</v>
      </c>
      <c r="U157" s="177"/>
      <c r="V157" s="100">
        <f>SUM((V152+V153+V154)*V155*V156)</f>
        <v>324700</v>
      </c>
      <c r="W157" s="177"/>
      <c r="X157" s="468">
        <f>SUM((X152+X153+X154)*X155*X156)</f>
        <v>358400</v>
      </c>
      <c r="Y157" s="177"/>
      <c r="Z157" s="317">
        <f t="shared" si="91"/>
        <v>380977</v>
      </c>
      <c r="AA157" s="317">
        <f t="shared" si="91"/>
        <v>400696</v>
      </c>
      <c r="AB157" s="317">
        <f>SUM((AB152+AB153+AB154)*AB155*AB156)</f>
        <v>422361</v>
      </c>
      <c r="AC157" s="317">
        <f>SUM((AC152+AC153+AC154)*AC155*AC156)</f>
        <v>442588</v>
      </c>
    </row>
    <row r="158" spans="1:30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70"/>
      <c r="W158" s="73"/>
      <c r="X158" s="461"/>
      <c r="Y158" s="73"/>
      <c r="Z158" s="313"/>
      <c r="AA158" s="313"/>
      <c r="AB158" s="313"/>
      <c r="AC158" s="313"/>
    </row>
    <row r="159" spans="1:30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245">
        <v>1</v>
      </c>
      <c r="W159" s="73"/>
      <c r="X159" s="506">
        <v>1</v>
      </c>
      <c r="Y159" s="73"/>
      <c r="Z159" s="339">
        <v>1</v>
      </c>
      <c r="AA159" s="339">
        <v>1</v>
      </c>
      <c r="AB159" s="339">
        <v>1</v>
      </c>
      <c r="AC159" s="339">
        <v>1</v>
      </c>
    </row>
    <row r="160" spans="1:30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94">SUM(G157*G159)</f>
        <v>160600</v>
      </c>
      <c r="I160" s="69">
        <f t="shared" si="94"/>
        <v>168937</v>
      </c>
      <c r="J160" s="70"/>
      <c r="K160" s="71"/>
      <c r="L160" s="69">
        <f t="shared" ref="L160:AA160" si="95">SUM(L157*L159)</f>
        <v>184700</v>
      </c>
      <c r="M160" s="72"/>
      <c r="N160" s="69">
        <f t="shared" si="95"/>
        <v>209500</v>
      </c>
      <c r="O160" s="70"/>
      <c r="P160" s="70">
        <f t="shared" ref="P160" si="96">SUM(P157*P159)</f>
        <v>243796.47</v>
      </c>
      <c r="Q160" s="73"/>
      <c r="R160" s="70">
        <f t="shared" ref="R160" si="97">SUM(R157*R159)</f>
        <v>282611.34999999998</v>
      </c>
      <c r="S160" s="73"/>
      <c r="T160" s="70">
        <f t="shared" si="95"/>
        <v>340600</v>
      </c>
      <c r="U160" s="73"/>
      <c r="V160" s="70">
        <f t="shared" si="95"/>
        <v>324700</v>
      </c>
      <c r="W160" s="73"/>
      <c r="X160" s="461">
        <f>SUM(X157*X159)</f>
        <v>358400</v>
      </c>
      <c r="Y160" s="73"/>
      <c r="Z160" s="313">
        <f t="shared" si="95"/>
        <v>380977</v>
      </c>
      <c r="AA160" s="313">
        <f t="shared" si="95"/>
        <v>400696</v>
      </c>
      <c r="AB160" s="313">
        <f>SUM(AB157*AB159)</f>
        <v>422361</v>
      </c>
      <c r="AC160" s="313">
        <f>SUM(AC157*AC159)</f>
        <v>442588</v>
      </c>
    </row>
    <row r="161" spans="1:31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247">
        <v>1</v>
      </c>
      <c r="W161" s="84"/>
      <c r="X161" s="507">
        <v>1</v>
      </c>
      <c r="Y161" s="84"/>
      <c r="Z161" s="340">
        <v>1</v>
      </c>
      <c r="AA161" s="340">
        <v>1</v>
      </c>
      <c r="AB161" s="340">
        <v>1</v>
      </c>
      <c r="AC161" s="340">
        <v>1</v>
      </c>
    </row>
    <row r="162" spans="1:31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98">SUM(G160*G161)</f>
        <v>160600</v>
      </c>
      <c r="I162" s="69">
        <f t="shared" si="98"/>
        <v>168937</v>
      </c>
      <c r="J162" s="70"/>
      <c r="K162" s="71"/>
      <c r="L162" s="69">
        <f t="shared" ref="L162:AA162" si="99">SUM(L160*L161)</f>
        <v>184700</v>
      </c>
      <c r="M162" s="72"/>
      <c r="N162" s="69">
        <f t="shared" si="99"/>
        <v>209500</v>
      </c>
      <c r="O162" s="70"/>
      <c r="P162" s="70">
        <f t="shared" ref="P162" si="100">SUM(P160*P161)</f>
        <v>243796.47</v>
      </c>
      <c r="Q162" s="73"/>
      <c r="R162" s="70">
        <f t="shared" ref="R162" si="101">SUM(R160*R161)</f>
        <v>282611.34999999998</v>
      </c>
      <c r="S162" s="73"/>
      <c r="T162" s="70">
        <f t="shared" si="99"/>
        <v>340600</v>
      </c>
      <c r="U162" s="73"/>
      <c r="V162" s="70">
        <f>SUM(V160*V161)</f>
        <v>324700</v>
      </c>
      <c r="W162" s="73"/>
      <c r="X162" s="461">
        <f t="shared" si="99"/>
        <v>358400</v>
      </c>
      <c r="Y162" s="73"/>
      <c r="Z162" s="313">
        <f t="shared" si="99"/>
        <v>380977</v>
      </c>
      <c r="AA162" s="313">
        <f t="shared" si="99"/>
        <v>400696</v>
      </c>
      <c r="AB162" s="313">
        <f>SUM(AB160*AB161)</f>
        <v>422361</v>
      </c>
      <c r="AC162" s="313">
        <f>SUM(AC160*AC161)</f>
        <v>442588</v>
      </c>
    </row>
    <row r="163" spans="1:31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232">
        <f>SUM((V163-T163)/T163)</f>
        <v>4.6000133984343871E-3</v>
      </c>
      <c r="V163" s="293">
        <f>4225.44043/V162</f>
        <v>1.3013367508469355E-2</v>
      </c>
      <c r="W163" s="305">
        <f>$W$30</f>
        <v>0</v>
      </c>
      <c r="X163" s="318">
        <f>SUM(V163*(1+W163))</f>
        <v>1.3013367508469355E-2</v>
      </c>
      <c r="Y163" s="305">
        <f>$Y$30</f>
        <v>0</v>
      </c>
      <c r="Z163" s="318">
        <f>SUM(X163*(1+Y163))</f>
        <v>1.3013367508469355E-2</v>
      </c>
      <c r="AA163" s="318">
        <f>SUM(Z163*(1+Y163))</f>
        <v>1.3013367508469355E-2</v>
      </c>
      <c r="AB163" s="318">
        <f>SUM(AA163*(1+Y163))</f>
        <v>1.3013367508469355E-2</v>
      </c>
      <c r="AC163" s="318">
        <f>SUM(AB163*(1+$Y$163))</f>
        <v>1.3013367508469355E-2</v>
      </c>
    </row>
    <row r="164" spans="1:31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139"/>
      <c r="W164" s="73"/>
      <c r="X164" s="319"/>
      <c r="Y164" s="73"/>
      <c r="Z164" s="319"/>
      <c r="AA164" s="319"/>
      <c r="AB164" s="319"/>
      <c r="AC164" s="319"/>
    </row>
    <row r="165" spans="1:31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2">SUM(G162*G163)</f>
        <v>2030.6547399999999</v>
      </c>
      <c r="I165" s="112">
        <f t="shared" si="102"/>
        <v>2137.1771711399883</v>
      </c>
      <c r="J165" s="141"/>
      <c r="K165" s="114"/>
      <c r="L165" s="248">
        <f t="shared" ref="L165:Z165" si="103">SUM(L162*L163)</f>
        <v>2378.8604999999998</v>
      </c>
      <c r="M165" s="113"/>
      <c r="N165" s="112">
        <f t="shared" si="103"/>
        <v>2651</v>
      </c>
      <c r="O165" s="141"/>
      <c r="P165" s="141">
        <f t="shared" si="103"/>
        <v>3184.1441200000004</v>
      </c>
      <c r="Q165" s="249"/>
      <c r="R165" s="141">
        <f t="shared" ref="R165" si="104">SUM(R162*R163)</f>
        <v>3678.2691199999999</v>
      </c>
      <c r="S165" s="273"/>
      <c r="T165" s="141">
        <f>SUM(T162*T163)</f>
        <v>4412.0574500000002</v>
      </c>
      <c r="U165" s="355"/>
      <c r="V165" s="421">
        <f>SUM(V162*V163)</f>
        <v>4225.4404299999997</v>
      </c>
      <c r="W165" s="355"/>
      <c r="X165" s="533">
        <f>SUM(X162*X163)</f>
        <v>4663.9909150354169</v>
      </c>
      <c r="Y165" s="355"/>
      <c r="Z165" s="392">
        <f t="shared" si="103"/>
        <v>4957.793713274129</v>
      </c>
      <c r="AA165" s="392">
        <f>SUM(AA162*AA163)</f>
        <v>5214.4043071736369</v>
      </c>
      <c r="AB165" s="392">
        <f>SUM(AB162*AB163)</f>
        <v>5496.3389142446249</v>
      </c>
      <c r="AC165" s="392">
        <f>SUM(AC162*AC163)</f>
        <v>5759.5602988384344</v>
      </c>
      <c r="AD165" s="472" t="s">
        <v>265</v>
      </c>
    </row>
    <row r="166" spans="1:31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  <c r="AC166" s="144"/>
    </row>
    <row r="167" spans="1:31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  <c r="AC167" s="257"/>
    </row>
    <row r="168" spans="1:31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  <c r="AC168" s="257"/>
    </row>
    <row r="169" spans="1:31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  <c r="AC169" s="257"/>
    </row>
    <row r="170" spans="1:31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  <c r="AC170" s="265"/>
    </row>
    <row r="171" spans="1:31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  <c r="AC171" s="341" t="s">
        <v>103</v>
      </c>
    </row>
    <row r="172" spans="1:31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  <c r="AC172" s="301">
        <f>AB172+1</f>
        <v>2024</v>
      </c>
    </row>
    <row r="173" spans="1:31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C173" s="321"/>
      <c r="AE173" s="11"/>
    </row>
    <row r="174" spans="1:31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14133.776330000001</v>
      </c>
      <c r="W174" s="355"/>
      <c r="X174" s="342">
        <f>SUM(X32)</f>
        <v>14170.261435970413</v>
      </c>
      <c r="Y174" s="355"/>
      <c r="Z174" s="613">
        <f>SUM(Z32)</f>
        <v>15143.743642475305</v>
      </c>
      <c r="AA174" s="342">
        <f>SUM(AA32)</f>
        <v>16194.66999708577</v>
      </c>
      <c r="AB174" s="342">
        <f>SUM(AB32)</f>
        <v>17071.60774666426</v>
      </c>
      <c r="AC174" s="342">
        <f>SUM(AC32)</f>
        <v>18269.234426992589</v>
      </c>
      <c r="AE174" s="145"/>
    </row>
    <row r="175" spans="1:31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342"/>
      <c r="W175" s="271"/>
      <c r="X175" s="342"/>
      <c r="Y175" s="271"/>
      <c r="Z175" s="613"/>
      <c r="AA175" s="342"/>
      <c r="AB175" s="342"/>
      <c r="AC175" s="342"/>
      <c r="AE175" s="144"/>
    </row>
    <row r="176" spans="1:31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342">
        <f>SUM(V53)</f>
        <v>5979.1903499999999</v>
      </c>
      <c r="W176" s="273"/>
      <c r="X176" s="342">
        <f>SUM(X53)</f>
        <v>6691.5987960842849</v>
      </c>
      <c r="Y176" s="273"/>
      <c r="Z176" s="613">
        <f>SUM(Z53)</f>
        <v>7116.0919877754905</v>
      </c>
      <c r="AA176" s="368">
        <f>SUM(AA53)</f>
        <v>7572.5946622666179</v>
      </c>
      <c r="AB176" s="368">
        <f>SUM(AB53)</f>
        <v>7953.5199538330244</v>
      </c>
      <c r="AC176" s="368">
        <f>SUM(AC53)</f>
        <v>8473.746495125215</v>
      </c>
      <c r="AE176" s="145"/>
    </row>
    <row r="177" spans="1:31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342">
        <f>SUM(V75)</f>
        <v>11537.7201</v>
      </c>
      <c r="W177" s="273"/>
      <c r="X177" s="342">
        <f>SUM(X75)</f>
        <v>11530.968066569794</v>
      </c>
      <c r="Y177" s="273"/>
      <c r="Z177" s="613">
        <f>SUM(Z75)</f>
        <v>12187.82134697853</v>
      </c>
      <c r="AA177" s="342">
        <f>SUM(AA75)</f>
        <v>12862.083093720317</v>
      </c>
      <c r="AB177" s="342">
        <f>SUM(AB75)</f>
        <v>13472.393767020747</v>
      </c>
      <c r="AC177" s="342">
        <f>SUM(AC75)</f>
        <v>14202.86808107499</v>
      </c>
      <c r="AE177" s="145"/>
    </row>
    <row r="178" spans="1:31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343">
        <f>SUM(V95)</f>
        <v>12.636430000000001</v>
      </c>
      <c r="W178" s="273"/>
      <c r="X178" s="343">
        <f>SUM(X95)</f>
        <v>12.636430000000001</v>
      </c>
      <c r="Y178" s="273"/>
      <c r="Z178" s="614">
        <f>SUM(Z95)</f>
        <v>12.636430000000001</v>
      </c>
      <c r="AA178" s="343">
        <f>SUM(AA95)</f>
        <v>12.636430000000001</v>
      </c>
      <c r="AB178" s="343">
        <f>SUM(AB95)</f>
        <v>12.636430000000001</v>
      </c>
      <c r="AC178" s="343">
        <f>SUM(AC95)</f>
        <v>12.636430000000001</v>
      </c>
      <c r="AE178" s="145"/>
    </row>
    <row r="179" spans="1:31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175"/>
      <c r="T179" s="179">
        <f>SUM(T111)</f>
        <v>3479.2761100000002</v>
      </c>
      <c r="U179" s="273"/>
      <c r="V179" s="338">
        <f>SUM(V111)</f>
        <v>3280.9031100000002</v>
      </c>
      <c r="W179" s="273"/>
      <c r="X179" s="338">
        <f>SUM(X111)</f>
        <v>3488.2345572003792</v>
      </c>
      <c r="Y179" s="273"/>
      <c r="Z179" s="615">
        <f>SUM(Z111)</f>
        <v>3488.2345572003792</v>
      </c>
      <c r="AA179" s="338">
        <f>SUM(AA111)</f>
        <v>3488.2345572003792</v>
      </c>
      <c r="AB179" s="338">
        <f>SUM(AB111)</f>
        <v>3488.2345572003792</v>
      </c>
      <c r="AC179" s="338">
        <f>SUM(AC111)</f>
        <v>3488.2345572003792</v>
      </c>
      <c r="AE179" s="145"/>
    </row>
    <row r="180" spans="1:31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175"/>
      <c r="T180" s="272"/>
      <c r="U180" s="271"/>
      <c r="V180" s="342"/>
      <c r="W180" s="271"/>
      <c r="X180" s="342"/>
      <c r="Y180" s="271"/>
      <c r="Z180" s="613"/>
      <c r="AA180" s="342"/>
      <c r="AB180" s="342"/>
      <c r="AC180" s="342"/>
      <c r="AE180" s="144"/>
    </row>
    <row r="181" spans="1:31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05">SUM(G174:G179)</f>
        <v>22467.722571320119</v>
      </c>
      <c r="H181" s="3"/>
      <c r="I181" s="178">
        <f t="shared" si="105"/>
        <v>25222.541358363891</v>
      </c>
      <c r="J181" s="181"/>
      <c r="K181" s="180"/>
      <c r="L181" s="178">
        <f t="shared" ref="L181:AA181" si="106">SUM(L174:L179)</f>
        <v>27721.837982187997</v>
      </c>
      <c r="M181" s="181"/>
      <c r="N181" s="178">
        <f t="shared" ref="N181" si="107">SUM(N174:N179)</f>
        <v>29497.728188102526</v>
      </c>
      <c r="O181" s="280"/>
      <c r="P181" s="179">
        <f t="shared" si="106"/>
        <v>30629.426470680279</v>
      </c>
      <c r="Q181" s="281"/>
      <c r="R181" s="179">
        <f>SUM(R174:R179)</f>
        <v>33603.611274662006</v>
      </c>
      <c r="S181" s="175"/>
      <c r="T181" s="179">
        <f>SUM(T174:T179)</f>
        <v>33724.400079999999</v>
      </c>
      <c r="U181" s="273"/>
      <c r="V181" s="338">
        <f t="shared" si="106"/>
        <v>34944.226320000002</v>
      </c>
      <c r="W181" s="273"/>
      <c r="X181" s="338">
        <f t="shared" si="106"/>
        <v>35893.69928582487</v>
      </c>
      <c r="Y181" s="273"/>
      <c r="Z181" s="615">
        <f t="shared" si="106"/>
        <v>37948.527964429704</v>
      </c>
      <c r="AA181" s="338">
        <f t="shared" si="106"/>
        <v>40130.218740273085</v>
      </c>
      <c r="AB181" s="338">
        <f>SUM(AB174:AB179)</f>
        <v>41998.392454718407</v>
      </c>
      <c r="AC181" s="338">
        <f>SUM(AC174:AC179)</f>
        <v>44446.719990393169</v>
      </c>
      <c r="AE181" s="144"/>
    </row>
    <row r="182" spans="1:31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175"/>
      <c r="T182" s="272"/>
      <c r="U182" s="271"/>
      <c r="V182" s="342"/>
      <c r="W182" s="271"/>
      <c r="X182" s="342"/>
      <c r="Y182" s="271"/>
      <c r="Z182" s="342"/>
      <c r="AA182" s="342"/>
      <c r="AB182" s="342"/>
      <c r="AC182" s="342"/>
      <c r="AE182" s="144"/>
    </row>
    <row r="183" spans="1:31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175"/>
      <c r="T183" s="272"/>
      <c r="U183" s="271"/>
      <c r="V183" s="342"/>
      <c r="W183" s="271"/>
      <c r="X183" s="342"/>
      <c r="Y183" s="271"/>
      <c r="Z183" s="342"/>
      <c r="AA183" s="342"/>
      <c r="AB183" s="342"/>
      <c r="AC183" s="342"/>
      <c r="AE183" s="144"/>
    </row>
    <row r="184" spans="1:31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175"/>
      <c r="T184" s="276">
        <f>SUM(T130)</f>
        <v>3358.2858700000002</v>
      </c>
      <c r="U184" s="273"/>
      <c r="V184" s="342">
        <f>SUM(V130)</f>
        <v>3563.96029</v>
      </c>
      <c r="W184" s="355"/>
      <c r="X184" s="342">
        <f>SUM(X130)</f>
        <v>3565.99181376453</v>
      </c>
      <c r="Y184" s="355"/>
      <c r="Z184" s="613">
        <f>SUM(Z130)</f>
        <v>4048.323958558085</v>
      </c>
      <c r="AA184" s="342">
        <f>SUM(AA130)</f>
        <v>4523.1626356224433</v>
      </c>
      <c r="AB184" s="342">
        <f>SUM(AB130)</f>
        <v>5014.4634940736314</v>
      </c>
      <c r="AC184" s="342">
        <f>SUM(AC130)</f>
        <v>5479.9915130598583</v>
      </c>
      <c r="AE184" s="145"/>
    </row>
    <row r="185" spans="1:31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175"/>
      <c r="T185" s="276">
        <f>SUM(T147)</f>
        <v>1765.7096300000001</v>
      </c>
      <c r="U185" s="273"/>
      <c r="V185" s="342">
        <f>SUM(V147)</f>
        <v>1655.63895</v>
      </c>
      <c r="W185" s="273"/>
      <c r="X185" s="342">
        <f>SUM(X147)</f>
        <v>1933.40539064923</v>
      </c>
      <c r="Y185" s="273"/>
      <c r="Z185" s="613">
        <f>SUM(Z147)</f>
        <v>2155.1920638910619</v>
      </c>
      <c r="AA185" s="342">
        <f>SUM(AA147)</f>
        <v>2372.3204821307918</v>
      </c>
      <c r="AB185" s="342">
        <f>SUM(AB147)</f>
        <v>2596.9765251785852</v>
      </c>
      <c r="AC185" s="342">
        <f>SUM(AC147)</f>
        <v>2809.847479654466</v>
      </c>
      <c r="AE185" s="145"/>
    </row>
    <row r="186" spans="1:31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342">
        <f>SUM(V165)</f>
        <v>4225.4404299999997</v>
      </c>
      <c r="W186" s="273"/>
      <c r="X186" s="342">
        <f>SUM(X165)</f>
        <v>4663.9909150354169</v>
      </c>
      <c r="Y186" s="273"/>
      <c r="Z186" s="613">
        <f>SUM(Z165)</f>
        <v>4957.793713274129</v>
      </c>
      <c r="AA186" s="342">
        <f>SUM(AA165)</f>
        <v>5214.4043071736369</v>
      </c>
      <c r="AB186" s="342">
        <f>SUM(AB165)</f>
        <v>5496.3389142446249</v>
      </c>
      <c r="AC186" s="342">
        <f>SUM(AC165)</f>
        <v>5759.5602988384344</v>
      </c>
      <c r="AE186" s="145"/>
    </row>
    <row r="187" spans="1:31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75"/>
      <c r="T187" s="179">
        <v>0</v>
      </c>
      <c r="U187" s="273"/>
      <c r="V187" s="338">
        <v>0</v>
      </c>
      <c r="W187" s="273"/>
      <c r="X187" s="338">
        <v>0</v>
      </c>
      <c r="Y187" s="273"/>
      <c r="Z187" s="615">
        <v>0</v>
      </c>
      <c r="AA187" s="338">
        <v>0</v>
      </c>
      <c r="AB187" s="338">
        <v>0</v>
      </c>
      <c r="AC187" s="338">
        <v>0</v>
      </c>
      <c r="AE187" s="144"/>
    </row>
    <row r="188" spans="1:31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175"/>
      <c r="T188" s="272"/>
      <c r="U188" s="271"/>
      <c r="V188" s="342"/>
      <c r="W188" s="271"/>
      <c r="X188" s="342"/>
      <c r="Y188" s="271"/>
      <c r="Z188" s="613"/>
      <c r="AA188" s="342"/>
      <c r="AB188" s="342"/>
      <c r="AC188" s="342"/>
      <c r="AE188" s="27"/>
    </row>
    <row r="189" spans="1:31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08">SUM(G184:G186)</f>
        <v>5381.658967623669</v>
      </c>
      <c r="H189" s="3"/>
      <c r="I189" s="178">
        <f t="shared" si="108"/>
        <v>5836.652431139988</v>
      </c>
      <c r="J189" s="181"/>
      <c r="K189" s="180"/>
      <c r="L189" s="178">
        <f t="shared" ref="L189:AC189" si="109">SUM(L184:L186)</f>
        <v>6656.9436187574665</v>
      </c>
      <c r="M189" s="181"/>
      <c r="N189" s="178">
        <f t="shared" ref="N189" si="110">SUM(N184:N186)</f>
        <v>6826.5169189769413</v>
      </c>
      <c r="O189" s="181"/>
      <c r="P189" s="179">
        <f t="shared" si="109"/>
        <v>7377.2878482527303</v>
      </c>
      <c r="Q189" s="180"/>
      <c r="R189" s="179">
        <f>SUM(R184:R186)</f>
        <v>8337.9596247768241</v>
      </c>
      <c r="S189" s="175"/>
      <c r="T189" s="179">
        <f>SUM(T184:T186)</f>
        <v>9536.0529500000011</v>
      </c>
      <c r="U189" s="273"/>
      <c r="V189" s="338">
        <f>SUM(V184:V186)</f>
        <v>9445.0396699999983</v>
      </c>
      <c r="W189" s="273"/>
      <c r="X189" s="338">
        <f t="shared" si="109"/>
        <v>10163.388119449177</v>
      </c>
      <c r="Y189" s="273"/>
      <c r="Z189" s="615">
        <f t="shared" si="109"/>
        <v>11161.309735723276</v>
      </c>
      <c r="AA189" s="338">
        <f t="shared" si="109"/>
        <v>12109.887424926872</v>
      </c>
      <c r="AB189" s="338">
        <f t="shared" si="109"/>
        <v>13107.778933496842</v>
      </c>
      <c r="AC189" s="338">
        <f t="shared" si="109"/>
        <v>14049.39929155276</v>
      </c>
    </row>
    <row r="190" spans="1:31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175"/>
      <c r="T190" s="270"/>
      <c r="U190" s="271"/>
      <c r="V190" s="342"/>
      <c r="W190" s="271"/>
      <c r="X190" s="342"/>
      <c r="Y190" s="271"/>
      <c r="Z190" s="342"/>
      <c r="AA190" s="342"/>
      <c r="AB190" s="342"/>
      <c r="AC190" s="342"/>
    </row>
    <row r="191" spans="1:31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75"/>
      <c r="T191" s="141">
        <f>SUM(T181+T189)</f>
        <v>43260.453030000004</v>
      </c>
      <c r="U191" s="355"/>
      <c r="V191" s="320">
        <f>SUM(V181+V189)</f>
        <v>44389.26599</v>
      </c>
      <c r="W191" s="355"/>
      <c r="X191" s="320">
        <f>SUM(X181+X189)</f>
        <v>46057.087405274047</v>
      </c>
      <c r="Y191" s="355"/>
      <c r="Z191" s="320">
        <f>SUM(Z181+Z189)</f>
        <v>49109.837700152981</v>
      </c>
      <c r="AA191" s="320">
        <f>SUM(AA181+AA189)</f>
        <v>52240.106165199955</v>
      </c>
      <c r="AB191" s="320">
        <f>SUM(AB181+AB189)</f>
        <v>55106.171388215247</v>
      </c>
      <c r="AC191" s="320">
        <f>SUM(AC181+AC189)</f>
        <v>58496.119281945925</v>
      </c>
    </row>
    <row r="192" spans="1:31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175"/>
      <c r="T192" s="285"/>
      <c r="U192" s="286"/>
      <c r="V192" s="285"/>
      <c r="W192" s="286"/>
      <c r="X192" s="285"/>
      <c r="Y192" s="286"/>
      <c r="Z192" s="285"/>
      <c r="AA192" s="285"/>
      <c r="AB192" s="285"/>
      <c r="AC192" s="285"/>
    </row>
    <row r="193" spans="1:29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175"/>
      <c r="T193" s="289">
        <f>SUM(T191-R191)</f>
        <v>1318.8821305611782</v>
      </c>
      <c r="U193" s="175"/>
      <c r="V193" s="289">
        <f>SUM(V191-T191)</f>
        <v>1128.8129599999957</v>
      </c>
      <c r="W193" s="175"/>
      <c r="X193" s="289">
        <f>SUM(X191-V191)</f>
        <v>1667.8214152740475</v>
      </c>
      <c r="Y193" s="175"/>
      <c r="Z193" s="289">
        <f>SUM(Z191-X191)</f>
        <v>3052.7502948789333</v>
      </c>
      <c r="AA193" s="289">
        <f>SUM(AA191-Z191)</f>
        <v>3130.2684650469746</v>
      </c>
      <c r="AB193" s="289">
        <f>SUM(AB191-AA191)</f>
        <v>2866.0652230152918</v>
      </c>
      <c r="AC193" s="289">
        <f>SUM(AC191-AB191)</f>
        <v>3389.9478937306776</v>
      </c>
    </row>
    <row r="194" spans="1:29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S194" s="12"/>
      <c r="U194" s="12"/>
      <c r="W194" s="12"/>
      <c r="Y194" s="12"/>
    </row>
    <row r="195" spans="1:29" x14ac:dyDescent="0.3">
      <c r="L195" s="10">
        <f>(L191-I191)/I191</f>
        <v>0.10687939403512148</v>
      </c>
      <c r="N195" s="10">
        <f>(N191-L191)/L191</f>
        <v>5.6589076620461323E-2</v>
      </c>
      <c r="P195" s="10">
        <f>(P191-N191)/N191</f>
        <v>4.631807782636152E-2</v>
      </c>
      <c r="R195" s="10">
        <f>(R191-P191)/P191</f>
        <v>0.10353056429678457</v>
      </c>
      <c r="T195" s="10">
        <f>(T191-R191)/R191</f>
        <v>3.1445701776964791E-2</v>
      </c>
      <c r="U195" s="10"/>
      <c r="V195" s="10">
        <f>(V191-T191)/T191</f>
        <v>2.6093415138699384E-2</v>
      </c>
      <c r="W195" s="10"/>
      <c r="X195" s="10">
        <f>(X191-V191)/V191</f>
        <v>3.7572628834407255E-2</v>
      </c>
      <c r="Y195" s="10"/>
      <c r="Z195" s="10">
        <f>(Z191-X191)/X191</f>
        <v>6.6281879008470684E-2</v>
      </c>
      <c r="AA195" s="10">
        <f>(AA191-Z191)/Z191</f>
        <v>6.3740150887063987E-2</v>
      </c>
      <c r="AB195" s="10">
        <f>(AB191-AA191)/AA191</f>
        <v>5.4863311608745115E-2</v>
      </c>
      <c r="AC195" s="10">
        <f>(AC191-AB191)/AB191</f>
        <v>6.1516665163489047E-2</v>
      </c>
    </row>
    <row r="232" spans="20:22" x14ac:dyDescent="0.3">
      <c r="T232" s="354"/>
      <c r="V232" s="354"/>
    </row>
    <row r="233" spans="20:22" x14ac:dyDescent="0.3">
      <c r="T233" s="354"/>
      <c r="V233" s="354"/>
    </row>
    <row r="234" spans="20:22" x14ac:dyDescent="0.3">
      <c r="T234" s="354"/>
      <c r="V234" s="354"/>
    </row>
    <row r="236" spans="20:22" x14ac:dyDescent="0.3">
      <c r="T236" s="357"/>
      <c r="V236" s="357"/>
    </row>
  </sheetData>
  <pageMargins left="0.7" right="0.7" top="0.75" bottom="0.75" header="0.3" footer="0.3"/>
  <pageSetup paperSize="5" fitToHeight="0" orientation="landscape" r:id="rId1"/>
  <rowBreaks count="7" manualBreakCount="7">
    <brk id="33" max="16383" man="1"/>
    <brk id="54" max="26" man="1"/>
    <brk id="76" max="16383" man="1"/>
    <brk id="95" max="26" man="1"/>
    <brk id="113" max="16383" man="1"/>
    <brk id="147" max="26" man="1"/>
    <brk id="165" max="26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36"/>
  <sheetViews>
    <sheetView zoomScale="85" zoomScaleNormal="85" workbookViewId="0">
      <pane xSplit="1" ySplit="9" topLeftCell="R10" activePane="bottomRight" state="frozen"/>
      <selection pane="topRight" activeCell="B1" sqref="B1"/>
      <selection pane="bottomLeft" activeCell="A10" sqref="A10"/>
      <selection pane="bottomRight" activeCell="V75" sqref="V75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8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customWidth="1" collapsed="1"/>
    <col min="19" max="19" width="7.6640625" style="2" customWidth="1"/>
    <col min="20" max="20" width="18.6640625" style="12" customWidth="1"/>
    <col min="21" max="21" width="7.6640625" style="2" customWidth="1"/>
    <col min="22" max="22" width="18.6640625" style="12" customWidth="1"/>
    <col min="23" max="23" width="7.6640625" style="2" customWidth="1"/>
    <col min="24" max="24" width="18.6640625" style="12" customWidth="1"/>
    <col min="25" max="25" width="7.6640625" style="2" customWidth="1"/>
    <col min="26" max="29" width="18.6640625" style="12" customWidth="1"/>
    <col min="30" max="16384" width="9.109375" style="12"/>
  </cols>
  <sheetData>
    <row r="1" spans="1:32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C1" s="298" t="s">
        <v>0</v>
      </c>
      <c r="AE1" s="300"/>
      <c r="AF1" s="12" t="s">
        <v>103</v>
      </c>
    </row>
    <row r="2" spans="1:32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/>
      <c r="W2" s="4"/>
      <c r="X2" s="299"/>
      <c r="Y2" s="4"/>
      <c r="Z2" s="299"/>
      <c r="AA2" s="299"/>
      <c r="AB2" s="299"/>
      <c r="AC2" s="299"/>
    </row>
    <row r="3" spans="1:32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194</v>
      </c>
      <c r="W3" s="36"/>
      <c r="X3" s="264" t="s">
        <v>195</v>
      </c>
      <c r="Y3" s="36"/>
      <c r="Z3" s="264" t="s">
        <v>195</v>
      </c>
      <c r="AA3" s="264" t="s">
        <v>195</v>
      </c>
      <c r="AB3" s="264" t="s">
        <v>195</v>
      </c>
      <c r="AC3" s="264" t="s">
        <v>195</v>
      </c>
    </row>
    <row r="4" spans="1:32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  <c r="AC4" s="16" t="s">
        <v>3</v>
      </c>
    </row>
    <row r="5" spans="1:32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9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C7" si="0">Z5+1</f>
        <v>2021</v>
      </c>
      <c r="AB5" s="307">
        <f t="shared" si="0"/>
        <v>2022</v>
      </c>
      <c r="AC5" s="307">
        <f t="shared" si="0"/>
        <v>2023</v>
      </c>
    </row>
    <row r="6" spans="1:32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42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  <c r="AC6" s="308">
        <f t="shared" si="0"/>
        <v>2024</v>
      </c>
    </row>
    <row r="7" spans="1:32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46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  <c r="AC7" s="309">
        <f t="shared" si="0"/>
        <v>2024</v>
      </c>
    </row>
    <row r="8" spans="1:32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5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  <c r="AC8" s="310" t="s">
        <v>176</v>
      </c>
    </row>
    <row r="9" spans="1:32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54"/>
      <c r="W9" s="55"/>
      <c r="X9" s="311"/>
      <c r="Y9" s="55"/>
      <c r="Z9" s="311"/>
      <c r="AA9" s="311"/>
      <c r="AB9" s="311"/>
      <c r="AC9" s="311"/>
    </row>
    <row r="10" spans="1:32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120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  <c r="AC10" s="301" t="s">
        <v>177</v>
      </c>
    </row>
    <row r="11" spans="1:32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42"/>
      <c r="W11" s="43"/>
      <c r="X11" s="308"/>
      <c r="Y11" s="43"/>
      <c r="Z11" s="308"/>
      <c r="AA11" s="308"/>
      <c r="AB11" s="308"/>
      <c r="AC11" s="308"/>
    </row>
    <row r="12" spans="1:32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68"/>
      <c r="W12" s="47"/>
      <c r="X12" s="312"/>
      <c r="Y12" s="47"/>
      <c r="Z12" s="312"/>
      <c r="AA12" s="312"/>
      <c r="AB12" s="312"/>
      <c r="AC12" s="312"/>
    </row>
    <row r="13" spans="1:32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70">
        <v>2400000</v>
      </c>
      <c r="W13" s="73"/>
      <c r="X13" s="313">
        <v>2200000</v>
      </c>
      <c r="Y13" s="73"/>
      <c r="Z13" s="313">
        <f>SUM(X13:X19)</f>
        <v>2200000</v>
      </c>
      <c r="AA13" s="313">
        <f>SUM(Z13:Z19)</f>
        <v>2365553</v>
      </c>
      <c r="AB13" s="313">
        <f>SUM(AA13:AA19)</f>
        <v>2543594</v>
      </c>
      <c r="AC13" s="313">
        <f>SUM(AB13:AB19)</f>
        <v>2692159</v>
      </c>
    </row>
    <row r="14" spans="1:32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153"/>
      <c r="W14" s="73"/>
      <c r="X14" s="313"/>
      <c r="Y14" s="73"/>
      <c r="Z14" s="313"/>
      <c r="AA14" s="313"/>
      <c r="AB14" s="313"/>
      <c r="AC14" s="313"/>
    </row>
    <row r="15" spans="1:32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153"/>
      <c r="W15" s="73"/>
      <c r="X15" s="313"/>
      <c r="Y15" s="73"/>
      <c r="Z15" s="154">
        <v>303587</v>
      </c>
      <c r="AA15" s="154">
        <v>310788</v>
      </c>
      <c r="AB15" s="154">
        <v>280335</v>
      </c>
      <c r="AC15" s="154">
        <v>329161</v>
      </c>
    </row>
    <row r="16" spans="1:32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153"/>
      <c r="W16" s="73"/>
      <c r="X16" s="313"/>
      <c r="Y16" s="73"/>
      <c r="Z16" s="154">
        <v>-18675</v>
      </c>
      <c r="AA16" s="154">
        <v>-13145</v>
      </c>
      <c r="AB16" s="154">
        <v>-12168</v>
      </c>
      <c r="AC16" s="154">
        <v>-5895</v>
      </c>
    </row>
    <row r="17" spans="1:29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153"/>
      <c r="W17" s="73"/>
      <c r="X17" s="313"/>
      <c r="Y17" s="73"/>
      <c r="Z17" s="154"/>
      <c r="AA17" s="154"/>
      <c r="AB17" s="154"/>
      <c r="AC17" s="154"/>
    </row>
    <row r="18" spans="1:29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153"/>
      <c r="W18" s="73"/>
      <c r="X18" s="313"/>
      <c r="Y18" s="73"/>
      <c r="Z18" s="154">
        <v>-6747</v>
      </c>
      <c r="AA18" s="154">
        <v>-6990</v>
      </c>
      <c r="AB18" s="154">
        <v>-6990</v>
      </c>
      <c r="AC18" s="154">
        <v>-7760</v>
      </c>
    </row>
    <row r="19" spans="1:29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155"/>
      <c r="W19" s="84"/>
      <c r="X19" s="323"/>
      <c r="Y19" s="84"/>
      <c r="Z19" s="398">
        <f>-112612</f>
        <v>-112612</v>
      </c>
      <c r="AA19" s="398">
        <f t="shared" ref="AA19:AC19" si="1">Z19</f>
        <v>-112612</v>
      </c>
      <c r="AB19" s="398">
        <f t="shared" si="1"/>
        <v>-112612</v>
      </c>
      <c r="AC19" s="398">
        <f t="shared" si="1"/>
        <v>-112612</v>
      </c>
    </row>
    <row r="20" spans="1:29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87">
        <v>0.96493331984800101</v>
      </c>
      <c r="W20" s="73"/>
      <c r="X20" s="314">
        <v>0.9601430262821341</v>
      </c>
      <c r="Y20" s="73"/>
      <c r="Z20" s="314">
        <f>SUM(X20)</f>
        <v>0.9601430262821341</v>
      </c>
      <c r="AA20" s="314">
        <f t="shared" ref="AA20:AA21" si="2">SUM(Z20)</f>
        <v>0.9601430262821341</v>
      </c>
      <c r="AB20" s="314">
        <f>SUM(AA20)</f>
        <v>0.9601430262821341</v>
      </c>
      <c r="AC20" s="314">
        <f>SUM(AB20)</f>
        <v>0.9601430262821341</v>
      </c>
    </row>
    <row r="21" spans="1:29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91">
        <v>0.56470299999999995</v>
      </c>
      <c r="W21" s="84"/>
      <c r="X21" s="315">
        <v>0.57349399999999995</v>
      </c>
      <c r="Y21" s="84"/>
      <c r="Z21" s="315">
        <f>SUM(X21)</f>
        <v>0.57349399999999995</v>
      </c>
      <c r="AA21" s="315">
        <f t="shared" si="2"/>
        <v>0.57349399999999995</v>
      </c>
      <c r="AB21" s="315">
        <f>SUM(AA21)</f>
        <v>0.57349399999999995</v>
      </c>
      <c r="AC21" s="315">
        <f>SUM(AB21)</f>
        <v>0.57349399999999995</v>
      </c>
    </row>
    <row r="22" spans="1:29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3">SUM(G13:G19)*G20*G21</f>
        <v>749495.24554680008</v>
      </c>
      <c r="I22" s="69">
        <f t="shared" si="3"/>
        <v>822232.32062400004</v>
      </c>
      <c r="J22" s="70"/>
      <c r="K22" s="71"/>
      <c r="L22" s="69">
        <f t="shared" ref="L22:N22" si="4">SUM(L13:L19)*L20*L21</f>
        <v>962461.34900000005</v>
      </c>
      <c r="M22" s="72"/>
      <c r="N22" s="69">
        <f t="shared" si="4"/>
        <v>1154211.1569999997</v>
      </c>
      <c r="O22" s="70"/>
      <c r="P22" s="70">
        <f t="shared" ref="P22" si="5">SUM(P13:P19)*P20*P21</f>
        <v>1162234.5759999999</v>
      </c>
      <c r="Q22" s="73"/>
      <c r="R22" s="70">
        <f>SUM(R13:R19)*R20*R21</f>
        <v>1207497.787</v>
      </c>
      <c r="S22" s="73"/>
      <c r="T22" s="70">
        <f>SUM(T13:T19)*T20*T21</f>
        <v>1238307.8730000001</v>
      </c>
      <c r="U22" s="73"/>
      <c r="V22" s="70">
        <f>SUM(V13:V19)*V20*V21</f>
        <v>1307761.7772435015</v>
      </c>
      <c r="W22" s="73"/>
      <c r="X22" s="313">
        <f>SUM(X13:X19)*X20*X21</f>
        <v>1211399.7823722216</v>
      </c>
      <c r="Y22" s="73"/>
      <c r="Z22" s="313">
        <f>SUM(Z13:Z19)*Z20*Z21</f>
        <v>1302559.2679045252</v>
      </c>
      <c r="AA22" s="313">
        <f>SUM(AA13:AA19)*AA20*AA21</f>
        <v>1400595.0991105856</v>
      </c>
      <c r="AB22" s="313">
        <f>SUM(AB13:AB19)*AB20*AB21</f>
        <v>1482400.3757779172</v>
      </c>
      <c r="AC22" s="313">
        <f>SUM(AC13:AC19)*AC20*AC21</f>
        <v>1594121.1700709306</v>
      </c>
    </row>
    <row r="23" spans="1:29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70">
        <v>489.39157803826998</v>
      </c>
      <c r="W23" s="73"/>
      <c r="X23" s="313">
        <v>629</v>
      </c>
      <c r="Y23" s="73"/>
      <c r="Z23" s="313"/>
      <c r="AA23" s="313"/>
      <c r="AB23" s="313"/>
      <c r="AC23" s="313"/>
    </row>
    <row r="24" spans="1:29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6">SUM(I22)</f>
        <v>822232.32062400004</v>
      </c>
      <c r="J24" s="70"/>
      <c r="K24" s="71"/>
      <c r="L24" s="69">
        <f t="shared" ref="L24" si="7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70">
        <f>SUM(V22:V23)</f>
        <v>1308251.1688215397</v>
      </c>
      <c r="W24" s="73"/>
      <c r="X24" s="313">
        <f>SUM(X22:X23)</f>
        <v>1212028.7823722216</v>
      </c>
      <c r="Y24" s="73"/>
      <c r="Z24" s="313">
        <f t="shared" ref="Z24:AA24" si="8">SUM(Z22)</f>
        <v>1302559.2679045252</v>
      </c>
      <c r="AA24" s="313">
        <f t="shared" si="8"/>
        <v>1400595.0991105856</v>
      </c>
      <c r="AB24" s="313">
        <f>SUM(AB22)</f>
        <v>1482400.3757779172</v>
      </c>
      <c r="AC24" s="313">
        <f>SUM(AC22)</f>
        <v>1594121.1700709306</v>
      </c>
    </row>
    <row r="25" spans="1:29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70">
        <v>1064023.335</v>
      </c>
      <c r="Q25" s="73"/>
      <c r="R25" s="70">
        <v>1117051.1471780001</v>
      </c>
      <c r="S25" s="73"/>
      <c r="T25" s="70">
        <v>1153650.0430000001</v>
      </c>
      <c r="U25" s="73"/>
      <c r="V25" s="72"/>
      <c r="W25" s="73"/>
      <c r="X25" s="313"/>
      <c r="Y25" s="73"/>
      <c r="Z25" s="313"/>
      <c r="AA25" s="313"/>
      <c r="AB25" s="313"/>
      <c r="AC25" s="313"/>
    </row>
    <row r="26" spans="1:29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316">
        <f>SUM(T26)</f>
        <v>0.93137142914001647</v>
      </c>
      <c r="W26" s="81"/>
      <c r="X26" s="316">
        <f>SUM(V26)</f>
        <v>0.93137142914001647</v>
      </c>
      <c r="Y26" s="81"/>
      <c r="Z26" s="316">
        <f>SUM(X26)</f>
        <v>0.93137142914001647</v>
      </c>
      <c r="AA26" s="316">
        <f t="shared" ref="AA26" si="9">SUM(Z26)</f>
        <v>0.93137142914001647</v>
      </c>
      <c r="AB26" s="316">
        <f>SUM(AA26)</f>
        <v>0.93137142914001647</v>
      </c>
      <c r="AC26" s="316">
        <f>SUM(AB26)</f>
        <v>0.93137142914001647</v>
      </c>
    </row>
    <row r="27" spans="1:29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0">SUM(G24*G26)</f>
        <v>681556.79615745938</v>
      </c>
      <c r="I27" s="69">
        <f t="shared" si="10"/>
        <v>765508.78650503687</v>
      </c>
      <c r="J27" s="70"/>
      <c r="K27" s="71"/>
      <c r="L27" s="69">
        <f t="shared" ref="L27:AA27" si="11">SUM(L24*L26)</f>
        <v>898630</v>
      </c>
      <c r="M27" s="72"/>
      <c r="N27" s="69">
        <f t="shared" si="11"/>
        <v>1070854.5930000001</v>
      </c>
      <c r="O27" s="72"/>
      <c r="P27" s="70">
        <f>SUM(P24*P26)</f>
        <v>1064023.335</v>
      </c>
      <c r="R27" s="70">
        <f>SUM(R24*R26)</f>
        <v>1117051.1471780001</v>
      </c>
      <c r="T27" s="70">
        <f>SUM(T24*T26)</f>
        <v>1153650.0430000001</v>
      </c>
      <c r="U27" s="71"/>
      <c r="V27" s="313">
        <f>SUM(V24*V26)</f>
        <v>1218467.7607794143</v>
      </c>
      <c r="W27" s="71"/>
      <c r="X27" s="313">
        <f>SUM(X24*X26)</f>
        <v>1128848.97919685</v>
      </c>
      <c r="Y27" s="71"/>
      <c r="Z27" s="313">
        <f t="shared" si="11"/>
        <v>1213166.4868878112</v>
      </c>
      <c r="AA27" s="313">
        <f t="shared" si="11"/>
        <v>1304474.2591051292</v>
      </c>
      <c r="AB27" s="313">
        <f>SUM(AB24*AB26)</f>
        <v>1380665.3565459761</v>
      </c>
      <c r="AC27" s="313">
        <f>SUM(AC24*AC26)</f>
        <v>1484718.912391318</v>
      </c>
    </row>
    <row r="28" spans="1:29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313">
        <v>0</v>
      </c>
      <c r="W28" s="71"/>
      <c r="X28" s="313">
        <v>0</v>
      </c>
      <c r="Y28" s="71"/>
      <c r="Z28" s="313">
        <v>0</v>
      </c>
      <c r="AA28" s="313">
        <v>0</v>
      </c>
      <c r="AB28" s="313">
        <v>0</v>
      </c>
      <c r="AC28" s="313">
        <v>0</v>
      </c>
    </row>
    <row r="29" spans="1:29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2">SUM(G27:G28)</f>
        <v>681556.79615745938</v>
      </c>
      <c r="I29" s="99">
        <f t="shared" si="12"/>
        <v>765508.78650503687</v>
      </c>
      <c r="J29" s="100"/>
      <c r="K29" s="101"/>
      <c r="L29" s="99">
        <f t="shared" ref="L29:AA29" si="13">SUM(L27:L28)</f>
        <v>898630</v>
      </c>
      <c r="M29" s="102"/>
      <c r="N29" s="99">
        <f t="shared" si="13"/>
        <v>1070854.5930000001</v>
      </c>
      <c r="O29" s="102"/>
      <c r="P29" s="100">
        <f t="shared" si="13"/>
        <v>1064023.335</v>
      </c>
      <c r="Q29" s="101"/>
      <c r="R29" s="100">
        <f t="shared" ref="R29" si="14">SUM(R27:R28)</f>
        <v>1117051.1471780001</v>
      </c>
      <c r="S29" s="101"/>
      <c r="T29" s="100">
        <f>SUM(T27:T28)</f>
        <v>1153650.0430000001</v>
      </c>
      <c r="U29" s="101"/>
      <c r="V29" s="317">
        <f>SUM(V27:V28)</f>
        <v>1218467.7607794143</v>
      </c>
      <c r="W29" s="101"/>
      <c r="X29" s="317">
        <f t="shared" si="13"/>
        <v>1128848.97919685</v>
      </c>
      <c r="Y29" s="101"/>
      <c r="Z29" s="317">
        <f t="shared" si="13"/>
        <v>1213166.4868878112</v>
      </c>
      <c r="AA29" s="317">
        <f t="shared" si="13"/>
        <v>1304474.2591051292</v>
      </c>
      <c r="AB29" s="317">
        <f>SUM(AB27:AB28)</f>
        <v>1380665.3565459761</v>
      </c>
      <c r="AC29" s="317">
        <f>SUM(AC27:AC28)</f>
        <v>1484718.912391318</v>
      </c>
    </row>
    <row r="30" spans="1:29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305">
        <v>0.09</v>
      </c>
      <c r="V30" s="318">
        <f>SUM(T30*(1+U30))</f>
        <v>1.2153347127470267E-2</v>
      </c>
      <c r="W30" s="305">
        <v>1.4999999999999999E-2</v>
      </c>
      <c r="X30" s="318">
        <f>SUM(V30*(1+W30))</f>
        <v>1.233564733438232E-2</v>
      </c>
      <c r="Y30" s="305">
        <v>0.02</v>
      </c>
      <c r="Z30" s="318">
        <f>SUM(X30*(1+Y30))</f>
        <v>1.2582360281069967E-2</v>
      </c>
      <c r="AA30" s="318">
        <f>SUM(Z30*(1+Y30))</f>
        <v>1.2834007486691366E-2</v>
      </c>
      <c r="AB30" s="318">
        <f>SUM(AA30*(1+Y30))</f>
        <v>1.3090687636425194E-2</v>
      </c>
      <c r="AC30" s="318">
        <f>SUM(AB30*(1+$Y$30))</f>
        <v>1.3352501389153698E-2</v>
      </c>
    </row>
    <row r="31" spans="1:29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319"/>
      <c r="W31" s="71"/>
      <c r="X31" s="319"/>
      <c r="Y31" s="71"/>
      <c r="Z31" s="319"/>
      <c r="AA31" s="319"/>
      <c r="AB31" s="319"/>
      <c r="AC31" s="319"/>
    </row>
    <row r="32" spans="1:29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5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P32" si="16">SUM(N29*N30)</f>
        <v>12999.765589175515</v>
      </c>
      <c r="O32" s="113"/>
      <c r="P32" s="141">
        <f t="shared" si="16"/>
        <v>12677.752</v>
      </c>
      <c r="Q32" s="114"/>
      <c r="R32" s="141">
        <f t="shared" ref="R32" si="17">SUM(R29*R30)</f>
        <v>14080.649957033333</v>
      </c>
      <c r="S32" s="114"/>
      <c r="T32" s="141">
        <f>SUM(T29*T30)</f>
        <v>12863.036179999999</v>
      </c>
      <c r="U32" s="114"/>
      <c r="V32" s="392">
        <f>SUM(V29*V30)</f>
        <v>14808.461660383624</v>
      </c>
      <c r="W32" s="370"/>
      <c r="X32" s="392">
        <f>SUM(X29*X30)</f>
        <v>13925.082901149826</v>
      </c>
      <c r="Y32" s="440"/>
      <c r="Z32" s="392">
        <f>SUM(Z29*Z30)</f>
        <v>15264.497818942384</v>
      </c>
      <c r="AA32" s="392">
        <f>SUM(AA29*AA30)</f>
        <v>16741.632407551399</v>
      </c>
      <c r="AB32" s="392">
        <f>SUM(AB29*AB30)</f>
        <v>18073.858912976993</v>
      </c>
      <c r="AC32" s="392">
        <f>SUM(AC29*AC30)</f>
        <v>19824.711340207843</v>
      </c>
    </row>
    <row r="33" spans="1:29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116"/>
      <c r="W33" s="117"/>
      <c r="X33" s="116"/>
      <c r="Y33" s="117"/>
      <c r="Z33" s="116"/>
      <c r="AA33" s="116"/>
      <c r="AB33" s="116"/>
      <c r="AC33" s="116"/>
    </row>
    <row r="34" spans="1:29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120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  <c r="AC34" s="301" t="str">
        <f>$AC$10</f>
        <v>2024 Estimate</v>
      </c>
    </row>
    <row r="35" spans="1:29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65"/>
      <c r="W35" s="64"/>
      <c r="X35" s="321"/>
      <c r="Y35" s="64"/>
      <c r="Z35" s="321"/>
      <c r="AA35" s="321"/>
      <c r="AB35" s="321"/>
      <c r="AC35" s="321"/>
    </row>
    <row r="36" spans="1:29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65"/>
      <c r="W36" s="64"/>
      <c r="X36" s="321"/>
      <c r="Y36" s="64"/>
      <c r="Z36" s="321"/>
      <c r="AA36" s="321"/>
      <c r="AB36" s="321"/>
      <c r="AC36" s="321"/>
    </row>
    <row r="37" spans="1:29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70">
        <v>2481598.6882600002</v>
      </c>
      <c r="W37" s="73"/>
      <c r="X37" s="313">
        <f>SUM(V37:V42)</f>
        <v>2481598.6882600002</v>
      </c>
      <c r="Y37" s="73"/>
      <c r="Z37" s="313">
        <f>SUM(X37:X42)</f>
        <v>2644082.6882600002</v>
      </c>
      <c r="AA37" s="313">
        <f>SUM(Z37:Z42)</f>
        <v>2809635.6882600002</v>
      </c>
      <c r="AB37" s="313">
        <f>SUM(AA37:AA42)</f>
        <v>2987676.6882600002</v>
      </c>
      <c r="AC37" s="313">
        <f>SUM(AB37:AB42)</f>
        <v>3136241.6882600002</v>
      </c>
    </row>
    <row r="38" spans="1:29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124"/>
      <c r="W38" s="73"/>
      <c r="X38" s="322"/>
      <c r="Y38" s="73"/>
      <c r="Z38" s="322"/>
      <c r="AA38" s="322"/>
      <c r="AB38" s="322"/>
      <c r="AC38" s="322"/>
    </row>
    <row r="39" spans="1:29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153"/>
      <c r="W39" s="73"/>
      <c r="X39" s="426">
        <v>308484</v>
      </c>
      <c r="Y39" s="73"/>
      <c r="Z39" s="344">
        <f>SUM(Z15)</f>
        <v>303587</v>
      </c>
      <c r="AA39" s="344">
        <f t="shared" ref="Z39:AA40" si="18">SUM(AA15)</f>
        <v>310788</v>
      </c>
      <c r="AB39" s="344">
        <f>SUM(AB15)</f>
        <v>280335</v>
      </c>
      <c r="AC39" s="344">
        <f>SUM(AC15)</f>
        <v>329161</v>
      </c>
    </row>
    <row r="40" spans="1:29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126"/>
      <c r="W40" s="73"/>
      <c r="X40" s="426">
        <v>-26868</v>
      </c>
      <c r="Y40" s="73"/>
      <c r="Z40" s="344">
        <f t="shared" si="18"/>
        <v>-18675</v>
      </c>
      <c r="AA40" s="344">
        <f t="shared" si="18"/>
        <v>-13145</v>
      </c>
      <c r="AB40" s="344">
        <f>SUM(AB16)</f>
        <v>-12168</v>
      </c>
      <c r="AC40" s="344">
        <f>SUM(AC16)</f>
        <v>-5895</v>
      </c>
    </row>
    <row r="41" spans="1:29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126"/>
      <c r="W41" s="73"/>
      <c r="X41" s="426">
        <v>-6520</v>
      </c>
      <c r="Y41" s="73"/>
      <c r="Z41" s="344">
        <f t="shared" ref="Z41:AA42" si="19">SUM(Z18)</f>
        <v>-6747</v>
      </c>
      <c r="AA41" s="344">
        <f t="shared" si="19"/>
        <v>-6990</v>
      </c>
      <c r="AB41" s="344">
        <f>SUM(AB18)</f>
        <v>-6990</v>
      </c>
      <c r="AC41" s="344">
        <f>SUM(AC18)</f>
        <v>-7760</v>
      </c>
    </row>
    <row r="42" spans="1:29" x14ac:dyDescent="0.3">
      <c r="A42" s="56" t="s">
        <v>36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126"/>
      <c r="W42" s="73"/>
      <c r="X42" s="154">
        <f>-112612</f>
        <v>-112612</v>
      </c>
      <c r="Y42" s="73"/>
      <c r="Z42" s="344">
        <f>SUM(Z19)</f>
        <v>-112612</v>
      </c>
      <c r="AA42" s="344">
        <f t="shared" si="19"/>
        <v>-112612</v>
      </c>
      <c r="AB42" s="344">
        <f>SUM(AB19)</f>
        <v>-112612</v>
      </c>
      <c r="AC42" s="344">
        <f>SUM(AC19)</f>
        <v>-112612</v>
      </c>
    </row>
    <row r="43" spans="1:29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83"/>
      <c r="W43" s="84"/>
      <c r="X43" s="323"/>
      <c r="Y43" s="84"/>
      <c r="Z43" s="323"/>
      <c r="AA43" s="323"/>
      <c r="AB43" s="323"/>
      <c r="AC43" s="323"/>
    </row>
    <row r="44" spans="1:29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87">
        <v>1</v>
      </c>
      <c r="W44" s="73"/>
      <c r="X44" s="314">
        <v>1</v>
      </c>
      <c r="Y44" s="73"/>
      <c r="Z44" s="314">
        <v>1</v>
      </c>
      <c r="AA44" s="314">
        <v>1</v>
      </c>
      <c r="AB44" s="314">
        <v>1</v>
      </c>
      <c r="AC44" s="314">
        <v>1</v>
      </c>
    </row>
    <row r="45" spans="1:29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91">
        <f>619029054/2481598688.26</f>
        <v>0.24944768746393839</v>
      </c>
      <c r="W45" s="84"/>
      <c r="X45" s="315">
        <f>SUM(V45)</f>
        <v>0.24944768746393839</v>
      </c>
      <c r="Y45" s="84"/>
      <c r="Z45" s="315">
        <f>SUM(X45)</f>
        <v>0.24944768746393839</v>
      </c>
      <c r="AA45" s="315">
        <f t="shared" ref="AA45" si="20">SUM(Z45)</f>
        <v>0.24944768746393839</v>
      </c>
      <c r="AB45" s="315">
        <f>SUM(AA45)</f>
        <v>0.24944768746393839</v>
      </c>
      <c r="AC45" s="315">
        <f>SUM(AB45)</f>
        <v>0.24944768746393839</v>
      </c>
    </row>
    <row r="46" spans="1:29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70">
        <f>SUM(V37:V43)*V44*V45</f>
        <v>619029.054</v>
      </c>
      <c r="W46" s="73"/>
      <c r="X46" s="313">
        <f>SUM(X37:X43)*X44*X45</f>
        <v>659560.31204989052</v>
      </c>
      <c r="Y46" s="73"/>
      <c r="Z46" s="313">
        <f>SUM(Z37:Z43)*Z44*Z45</f>
        <v>700857.12505260797</v>
      </c>
      <c r="AA46" s="313">
        <f>SUM(AA37:AA43)*AA44*AA45</f>
        <v>745269.04077637498</v>
      </c>
      <c r="AB46" s="313">
        <f>SUM(AB37:AB43)*AB44*AB45</f>
        <v>782328.23646445503</v>
      </c>
      <c r="AC46" s="313">
        <f>SUM(AC37:AC43)*AC44*AC45</f>
        <v>832939.67556476337</v>
      </c>
    </row>
    <row r="47" spans="1:29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83">
        <f>589749.943-V46</f>
        <v>-29279.111000000034</v>
      </c>
      <c r="W47" s="84"/>
      <c r="X47" s="323">
        <f>SUM(V47)</f>
        <v>-29279.111000000034</v>
      </c>
      <c r="Y47" s="84"/>
      <c r="Z47" s="323">
        <f>SUM(X47)</f>
        <v>-29279.111000000034</v>
      </c>
      <c r="AA47" s="323">
        <f t="shared" ref="AA47" si="21">SUM(Z47)</f>
        <v>-29279.111000000034</v>
      </c>
      <c r="AB47" s="323">
        <f>SUM(AA47)</f>
        <v>-29279.111000000034</v>
      </c>
      <c r="AC47" s="323">
        <f>SUM(AB47)</f>
        <v>-29279.111000000034</v>
      </c>
    </row>
    <row r="48" spans="1:29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2">SUM(L46:L47)</f>
        <v>469394.93499999994</v>
      </c>
      <c r="M48" s="72"/>
      <c r="N48" s="69">
        <f t="shared" si="22"/>
        <v>504910.23699999996</v>
      </c>
      <c r="O48" s="70"/>
      <c r="P48" s="70">
        <f t="shared" si="22"/>
        <v>504754.00099999999</v>
      </c>
      <c r="Q48" s="73"/>
      <c r="R48" s="70">
        <f>SUM(R46:R47)</f>
        <v>549171.69446199993</v>
      </c>
      <c r="S48" s="73"/>
      <c r="T48" s="70">
        <f t="shared" si="22"/>
        <v>573846.04099999997</v>
      </c>
      <c r="U48" s="73"/>
      <c r="V48" s="70">
        <f>SUM(V46:V47)</f>
        <v>589749.94299999997</v>
      </c>
      <c r="W48" s="73"/>
      <c r="X48" s="313">
        <f t="shared" si="22"/>
        <v>630281.20104989049</v>
      </c>
      <c r="Y48" s="73"/>
      <c r="Z48" s="313">
        <f>SUM(Z46:Z47)</f>
        <v>671578.01405260793</v>
      </c>
      <c r="AA48" s="313">
        <f t="shared" si="22"/>
        <v>715989.92977637495</v>
      </c>
      <c r="AB48" s="313">
        <f>SUM(AB46:AB47)</f>
        <v>753049.12546445499</v>
      </c>
      <c r="AC48" s="313">
        <f>SUM(AC46:AC47)</f>
        <v>803660.56456476334</v>
      </c>
    </row>
    <row r="49" spans="1:29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134">
        <v>1</v>
      </c>
      <c r="W49" s="84"/>
      <c r="X49" s="324">
        <v>1</v>
      </c>
      <c r="Y49" s="84"/>
      <c r="Z49" s="324">
        <v>1</v>
      </c>
      <c r="AA49" s="324">
        <v>1</v>
      </c>
      <c r="AB49" s="324">
        <v>1</v>
      </c>
      <c r="AC49" s="324">
        <v>1</v>
      </c>
    </row>
    <row r="50" spans="1:29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3">SUM(G48*G49)</f>
        <v>426852.43202319462</v>
      </c>
      <c r="I50" s="69">
        <f t="shared" si="23"/>
        <v>468663.26434402453</v>
      </c>
      <c r="J50" s="70"/>
      <c r="K50" s="71"/>
      <c r="L50" s="69">
        <f t="shared" ref="L50:AA50" si="24">SUM(L48*L49)</f>
        <v>469394.93499999994</v>
      </c>
      <c r="M50" s="72"/>
      <c r="N50" s="69">
        <f t="shared" si="24"/>
        <v>504910.23699999996</v>
      </c>
      <c r="O50" s="70"/>
      <c r="P50" s="70">
        <f t="shared" si="24"/>
        <v>504754.00099999999</v>
      </c>
      <c r="Q50" s="73"/>
      <c r="R50" s="70">
        <f>SUM(R48*R49)</f>
        <v>549171.69446199993</v>
      </c>
      <c r="S50" s="73"/>
      <c r="T50" s="70">
        <f t="shared" si="24"/>
        <v>573846.04099999997</v>
      </c>
      <c r="U50" s="73"/>
      <c r="V50" s="70">
        <f>SUM(V48*V49)</f>
        <v>589749.94299999997</v>
      </c>
      <c r="W50" s="73"/>
      <c r="X50" s="313">
        <f t="shared" si="24"/>
        <v>630281.20104989049</v>
      </c>
      <c r="Y50" s="73"/>
      <c r="Z50" s="313">
        <f>SUM(Z48*Z49)</f>
        <v>671578.01405260793</v>
      </c>
      <c r="AA50" s="313">
        <f t="shared" si="24"/>
        <v>715989.92977637495</v>
      </c>
      <c r="AB50" s="313">
        <f>SUM(AB48*AB49)</f>
        <v>753049.12546445499</v>
      </c>
      <c r="AC50" s="313">
        <f>SUM(AC48*AC49)</f>
        <v>803660.56456476334</v>
      </c>
    </row>
    <row r="51" spans="1:29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305">
        <v>0.01</v>
      </c>
      <c r="V51" s="318">
        <f>SUM(T51*(1+U51))</f>
        <v>1.0914772876336704E-2</v>
      </c>
      <c r="W51" s="305">
        <f>$W$30</f>
        <v>1.4999999999999999E-2</v>
      </c>
      <c r="X51" s="318">
        <f>SUM(V51*(1+W51))</f>
        <v>1.1078494469481753E-2</v>
      </c>
      <c r="Y51" s="305">
        <f>$Y$30</f>
        <v>0.02</v>
      </c>
      <c r="Z51" s="318">
        <f>SUM(X51*(1+Y51))</f>
        <v>1.1300064358871388E-2</v>
      </c>
      <c r="AA51" s="318">
        <f>SUM(Z51*(1+Y51))</f>
        <v>1.1526065646048815E-2</v>
      </c>
      <c r="AB51" s="318">
        <f>SUM(AA51*(1+Y51))</f>
        <v>1.1756586958969792E-2</v>
      </c>
      <c r="AC51" s="318">
        <f>SUM(AB51*(1+$Y$51))</f>
        <v>1.1991718698149188E-2</v>
      </c>
    </row>
    <row r="52" spans="1:29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319"/>
      <c r="W52" s="71"/>
      <c r="X52" s="319"/>
      <c r="Y52" s="71"/>
      <c r="Z52" s="319"/>
      <c r="AA52" s="319"/>
      <c r="AB52" s="319"/>
      <c r="AC52" s="319"/>
    </row>
    <row r="53" spans="1:29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5">SUM(G50*G51)</f>
        <v>4690.254523070862</v>
      </c>
      <c r="I53" s="112">
        <f t="shared" si="25"/>
        <v>5359.0285675337436</v>
      </c>
      <c r="J53" s="141"/>
      <c r="K53" s="114"/>
      <c r="L53" s="112">
        <f t="shared" ref="L53:AA53" si="26">SUM(L50*L51)</f>
        <v>5440.7422465869995</v>
      </c>
      <c r="M53" s="113"/>
      <c r="N53" s="112">
        <f t="shared" si="26"/>
        <v>5717.717903841688</v>
      </c>
      <c r="O53" s="113"/>
      <c r="P53" s="141">
        <f t="shared" si="26"/>
        <v>5675.1669887565686</v>
      </c>
      <c r="Q53" s="114"/>
      <c r="R53" s="141">
        <f>SUM(R50*R51)</f>
        <v>6132.3038800000004</v>
      </c>
      <c r="S53" s="114"/>
      <c r="T53" s="421">
        <f>SUM(T50*T51)</f>
        <v>6201.3853499999996</v>
      </c>
      <c r="U53" s="114"/>
      <c r="V53" s="392">
        <f>SUM(V50*V51)</f>
        <v>6436.9866816775175</v>
      </c>
      <c r="W53" s="370"/>
      <c r="X53" s="392">
        <f>SUM(X50*X51)</f>
        <v>6982.5668000495289</v>
      </c>
      <c r="Y53" s="440"/>
      <c r="Z53" s="392">
        <f t="shared" si="26"/>
        <v>7588.8747807975033</v>
      </c>
      <c r="AA53" s="392">
        <f t="shared" si="26"/>
        <v>8252.5469325123795</v>
      </c>
      <c r="AB53" s="392">
        <f>SUM(AB50*AB51)</f>
        <v>8853.2875278990177</v>
      </c>
      <c r="AC53" s="392">
        <f>SUM(AC50*AC51)</f>
        <v>9637.2714190564056</v>
      </c>
    </row>
    <row r="54" spans="1:29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  <c r="AC54" s="144"/>
    </row>
    <row r="55" spans="1:29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120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  <c r="AC55" s="301" t="str">
        <f>$AC$10</f>
        <v>2024 Estimate</v>
      </c>
    </row>
    <row r="56" spans="1:29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4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  <c r="AC56" s="312" t="s">
        <v>57</v>
      </c>
    </row>
    <row r="57" spans="1:29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149">
        <v>4499000</v>
      </c>
      <c r="W57" s="152"/>
      <c r="X57" s="447">
        <v>4476000</v>
      </c>
      <c r="Y57" s="152"/>
      <c r="Z57" s="325">
        <f>SUM(X57)</f>
        <v>4476000</v>
      </c>
      <c r="AA57" s="325">
        <f>SUM(Z57:Z60)</f>
        <v>4706403</v>
      </c>
      <c r="AB57" s="325">
        <f>SUM(AA57:AA60)</f>
        <v>4947760</v>
      </c>
      <c r="AC57" s="325">
        <f>SUM(AB57:AB60)</f>
        <v>5163011</v>
      </c>
    </row>
    <row r="58" spans="1:29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70">
        <v>4049000</v>
      </c>
      <c r="W58" s="73"/>
      <c r="X58" s="448">
        <v>4029000</v>
      </c>
      <c r="Y58" s="73"/>
      <c r="Z58" s="313"/>
      <c r="AA58" s="313"/>
      <c r="AB58" s="313"/>
      <c r="AC58" s="313"/>
    </row>
    <row r="59" spans="1:29" x14ac:dyDescent="0.3">
      <c r="A59" s="369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70"/>
      <c r="W59" s="73"/>
      <c r="X59" s="448"/>
      <c r="Y59" s="399"/>
      <c r="Z59" s="313">
        <f>SUM(Z15+Z16+Z17+Z18+Z118)</f>
        <v>376904</v>
      </c>
      <c r="AA59" s="313">
        <f>SUM(AA15+AA16+AA17+AA18+AA118)</f>
        <v>387858</v>
      </c>
      <c r="AB59" s="313">
        <f>SUM(AB15+AB16+AB17+AB18+AB118)</f>
        <v>361752</v>
      </c>
      <c r="AC59" s="313">
        <f>SUM(AC15+AC16+AC17+AC18+AC118)</f>
        <v>410805</v>
      </c>
    </row>
    <row r="60" spans="1:29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70"/>
      <c r="W60" s="73"/>
      <c r="X60" s="448"/>
      <c r="Y60" s="73"/>
      <c r="Z60" s="313">
        <f>SUM(Z19+Z119)</f>
        <v>-146501</v>
      </c>
      <c r="AA60" s="313">
        <f>SUM(AA19+AA119)</f>
        <v>-146501</v>
      </c>
      <c r="AB60" s="313">
        <f>SUM(AB19+AB119)</f>
        <v>-146501</v>
      </c>
      <c r="AC60" s="313">
        <f>SUM(AC19+AC119)</f>
        <v>-146501</v>
      </c>
    </row>
    <row r="61" spans="1:29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83"/>
      <c r="U61" s="84"/>
      <c r="V61" s="83"/>
      <c r="W61" s="84"/>
      <c r="X61" s="449"/>
      <c r="Y61" s="84"/>
      <c r="Z61" s="323">
        <f>SUM(Z57:Z60)*0.1*-1</f>
        <v>-470640.30000000005</v>
      </c>
      <c r="AA61" s="323">
        <f>SUM(AA57:AA60)*0.1*-1</f>
        <v>-494776</v>
      </c>
      <c r="AB61" s="323">
        <f>SUM(AB57:AB60)*0.1*-1</f>
        <v>-516301.10000000003</v>
      </c>
      <c r="AC61" s="323">
        <f>SUM(AC57:AC60)*0.1*-1</f>
        <v>-542731.5</v>
      </c>
    </row>
    <row r="62" spans="1:29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70">
        <f>SUM(V58:V61)</f>
        <v>4049000</v>
      </c>
      <c r="W62" s="73"/>
      <c r="X62" s="448">
        <f>SUM(X58:X61)</f>
        <v>4029000</v>
      </c>
      <c r="Y62" s="73"/>
      <c r="Z62" s="313">
        <f>SUM(Z57:Z61)</f>
        <v>4235762.7</v>
      </c>
      <c r="AA62" s="313">
        <f>SUM(AA57:AA61)</f>
        <v>4452984</v>
      </c>
      <c r="AB62" s="313">
        <f>SUM(AB57:AB61)</f>
        <v>4646709.9000000004</v>
      </c>
      <c r="AC62" s="313">
        <f>SUM(AC57:AC61)</f>
        <v>4884583.5</v>
      </c>
    </row>
    <row r="63" spans="1:29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87">
        <v>1</v>
      </c>
      <c r="W63" s="73"/>
      <c r="X63" s="450">
        <v>1</v>
      </c>
      <c r="Y63" s="73"/>
      <c r="Z63" s="314">
        <v>1</v>
      </c>
      <c r="AA63" s="314">
        <v>1</v>
      </c>
      <c r="AB63" s="314">
        <v>1</v>
      </c>
      <c r="AC63" s="314">
        <v>1</v>
      </c>
    </row>
    <row r="64" spans="1:29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91">
        <f>489758686/4049000000</f>
        <v>0.12095793677451222</v>
      </c>
      <c r="W64" s="84"/>
      <c r="X64" s="451">
        <v>0.118931</v>
      </c>
      <c r="Y64" s="84"/>
      <c r="Z64" s="315">
        <f t="shared" ref="Z64" si="27">SUM(X64)</f>
        <v>0.118931</v>
      </c>
      <c r="AA64" s="315">
        <f>SUM(Z64)</f>
        <v>0.118931</v>
      </c>
      <c r="AB64" s="315">
        <f>SUM(AA64)</f>
        <v>0.118931</v>
      </c>
      <c r="AC64" s="315">
        <f>SUM(AB64)</f>
        <v>0.118931</v>
      </c>
    </row>
    <row r="65" spans="1:29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28">SUM(G62*G64)</f>
        <v>350240.37700000004</v>
      </c>
      <c r="I65" s="69">
        <f t="shared" si="28"/>
        <v>370904.02</v>
      </c>
      <c r="J65" s="70"/>
      <c r="K65" s="71"/>
      <c r="L65" s="69">
        <f t="shared" ref="L65:Z65" si="29">SUM(L62*L64)</f>
        <v>379502.29200000002</v>
      </c>
      <c r="M65" s="72"/>
      <c r="N65" s="69">
        <f t="shared" si="29"/>
        <v>345023.42800000001</v>
      </c>
      <c r="O65" s="70"/>
      <c r="P65" s="70">
        <f t="shared" si="29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70">
        <f>SUM(V62*V64)</f>
        <v>489758.68599999999</v>
      </c>
      <c r="W65" s="73"/>
      <c r="X65" s="448">
        <f>SUM(X62*X64)</f>
        <v>479172.99899999995</v>
      </c>
      <c r="Y65" s="73"/>
      <c r="Z65" s="313">
        <f t="shared" si="29"/>
        <v>503763.49367370002</v>
      </c>
      <c r="AA65" s="313">
        <f>SUM(AA62*AA64)</f>
        <v>529597.84010399994</v>
      </c>
      <c r="AB65" s="313">
        <f>SUM(AB62*AB64)</f>
        <v>552637.85511690006</v>
      </c>
      <c r="AC65" s="313">
        <f>SUM(AC62*AC64)</f>
        <v>580928.40023849998</v>
      </c>
    </row>
    <row r="66" spans="1:29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70">
        <f>488836.762-V65</f>
        <v>-921.92399999999907</v>
      </c>
      <c r="W66" s="73"/>
      <c r="X66" s="448">
        <v>-1101</v>
      </c>
      <c r="Y66" s="73"/>
      <c r="Z66" s="313">
        <v>0</v>
      </c>
      <c r="AA66" s="313">
        <v>0</v>
      </c>
      <c r="AB66" s="313">
        <v>0</v>
      </c>
      <c r="AC66" s="313">
        <v>0</v>
      </c>
    </row>
    <row r="67" spans="1:29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157">
        <v>1</v>
      </c>
      <c r="W67" s="73"/>
      <c r="X67" s="452">
        <v>1</v>
      </c>
      <c r="Y67" s="73"/>
      <c r="Z67" s="326">
        <v>1</v>
      </c>
      <c r="AA67" s="326">
        <v>1</v>
      </c>
      <c r="AB67" s="326">
        <v>1</v>
      </c>
      <c r="AC67" s="326">
        <v>1</v>
      </c>
    </row>
    <row r="68" spans="1:29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30">SUM(G65:G66)*G67</f>
        <v>349938.54100000003</v>
      </c>
      <c r="I68" s="69">
        <f t="shared" si="30"/>
        <v>370623.68800000002</v>
      </c>
      <c r="J68" s="70"/>
      <c r="K68" s="71"/>
      <c r="L68" s="69">
        <f t="shared" ref="L68:N68" si="31">SUM(L65:L66)*L67</f>
        <v>379213.82400000002</v>
      </c>
      <c r="M68" s="72"/>
      <c r="N68" s="69">
        <f t="shared" si="31"/>
        <v>344746.50900000002</v>
      </c>
      <c r="O68" s="70"/>
      <c r="P68" s="70">
        <f t="shared" ref="P68:Z68" si="32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70">
        <f>SUM(V65:V66)*V67</f>
        <v>488836.76199999999</v>
      </c>
      <c r="W68" s="73"/>
      <c r="X68" s="448">
        <f>SUM(X65:X66)*X67</f>
        <v>478071.99899999995</v>
      </c>
      <c r="Y68" s="73"/>
      <c r="Z68" s="313">
        <f t="shared" si="32"/>
        <v>503763.49367370002</v>
      </c>
      <c r="AA68" s="313">
        <f>SUM(AA65:AA66)*AA67</f>
        <v>529597.84010399994</v>
      </c>
      <c r="AB68" s="313">
        <f>SUM(AB65:AB66)*AB67</f>
        <v>552637.85511690006</v>
      </c>
      <c r="AC68" s="313">
        <f>SUM(AC65:AC66)*AC67</f>
        <v>580928.40023849998</v>
      </c>
    </row>
    <row r="69" spans="1:29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176">
        <f>32120.631/V68</f>
        <v>6.5708296709485206E-2</v>
      </c>
      <c r="W69" s="164"/>
      <c r="X69" s="327">
        <f>SUM(V69)</f>
        <v>6.5708296709485206E-2</v>
      </c>
      <c r="Y69" s="164"/>
      <c r="Z69" s="327">
        <f t="shared" ref="Z69" si="33">SUM(X69)</f>
        <v>6.5708296709485206E-2</v>
      </c>
      <c r="AA69" s="327">
        <f>SUM(Z69)</f>
        <v>6.5708296709485206E-2</v>
      </c>
      <c r="AB69" s="327">
        <f>SUM(AA69)</f>
        <v>6.5708296709485206E-2</v>
      </c>
      <c r="AC69" s="327">
        <f>SUM(AB69)</f>
        <v>6.5708296709485206E-2</v>
      </c>
    </row>
    <row r="70" spans="1:29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4">SUM(G68*G69)</f>
        <v>22904.265934547748</v>
      </c>
      <c r="I70" s="69">
        <f t="shared" si="34"/>
        <v>24673.979228846489</v>
      </c>
      <c r="J70" s="153"/>
      <c r="K70" s="71"/>
      <c r="L70" s="69">
        <f t="shared" ref="L70:X70" si="35">SUM(L68*L69)</f>
        <v>24737.454518899576</v>
      </c>
      <c r="M70" s="72"/>
      <c r="N70" s="69">
        <f t="shared" si="35"/>
        <v>22376.198131038327</v>
      </c>
      <c r="O70" s="165"/>
      <c r="P70" s="131">
        <f t="shared" si="35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70">
        <f>SUM(V68*V69)</f>
        <v>32120.631000000001</v>
      </c>
      <c r="W70" s="166"/>
      <c r="X70" s="313">
        <f t="shared" si="35"/>
        <v>31413.296758788711</v>
      </c>
      <c r="Y70" s="166"/>
      <c r="Z70" s="313">
        <f>SUM(Z68*Z69)</f>
        <v>33101.441113718356</v>
      </c>
      <c r="AA70" s="313">
        <f>SUM(AA68*AA69)</f>
        <v>34798.972014256135</v>
      </c>
      <c r="AB70" s="313">
        <f>SUM(AB68*AB69)</f>
        <v>36312.892156914764</v>
      </c>
      <c r="AC70" s="313">
        <f>SUM(AC68*AC69)</f>
        <v>38171.815689837931</v>
      </c>
    </row>
    <row r="71" spans="1:29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  <c r="AC71" s="313">
        <v>0</v>
      </c>
    </row>
    <row r="72" spans="1:29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6">SUM(G70:G71)</f>
        <v>22904.265934547748</v>
      </c>
      <c r="I72" s="99">
        <f t="shared" si="36"/>
        <v>24673.979228846489</v>
      </c>
      <c r="J72" s="167"/>
      <c r="K72" s="101"/>
      <c r="L72" s="99">
        <f t="shared" ref="L72:Z72" si="37">SUM(L70:L71)</f>
        <v>24737.454518899576</v>
      </c>
      <c r="M72" s="102"/>
      <c r="N72" s="99">
        <f t="shared" si="37"/>
        <v>22376.198131038327</v>
      </c>
      <c r="O72" s="102"/>
      <c r="P72" s="100">
        <f t="shared" si="37"/>
        <v>27999.644464958154</v>
      </c>
      <c r="Q72" s="101"/>
      <c r="R72" s="100">
        <f t="shared" ref="R72" si="38">SUM(R70:R71)</f>
        <v>29277.027320712124</v>
      </c>
      <c r="S72" s="101"/>
      <c r="T72" s="100">
        <f>SUM(T70:T71)</f>
        <v>30670.574000000001</v>
      </c>
      <c r="U72" s="101"/>
      <c r="V72" s="100">
        <f>SUM(V70:V71)</f>
        <v>32120.631000000001</v>
      </c>
      <c r="W72" s="101"/>
      <c r="X72" s="317">
        <f t="shared" si="37"/>
        <v>31413.296758788711</v>
      </c>
      <c r="Y72" s="101"/>
      <c r="Z72" s="317">
        <f t="shared" si="37"/>
        <v>33101.441113718356</v>
      </c>
      <c r="AA72" s="317">
        <f>SUM(AA70:AA71)</f>
        <v>34798.972014256135</v>
      </c>
      <c r="AB72" s="317">
        <f>SUM(AB70:AB71)</f>
        <v>36312.892156914764</v>
      </c>
      <c r="AC72" s="317">
        <f>SUM(AC70:AC71)</f>
        <v>38171.815689837931</v>
      </c>
    </row>
    <row r="73" spans="1:29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294">
        <f>SUM((V73-T73)/T73)</f>
        <v>-1.3491836583370404E-2</v>
      </c>
      <c r="V73" s="293">
        <f>11537.7201/V72</f>
        <v>0.3591996713887719</v>
      </c>
      <c r="W73" s="305">
        <f>$W$30</f>
        <v>1.4999999999999999E-2</v>
      </c>
      <c r="X73" s="318">
        <f>SUM(V73*(1+W73))</f>
        <v>0.36458766645960344</v>
      </c>
      <c r="Y73" s="305">
        <f>$Y$30</f>
        <v>0.02</v>
      </c>
      <c r="Z73" s="318">
        <f>SUM(X73*(1+Y73))</f>
        <v>0.37187941978879552</v>
      </c>
      <c r="AA73" s="318">
        <f>SUM(Z73*(1+Y73))</f>
        <v>0.37931700818457142</v>
      </c>
      <c r="AB73" s="318">
        <f>SUM(AA73*(1+Y73))</f>
        <v>0.38690334834826284</v>
      </c>
      <c r="AC73" s="318">
        <f>SUM(AB73*(1+$Y$73))</f>
        <v>0.39464141531522812</v>
      </c>
    </row>
    <row r="74" spans="1:29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139"/>
      <c r="W74" s="71"/>
      <c r="X74" s="319"/>
      <c r="Y74" s="71"/>
      <c r="Z74" s="319"/>
      <c r="AA74" s="319"/>
      <c r="AB74" s="319"/>
      <c r="AC74" s="319"/>
    </row>
    <row r="75" spans="1:29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39">SUM(G72*G73)</f>
        <v>7219.74299186594</v>
      </c>
      <c r="I75" s="112">
        <f t="shared" si="39"/>
        <v>8163.043288322272</v>
      </c>
      <c r="J75" s="141"/>
      <c r="K75" s="114"/>
      <c r="L75" s="112">
        <f t="shared" ref="L75:N75" si="40">SUM(L72*L73)</f>
        <v>8456.9513856009962</v>
      </c>
      <c r="M75" s="113"/>
      <c r="N75" s="112">
        <f t="shared" si="40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421">
        <f>SUM(T72*T73)</f>
        <v>11167.5306</v>
      </c>
      <c r="U75" s="114"/>
      <c r="V75" s="421">
        <f>SUM(V72*V73)</f>
        <v>11537.7201</v>
      </c>
      <c r="W75" s="370"/>
      <c r="X75" s="392">
        <f>SUM(X72*X73)</f>
        <v>11452.9005610898</v>
      </c>
      <c r="Y75" s="370"/>
      <c r="Z75" s="392">
        <f>SUM(Z72*Z73)</f>
        <v>12309.744715542563</v>
      </c>
      <c r="AA75" s="392">
        <f>SUM(AA72*AA73)</f>
        <v>13199.841952346265</v>
      </c>
      <c r="AB75" s="392">
        <f>SUM(AB72*AB73)</f>
        <v>14049.579563719695</v>
      </c>
      <c r="AC75" s="392">
        <f>SUM(AC72*AC73)</f>
        <v>15064.179368989671</v>
      </c>
    </row>
    <row r="76" spans="1:29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  <c r="AC76" s="171"/>
    </row>
    <row r="77" spans="1:29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120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">
        <v>178</v>
      </c>
      <c r="AC77" s="301" t="s">
        <v>179</v>
      </c>
    </row>
    <row r="78" spans="1:29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65"/>
      <c r="W78" s="175"/>
      <c r="X78" s="321"/>
      <c r="Y78" s="175"/>
      <c r="Z78" s="321"/>
      <c r="AA78" s="321"/>
      <c r="AB78" s="321"/>
      <c r="AC78" s="321"/>
    </row>
    <row r="79" spans="1:29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46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  <c r="AC79" s="308" t="s">
        <v>75</v>
      </c>
    </row>
    <row r="80" spans="1:29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70">
        <v>1377</v>
      </c>
      <c r="W80" s="73"/>
      <c r="X80" s="313">
        <f>SUM(V80)</f>
        <v>1377</v>
      </c>
      <c r="Y80" s="73"/>
      <c r="Z80" s="313">
        <f>SUM(X80)</f>
        <v>1377</v>
      </c>
      <c r="AA80" s="313">
        <f t="shared" ref="AA80" si="41">SUM(Z80)</f>
        <v>1377</v>
      </c>
      <c r="AB80" s="313">
        <f>SUM(AA80)</f>
        <v>1377</v>
      </c>
      <c r="AC80" s="313">
        <f>SUM(AB80)</f>
        <v>1377</v>
      </c>
    </row>
    <row r="81" spans="1:29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70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  <c r="AC81" s="313">
        <v>0</v>
      </c>
    </row>
    <row r="82" spans="1:29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70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  <c r="AC82" s="313">
        <f>SUM(AC74)</f>
        <v>0</v>
      </c>
    </row>
    <row r="83" spans="1:29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87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  <c r="AC83" s="314">
        <v>1</v>
      </c>
    </row>
    <row r="84" spans="1:29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91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  <c r="AC84" s="315">
        <v>1</v>
      </c>
    </row>
    <row r="85" spans="1:29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2">SUM((G80+G81+G82)*G83*G84)</f>
        <v>888.3152139</v>
      </c>
      <c r="I85" s="69">
        <f t="shared" si="42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3">SUM((P80+P81+P82)*P83*P84)</f>
        <v>1137.998</v>
      </c>
      <c r="Q85" s="73"/>
      <c r="R85" s="70">
        <f t="shared" ref="R85" si="44">SUM((R80+R81+R82)*R83*R84)</f>
        <v>1221</v>
      </c>
      <c r="S85" s="73"/>
      <c r="T85" s="70">
        <f t="shared" si="43"/>
        <v>1432</v>
      </c>
      <c r="U85" s="73"/>
      <c r="V85" s="70">
        <f>SUM((V80+V81+V82)*V83*V84)</f>
        <v>1377</v>
      </c>
      <c r="W85" s="73"/>
      <c r="X85" s="313">
        <f t="shared" si="43"/>
        <v>1377</v>
      </c>
      <c r="Y85" s="73"/>
      <c r="Z85" s="313">
        <f t="shared" si="43"/>
        <v>1377</v>
      </c>
      <c r="AA85" s="313">
        <f t="shared" si="43"/>
        <v>1377</v>
      </c>
      <c r="AB85" s="313">
        <f>SUM((AB80+AB81+AB82)*AB83*AB84)</f>
        <v>1377</v>
      </c>
      <c r="AC85" s="313">
        <f>SUM((AC80+AC81+AC82)*AC83*AC84)</f>
        <v>1377</v>
      </c>
    </row>
    <row r="86" spans="1:29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124"/>
      <c r="W86" s="73"/>
      <c r="X86" s="313"/>
      <c r="Y86" s="73"/>
      <c r="Z86" s="313"/>
      <c r="AA86" s="313"/>
      <c r="AB86" s="313"/>
      <c r="AC86" s="313"/>
    </row>
    <row r="87" spans="1:29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157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  <c r="AC87" s="326">
        <v>1</v>
      </c>
    </row>
    <row r="88" spans="1:29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5">SUM(G85:G86)*G87</f>
        <v>888.3152139</v>
      </c>
      <c r="I88" s="69">
        <f t="shared" si="45"/>
        <v>1002.3308361092717</v>
      </c>
      <c r="J88" s="70"/>
      <c r="K88" s="71"/>
      <c r="L88" s="69">
        <v>1190</v>
      </c>
      <c r="M88" s="72"/>
      <c r="N88" s="69">
        <f t="shared" ref="N88" si="46">SUM(N85:N86)*N87</f>
        <v>1131</v>
      </c>
      <c r="O88" s="70"/>
      <c r="P88" s="70">
        <f t="shared" ref="P88:AA88" si="47">SUM(P85:P86)*P87</f>
        <v>1137.998</v>
      </c>
      <c r="Q88" s="73"/>
      <c r="R88" s="70">
        <f t="shared" ref="R88" si="48">SUM(R85:R86)*R87</f>
        <v>1221</v>
      </c>
      <c r="S88" s="73"/>
      <c r="T88" s="70">
        <f t="shared" si="47"/>
        <v>1432</v>
      </c>
      <c r="U88" s="73"/>
      <c r="V88" s="70">
        <f>SUM(V85:V86)*V87</f>
        <v>1377</v>
      </c>
      <c r="W88" s="73"/>
      <c r="X88" s="313">
        <f t="shared" si="47"/>
        <v>1377</v>
      </c>
      <c r="Y88" s="73"/>
      <c r="Z88" s="313">
        <f t="shared" si="47"/>
        <v>1377</v>
      </c>
      <c r="AA88" s="313">
        <f t="shared" si="47"/>
        <v>1377</v>
      </c>
      <c r="AB88" s="313">
        <f>SUM(AB85:AB86)*AB87</f>
        <v>1377</v>
      </c>
      <c r="AC88" s="313">
        <f>SUM(AC85:AC86)*AC87</f>
        <v>1377</v>
      </c>
    </row>
    <row r="89" spans="1:29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176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  <c r="AC89" s="327">
        <v>1</v>
      </c>
    </row>
    <row r="90" spans="1:29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49">SUM(G88*G89)</f>
        <v>888.3152139</v>
      </c>
      <c r="I90" s="69">
        <f t="shared" si="49"/>
        <v>1002.3308361092717</v>
      </c>
      <c r="J90" s="70"/>
      <c r="K90" s="71"/>
      <c r="L90" s="69">
        <f t="shared" ref="L90:AA90" si="50">SUM(L88*L89)</f>
        <v>1190</v>
      </c>
      <c r="M90" s="72"/>
      <c r="N90" s="69">
        <f t="shared" si="50"/>
        <v>1131</v>
      </c>
      <c r="O90" s="70"/>
      <c r="P90" s="70">
        <f t="shared" si="50"/>
        <v>1137.998</v>
      </c>
      <c r="Q90" s="73"/>
      <c r="R90" s="70">
        <f t="shared" ref="R90" si="51">SUM(R88*R89)</f>
        <v>1221</v>
      </c>
      <c r="S90" s="73"/>
      <c r="T90" s="70">
        <f t="shared" si="50"/>
        <v>1432</v>
      </c>
      <c r="U90" s="73"/>
      <c r="V90" s="70">
        <f t="shared" si="50"/>
        <v>1377</v>
      </c>
      <c r="W90" s="73"/>
      <c r="X90" s="313">
        <f t="shared" si="50"/>
        <v>1377</v>
      </c>
      <c r="Y90" s="73"/>
      <c r="Z90" s="313">
        <f t="shared" si="50"/>
        <v>1377</v>
      </c>
      <c r="AA90" s="313">
        <f t="shared" si="50"/>
        <v>1377</v>
      </c>
      <c r="AB90" s="313">
        <f>SUM(AB88*AB89)</f>
        <v>1377</v>
      </c>
      <c r="AC90" s="313">
        <f>SUM(AC88*AC89)</f>
        <v>1377</v>
      </c>
    </row>
    <row r="91" spans="1:29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70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  <c r="AC91" s="313">
        <v>0</v>
      </c>
    </row>
    <row r="92" spans="1:29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2">SUM(G90:G91)</f>
        <v>888.3152139</v>
      </c>
      <c r="I92" s="99">
        <f t="shared" si="52"/>
        <v>1002.3308361092717</v>
      </c>
      <c r="J92" s="100"/>
      <c r="K92" s="101"/>
      <c r="L92" s="99">
        <f t="shared" ref="L92:AA92" si="53">SUM(L90:L91)</f>
        <v>1190</v>
      </c>
      <c r="M92" s="111"/>
      <c r="N92" s="99">
        <f t="shared" si="53"/>
        <v>1131</v>
      </c>
      <c r="O92" s="100"/>
      <c r="P92" s="100">
        <f t="shared" si="53"/>
        <v>1137.998</v>
      </c>
      <c r="Q92" s="177"/>
      <c r="R92" s="100">
        <f t="shared" ref="R92" si="54">SUM(R90:R91)</f>
        <v>1221</v>
      </c>
      <c r="S92" s="177"/>
      <c r="T92" s="100">
        <f t="shared" si="53"/>
        <v>1432</v>
      </c>
      <c r="U92" s="177"/>
      <c r="V92" s="100">
        <f t="shared" si="53"/>
        <v>1377</v>
      </c>
      <c r="W92" s="177"/>
      <c r="X92" s="317">
        <f t="shared" si="53"/>
        <v>1377</v>
      </c>
      <c r="Y92" s="177"/>
      <c r="Z92" s="317">
        <f t="shared" si="53"/>
        <v>1377</v>
      </c>
      <c r="AA92" s="317">
        <f t="shared" si="53"/>
        <v>1377</v>
      </c>
      <c r="AB92" s="317">
        <f>SUM(AB90:AB91)</f>
        <v>1377</v>
      </c>
      <c r="AC92" s="317">
        <f>SUM(AC90:AC91)</f>
        <v>1377</v>
      </c>
    </row>
    <row r="93" spans="1:29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294">
        <f>SUM((V93-T93)/R93)</f>
        <v>-2.3244457749252265E-3</v>
      </c>
      <c r="V93" s="293">
        <f>12.63643/V92</f>
        <v>9.1767828612926653E-3</v>
      </c>
      <c r="W93" s="305">
        <f>$W$30</f>
        <v>1.4999999999999999E-2</v>
      </c>
      <c r="X93" s="318">
        <f>SUM(V93*(1+W93))</f>
        <v>9.3144346042120536E-3</v>
      </c>
      <c r="Y93" s="305">
        <f>$Y$30</f>
        <v>0.02</v>
      </c>
      <c r="Z93" s="318">
        <f>SUM(X93*(1+Y93))</f>
        <v>9.5007232962962956E-3</v>
      </c>
      <c r="AA93" s="318">
        <f>SUM(Z93*(1+Y93))</f>
        <v>9.6907377622222225E-3</v>
      </c>
      <c r="AB93" s="318">
        <f>SUM(AA93*(1+Y93))</f>
        <v>9.8845525174666663E-3</v>
      </c>
      <c r="AC93" s="318">
        <f>SUM(AB93*(1+$Y$93))</f>
        <v>1.0082243567816E-2</v>
      </c>
    </row>
    <row r="94" spans="1:29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111"/>
      <c r="W94" s="73"/>
      <c r="X94" s="319"/>
      <c r="Y94" s="73"/>
      <c r="Z94" s="319"/>
      <c r="AA94" s="319"/>
      <c r="AB94" s="319"/>
      <c r="AC94" s="319"/>
    </row>
    <row r="95" spans="1:29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5">SUM(G92*G93)</f>
        <v>8.2702146414089999</v>
      </c>
      <c r="I95" s="178">
        <f t="shared" si="55"/>
        <v>9.3172825078781703</v>
      </c>
      <c r="J95" s="179"/>
      <c r="K95" s="180"/>
      <c r="L95" s="178">
        <f t="shared" ref="L95:AA95" si="56">SUM(L92*L93)</f>
        <v>11.382350000000001</v>
      </c>
      <c r="M95" s="181"/>
      <c r="N95" s="182">
        <f t="shared" si="56"/>
        <v>10.468988399999999</v>
      </c>
      <c r="O95" s="183"/>
      <c r="P95" s="183">
        <f t="shared" si="56"/>
        <v>10.51116</v>
      </c>
      <c r="Q95" s="55"/>
      <c r="R95" s="183">
        <f t="shared" ref="R95" si="57">SUM(R92*R93)</f>
        <v>11.256590000000001</v>
      </c>
      <c r="S95" s="55"/>
      <c r="T95" s="183">
        <f>SUM(T92*T93)</f>
        <v>13.17184</v>
      </c>
      <c r="U95" s="55"/>
      <c r="V95" s="441">
        <f>SUM(V92*V93)</f>
        <v>12.636430000000001</v>
      </c>
      <c r="W95" s="442"/>
      <c r="X95" s="443">
        <f>SUM(X92*X93)</f>
        <v>12.825976449999997</v>
      </c>
      <c r="Y95" s="442"/>
      <c r="Z95" s="443">
        <f>SUM(Z92*Z93)</f>
        <v>13.082495978999999</v>
      </c>
      <c r="AA95" s="443">
        <f t="shared" si="56"/>
        <v>13.344145898580001</v>
      </c>
      <c r="AB95" s="443">
        <f>SUM(AB92*AB93)</f>
        <v>13.611028816551599</v>
      </c>
      <c r="AC95" s="443">
        <f>SUM(AC92*AC93)</f>
        <v>13.883249392882632</v>
      </c>
    </row>
    <row r="96" spans="1:29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  <c r="AC96" s="171"/>
    </row>
    <row r="97" spans="1:29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120" t="s">
        <v>74</v>
      </c>
      <c r="W97" s="174"/>
      <c r="X97" s="301" t="s">
        <v>136</v>
      </c>
      <c r="Y97" s="174"/>
      <c r="Z97" s="301" t="str">
        <f>Z77</f>
        <v>21/22 Estimate</v>
      </c>
      <c r="AA97" s="301" t="str">
        <f>AA77</f>
        <v>22/23 Estimate</v>
      </c>
      <c r="AB97" s="301" t="str">
        <f>AB77</f>
        <v>23/24 Estimate</v>
      </c>
      <c r="AC97" s="301" t="str">
        <f>AC77</f>
        <v>24/25 Estimate</v>
      </c>
    </row>
    <row r="98" spans="1:29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42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  <c r="AC98" s="308" t="s">
        <v>78</v>
      </c>
    </row>
    <row r="99" spans="1:29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42"/>
      <c r="W99" s="47"/>
      <c r="X99" s="308"/>
      <c r="Y99" s="47"/>
      <c r="Z99" s="308"/>
      <c r="AA99" s="308"/>
      <c r="AB99" s="308"/>
      <c r="AC99" s="308"/>
    </row>
    <row r="100" spans="1:29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46"/>
      <c r="W100" s="47"/>
      <c r="X100" s="308"/>
      <c r="Y100" s="47"/>
      <c r="Z100" s="308"/>
      <c r="AA100" s="308"/>
      <c r="AB100" s="308"/>
      <c r="AC100" s="308"/>
    </row>
    <row r="101" spans="1:29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197">
        <f>197600-V80</f>
        <v>196223</v>
      </c>
      <c r="W101" s="175"/>
      <c r="X101" s="329">
        <f>SUM(V101:V103)</f>
        <v>196223</v>
      </c>
      <c r="Y101" s="175"/>
      <c r="Z101" s="329">
        <f>SUM(X101:X103)</f>
        <v>196223</v>
      </c>
      <c r="AA101" s="329">
        <f t="shared" ref="AA101" si="58">SUM(Z101:Z103)</f>
        <v>196223</v>
      </c>
      <c r="AB101" s="329">
        <f>SUM(AA101:AA103)</f>
        <v>196223</v>
      </c>
      <c r="AC101" s="329">
        <f>SUM(AB101:AB103)</f>
        <v>196223</v>
      </c>
    </row>
    <row r="102" spans="1:29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70">
        <v>0</v>
      </c>
      <c r="W102" s="73"/>
      <c r="X102" s="313">
        <v>0</v>
      </c>
      <c r="Y102" s="73"/>
      <c r="Z102" s="313">
        <v>0</v>
      </c>
      <c r="AA102" s="313">
        <v>0</v>
      </c>
      <c r="AB102" s="313">
        <v>0</v>
      </c>
      <c r="AC102" s="313">
        <v>0</v>
      </c>
    </row>
    <row r="103" spans="1:29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70">
        <v>0</v>
      </c>
      <c r="W103" s="73"/>
      <c r="X103" s="313">
        <v>0</v>
      </c>
      <c r="Y103" s="73"/>
      <c r="Z103" s="313">
        <v>0</v>
      </c>
      <c r="AA103" s="313">
        <v>0</v>
      </c>
      <c r="AB103" s="313">
        <v>0</v>
      </c>
      <c r="AC103" s="313">
        <v>0</v>
      </c>
    </row>
    <row r="104" spans="1:29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204">
        <v>0</v>
      </c>
      <c r="W104" s="73"/>
      <c r="X104" s="330">
        <v>0</v>
      </c>
      <c r="Y104" s="73"/>
      <c r="Z104" s="330">
        <v>0</v>
      </c>
      <c r="AA104" s="330">
        <v>0</v>
      </c>
      <c r="AB104" s="330">
        <v>0</v>
      </c>
      <c r="AC104" s="330">
        <v>0</v>
      </c>
    </row>
    <row r="105" spans="1:29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208" t="s">
        <v>81</v>
      </c>
      <c r="W105" s="174"/>
      <c r="X105" s="331" t="s">
        <v>81</v>
      </c>
      <c r="Y105" s="174"/>
      <c r="Z105" s="331" t="s">
        <v>81</v>
      </c>
      <c r="AA105" s="331" t="s">
        <v>81</v>
      </c>
      <c r="AB105" s="331" t="s">
        <v>81</v>
      </c>
      <c r="AC105" s="331" t="s">
        <v>81</v>
      </c>
    </row>
    <row r="106" spans="1:29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212">
        <v>0</v>
      </c>
      <c r="W106" s="152"/>
      <c r="X106" s="332">
        <v>0</v>
      </c>
      <c r="Y106" s="152"/>
      <c r="Z106" s="332">
        <v>0</v>
      </c>
      <c r="AA106" s="332">
        <v>0</v>
      </c>
      <c r="AB106" s="332">
        <v>0</v>
      </c>
      <c r="AC106" s="332">
        <v>0</v>
      </c>
    </row>
    <row r="107" spans="1:29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216"/>
      <c r="W107" s="152"/>
      <c r="X107" s="333"/>
      <c r="Y107" s="152"/>
      <c r="Z107" s="333"/>
      <c r="AA107" s="333"/>
      <c r="AB107" s="333"/>
      <c r="AC107" s="333"/>
    </row>
    <row r="108" spans="1:29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232">
        <f>SUM((V108-T108)/T108)</f>
        <v>-2.7004141355659494E-2</v>
      </c>
      <c r="V108" s="293">
        <f>3280.90311/V101</f>
        <v>1.6720278000030578E-2</v>
      </c>
      <c r="W108" s="305">
        <f>$W$30</f>
        <v>1.4999999999999999E-2</v>
      </c>
      <c r="X108" s="318">
        <f>SUM(V108*(1+W108))</f>
        <v>1.6971082170031036E-2</v>
      </c>
      <c r="Y108" s="305">
        <f>$Y$30</f>
        <v>0.02</v>
      </c>
      <c r="Z108" s="318">
        <f>SUM(X108*(1+Y108))</f>
        <v>1.7310503813431657E-2</v>
      </c>
      <c r="AA108" s="318">
        <f>SUM(Z108*(1+Y108))</f>
        <v>1.765671388970029E-2</v>
      </c>
      <c r="AB108" s="318">
        <f>SUM(AA108*(1+Y108))</f>
        <v>1.8009848167494295E-2</v>
      </c>
      <c r="AC108" s="318">
        <f>SUM(AB108*(1+$Y$108))</f>
        <v>1.8370045130844181E-2</v>
      </c>
    </row>
    <row r="109" spans="1:29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220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  <c r="AC109" s="334">
        <v>1</v>
      </c>
    </row>
    <row r="110" spans="1:29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222"/>
      <c r="W110" s="55"/>
      <c r="X110" s="335"/>
      <c r="Y110" s="55"/>
      <c r="Z110" s="335"/>
      <c r="AA110" s="335"/>
      <c r="AB110" s="335"/>
      <c r="AC110" s="335"/>
    </row>
    <row r="111" spans="1:29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59">SUM(G101:G105)*G108*G109</f>
        <v>1918.901132</v>
      </c>
      <c r="I111" s="178">
        <f t="shared" si="59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60">SUM(N101:N105)*N108*N109</f>
        <v>2707.3523175999999</v>
      </c>
      <c r="O111" s="183"/>
      <c r="P111" s="179">
        <f t="shared" ref="P111" si="61">SUM(P101:P105)*P108*P109</f>
        <v>2514.9974500000003</v>
      </c>
      <c r="Q111" s="55"/>
      <c r="R111" s="179">
        <f t="shared" ref="R111" si="62">SUM(R101:R105)*R108*R109</f>
        <v>2956.1579400000001</v>
      </c>
      <c r="S111" s="55"/>
      <c r="T111" s="179">
        <f>SUM(T101:T105)*T108*T109</f>
        <v>3479.2761100000002</v>
      </c>
      <c r="U111" s="55"/>
      <c r="V111" s="441">
        <f>SUM(V101:V105)*V108*V109</f>
        <v>3280.9031100000002</v>
      </c>
      <c r="W111" s="442"/>
      <c r="X111" s="444">
        <f>SUM(X101:X105)*X108*X109</f>
        <v>3330.1166566500001</v>
      </c>
      <c r="Y111" s="442"/>
      <c r="Z111" s="444">
        <f t="shared" ref="Z111" si="63">SUM(Z101:Z105)*Z108*Z109</f>
        <v>3396.7189897829999</v>
      </c>
      <c r="AA111" s="444">
        <f>SUM(AA101:AA105)*AA108*AA109</f>
        <v>3464.6533695786602</v>
      </c>
      <c r="AB111" s="444">
        <f>SUM(AB101:AB105)*AB108*AB109</f>
        <v>3533.9464369702328</v>
      </c>
      <c r="AC111" s="444">
        <f>SUM(AC101:AC105)*AC108*AC109</f>
        <v>3604.6253657096377</v>
      </c>
    </row>
    <row r="112" spans="1:29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  <c r="AC112" s="171"/>
    </row>
    <row r="113" spans="1:29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144"/>
      <c r="Y113" s="145"/>
      <c r="Z113" s="144"/>
      <c r="AA113" s="144"/>
      <c r="AB113" s="144"/>
      <c r="AC113" s="144"/>
    </row>
    <row r="114" spans="1:29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120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  <c r="AC114" s="301" t="str">
        <f>$AB$10</f>
        <v>2023 Estimate</v>
      </c>
    </row>
    <row r="115" spans="1:29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65"/>
      <c r="W115" s="64"/>
      <c r="X115" s="321"/>
      <c r="Y115" s="64"/>
      <c r="Z115" s="321"/>
      <c r="AA115" s="321"/>
      <c r="AB115" s="321"/>
      <c r="AC115" s="321"/>
    </row>
    <row r="116" spans="1:29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63"/>
      <c r="W116" s="175"/>
      <c r="X116" s="321"/>
      <c r="Y116" s="175"/>
      <c r="Z116" s="321"/>
      <c r="AA116" s="321"/>
      <c r="AB116" s="321"/>
      <c r="AC116" s="321"/>
    </row>
    <row r="117" spans="1:29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70">
        <v>700000</v>
      </c>
      <c r="W117" s="73"/>
      <c r="X117" s="313">
        <f>SUM(V117:V119)</f>
        <v>700000</v>
      </c>
      <c r="Y117" s="73"/>
      <c r="Z117" s="313">
        <f>SUM(X117:X119)</f>
        <v>792772</v>
      </c>
      <c r="AA117" s="313">
        <f>SUM(Z117:Z119)</f>
        <v>857622</v>
      </c>
      <c r="AB117" s="313">
        <f>SUM(AA117:AA119)</f>
        <v>920938</v>
      </c>
      <c r="AC117" s="313">
        <f>SUM(AB117:AB119)</f>
        <v>987624</v>
      </c>
    </row>
    <row r="118" spans="1:29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70"/>
      <c r="W118" s="73"/>
      <c r="X118" s="154">
        <f>91240+35421</f>
        <v>126661</v>
      </c>
      <c r="Y118" s="73"/>
      <c r="Z118" s="154">
        <f>76162+22577</f>
        <v>98739</v>
      </c>
      <c r="AA118" s="154">
        <f>77486+19719</f>
        <v>97205</v>
      </c>
      <c r="AB118" s="154">
        <f>92514+8061</f>
        <v>100575</v>
      </c>
      <c r="AC118" s="154">
        <f>75072+20227</f>
        <v>95299</v>
      </c>
    </row>
    <row r="119" spans="1:29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70"/>
      <c r="W119" s="73"/>
      <c r="X119" s="154">
        <v>-33889</v>
      </c>
      <c r="Y119" s="73"/>
      <c r="Z119" s="154">
        <f>X119</f>
        <v>-33889</v>
      </c>
      <c r="AA119" s="154">
        <f>Z119</f>
        <v>-33889</v>
      </c>
      <c r="AB119" s="154">
        <f>AA119</f>
        <v>-33889</v>
      </c>
      <c r="AC119" s="154">
        <f>AB119</f>
        <v>-33889</v>
      </c>
    </row>
    <row r="120" spans="1:29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87">
        <v>0.91990911480638227</v>
      </c>
      <c r="W120" s="73"/>
      <c r="X120" s="314">
        <f>SUM(V120)</f>
        <v>0.91990911480638227</v>
      </c>
      <c r="Y120" s="73"/>
      <c r="Z120" s="314">
        <f t="shared" ref="Z120:Z121" si="64">SUM(X120)</f>
        <v>0.91990911480638227</v>
      </c>
      <c r="AA120" s="314">
        <f t="shared" ref="AA120:AC121" si="65">SUM(Z120)</f>
        <v>0.91990911480638227</v>
      </c>
      <c r="AB120" s="314">
        <f t="shared" si="65"/>
        <v>0.91990911480638227</v>
      </c>
      <c r="AC120" s="314">
        <f t="shared" si="65"/>
        <v>0.91990911480638227</v>
      </c>
    </row>
    <row r="121" spans="1:29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91">
        <v>0.50019043891570614</v>
      </c>
      <c r="W121" s="84"/>
      <c r="X121" s="315">
        <f>SUM(V121)</f>
        <v>0.50019043891570614</v>
      </c>
      <c r="Y121" s="84"/>
      <c r="Z121" s="315">
        <f t="shared" si="64"/>
        <v>0.50019043891570614</v>
      </c>
      <c r="AA121" s="315">
        <f t="shared" si="65"/>
        <v>0.50019043891570614</v>
      </c>
      <c r="AB121" s="315">
        <f t="shared" si="65"/>
        <v>0.50019043891570614</v>
      </c>
      <c r="AC121" s="315">
        <f t="shared" si="65"/>
        <v>0.50019043891570614</v>
      </c>
    </row>
    <row r="122" spans="1:29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6">SUM(G117+G118+G119)*G120*G121</f>
        <v>188890.26799999998</v>
      </c>
      <c r="I122" s="69">
        <f t="shared" si="66"/>
        <v>199575.79679677499</v>
      </c>
      <c r="J122" s="70"/>
      <c r="K122" s="71"/>
      <c r="L122" s="69">
        <f t="shared" ref="L122:N122" si="67">SUM(L117+L118+L119)*L120*L121</f>
        <v>234774.02500000002</v>
      </c>
      <c r="M122" s="72"/>
      <c r="N122" s="69">
        <f t="shared" si="67"/>
        <v>230552.66500000001</v>
      </c>
      <c r="O122" s="70"/>
      <c r="P122" s="70">
        <f t="shared" ref="P122:Z122" si="68">SUM(P117+P118+P119)*P120*P121</f>
        <v>229911.818</v>
      </c>
      <c r="Q122" s="73"/>
      <c r="R122" s="70">
        <f t="shared" ref="R122" si="69">SUM(R117+R118+R119)*R120*R121</f>
        <v>246152.10861059991</v>
      </c>
      <c r="S122" s="73"/>
      <c r="T122" s="70">
        <f>SUM(T117+T118+T119)*T120*T121</f>
        <v>306718.19200000004</v>
      </c>
      <c r="U122" s="73"/>
      <c r="V122" s="70">
        <f>SUM(V117+V118+V119)*V120*V121</f>
        <v>322090.82072829414</v>
      </c>
      <c r="W122" s="73"/>
      <c r="X122" s="313">
        <f>SUM(X117+X118+X119)*X120*X121</f>
        <v>364777.97732915886</v>
      </c>
      <c r="Y122" s="73"/>
      <c r="Z122" s="313">
        <f t="shared" si="68"/>
        <v>394617.39122091583</v>
      </c>
      <c r="AA122" s="313">
        <f>SUM(AA117+AA118+AA119)*AA120*AA121</f>
        <v>423750.96608553396</v>
      </c>
      <c r="AB122" s="313">
        <f>SUM(AB117+AB118+AB119)*AB120*AB121</f>
        <v>454435.17818708683</v>
      </c>
      <c r="AC122" s="313">
        <f>SUM(AC117+AC118+AC119)*AC120*AC121</f>
        <v>482691.74575983617</v>
      </c>
    </row>
    <row r="123" spans="1:29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70"/>
      <c r="W123" s="73"/>
      <c r="X123" s="313"/>
      <c r="Y123" s="73"/>
      <c r="Z123" s="313"/>
      <c r="AA123" s="313"/>
      <c r="AB123" s="313"/>
      <c r="AC123" s="313"/>
    </row>
    <row r="124" spans="1:29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70">SUM(G122)</f>
        <v>188890.26799999998</v>
      </c>
      <c r="I124" s="69">
        <f t="shared" si="70"/>
        <v>199575.79679677499</v>
      </c>
      <c r="J124" s="70"/>
      <c r="K124" s="71"/>
      <c r="L124" s="69">
        <f t="shared" ref="L124:AA124" si="71">SUM(L122)</f>
        <v>234774.02500000002</v>
      </c>
      <c r="M124" s="72"/>
      <c r="N124" s="69">
        <f t="shared" si="71"/>
        <v>230552.66500000001</v>
      </c>
      <c r="O124" s="70"/>
      <c r="P124" s="70">
        <f t="shared" si="71"/>
        <v>229911.818</v>
      </c>
      <c r="Q124" s="73"/>
      <c r="R124" s="70">
        <f t="shared" ref="R124" si="72">SUM(R122)</f>
        <v>246152.10861059991</v>
      </c>
      <c r="S124" s="73"/>
      <c r="T124" s="70">
        <f t="shared" si="71"/>
        <v>306718.19200000004</v>
      </c>
      <c r="U124" s="73"/>
      <c r="V124" s="70">
        <f t="shared" si="71"/>
        <v>322090.82072829414</v>
      </c>
      <c r="W124" s="73"/>
      <c r="X124" s="313">
        <f t="shared" si="71"/>
        <v>364777.97732915886</v>
      </c>
      <c r="Y124" s="73"/>
      <c r="Z124" s="313">
        <f t="shared" si="71"/>
        <v>394617.39122091583</v>
      </c>
      <c r="AA124" s="313">
        <f t="shared" si="71"/>
        <v>423750.96608553396</v>
      </c>
      <c r="AB124" s="313">
        <f>SUM(AB122)</f>
        <v>454435.17818708683</v>
      </c>
      <c r="AC124" s="313">
        <f>SUM(AC122)</f>
        <v>482691.74575983617</v>
      </c>
    </row>
    <row r="125" spans="1:29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70">
        <v>293289.11</v>
      </c>
      <c r="U125" s="73"/>
      <c r="V125" s="72"/>
      <c r="W125" s="73"/>
      <c r="X125" s="313"/>
      <c r="Y125" s="73"/>
      <c r="Z125" s="313"/>
      <c r="AA125" s="313"/>
      <c r="AB125" s="313"/>
      <c r="AC125" s="313"/>
    </row>
    <row r="126" spans="1:29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337">
        <f>SUM(T126)</f>
        <v>0.95621687154441737</v>
      </c>
      <c r="W126" s="230"/>
      <c r="X126" s="337">
        <f>SUM(V126)</f>
        <v>0.95621687154441737</v>
      </c>
      <c r="Y126" s="230"/>
      <c r="Z126" s="337">
        <f>SUM(X126)</f>
        <v>0.95621687154441737</v>
      </c>
      <c r="AA126" s="337">
        <f t="shared" ref="AA126" si="73">SUM(Z126)</f>
        <v>0.95621687154441737</v>
      </c>
      <c r="AB126" s="337">
        <f>SUM(AA126)</f>
        <v>0.95621687154441737</v>
      </c>
      <c r="AC126" s="337">
        <f>SUM(AB126)</f>
        <v>0.95621687154441737</v>
      </c>
    </row>
    <row r="127" spans="1:29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4">SUM(G124*G126)</f>
        <v>173804.16659564062</v>
      </c>
      <c r="I127" s="69">
        <f t="shared" si="74"/>
        <v>189501.07105461584</v>
      </c>
      <c r="J127" s="70"/>
      <c r="K127" s="71"/>
      <c r="L127" s="69">
        <f t="shared" ref="L127:AA127" si="75">SUM(L124*L126)</f>
        <v>223370.065</v>
      </c>
      <c r="M127" s="72"/>
      <c r="N127" s="69">
        <f t="shared" si="75"/>
        <v>216345.522</v>
      </c>
      <c r="O127" s="231"/>
      <c r="P127" s="70">
        <f t="shared" si="75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313">
        <f>SUM(V124*V126)</f>
        <v>307988.67694998323</v>
      </c>
      <c r="W127" s="232"/>
      <c r="X127" s="313">
        <f>SUM(X124*X126)</f>
        <v>348806.85628998867</v>
      </c>
      <c r="Y127" s="232"/>
      <c r="Z127" s="313">
        <f t="shared" si="75"/>
        <v>377339.80729028356</v>
      </c>
      <c r="AA127" s="313">
        <f t="shared" si="75"/>
        <v>405197.82310423377</v>
      </c>
      <c r="AB127" s="313">
        <f>SUM(AB124*AB126)</f>
        <v>434538.58440578601</v>
      </c>
      <c r="AC127" s="313">
        <f>SUM(AC124*AC126)</f>
        <v>461557.99105078384</v>
      </c>
    </row>
    <row r="128" spans="1:29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305">
        <v>0.09</v>
      </c>
      <c r="V128" s="318">
        <f>SUM(T128*(1+U128))</f>
        <v>1.2480966641754958E-2</v>
      </c>
      <c r="W128" s="305">
        <f>$W$30</f>
        <v>1.4999999999999999E-2</v>
      </c>
      <c r="X128" s="318">
        <f>SUM(V128*(1+W128))</f>
        <v>1.2668181141381281E-2</v>
      </c>
      <c r="Y128" s="305">
        <f>$Y$30</f>
        <v>0.02</v>
      </c>
      <c r="Z128" s="318">
        <f>SUM(X128*(1+Y128))</f>
        <v>1.2921544764208906E-2</v>
      </c>
      <c r="AA128" s="318">
        <f>SUM(Z128*(1+Y128))</f>
        <v>1.3179975659493085E-2</v>
      </c>
      <c r="AB128" s="318">
        <f>SUM(AA128*(1+Y128))</f>
        <v>1.3443575172682947E-2</v>
      </c>
      <c r="AC128" s="318">
        <f>SUM(AB128*(1+$Y$128))</f>
        <v>1.3712446676136606E-2</v>
      </c>
    </row>
    <row r="129" spans="1:29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313"/>
      <c r="W129" s="420"/>
      <c r="X129" s="313"/>
      <c r="Y129" s="420"/>
      <c r="Z129" s="313"/>
      <c r="AA129" s="313"/>
      <c r="AB129" s="313"/>
      <c r="AC129" s="313"/>
    </row>
    <row r="130" spans="1:29" ht="15" thickBot="1" x14ac:dyDescent="0.35">
      <c r="C130" s="112">
        <v>1843</v>
      </c>
      <c r="E130" s="112">
        <f>SUM(E127*E128)</f>
        <v>1939.7429074619999</v>
      </c>
      <c r="G130" s="112">
        <f t="shared" ref="G130" si="76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77">SUM(R127*R128)</f>
        <v>3018.7944147768244</v>
      </c>
      <c r="S130" s="114"/>
      <c r="T130" s="141">
        <f>SUM(T127*T128)</f>
        <v>3358.2858700000002</v>
      </c>
      <c r="U130" s="114"/>
      <c r="V130" s="392">
        <f>SUM(V127*V128)</f>
        <v>3843.9964030509846</v>
      </c>
      <c r="W130" s="440"/>
      <c r="X130" s="392">
        <f>SUM(X127*X128)</f>
        <v>4418.748438837325</v>
      </c>
      <c r="Y130" s="440"/>
      <c r="Z130" s="392">
        <f>SUM(Z127*Z128)</f>
        <v>4875.8132112193616</v>
      </c>
      <c r="AA130" s="392">
        <f>SUM(AA127*AA128)</f>
        <v>5340.4974457933859</v>
      </c>
      <c r="AB130" s="392">
        <f>SUM(AB127*AB128)</f>
        <v>5841.7521248904177</v>
      </c>
      <c r="AC130" s="392">
        <f>SUM(AC127*AC128)</f>
        <v>6329.0893402286101</v>
      </c>
    </row>
    <row r="131" spans="1:29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238"/>
      <c r="W131" s="239"/>
      <c r="X131" s="238"/>
      <c r="Y131" s="239"/>
      <c r="Z131" s="238"/>
      <c r="AA131" s="238"/>
      <c r="AB131" s="238"/>
      <c r="AC131" s="238"/>
    </row>
    <row r="132" spans="1:29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120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  <c r="AC132" s="301" t="str">
        <f>$AC$10</f>
        <v>2024 Estimate</v>
      </c>
    </row>
    <row r="133" spans="1:29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65"/>
      <c r="W133" s="64"/>
      <c r="X133" s="321"/>
      <c r="Y133" s="64"/>
      <c r="Z133" s="321"/>
      <c r="AA133" s="321"/>
      <c r="AB133" s="321"/>
      <c r="AC133" s="321"/>
    </row>
    <row r="134" spans="1:29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65"/>
      <c r="W134" s="64"/>
      <c r="X134" s="321"/>
      <c r="Y134" s="64"/>
      <c r="Z134" s="321"/>
      <c r="AA134" s="321"/>
      <c r="AB134" s="321"/>
      <c r="AC134" s="321"/>
    </row>
    <row r="135" spans="1:29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70">
        <v>742683.92599999998</v>
      </c>
      <c r="W135" s="73"/>
      <c r="X135" s="313">
        <f>SUM(V135:V137)</f>
        <v>742683.92599999998</v>
      </c>
      <c r="Y135" s="73"/>
      <c r="Z135" s="313">
        <f>SUM(X135:X137)</f>
        <v>835455.92599999998</v>
      </c>
      <c r="AA135" s="313">
        <f>SUM(Z135:Z137)</f>
        <v>900305.92599999998</v>
      </c>
      <c r="AB135" s="313">
        <f>SUM(AA135:AA137)</f>
        <v>963621.92599999998</v>
      </c>
      <c r="AC135" s="313">
        <f>SUM(AB135:AB137)</f>
        <v>1030307.926</v>
      </c>
    </row>
    <row r="136" spans="1:29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70"/>
      <c r="W136" s="73"/>
      <c r="X136" s="313">
        <f>SUM(X118)</f>
        <v>126661</v>
      </c>
      <c r="Y136" s="73"/>
      <c r="Z136" s="313">
        <f t="shared" ref="X136:AA137" si="78">SUM(Z118)</f>
        <v>98739</v>
      </c>
      <c r="AA136" s="313">
        <f t="shared" si="78"/>
        <v>97205</v>
      </c>
      <c r="AB136" s="313">
        <f>SUM(AB118)</f>
        <v>100575</v>
      </c>
      <c r="AC136" s="313">
        <f>SUM(AC118)</f>
        <v>95299</v>
      </c>
    </row>
    <row r="137" spans="1:29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70"/>
      <c r="W137" s="73"/>
      <c r="X137" s="313">
        <f t="shared" si="78"/>
        <v>-33889</v>
      </c>
      <c r="Y137" s="73"/>
      <c r="Z137" s="313">
        <f t="shared" si="78"/>
        <v>-33889</v>
      </c>
      <c r="AA137" s="313">
        <f t="shared" si="78"/>
        <v>-33889</v>
      </c>
      <c r="AB137" s="313">
        <f>SUM(AB119)</f>
        <v>-33889</v>
      </c>
      <c r="AC137" s="313">
        <f>SUM(AC119)</f>
        <v>-33889</v>
      </c>
    </row>
    <row r="138" spans="1:29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87">
        <v>1</v>
      </c>
      <c r="W138" s="73"/>
      <c r="X138" s="314">
        <v>1</v>
      </c>
      <c r="Y138" s="73"/>
      <c r="Z138" s="314">
        <v>1</v>
      </c>
      <c r="AA138" s="314">
        <v>1</v>
      </c>
      <c r="AB138" s="314">
        <v>1</v>
      </c>
      <c r="AC138" s="314">
        <v>1</v>
      </c>
    </row>
    <row r="139" spans="1:29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91">
        <v>0.18293040999999999</v>
      </c>
      <c r="W139" s="84"/>
      <c r="X139" s="315">
        <f>SUM(V139)</f>
        <v>0.18293040999999999</v>
      </c>
      <c r="Y139" s="84"/>
      <c r="Z139" s="315">
        <f>SUM(X139)</f>
        <v>0.18293040999999999</v>
      </c>
      <c r="AA139" s="315">
        <f t="shared" ref="AA139:AC139" si="79">SUM(Z139)</f>
        <v>0.18293040999999999</v>
      </c>
      <c r="AB139" s="315">
        <f t="shared" si="79"/>
        <v>0.18293040999999999</v>
      </c>
      <c r="AC139" s="315">
        <f t="shared" si="79"/>
        <v>0.18293040999999999</v>
      </c>
    </row>
    <row r="140" spans="1:29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80">SUM((G135+G136+G137)*G138*G139)</f>
        <v>79213.073000000004</v>
      </c>
      <c r="I140" s="99">
        <f t="shared" si="80"/>
        <v>85831.54</v>
      </c>
      <c r="J140" s="100"/>
      <c r="K140" s="101"/>
      <c r="L140" s="99">
        <f t="shared" ref="L140:T140" si="81">SUM((L135+L136+L137)*L138*L139)</f>
        <v>92701.07758538505</v>
      </c>
      <c r="M140" s="102"/>
      <c r="N140" s="99">
        <f t="shared" si="81"/>
        <v>96666.592999999993</v>
      </c>
      <c r="O140" s="100"/>
      <c r="P140" s="100">
        <f t="shared" si="81"/>
        <v>103095.598</v>
      </c>
      <c r="Q140" s="177"/>
      <c r="R140" s="100">
        <f t="shared" ref="R140" si="82">SUM((R135+R136+R137)*R138*R139)</f>
        <v>115955.848</v>
      </c>
      <c r="S140" s="177"/>
      <c r="T140" s="100">
        <f t="shared" si="81"/>
        <v>134625.429</v>
      </c>
      <c r="U140" s="177"/>
      <c r="V140" s="100">
        <f>SUM((V135+V136+V137)*V138*V139)</f>
        <v>135859.47508358964</v>
      </c>
      <c r="W140" s="177"/>
      <c r="X140" s="317">
        <f>SUM((X135+X136+X137)*X138*X139)</f>
        <v>152830.29508010964</v>
      </c>
      <c r="Y140" s="177"/>
      <c r="Z140" s="317">
        <f>SUM((Z135+Z136+Z137)*Z138*Z139)</f>
        <v>164693.33216860963</v>
      </c>
      <c r="AA140" s="317">
        <f>SUM((AA135+AA136+AA137)*AA138*AA139)</f>
        <v>176275.75400816964</v>
      </c>
      <c r="AB140" s="317">
        <f>SUM((AB135+AB136+AB137)*AB138*AB139)</f>
        <v>188474.65132942965</v>
      </c>
      <c r="AC140" s="317">
        <f>SUM((AC135+AC136+AC137)*AC138*AC139)</f>
        <v>199708.40780752964</v>
      </c>
    </row>
    <row r="141" spans="1:29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83">
        <v>-100</v>
      </c>
      <c r="W141" s="84"/>
      <c r="X141" s="323"/>
      <c r="Y141" s="84"/>
      <c r="Z141" s="323"/>
      <c r="AA141" s="323"/>
      <c r="AB141" s="323"/>
      <c r="AC141" s="323"/>
    </row>
    <row r="142" spans="1:29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3">SUM(G140)</f>
        <v>79213.073000000004</v>
      </c>
      <c r="I142" s="69">
        <f t="shared" si="83"/>
        <v>85831.54</v>
      </c>
      <c r="J142" s="70"/>
      <c r="K142" s="71"/>
      <c r="L142" s="69">
        <f t="shared" ref="L142:AA142" si="84">SUM(L140)</f>
        <v>92701.07758538505</v>
      </c>
      <c r="M142" s="72"/>
      <c r="N142" s="69">
        <f t="shared" si="84"/>
        <v>96666.592999999993</v>
      </c>
      <c r="O142" s="70"/>
      <c r="P142" s="70">
        <f t="shared" si="84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70">
        <f>SUM(V140:V141)</f>
        <v>135759.47508358964</v>
      </c>
      <c r="W142" s="73"/>
      <c r="X142" s="313">
        <f>SUM(X140)</f>
        <v>152830.29508010964</v>
      </c>
      <c r="Y142" s="73"/>
      <c r="Z142" s="313">
        <f t="shared" si="84"/>
        <v>164693.33216860963</v>
      </c>
      <c r="AA142" s="313">
        <f t="shared" si="84"/>
        <v>176275.75400816964</v>
      </c>
      <c r="AB142" s="313">
        <f>SUM(AB140)</f>
        <v>188474.65132942965</v>
      </c>
      <c r="AC142" s="313">
        <f>SUM(AC140)</f>
        <v>199708.40780752964</v>
      </c>
    </row>
    <row r="143" spans="1:29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134">
        <v>1</v>
      </c>
      <c r="W143" s="84"/>
      <c r="X143" s="324">
        <v>1</v>
      </c>
      <c r="Y143" s="84"/>
      <c r="Z143" s="324">
        <v>1</v>
      </c>
      <c r="AA143" s="324">
        <v>1</v>
      </c>
      <c r="AB143" s="324">
        <v>1</v>
      </c>
      <c r="AC143" s="324">
        <v>1</v>
      </c>
    </row>
    <row r="144" spans="1:29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5">SUM(G142*G143)</f>
        <v>77458.071382651833</v>
      </c>
      <c r="I144" s="69">
        <f t="shared" si="85"/>
        <v>85831.54</v>
      </c>
      <c r="J144" s="70"/>
      <c r="K144" s="71"/>
      <c r="L144" s="69">
        <f t="shared" ref="L144:AA144" si="86">SUM(L142*L143)</f>
        <v>92701.07758538505</v>
      </c>
      <c r="M144" s="72"/>
      <c r="N144" s="69">
        <f t="shared" si="86"/>
        <v>96666.592999999993</v>
      </c>
      <c r="O144" s="70"/>
      <c r="P144" s="70">
        <f t="shared" si="86"/>
        <v>103095.598</v>
      </c>
      <c r="Q144" s="73"/>
      <c r="R144" s="70">
        <f t="shared" ref="R144" si="87">SUM(R142*R143)</f>
        <v>115955.848</v>
      </c>
      <c r="S144" s="73"/>
      <c r="T144" s="70">
        <f t="shared" si="86"/>
        <v>134525.429</v>
      </c>
      <c r="U144" s="73"/>
      <c r="V144" s="70">
        <f>SUM(V142*V143)</f>
        <v>135759.47508358964</v>
      </c>
      <c r="W144" s="73"/>
      <c r="X144" s="313">
        <f t="shared" si="86"/>
        <v>152830.29508010964</v>
      </c>
      <c r="Y144" s="73"/>
      <c r="Z144" s="313">
        <f t="shared" si="86"/>
        <v>164693.33216860963</v>
      </c>
      <c r="AA144" s="313">
        <f t="shared" si="86"/>
        <v>176275.75400816964</v>
      </c>
      <c r="AB144" s="313">
        <f>SUM(AB142*AB143)</f>
        <v>188474.65132942965</v>
      </c>
      <c r="AC144" s="313">
        <f>SUM(AC142*AC143)</f>
        <v>199708.40780752964</v>
      </c>
    </row>
    <row r="145" spans="1:29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305">
        <v>0.01</v>
      </c>
      <c r="V145" s="318">
        <f>SUM(T145*(1+U145))</f>
        <v>1.3256725806836119E-2</v>
      </c>
      <c r="W145" s="305">
        <f>$W$30</f>
        <v>1.4999999999999999E-2</v>
      </c>
      <c r="X145" s="318">
        <f>SUM(V145*(1+W145))</f>
        <v>1.345557669393866E-2</v>
      </c>
      <c r="Y145" s="305">
        <f>$Y$30</f>
        <v>0.02</v>
      </c>
      <c r="Z145" s="318">
        <f>SUM(X145*(1+Y145))</f>
        <v>1.3724688227817434E-2</v>
      </c>
      <c r="AA145" s="318">
        <f>SUM(Z145*(1+Y145))</f>
        <v>1.3999181992373783E-2</v>
      </c>
      <c r="AB145" s="318">
        <f>SUM(AA145*(1+Y145))</f>
        <v>1.427916563222126E-2</v>
      </c>
      <c r="AC145" s="318">
        <f>SUM(AB145*(1+$Y$145))</f>
        <v>1.4564748944865685E-2</v>
      </c>
    </row>
    <row r="146" spans="1:29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317"/>
      <c r="W146" s="101"/>
      <c r="X146" s="317"/>
      <c r="Y146" s="101"/>
      <c r="Z146" s="317"/>
      <c r="AA146" s="317"/>
      <c r="AB146" s="317"/>
      <c r="AC146" s="317"/>
    </row>
    <row r="147" spans="1:29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88">SUM(G144*G145)</f>
        <v>1112.580366038414</v>
      </c>
      <c r="I147" s="178">
        <f t="shared" si="88"/>
        <v>1255.1733400000001</v>
      </c>
      <c r="J147" s="179"/>
      <c r="K147" s="180"/>
      <c r="L147" s="178">
        <f t="shared" ref="L147:P147" si="89">SUM(L144*L145)</f>
        <v>1336.7211187574665</v>
      </c>
      <c r="M147" s="181"/>
      <c r="N147" s="178">
        <f t="shared" si="89"/>
        <v>1396.8021189769413</v>
      </c>
      <c r="O147" s="181"/>
      <c r="P147" s="179">
        <f t="shared" si="89"/>
        <v>1470.0476900000001</v>
      </c>
      <c r="Q147" s="180"/>
      <c r="R147" s="179">
        <f t="shared" ref="R147" si="90">SUM(R144*R145)</f>
        <v>1640.8960900000002</v>
      </c>
      <c r="S147" s="180"/>
      <c r="T147" s="179">
        <f>SUM(T144*T145)</f>
        <v>1765.7096300000001</v>
      </c>
      <c r="U147" s="180"/>
      <c r="V147" s="443">
        <f>SUM(V144*V145)</f>
        <v>1799.726136863148</v>
      </c>
      <c r="W147" s="445"/>
      <c r="X147" s="443">
        <f>SUM(X144*X145)</f>
        <v>2056.4197566076919</v>
      </c>
      <c r="Y147" s="445"/>
      <c r="Z147" s="443">
        <f>SUM(Z144*Z145)</f>
        <v>2260.3646372145431</v>
      </c>
      <c r="AA147" s="443">
        <f>SUM(AA144*AA145)</f>
        <v>2467.7163612032791</v>
      </c>
      <c r="AB147" s="443">
        <f>SUM(AB144*AB145)</f>
        <v>2691.2607638080767</v>
      </c>
      <c r="AC147" s="443">
        <f>SUM(AC144*AC145)</f>
        <v>2908.7028218955234</v>
      </c>
    </row>
    <row r="148" spans="1:29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  <c r="AC148" s="144"/>
    </row>
    <row r="149" spans="1:29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187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">
        <v>178</v>
      </c>
      <c r="AC149" s="301" t="s">
        <v>179</v>
      </c>
    </row>
    <row r="150" spans="1:29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65"/>
      <c r="W150" s="64"/>
      <c r="X150" s="321"/>
      <c r="Y150" s="64"/>
      <c r="Z150" s="321"/>
      <c r="AA150" s="321"/>
      <c r="AB150" s="321"/>
      <c r="AC150" s="321"/>
    </row>
    <row r="151" spans="1:29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65"/>
      <c r="W151" s="64"/>
      <c r="X151" s="321"/>
      <c r="Y151" s="64"/>
      <c r="Z151" s="321"/>
      <c r="AA151" s="321"/>
      <c r="AB151" s="321"/>
      <c r="AC151" s="321"/>
    </row>
    <row r="152" spans="1:29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70">
        <v>324700</v>
      </c>
      <c r="W152" s="73"/>
      <c r="X152" s="313">
        <f>SUM(V152:V154)</f>
        <v>324700</v>
      </c>
      <c r="Y152" s="73"/>
      <c r="Z152" s="313">
        <f>SUM(X152:X154)</f>
        <v>350644</v>
      </c>
      <c r="AA152" s="313">
        <f t="shared" ref="AA152" si="91">SUM(Z152:Z154)</f>
        <v>363744</v>
      </c>
      <c r="AB152" s="313">
        <f>SUM(AA152:AA154)</f>
        <v>373986</v>
      </c>
      <c r="AC152" s="313">
        <f>SUM(AB152:AB154)</f>
        <v>386174</v>
      </c>
    </row>
    <row r="153" spans="1:29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70">
        <v>0</v>
      </c>
      <c r="W153" s="73"/>
      <c r="X153" s="154">
        <f>35421</f>
        <v>35421</v>
      </c>
      <c r="Y153" s="73"/>
      <c r="Z153" s="154">
        <v>22577</v>
      </c>
      <c r="AA153" s="154">
        <v>19719</v>
      </c>
      <c r="AB153" s="154">
        <v>21665</v>
      </c>
      <c r="AC153" s="154">
        <v>20227</v>
      </c>
    </row>
    <row r="154" spans="1:29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70">
        <v>0</v>
      </c>
      <c r="W154" s="73"/>
      <c r="X154" s="154">
        <v>-9477</v>
      </c>
      <c r="Y154" s="73"/>
      <c r="Z154" s="154">
        <f>X154</f>
        <v>-9477</v>
      </c>
      <c r="AA154" s="154">
        <f>Z154</f>
        <v>-9477</v>
      </c>
      <c r="AB154" s="154">
        <f>AA154</f>
        <v>-9477</v>
      </c>
      <c r="AC154" s="154">
        <f>AB154</f>
        <v>-9477</v>
      </c>
    </row>
    <row r="155" spans="1:29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87">
        <v>1</v>
      </c>
      <c r="W155" s="73"/>
      <c r="X155" s="314">
        <v>1</v>
      </c>
      <c r="Y155" s="73"/>
      <c r="Z155" s="314">
        <v>1</v>
      </c>
      <c r="AA155" s="314">
        <v>1</v>
      </c>
      <c r="AB155" s="314">
        <v>1</v>
      </c>
      <c r="AC155" s="314">
        <v>1</v>
      </c>
    </row>
    <row r="156" spans="1:29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91">
        <v>1</v>
      </c>
      <c r="W156" s="84"/>
      <c r="X156" s="315">
        <v>1</v>
      </c>
      <c r="Y156" s="84"/>
      <c r="Z156" s="315">
        <v>1</v>
      </c>
      <c r="AA156" s="315">
        <v>1</v>
      </c>
      <c r="AB156" s="315">
        <v>1</v>
      </c>
      <c r="AC156" s="315">
        <v>1</v>
      </c>
    </row>
    <row r="157" spans="1:29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2">SUM((G152+G153+G154)*G155*G156)</f>
        <v>160600</v>
      </c>
      <c r="I157" s="99">
        <f t="shared" si="92"/>
        <v>168937</v>
      </c>
      <c r="J157" s="100"/>
      <c r="K157" s="101"/>
      <c r="L157" s="99">
        <f t="shared" ref="L157:AA157" si="93">SUM((L152+L153+L154)*L155*L156)</f>
        <v>184700</v>
      </c>
      <c r="M157" s="102"/>
      <c r="N157" s="99">
        <f t="shared" si="93"/>
        <v>209500</v>
      </c>
      <c r="O157" s="100"/>
      <c r="P157" s="100">
        <f t="shared" ref="P157" si="94">SUM((P152+P153+P154)*P155*P156)</f>
        <v>243796.47</v>
      </c>
      <c r="Q157" s="177"/>
      <c r="R157" s="100">
        <f t="shared" ref="R157" si="95">SUM((R152+R153+R154)*R155*R156)</f>
        <v>282611.34999999998</v>
      </c>
      <c r="S157" s="177"/>
      <c r="T157" s="100">
        <f t="shared" si="93"/>
        <v>340600</v>
      </c>
      <c r="U157" s="177"/>
      <c r="V157" s="100">
        <f>SUM((V152+V153+V154)*V155*V156)</f>
        <v>324700</v>
      </c>
      <c r="W157" s="177"/>
      <c r="X157" s="317">
        <f>SUM((X152+X153+X154)*X155*X156)</f>
        <v>350644</v>
      </c>
      <c r="Y157" s="177"/>
      <c r="Z157" s="317">
        <f t="shared" si="93"/>
        <v>363744</v>
      </c>
      <c r="AA157" s="317">
        <f t="shared" si="93"/>
        <v>373986</v>
      </c>
      <c r="AB157" s="317">
        <f>SUM((AB152+AB153+AB154)*AB155*AB156)</f>
        <v>386174</v>
      </c>
      <c r="AC157" s="317">
        <f>SUM((AC152+AC153+AC154)*AC155*AC156)</f>
        <v>396924</v>
      </c>
    </row>
    <row r="158" spans="1:29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70"/>
      <c r="W158" s="73"/>
      <c r="X158" s="313"/>
      <c r="Y158" s="73"/>
      <c r="Z158" s="313"/>
      <c r="AA158" s="313"/>
      <c r="AB158" s="313"/>
      <c r="AC158" s="313"/>
    </row>
    <row r="159" spans="1:29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245">
        <v>1</v>
      </c>
      <c r="W159" s="73"/>
      <c r="X159" s="339">
        <v>1</v>
      </c>
      <c r="Y159" s="73"/>
      <c r="Z159" s="339">
        <v>1</v>
      </c>
      <c r="AA159" s="339">
        <v>1</v>
      </c>
      <c r="AB159" s="339">
        <v>1</v>
      </c>
      <c r="AC159" s="339">
        <v>1</v>
      </c>
    </row>
    <row r="160" spans="1:29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96">SUM(G157*G159)</f>
        <v>160600</v>
      </c>
      <c r="I160" s="69">
        <f t="shared" si="96"/>
        <v>168937</v>
      </c>
      <c r="J160" s="70"/>
      <c r="K160" s="71"/>
      <c r="L160" s="69">
        <f t="shared" ref="L160:AA160" si="97">SUM(L157*L159)</f>
        <v>184700</v>
      </c>
      <c r="M160" s="72"/>
      <c r="N160" s="69">
        <f t="shared" si="97"/>
        <v>209500</v>
      </c>
      <c r="O160" s="70"/>
      <c r="P160" s="70">
        <f t="shared" ref="P160" si="98">SUM(P157*P159)</f>
        <v>243796.47</v>
      </c>
      <c r="Q160" s="73"/>
      <c r="R160" s="70">
        <f t="shared" ref="R160" si="99">SUM(R157*R159)</f>
        <v>282611.34999999998</v>
      </c>
      <c r="S160" s="73"/>
      <c r="T160" s="70">
        <f t="shared" si="97"/>
        <v>340600</v>
      </c>
      <c r="U160" s="73"/>
      <c r="V160" s="70">
        <f t="shared" si="97"/>
        <v>324700</v>
      </c>
      <c r="W160" s="73"/>
      <c r="X160" s="313">
        <f>SUM(X157*X159)</f>
        <v>350644</v>
      </c>
      <c r="Y160" s="73"/>
      <c r="Z160" s="313">
        <f t="shared" si="97"/>
        <v>363744</v>
      </c>
      <c r="AA160" s="313">
        <f t="shared" si="97"/>
        <v>373986</v>
      </c>
      <c r="AB160" s="313">
        <f>SUM(AB157*AB159)</f>
        <v>386174</v>
      </c>
      <c r="AC160" s="313">
        <f>SUM(AC157*AC159)</f>
        <v>396924</v>
      </c>
    </row>
    <row r="161" spans="1:31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247">
        <v>1</v>
      </c>
      <c r="W161" s="84"/>
      <c r="X161" s="340">
        <v>1</v>
      </c>
      <c r="Y161" s="84"/>
      <c r="Z161" s="340">
        <v>1</v>
      </c>
      <c r="AA161" s="340">
        <v>1</v>
      </c>
      <c r="AB161" s="340">
        <v>1</v>
      </c>
      <c r="AC161" s="340">
        <v>1</v>
      </c>
    </row>
    <row r="162" spans="1:31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100">SUM(G160*G161)</f>
        <v>160600</v>
      </c>
      <c r="I162" s="69">
        <f t="shared" si="100"/>
        <v>168937</v>
      </c>
      <c r="J162" s="70"/>
      <c r="K162" s="71"/>
      <c r="L162" s="69">
        <f t="shared" ref="L162:AA162" si="101">SUM(L160*L161)</f>
        <v>184700</v>
      </c>
      <c r="M162" s="72"/>
      <c r="N162" s="69">
        <f t="shared" si="101"/>
        <v>209500</v>
      </c>
      <c r="O162" s="70"/>
      <c r="P162" s="70">
        <f t="shared" ref="P162" si="102">SUM(P160*P161)</f>
        <v>243796.47</v>
      </c>
      <c r="Q162" s="73"/>
      <c r="R162" s="70">
        <f t="shared" ref="R162" si="103">SUM(R160*R161)</f>
        <v>282611.34999999998</v>
      </c>
      <c r="S162" s="73"/>
      <c r="T162" s="70">
        <f t="shared" si="101"/>
        <v>340600</v>
      </c>
      <c r="U162" s="73"/>
      <c r="V162" s="70">
        <f>SUM(V160*V161)</f>
        <v>324700</v>
      </c>
      <c r="W162" s="73"/>
      <c r="X162" s="313">
        <f t="shared" si="101"/>
        <v>350644</v>
      </c>
      <c r="Y162" s="73"/>
      <c r="Z162" s="313">
        <f t="shared" si="101"/>
        <v>363744</v>
      </c>
      <c r="AA162" s="313">
        <f t="shared" si="101"/>
        <v>373986</v>
      </c>
      <c r="AB162" s="313">
        <f>SUM(AB160*AB161)</f>
        <v>386174</v>
      </c>
      <c r="AC162" s="313">
        <f>SUM(AC160*AC161)</f>
        <v>396924</v>
      </c>
    </row>
    <row r="163" spans="1:31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232">
        <f>SUM((V163-T163)/T163)</f>
        <v>4.6000133984343871E-3</v>
      </c>
      <c r="V163" s="293">
        <f>4225.44043/V162</f>
        <v>1.3013367508469355E-2</v>
      </c>
      <c r="W163" s="305">
        <f>$W$30</f>
        <v>1.4999999999999999E-2</v>
      </c>
      <c r="X163" s="318">
        <f>SUM(V163*(1+W163))</f>
        <v>1.3208568021096394E-2</v>
      </c>
      <c r="Y163" s="305">
        <f>$Y$30</f>
        <v>0.02</v>
      </c>
      <c r="Z163" s="318">
        <f>SUM(X163*(1+Y163))</f>
        <v>1.3472739381518323E-2</v>
      </c>
      <c r="AA163" s="318">
        <f>SUM(Z163*(1+Y163))</f>
        <v>1.3742194169148689E-2</v>
      </c>
      <c r="AB163" s="318">
        <f>SUM(AA163*(1+Y163))</f>
        <v>1.4017038052531664E-2</v>
      </c>
      <c r="AC163" s="318">
        <f>SUM(AB163*(1+$Y$163))</f>
        <v>1.4297378813582296E-2</v>
      </c>
    </row>
    <row r="164" spans="1:31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139"/>
      <c r="W164" s="73"/>
      <c r="X164" s="319"/>
      <c r="Y164" s="73"/>
      <c r="Z164" s="319"/>
      <c r="AA164" s="319"/>
      <c r="AB164" s="319"/>
      <c r="AC164" s="319"/>
    </row>
    <row r="165" spans="1:31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4">SUM(G162*G163)</f>
        <v>2030.6547399999999</v>
      </c>
      <c r="I165" s="112">
        <f t="shared" si="104"/>
        <v>2137.1771711399883</v>
      </c>
      <c r="J165" s="141"/>
      <c r="K165" s="114"/>
      <c r="L165" s="248">
        <f t="shared" ref="L165:Z165" si="105">SUM(L162*L163)</f>
        <v>2378.8604999999998</v>
      </c>
      <c r="M165" s="113"/>
      <c r="N165" s="112">
        <f t="shared" si="105"/>
        <v>2651</v>
      </c>
      <c r="O165" s="141"/>
      <c r="P165" s="141">
        <f t="shared" si="105"/>
        <v>3184.1441200000004</v>
      </c>
      <c r="Q165" s="249"/>
      <c r="R165" s="141">
        <f t="shared" ref="R165" si="106">SUM(R162*R163)</f>
        <v>3678.2691199999999</v>
      </c>
      <c r="S165" s="273"/>
      <c r="T165" s="141">
        <f>SUM(T162*T163)</f>
        <v>4412.0574500000002</v>
      </c>
      <c r="U165" s="273"/>
      <c r="V165" s="421">
        <f>SUM(V162*V163)</f>
        <v>4225.4404299999997</v>
      </c>
      <c r="W165" s="446"/>
      <c r="X165" s="392">
        <f>SUM(X162*X163)</f>
        <v>4631.5051251893237</v>
      </c>
      <c r="Y165" s="446"/>
      <c r="Z165" s="392">
        <f t="shared" si="105"/>
        <v>4900.6281135910012</v>
      </c>
      <c r="AA165" s="392">
        <f>SUM(AA162*AA163)</f>
        <v>5139.3882285432419</v>
      </c>
      <c r="AB165" s="392">
        <f>SUM(AB162*AB163)</f>
        <v>5413.0156528983625</v>
      </c>
      <c r="AC165" s="392">
        <f>SUM(AC162*AC163)</f>
        <v>5674.9727882023399</v>
      </c>
    </row>
    <row r="166" spans="1:31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  <c r="AC166" s="144"/>
    </row>
    <row r="167" spans="1:31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  <c r="AC167" s="257"/>
    </row>
    <row r="168" spans="1:31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  <c r="AC168" s="257"/>
    </row>
    <row r="169" spans="1:31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  <c r="AC169" s="257"/>
    </row>
    <row r="170" spans="1:31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  <c r="AC170" s="265"/>
    </row>
    <row r="171" spans="1:31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  <c r="AC171" s="341" t="s">
        <v>103</v>
      </c>
    </row>
    <row r="172" spans="1:31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  <c r="AC172" s="301">
        <f>AB172+1</f>
        <v>2024</v>
      </c>
    </row>
    <row r="173" spans="1:31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C173" s="321"/>
      <c r="AE173" s="11"/>
    </row>
    <row r="174" spans="1:31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14808.461660383624</v>
      </c>
      <c r="W174" s="355"/>
      <c r="X174" s="342">
        <f>SUM(X32)</f>
        <v>13925.082901149826</v>
      </c>
      <c r="Y174" s="355"/>
      <c r="Z174" s="342">
        <f>SUM(Z32)</f>
        <v>15264.497818942384</v>
      </c>
      <c r="AA174" s="342">
        <f>SUM(AA32)</f>
        <v>16741.632407551399</v>
      </c>
      <c r="AB174" s="342">
        <f>SUM(AB32)</f>
        <v>18073.858912976993</v>
      </c>
      <c r="AC174" s="342">
        <f>SUM(AC32)</f>
        <v>19824.711340207843</v>
      </c>
      <c r="AE174" s="145"/>
    </row>
    <row r="175" spans="1:31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342"/>
      <c r="W175" s="271"/>
      <c r="X175" s="342"/>
      <c r="Y175" s="271"/>
      <c r="Z175" s="342"/>
      <c r="AA175" s="342"/>
      <c r="AB175" s="342"/>
      <c r="AC175" s="342"/>
      <c r="AE175" s="144"/>
    </row>
    <row r="176" spans="1:31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342">
        <f>SUM(V53)</f>
        <v>6436.9866816775175</v>
      </c>
      <c r="W176" s="273"/>
      <c r="X176" s="342">
        <f>SUM(X53)</f>
        <v>6982.5668000495289</v>
      </c>
      <c r="Y176" s="273"/>
      <c r="Z176" s="342">
        <f>SUM(Z53)</f>
        <v>7588.8747807975033</v>
      </c>
      <c r="AA176" s="342">
        <f>SUM(AA53)</f>
        <v>8252.5469325123795</v>
      </c>
      <c r="AB176" s="342">
        <f>SUM(AB53)</f>
        <v>8853.2875278990177</v>
      </c>
      <c r="AC176" s="342">
        <f>SUM(AC53)</f>
        <v>9637.2714190564056</v>
      </c>
      <c r="AE176" s="145"/>
    </row>
    <row r="177" spans="1:31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270">
        <f>SUM(V75)</f>
        <v>11537.7201</v>
      </c>
      <c r="W177" s="273"/>
      <c r="X177" s="342">
        <f>SUM(X75)</f>
        <v>11452.9005610898</v>
      </c>
      <c r="Y177" s="273"/>
      <c r="Z177" s="342">
        <f>SUM(Z75)</f>
        <v>12309.744715542563</v>
      </c>
      <c r="AA177" s="342">
        <f>SUM(AA75)</f>
        <v>13199.841952346265</v>
      </c>
      <c r="AB177" s="342">
        <f>SUM(AB75)</f>
        <v>14049.579563719695</v>
      </c>
      <c r="AC177" s="342">
        <f>SUM(AC75)</f>
        <v>15064.179368989671</v>
      </c>
      <c r="AE177" s="145"/>
    </row>
    <row r="178" spans="1:31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422">
        <f>SUM(V95)</f>
        <v>12.636430000000001</v>
      </c>
      <c r="W178" s="273"/>
      <c r="X178" s="343">
        <f>SUM(X95)</f>
        <v>12.825976449999997</v>
      </c>
      <c r="Y178" s="273"/>
      <c r="Z178" s="343">
        <f>SUM(Z95)</f>
        <v>13.082495978999999</v>
      </c>
      <c r="AA178" s="343">
        <f>SUM(AA95)</f>
        <v>13.344145898580001</v>
      </c>
      <c r="AB178" s="343">
        <f>SUM(AB95)</f>
        <v>13.611028816551599</v>
      </c>
      <c r="AC178" s="343">
        <f>SUM(AC95)</f>
        <v>13.883249392882632</v>
      </c>
      <c r="AE178" s="145"/>
    </row>
    <row r="179" spans="1:31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175"/>
      <c r="T179" s="179">
        <f>SUM(T111)</f>
        <v>3479.2761100000002</v>
      </c>
      <c r="U179" s="273"/>
      <c r="V179" s="181">
        <f>SUM(V111)</f>
        <v>3280.9031100000002</v>
      </c>
      <c r="W179" s="273"/>
      <c r="X179" s="338">
        <f>SUM(X111)</f>
        <v>3330.1166566500001</v>
      </c>
      <c r="Y179" s="273"/>
      <c r="Z179" s="338">
        <f>SUM(Z111)</f>
        <v>3396.7189897829999</v>
      </c>
      <c r="AA179" s="338">
        <f>SUM(AA111)</f>
        <v>3464.6533695786602</v>
      </c>
      <c r="AB179" s="338">
        <f>SUM(AB111)</f>
        <v>3533.9464369702328</v>
      </c>
      <c r="AC179" s="338">
        <f>SUM(AC111)</f>
        <v>3604.6253657096377</v>
      </c>
      <c r="AE179" s="145"/>
    </row>
    <row r="180" spans="1:31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175"/>
      <c r="T180" s="272"/>
      <c r="U180" s="271"/>
      <c r="V180" s="342"/>
      <c r="W180" s="271"/>
      <c r="X180" s="342"/>
      <c r="Y180" s="271"/>
      <c r="Z180" s="342"/>
      <c r="AA180" s="342"/>
      <c r="AB180" s="342"/>
      <c r="AC180" s="342"/>
      <c r="AE180" s="144"/>
    </row>
    <row r="181" spans="1:31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07">SUM(G174:G179)</f>
        <v>22467.722571320119</v>
      </c>
      <c r="H181" s="3"/>
      <c r="I181" s="178">
        <f t="shared" si="107"/>
        <v>25222.541358363891</v>
      </c>
      <c r="J181" s="181"/>
      <c r="K181" s="180"/>
      <c r="L181" s="178">
        <f t="shared" ref="L181:AA181" si="108">SUM(L174:L179)</f>
        <v>27721.837982187997</v>
      </c>
      <c r="M181" s="181"/>
      <c r="N181" s="178">
        <f t="shared" ref="N181" si="109">SUM(N174:N179)</f>
        <v>29497.728188102526</v>
      </c>
      <c r="O181" s="280"/>
      <c r="P181" s="179">
        <f t="shared" si="108"/>
        <v>30629.426470680279</v>
      </c>
      <c r="Q181" s="281"/>
      <c r="R181" s="179">
        <f>SUM(R174:R179)</f>
        <v>33603.611274662006</v>
      </c>
      <c r="S181" s="175"/>
      <c r="T181" s="179">
        <f>SUM(T174:T179)</f>
        <v>33724.400079999999</v>
      </c>
      <c r="U181" s="273"/>
      <c r="V181" s="338">
        <f t="shared" si="108"/>
        <v>36076.70798206114</v>
      </c>
      <c r="W181" s="273"/>
      <c r="X181" s="338">
        <f t="shared" si="108"/>
        <v>35703.492895389158</v>
      </c>
      <c r="Y181" s="273"/>
      <c r="Z181" s="338">
        <f t="shared" si="108"/>
        <v>38572.918801044449</v>
      </c>
      <c r="AA181" s="338">
        <f t="shared" si="108"/>
        <v>41672.018807887289</v>
      </c>
      <c r="AB181" s="338">
        <f>SUM(AB174:AB179)</f>
        <v>44524.283470382492</v>
      </c>
      <c r="AC181" s="338">
        <f>SUM(AC174:AC179)</f>
        <v>48144.670743356444</v>
      </c>
      <c r="AE181" s="144"/>
    </row>
    <row r="182" spans="1:31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175"/>
      <c r="T182" s="272"/>
      <c r="U182" s="271"/>
      <c r="V182" s="342"/>
      <c r="W182" s="271"/>
      <c r="X182" s="342"/>
      <c r="Y182" s="271"/>
      <c r="Z182" s="342"/>
      <c r="AA182" s="342"/>
      <c r="AB182" s="342"/>
      <c r="AC182" s="342"/>
      <c r="AE182" s="144"/>
    </row>
    <row r="183" spans="1:31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175"/>
      <c r="T183" s="272"/>
      <c r="U183" s="271"/>
      <c r="V183" s="342"/>
      <c r="W183" s="271"/>
      <c r="X183" s="342"/>
      <c r="Y183" s="271"/>
      <c r="Z183" s="342"/>
      <c r="AA183" s="342"/>
      <c r="AB183" s="342"/>
      <c r="AC183" s="342"/>
      <c r="AE183" s="144"/>
    </row>
    <row r="184" spans="1:31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175"/>
      <c r="T184" s="276">
        <f>SUM(T130)</f>
        <v>3358.2858700000002</v>
      </c>
      <c r="U184" s="273"/>
      <c r="V184" s="342">
        <f>SUM(V130)</f>
        <v>3843.9964030509846</v>
      </c>
      <c r="W184" s="355"/>
      <c r="X184" s="342">
        <f>SUM(X130)</f>
        <v>4418.748438837325</v>
      </c>
      <c r="Y184" s="355"/>
      <c r="Z184" s="342">
        <f>SUM(Z130)</f>
        <v>4875.8132112193616</v>
      </c>
      <c r="AA184" s="342">
        <f>SUM(AA130)</f>
        <v>5340.4974457933859</v>
      </c>
      <c r="AB184" s="342">
        <f>SUM(AB130)</f>
        <v>5841.7521248904177</v>
      </c>
      <c r="AC184" s="342">
        <f>SUM(AC130)</f>
        <v>6329.0893402286101</v>
      </c>
      <c r="AE184" s="145"/>
    </row>
    <row r="185" spans="1:31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175"/>
      <c r="T185" s="276">
        <f>SUM(T147)</f>
        <v>1765.7096300000001</v>
      </c>
      <c r="U185" s="273"/>
      <c r="V185" s="342">
        <f>SUM(V147)</f>
        <v>1799.726136863148</v>
      </c>
      <c r="W185" s="273"/>
      <c r="X185" s="342">
        <f>SUM(X147)</f>
        <v>2056.4197566076919</v>
      </c>
      <c r="Y185" s="273"/>
      <c r="Z185" s="342">
        <f>SUM(Z147)</f>
        <v>2260.3646372145431</v>
      </c>
      <c r="AA185" s="342">
        <f>SUM(AA147)</f>
        <v>2467.7163612032791</v>
      </c>
      <c r="AB185" s="342">
        <f>SUM(AB147)</f>
        <v>2691.2607638080767</v>
      </c>
      <c r="AC185" s="342">
        <f>SUM(AC147)</f>
        <v>2908.7028218955234</v>
      </c>
      <c r="AE185" s="145"/>
    </row>
    <row r="186" spans="1:31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270">
        <f>SUM(V165)</f>
        <v>4225.4404299999997</v>
      </c>
      <c r="W186" s="273"/>
      <c r="X186" s="342">
        <f>SUM(X165)</f>
        <v>4631.5051251893237</v>
      </c>
      <c r="Y186" s="273"/>
      <c r="Z186" s="342">
        <f>SUM(Z165)</f>
        <v>4900.6281135910012</v>
      </c>
      <c r="AA186" s="342">
        <f>SUM(AA165)</f>
        <v>5139.3882285432419</v>
      </c>
      <c r="AB186" s="342">
        <f>SUM(AB165)</f>
        <v>5413.0156528983625</v>
      </c>
      <c r="AC186" s="342">
        <f>SUM(AC165)</f>
        <v>5674.9727882023399</v>
      </c>
      <c r="AE186" s="145"/>
    </row>
    <row r="187" spans="1:31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75"/>
      <c r="T187" s="179">
        <v>0</v>
      </c>
      <c r="U187" s="273"/>
      <c r="V187" s="181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C187" s="338">
        <v>0</v>
      </c>
      <c r="AE187" s="144"/>
    </row>
    <row r="188" spans="1:31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175"/>
      <c r="T188" s="272"/>
      <c r="U188" s="271"/>
      <c r="V188" s="342"/>
      <c r="W188" s="271"/>
      <c r="X188" s="342"/>
      <c r="Y188" s="271"/>
      <c r="Z188" s="342"/>
      <c r="AA188" s="342"/>
      <c r="AB188" s="342"/>
      <c r="AC188" s="342"/>
      <c r="AE188" s="27"/>
    </row>
    <row r="189" spans="1:31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10">SUM(G184:G186)</f>
        <v>5381.658967623669</v>
      </c>
      <c r="H189" s="3"/>
      <c r="I189" s="178">
        <f t="shared" si="110"/>
        <v>5836.652431139988</v>
      </c>
      <c r="J189" s="181"/>
      <c r="K189" s="180"/>
      <c r="L189" s="178">
        <f t="shared" ref="L189:AC189" si="111">SUM(L184:L186)</f>
        <v>6656.9436187574665</v>
      </c>
      <c r="M189" s="181"/>
      <c r="N189" s="178">
        <f t="shared" ref="N189" si="112">SUM(N184:N186)</f>
        <v>6826.5169189769413</v>
      </c>
      <c r="O189" s="181"/>
      <c r="P189" s="179">
        <f t="shared" si="111"/>
        <v>7377.2878482527303</v>
      </c>
      <c r="Q189" s="180"/>
      <c r="R189" s="179">
        <f>SUM(R184:R186)</f>
        <v>8337.9596247768241</v>
      </c>
      <c r="S189" s="175"/>
      <c r="T189" s="179">
        <f>SUM(T184:T186)</f>
        <v>9536.0529500000011</v>
      </c>
      <c r="U189" s="273"/>
      <c r="V189" s="338">
        <f>SUM(V184:V186)</f>
        <v>9869.1629699141322</v>
      </c>
      <c r="W189" s="273"/>
      <c r="X189" s="338">
        <f t="shared" si="111"/>
        <v>11106.673320634342</v>
      </c>
      <c r="Y189" s="273"/>
      <c r="Z189" s="338">
        <f t="shared" si="111"/>
        <v>12036.805962024906</v>
      </c>
      <c r="AA189" s="338">
        <f t="shared" si="111"/>
        <v>12947.602035539907</v>
      </c>
      <c r="AB189" s="338">
        <f t="shared" si="111"/>
        <v>13946.028541596857</v>
      </c>
      <c r="AC189" s="338">
        <f t="shared" si="111"/>
        <v>14912.764950326473</v>
      </c>
    </row>
    <row r="190" spans="1:31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175"/>
      <c r="T190" s="270"/>
      <c r="U190" s="271"/>
      <c r="V190" s="368"/>
      <c r="W190" s="271"/>
      <c r="X190" s="342"/>
      <c r="Y190" s="271"/>
      <c r="Z190" s="342"/>
      <c r="AA190" s="342"/>
      <c r="AB190" s="342"/>
      <c r="AC190" s="342"/>
    </row>
    <row r="191" spans="1:31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75"/>
      <c r="T191" s="141">
        <f>SUM(T181+T189)</f>
        <v>43260.453030000004</v>
      </c>
      <c r="U191" s="273"/>
      <c r="V191" s="392">
        <f>SUM(V181+V189)</f>
        <v>45945.870951975274</v>
      </c>
      <c r="W191" s="446"/>
      <c r="X191" s="392">
        <f>SUM(X181+X189)</f>
        <v>46810.166216023499</v>
      </c>
      <c r="Y191" s="446"/>
      <c r="Z191" s="392">
        <f>SUM(Z181+Z189)</f>
        <v>50609.724763069353</v>
      </c>
      <c r="AA191" s="392">
        <f>SUM(AA181+AA189)</f>
        <v>54619.620843427198</v>
      </c>
      <c r="AB191" s="392">
        <f>SUM(AB181+AB189)</f>
        <v>58470.312011979346</v>
      </c>
      <c r="AC191" s="392">
        <f>SUM(AC181+AC189)</f>
        <v>63057.435693682914</v>
      </c>
    </row>
    <row r="192" spans="1:31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175"/>
      <c r="T192" s="285"/>
      <c r="U192" s="286"/>
      <c r="V192" s="285"/>
      <c r="W192" s="286"/>
      <c r="X192" s="285"/>
      <c r="Y192" s="286"/>
      <c r="Z192" s="285"/>
      <c r="AA192" s="285"/>
      <c r="AB192" s="285"/>
      <c r="AC192" s="285"/>
    </row>
    <row r="193" spans="1:29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175"/>
      <c r="T193" s="289">
        <f>SUM(T191-R191)</f>
        <v>1318.8821305611782</v>
      </c>
      <c r="U193" s="175"/>
      <c r="V193" s="289">
        <f>SUM(V191-T191)</f>
        <v>2685.4179219752696</v>
      </c>
      <c r="W193" s="175"/>
      <c r="X193" s="289">
        <f>SUM(X191-V191)</f>
        <v>864.29526404822536</v>
      </c>
      <c r="Y193" s="175"/>
      <c r="Z193" s="289">
        <f>SUM(Z191-X191)</f>
        <v>3799.5585470458536</v>
      </c>
      <c r="AA193" s="289">
        <f>SUM(AA191-Z191)</f>
        <v>4009.8960803578448</v>
      </c>
      <c r="AB193" s="289">
        <f>SUM(AB191-AA191)</f>
        <v>3850.6911685521482</v>
      </c>
      <c r="AC193" s="289">
        <f>SUM(AC191-AB191)</f>
        <v>4587.1236817035679</v>
      </c>
    </row>
    <row r="194" spans="1:29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S194" s="12"/>
      <c r="U194" s="12"/>
      <c r="W194" s="12"/>
      <c r="Y194" s="12"/>
    </row>
    <row r="195" spans="1:29" x14ac:dyDescent="0.3">
      <c r="L195" s="10">
        <f>(L191-I191)/I191</f>
        <v>0.10687939403512148</v>
      </c>
      <c r="N195" s="10">
        <f>(N191-L191)/L191</f>
        <v>5.6589076620461323E-2</v>
      </c>
      <c r="P195" s="10">
        <f>(P191-N191)/N191</f>
        <v>4.631807782636152E-2</v>
      </c>
      <c r="R195" s="10">
        <f>(R191-P191)/P191</f>
        <v>0.10353056429678457</v>
      </c>
      <c r="T195" s="10">
        <f>(T191-R191)/R191</f>
        <v>3.1445701776964791E-2</v>
      </c>
      <c r="U195" s="10"/>
      <c r="V195" s="10">
        <f>(V191-T191)/T191</f>
        <v>6.2075584832942038E-2</v>
      </c>
      <c r="W195" s="10"/>
      <c r="X195" s="10">
        <f>(X191-V191)/V191</f>
        <v>1.8811162921508796E-2</v>
      </c>
      <c r="Y195" s="10"/>
      <c r="Z195" s="10">
        <f>(Z191-X191)/X191</f>
        <v>8.1169516243786252E-2</v>
      </c>
      <c r="AA195" s="10">
        <f>(AA191-Z191)/Z191</f>
        <v>7.9231730643275974E-2</v>
      </c>
      <c r="AB195" s="10">
        <f>(AB191-AA191)/AA191</f>
        <v>7.0500144620017649E-2</v>
      </c>
      <c r="AC195" s="10">
        <f>(AC191-AB191)/AB191</f>
        <v>7.8452184088974281E-2</v>
      </c>
    </row>
    <row r="232" spans="20:22" x14ac:dyDescent="0.3">
      <c r="T232" s="354"/>
      <c r="V232" s="354"/>
    </row>
    <row r="233" spans="20:22" x14ac:dyDescent="0.3">
      <c r="T233" s="354"/>
      <c r="V233" s="354"/>
    </row>
    <row r="234" spans="20:22" x14ac:dyDescent="0.3">
      <c r="T234" s="354"/>
      <c r="V234" s="354"/>
    </row>
    <row r="236" spans="20:22" x14ac:dyDescent="0.3">
      <c r="T236" s="357"/>
      <c r="V236" s="357"/>
    </row>
  </sheetData>
  <pageMargins left="0.7" right="0.7" top="0.75" bottom="0.75" header="0.3" footer="0.3"/>
  <pageSetup paperSize="5" scale="60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47"/>
  <sheetViews>
    <sheetView zoomScaleNormal="100" workbookViewId="0">
      <pane ySplit="5" topLeftCell="A6" activePane="bottomLeft" state="frozen"/>
      <selection pane="bottomLeft" activeCell="C3" sqref="C3:I25"/>
    </sheetView>
  </sheetViews>
  <sheetFormatPr defaultRowHeight="14.4" x14ac:dyDescent="0.3"/>
  <cols>
    <col min="1" max="1" width="7.109375" customWidth="1"/>
    <col min="2" max="2" width="30.33203125" customWidth="1"/>
    <col min="4" max="4" width="9.6640625" bestFit="1" customWidth="1"/>
    <col min="7" max="7" width="9.88671875" customWidth="1"/>
    <col min="10" max="10" width="11.33203125" customWidth="1"/>
    <col min="11" max="11" width="7.109375" customWidth="1"/>
    <col min="14" max="14" width="10.33203125" customWidth="1"/>
    <col min="19" max="19" width="15.33203125" customWidth="1"/>
    <col min="20" max="20" width="7.109375" customWidth="1"/>
    <col min="21" max="21" width="10.44140625" customWidth="1"/>
  </cols>
  <sheetData>
    <row r="1" spans="1:26" x14ac:dyDescent="0.3">
      <c r="A1" s="345" t="s">
        <v>155</v>
      </c>
      <c r="C1" s="383"/>
      <c r="D1" s="383"/>
      <c r="E1" s="383"/>
      <c r="F1" s="383"/>
      <c r="G1" s="383"/>
      <c r="H1" s="383"/>
      <c r="I1" s="383"/>
    </row>
    <row r="2" spans="1:26" x14ac:dyDescent="0.3">
      <c r="C2" s="383"/>
      <c r="D2" s="383"/>
      <c r="E2" s="383"/>
      <c r="F2" s="383"/>
      <c r="G2" s="383"/>
      <c r="H2" s="383"/>
      <c r="I2" s="383"/>
      <c r="T2" s="383"/>
      <c r="U2" s="383"/>
      <c r="V2" s="383"/>
      <c r="W2" s="385"/>
      <c r="X2" s="383"/>
      <c r="Y2" s="383"/>
      <c r="Z2" s="386"/>
    </row>
    <row r="3" spans="1:26" ht="15" customHeight="1" x14ac:dyDescent="0.3">
      <c r="C3" s="627" t="s">
        <v>197</v>
      </c>
      <c r="D3" s="627"/>
      <c r="E3" s="627"/>
      <c r="F3" s="627"/>
      <c r="G3" s="627"/>
      <c r="H3" s="627"/>
      <c r="I3" s="627"/>
      <c r="J3" s="469"/>
      <c r="M3" s="627" t="s">
        <v>188</v>
      </c>
      <c r="N3" s="627"/>
      <c r="O3" s="627"/>
      <c r="P3" s="627"/>
      <c r="Q3" s="627"/>
      <c r="R3" s="627"/>
      <c r="S3" s="376"/>
      <c r="T3" s="383"/>
      <c r="U3" s="383"/>
      <c r="V3" s="627" t="s">
        <v>174</v>
      </c>
      <c r="W3" s="627"/>
      <c r="X3" s="627"/>
      <c r="Y3" s="627"/>
      <c r="Z3" s="627"/>
    </row>
    <row r="4" spans="1:26" x14ac:dyDescent="0.3">
      <c r="T4" s="383"/>
      <c r="U4" s="383"/>
      <c r="V4" s="383"/>
      <c r="W4" s="383"/>
      <c r="X4" s="383"/>
      <c r="Y4" s="383"/>
      <c r="Z4" s="383"/>
    </row>
    <row r="5" spans="1:26" x14ac:dyDescent="0.3">
      <c r="C5" s="469">
        <v>2019</v>
      </c>
      <c r="D5" s="469"/>
      <c r="E5" s="469">
        <f>C5+1</f>
        <v>2020</v>
      </c>
      <c r="F5" s="469">
        <f>E5+1</f>
        <v>2021</v>
      </c>
      <c r="G5" s="469">
        <f>F5+1</f>
        <v>2022</v>
      </c>
      <c r="H5" s="469">
        <f>G5+1</f>
        <v>2023</v>
      </c>
      <c r="I5" s="469">
        <f>H5+1</f>
        <v>2024</v>
      </c>
      <c r="M5" s="469">
        <v>2019</v>
      </c>
      <c r="N5" s="469">
        <f>M5+1</f>
        <v>2020</v>
      </c>
      <c r="O5" s="469">
        <f>N5+1</f>
        <v>2021</v>
      </c>
      <c r="P5" s="469">
        <f>O5+1</f>
        <v>2022</v>
      </c>
      <c r="Q5" s="469">
        <v>2023</v>
      </c>
      <c r="R5" s="469">
        <v>2024</v>
      </c>
      <c r="S5" s="469"/>
      <c r="T5" s="383"/>
      <c r="U5" s="383"/>
      <c r="V5" s="470">
        <v>2019</v>
      </c>
      <c r="W5" s="470">
        <f>V5+1</f>
        <v>2020</v>
      </c>
      <c r="X5" s="470">
        <f>W5+1</f>
        <v>2021</v>
      </c>
      <c r="Y5" s="470">
        <f>X5+1</f>
        <v>2022</v>
      </c>
      <c r="Z5" s="470">
        <f>Y5+1</f>
        <v>2023</v>
      </c>
    </row>
    <row r="6" spans="1:26" x14ac:dyDescent="0.3">
      <c r="A6" t="s">
        <v>157</v>
      </c>
      <c r="K6" t="s">
        <v>157</v>
      </c>
      <c r="T6" s="383" t="s">
        <v>157</v>
      </c>
      <c r="U6" s="383"/>
      <c r="V6" s="383"/>
      <c r="W6" s="383"/>
      <c r="X6" s="383"/>
      <c r="Y6" s="383"/>
      <c r="Z6" s="383"/>
    </row>
    <row r="7" spans="1:26" x14ac:dyDescent="0.3">
      <c r="B7" t="s">
        <v>158</v>
      </c>
      <c r="C7" s="348">
        <f>'Revision 12.10.19'!V174</f>
        <v>14808.461660383624</v>
      </c>
      <c r="D7" s="1">
        <f>(C7-M7)/M7</f>
        <v>0</v>
      </c>
      <c r="E7" s="475">
        <f>'Revision 12.10.19'!X174</f>
        <v>14688.082901149826</v>
      </c>
      <c r="F7" s="348">
        <f>'Revision 12.10.19'!Z174</f>
        <v>15264.497818942384</v>
      </c>
      <c r="G7" s="348">
        <f>'Revision 12.10.19'!AA174</f>
        <v>16741.632407551399</v>
      </c>
      <c r="H7" s="348">
        <f>'Revision 12.10.19'!AB174</f>
        <v>18073.858912976993</v>
      </c>
      <c r="I7" s="348">
        <f>'Revision 12.10.19'!AC174</f>
        <v>19824.711340207843</v>
      </c>
      <c r="J7" s="348"/>
      <c r="L7" t="s">
        <v>158</v>
      </c>
      <c r="M7" s="348">
        <f>'Revision 07.17.19'!V174</f>
        <v>14808.461660383624</v>
      </c>
      <c r="N7" s="386">
        <f>'Revision 07.17.19'!X174</f>
        <v>16271.455886322767</v>
      </c>
      <c r="O7" s="348">
        <f>'Revision 07.17.19'!Z174</f>
        <v>17512.179259278193</v>
      </c>
      <c r="P7" s="348">
        <f>'Revision 07.17.19'!AA174</f>
        <v>18946.363500080715</v>
      </c>
      <c r="Q7" s="348">
        <f>'Revision 07.17.19'!AB174</f>
        <v>20317.856281635079</v>
      </c>
      <c r="R7" s="348">
        <f>'Revision 07.17.19'!AC174</f>
        <v>22097.558093215699</v>
      </c>
      <c r="S7" s="348"/>
      <c r="T7" s="383"/>
      <c r="U7" s="383" t="s">
        <v>158</v>
      </c>
      <c r="V7" s="386">
        <f>'Revision 01.10.19'!V174</f>
        <v>16176.634829065673</v>
      </c>
      <c r="W7" s="386">
        <f>'Revision 01.10.19'!X174</f>
        <v>17660.198256227395</v>
      </c>
      <c r="X7" s="386">
        <f>'Revision 01.10.19'!Z174</f>
        <v>19257.568208895344</v>
      </c>
      <c r="Y7" s="386">
        <f>'Revision 01.10.19'!AA174</f>
        <v>21152.58777984617</v>
      </c>
      <c r="Z7" s="386">
        <f>'Revision 01.10.19'!AB174</f>
        <v>23115.70510635147</v>
      </c>
    </row>
    <row r="8" spans="1:26" x14ac:dyDescent="0.3">
      <c r="B8" t="s">
        <v>159</v>
      </c>
      <c r="C8" s="348">
        <f>'Revision 12.10.19'!V176</f>
        <v>5979.1903499999999</v>
      </c>
      <c r="D8" s="1">
        <f>(C8-M8)/M8</f>
        <v>-7.1119664264741519E-2</v>
      </c>
      <c r="E8" s="386">
        <f>'Revision 12.10.19'!X176</f>
        <v>6485.9689935238766</v>
      </c>
      <c r="F8" s="348">
        <f>'Revision 12.10.19'!Z176</f>
        <v>7049.1565542400222</v>
      </c>
      <c r="G8" s="348">
        <f>'Revision 12.10.19'!AA176</f>
        <v>7665.6285653430778</v>
      </c>
      <c r="H8" s="348">
        <f>'Revision 12.10.19'!AB176</f>
        <v>8223.6446912756182</v>
      </c>
      <c r="I8" s="348">
        <f>'Revision 12.10.19'!AC176</f>
        <v>8951.8719113049247</v>
      </c>
      <c r="L8" t="s">
        <v>159</v>
      </c>
      <c r="M8" s="348">
        <f>'Revision 07.17.19'!V176</f>
        <v>6436.9866816775175</v>
      </c>
      <c r="N8" s="386">
        <f>'Revision 07.17.19'!X176</f>
        <v>7083.7746372919164</v>
      </c>
      <c r="O8" s="348">
        <f>'Revision 07.17.19'!Z176</f>
        <v>7629.4848711061641</v>
      </c>
      <c r="P8" s="348">
        <f>'Revision 07.17.19'!AA176</f>
        <v>8260.554226434766</v>
      </c>
      <c r="Q8" s="348">
        <f>'Revision 07.17.19'!AB176</f>
        <v>8863.9095986202465</v>
      </c>
      <c r="R8" s="348">
        <f>'Revision 07.17.19'!AC176</f>
        <v>9647.4179306975238</v>
      </c>
      <c r="S8" s="348"/>
      <c r="T8" s="383"/>
      <c r="U8" s="383" t="s">
        <v>159</v>
      </c>
      <c r="V8" s="386">
        <f>'Revision 01.10.19'!V176</f>
        <v>6811.8201993011862</v>
      </c>
      <c r="W8" s="386">
        <f>'Revision 01.10.19'!X176</f>
        <v>7434.8156859921783</v>
      </c>
      <c r="X8" s="386">
        <f>'Revision 01.10.19'!Z176</f>
        <v>8105.695099915677</v>
      </c>
      <c r="Y8" s="386">
        <f>'Revision 01.10.19'!AA176</f>
        <v>8901.5087405383838</v>
      </c>
      <c r="Z8" s="386">
        <f>'Revision 01.10.19'!AB176</f>
        <v>9725.9126487460308</v>
      </c>
    </row>
    <row r="9" spans="1:26" x14ac:dyDescent="0.3">
      <c r="B9" t="s">
        <v>160</v>
      </c>
      <c r="C9" s="348">
        <f>'Revision 12.10.19'!V177</f>
        <v>11537.7201</v>
      </c>
      <c r="D9" s="1">
        <f>(C9-M9)/M9</f>
        <v>-1.0941844034232805E-2</v>
      </c>
      <c r="E9" s="386">
        <f>'Revision 12.10.19'!X177</f>
        <v>11452.9005610898</v>
      </c>
      <c r="F9" s="348">
        <f>'Revision 12.10.19'!Z177</f>
        <v>12309.744715542563</v>
      </c>
      <c r="G9" s="348">
        <f>'Revision 12.10.19'!AA177</f>
        <v>13199.841952346265</v>
      </c>
      <c r="H9" s="348">
        <f>'Revision 12.10.19'!AB177</f>
        <v>14049.579563719695</v>
      </c>
      <c r="I9" s="348">
        <f>'Revision 12.10.19'!AC177</f>
        <v>15064.179368989671</v>
      </c>
      <c r="L9" t="s">
        <v>160</v>
      </c>
      <c r="M9" s="348">
        <f>'Revision 07.17.19'!V177</f>
        <v>11665.360656910996</v>
      </c>
      <c r="N9" s="386">
        <f>'Revision 07.17.19'!X177</f>
        <v>12606.621170433074</v>
      </c>
      <c r="O9" s="348">
        <f>'Revision 07.17.19'!Z177</f>
        <v>13419.484252667491</v>
      </c>
      <c r="P9" s="348">
        <f>'Revision 07.17.19'!AA177</f>
        <v>14329.222639384503</v>
      </c>
      <c r="Q9" s="348">
        <f>'Revision 07.17.19'!AB177</f>
        <v>15220.997591836658</v>
      </c>
      <c r="R9" s="348">
        <f>'Revision 07.17.19'!AC177</f>
        <v>16279.126306560971</v>
      </c>
      <c r="S9" s="348"/>
      <c r="T9" s="383"/>
      <c r="U9" s="383" t="s">
        <v>160</v>
      </c>
      <c r="V9" s="386">
        <f>'Revision 01.10.19'!V177</f>
        <v>12028.763692634888</v>
      </c>
      <c r="W9" s="386">
        <f>'Revision 01.10.19'!X177</f>
        <v>12911.146611000037</v>
      </c>
      <c r="X9" s="386">
        <f>'Revision 01.10.19'!Z177</f>
        <v>13832.503247622539</v>
      </c>
      <c r="Y9" s="386">
        <f>'Revision 01.10.19'!AA177</f>
        <v>14919.212003738023</v>
      </c>
      <c r="Z9" s="386">
        <f>'Revision 01.10.19'!AB177</f>
        <v>16043.856108799073</v>
      </c>
    </row>
    <row r="10" spans="1:26" x14ac:dyDescent="0.3">
      <c r="B10" t="s">
        <v>161</v>
      </c>
      <c r="C10" s="348">
        <f>'Revision 12.10.19'!V178+'Revision 12.10.19'!V179</f>
        <v>3293.5395400000002</v>
      </c>
      <c r="D10" s="1">
        <f>(C10-M10)/M10</f>
        <v>-3.6421294047271277E-2</v>
      </c>
      <c r="E10" s="348">
        <f>'Revision 12.10.19'!X178+'Revision 12.10.19'!X179</f>
        <v>3342.9426331</v>
      </c>
      <c r="F10" s="348">
        <f>'Revision 12.10.19'!Z178+'Revision 12.10.19'!Z179</f>
        <v>3409.8014857620001</v>
      </c>
      <c r="G10" s="348">
        <f>'Revision 12.10.19'!AA178+'Revision 12.10.19'!AA179</f>
        <v>3477.9975154772401</v>
      </c>
      <c r="H10" s="348">
        <f>'Revision 12.10.19'!AB178+'Revision 12.10.19'!AB179</f>
        <v>3547.5574657867842</v>
      </c>
      <c r="I10" s="348">
        <f>'Revision 12.10.19'!AC178+'Revision 12.10.19'!AC179</f>
        <v>3618.5086151025203</v>
      </c>
      <c r="L10" t="s">
        <v>161</v>
      </c>
      <c r="M10" s="348">
        <f>'Revision 07.17.19'!V178+'Revision 07.17.19'!V179</f>
        <v>3418.0285633684134</v>
      </c>
      <c r="N10" s="348">
        <f>'Revision 07.17.19'!X178+'Revision 07.17.19'!X179</f>
        <v>3469.2989918189396</v>
      </c>
      <c r="O10" s="348">
        <f>'Revision 07.17.19'!Z178+'Revision 07.17.19'!Z179</f>
        <v>3538.6849716553183</v>
      </c>
      <c r="P10" s="348">
        <f>'Revision 07.17.19'!AA178+'Revision 07.17.19'!AA179</f>
        <v>3609.4586710884246</v>
      </c>
      <c r="Q10" s="348">
        <f>'Revision 07.17.19'!AB178+'Revision 07.17.19'!AB179</f>
        <v>3681.647844510193</v>
      </c>
      <c r="R10" s="348">
        <f>'Revision 07.17.19'!AC178+'Revision 07.17.19'!AC179</f>
        <v>3755.2808014003967</v>
      </c>
      <c r="S10" s="348"/>
      <c r="T10" s="383"/>
      <c r="U10" s="383" t="s">
        <v>161</v>
      </c>
      <c r="V10" s="388">
        <f>'Revision 01.10.19'!V178+'Revision 01.10.19'!V179</f>
        <v>3527.3724294999997</v>
      </c>
      <c r="W10" s="388">
        <f>'Revision 01.10.19'!X178+'Revision 01.10.19'!X179</f>
        <v>3580.2830159424993</v>
      </c>
      <c r="X10" s="388">
        <f>'Revision 01.10.19'!Z178+'Revision 01.10.19'!Z179</f>
        <v>3651.8886762613492</v>
      </c>
      <c r="Y10" s="388">
        <f>'Revision 01.10.19'!AA178+'Revision 01.10.19'!AA179</f>
        <v>3724.9264497865765</v>
      </c>
      <c r="Z10" s="388">
        <f>'Revision 01.10.19'!AB178+'Revision 01.10.19'!AB179</f>
        <v>3799.4249787823078</v>
      </c>
    </row>
    <row r="11" spans="1:26" x14ac:dyDescent="0.3">
      <c r="A11" t="s">
        <v>162</v>
      </c>
      <c r="C11" s="349">
        <f>SUM(C7:C10)</f>
        <v>35618.911650383619</v>
      </c>
      <c r="D11" s="1">
        <f>(C11-M11)/M11</f>
        <v>-1.9541663306421361E-2</v>
      </c>
      <c r="E11" s="349">
        <f>SUM(E7:E10)</f>
        <v>35969.895088863501</v>
      </c>
      <c r="F11" s="349">
        <f t="shared" ref="F11:I11" si="0">SUM(F7:F10)</f>
        <v>38033.200574486968</v>
      </c>
      <c r="G11" s="349">
        <f t="shared" si="0"/>
        <v>41085.100440717986</v>
      </c>
      <c r="H11" s="349">
        <f t="shared" si="0"/>
        <v>43894.640633759089</v>
      </c>
      <c r="I11" s="349">
        <f t="shared" si="0"/>
        <v>47459.27123560496</v>
      </c>
      <c r="K11" t="s">
        <v>162</v>
      </c>
      <c r="M11" s="349">
        <f>SUM(M7:M10)</f>
        <v>36328.837562340552</v>
      </c>
      <c r="N11" s="349">
        <f>SUM(N7:N10)</f>
        <v>39431.150685866698</v>
      </c>
      <c r="O11" s="349">
        <f t="shared" ref="O11:R11" si="1">SUM(O7:O10)</f>
        <v>42099.833354707167</v>
      </c>
      <c r="P11" s="349">
        <f t="shared" si="1"/>
        <v>45145.599036988409</v>
      </c>
      <c r="Q11" s="349">
        <f t="shared" si="1"/>
        <v>48084.411316602185</v>
      </c>
      <c r="R11" s="349">
        <f t="shared" si="1"/>
        <v>51779.383131874594</v>
      </c>
      <c r="S11" s="377"/>
      <c r="T11" s="383" t="s">
        <v>162</v>
      </c>
      <c r="U11" s="383"/>
      <c r="V11" s="389">
        <f>SUM(V7:V10)</f>
        <v>38544.591150501743</v>
      </c>
      <c r="W11" s="389">
        <f>SUM(W7:W10)</f>
        <v>41586.443569162111</v>
      </c>
      <c r="X11" s="389">
        <f>SUM(X7:X10)</f>
        <v>44847.65523269491</v>
      </c>
      <c r="Y11" s="389">
        <f>SUM(Y7:Y10)</f>
        <v>48698.234973909151</v>
      </c>
      <c r="Z11" s="389">
        <f>SUM(Z7:Z10)</f>
        <v>52684.898842678878</v>
      </c>
    </row>
    <row r="12" spans="1:26" x14ac:dyDescent="0.3">
      <c r="D12" s="411"/>
      <c r="E12" s="10">
        <f>(E11-N11)/N11</f>
        <v>-8.7779725846139578E-2</v>
      </c>
      <c r="F12" s="10">
        <f>(F11-O11)/O11</f>
        <v>-9.6594985209496345E-2</v>
      </c>
      <c r="G12" s="10">
        <f>(G11-P11)/P11</f>
        <v>-8.9942290785500506E-2</v>
      </c>
      <c r="H12" s="10">
        <f>(H11-Q11)/Q11</f>
        <v>-8.713365866655598E-2</v>
      </c>
      <c r="I12" s="10">
        <f>(I11-R11)/R11</f>
        <v>-8.3433050665492378E-2</v>
      </c>
      <c r="O12" s="10"/>
      <c r="P12" s="10"/>
      <c r="R12" s="10"/>
      <c r="T12" s="383"/>
      <c r="U12" s="383"/>
      <c r="V12" s="383"/>
      <c r="W12" s="383"/>
      <c r="X12" s="383"/>
      <c r="Y12" s="383"/>
      <c r="Z12" s="383"/>
    </row>
    <row r="13" spans="1:26" x14ac:dyDescent="0.3">
      <c r="A13" t="s">
        <v>163</v>
      </c>
      <c r="D13" s="411"/>
      <c r="K13" t="s">
        <v>163</v>
      </c>
      <c r="T13" s="383" t="s">
        <v>163</v>
      </c>
      <c r="U13" s="383"/>
      <c r="V13" s="383"/>
      <c r="W13" s="383"/>
      <c r="X13" s="383"/>
      <c r="Y13" s="383"/>
      <c r="Z13" s="383"/>
    </row>
    <row r="14" spans="1:26" x14ac:dyDescent="0.3">
      <c r="B14" t="s">
        <v>158</v>
      </c>
      <c r="C14" s="348">
        <f>'Revision 12.10.19'!V184</f>
        <v>3843.9964030509846</v>
      </c>
      <c r="D14" s="1">
        <f>(C14-M14)/M14</f>
        <v>0</v>
      </c>
      <c r="E14" s="348">
        <f>'Revision 12.10.19'!X184</f>
        <v>4418.748438837325</v>
      </c>
      <c r="F14" s="348">
        <f>'Revision 12.10.19'!Z184</f>
        <v>4875.8132112193616</v>
      </c>
      <c r="G14" s="348">
        <f>'Revision 12.10.19'!AA184</f>
        <v>5340.4974457933859</v>
      </c>
      <c r="H14" s="348">
        <f>'Revision 12.10.19'!AB184</f>
        <v>5841.7521248904177</v>
      </c>
      <c r="I14" s="348">
        <f>'Revision 12.10.19'!AC184</f>
        <v>6329.0893402286101</v>
      </c>
      <c r="L14" t="s">
        <v>158</v>
      </c>
      <c r="M14" s="348">
        <f>'Revision 07.17.19'!V184</f>
        <v>3843.9964030509846</v>
      </c>
      <c r="N14" s="348">
        <f>'Revision 07.17.19'!X184</f>
        <v>4363.852134005534</v>
      </c>
      <c r="O14" s="348">
        <f>'Revision 07.17.19'!Z184</f>
        <v>4821.5188762242879</v>
      </c>
      <c r="P14" s="348">
        <f>'Revision 07.17.19'!AA184</f>
        <v>5308.603077277955</v>
      </c>
      <c r="Q14" s="348">
        <f>'Revision 07.17.19'!AB184</f>
        <v>5810.3496255272566</v>
      </c>
      <c r="R14" s="348">
        <f>'Revision 07.17.19'!AC184</f>
        <v>6297.0587908781854</v>
      </c>
      <c r="S14" s="348"/>
      <c r="T14" s="383"/>
      <c r="U14" s="383" t="s">
        <v>158</v>
      </c>
      <c r="V14" s="390">
        <f>'Revision 01.10.19'!V184</f>
        <v>4097.5034710674299</v>
      </c>
      <c r="W14" s="390">
        <f>'Revision 01.10.19'!X184</f>
        <v>4438.488647809455</v>
      </c>
      <c r="X14" s="390">
        <f>'Revision 01.10.19'!Z184</f>
        <v>4759.2997710701065</v>
      </c>
      <c r="Y14" s="390">
        <f>'Revision 01.10.19'!AA184</f>
        <v>5093.2568009835568</v>
      </c>
      <c r="Z14" s="390">
        <f>'Revision 01.10.19'!AB184</f>
        <v>5438.6683921851172</v>
      </c>
    </row>
    <row r="15" spans="1:26" x14ac:dyDescent="0.3">
      <c r="B15" t="s">
        <v>159</v>
      </c>
      <c r="C15" s="348">
        <f>'Revision 12.10.19'!V185</f>
        <v>1655.63895</v>
      </c>
      <c r="D15" s="1">
        <f>(C15-M15)/M15</f>
        <v>-8.0060618063971814E-2</v>
      </c>
      <c r="E15" s="348">
        <f>'Revision 12.10.19'!X185</f>
        <v>1891.7815198947171</v>
      </c>
      <c r="F15" s="348">
        <f>'Revision 12.10.19'!Z185</f>
        <v>2079.3984473092009</v>
      </c>
      <c r="G15" s="348">
        <f>'Revision 12.10.19'!AA185</f>
        <v>2270.1494641187687</v>
      </c>
      <c r="H15" s="348">
        <f>'Revision 12.10.19'!AB185</f>
        <v>2475.796763686285</v>
      </c>
      <c r="I15" s="348">
        <f>'Revision 12.10.19'!AC185</f>
        <v>2675.8302762101484</v>
      </c>
      <c r="L15" t="s">
        <v>159</v>
      </c>
      <c r="M15" s="348">
        <f>'Revision 07.17.19'!V185</f>
        <v>1799.726136863148</v>
      </c>
      <c r="N15" s="348">
        <f>'Revision 07.17.19'!X185</f>
        <v>2032.1770915519778</v>
      </c>
      <c r="O15" s="348">
        <f>'Revision 07.17.19'!Z185</f>
        <v>2236.3878070482615</v>
      </c>
      <c r="P15" s="348">
        <f>'Revision 07.17.19'!AA185</f>
        <v>2453.6315426448668</v>
      </c>
      <c r="Q15" s="348">
        <f>'Revision 07.17.19'!AB185</f>
        <v>2677.3931587605957</v>
      </c>
      <c r="R15" s="348">
        <f>'Revision 07.17.19'!AC185</f>
        <v>2894.5578647470929</v>
      </c>
      <c r="S15" s="348"/>
      <c r="T15" s="383"/>
      <c r="U15" s="383" t="s">
        <v>159</v>
      </c>
      <c r="V15" s="390">
        <f>'Revision 01.10.19'!V185</f>
        <v>1879.2710451087662</v>
      </c>
      <c r="W15" s="390">
        <f>'Revision 01.10.19'!X185</f>
        <v>2026.3679327527882</v>
      </c>
      <c r="X15" s="390">
        <f>'Revision 01.10.19'!Z185</f>
        <v>2165.6047665462388</v>
      </c>
      <c r="Y15" s="390">
        <f>'Revision 01.10.19'!AA185</f>
        <v>2310.4891181238913</v>
      </c>
      <c r="Z15" s="390">
        <f>'Revision 01.10.19'!AB185</f>
        <v>2460.3026018580322</v>
      </c>
    </row>
    <row r="16" spans="1:26" x14ac:dyDescent="0.3">
      <c r="B16" t="s">
        <v>161</v>
      </c>
      <c r="C16" s="348">
        <f>'Revision 12.10.19'!V186</f>
        <v>4225.4404299999997</v>
      </c>
      <c r="D16" s="1">
        <f>(C16-M16)/M16</f>
        <v>-5.346521387688671E-3</v>
      </c>
      <c r="E16" s="348">
        <f>'Revision 12.10.19'!X186</f>
        <v>4631.5051251893237</v>
      </c>
      <c r="F16" s="348">
        <f>'Revision 12.10.19'!Z186</f>
        <v>4900.6281135910012</v>
      </c>
      <c r="G16" s="348">
        <f>'Revision 12.10.19'!AA186</f>
        <v>5139.3882285432419</v>
      </c>
      <c r="H16" s="348">
        <f>'Revision 12.10.19'!AB186</f>
        <v>5413.0156528983625</v>
      </c>
      <c r="I16" s="348">
        <f>'Revision 12.10.19'!AC186</f>
        <v>5674.9727882023399</v>
      </c>
      <c r="L16" t="s">
        <v>161</v>
      </c>
      <c r="M16" s="348">
        <f>'Revision 07.17.19'!V186</f>
        <v>4248.1532723286846</v>
      </c>
      <c r="N16" s="348">
        <f>'Revision 07.17.19'!X186</f>
        <v>4584.4519741818185</v>
      </c>
      <c r="O16" s="348">
        <f>'Revision 07.17.19'!Z186</f>
        <v>4871.2319367703885</v>
      </c>
      <c r="P16" s="348">
        <f>'Revision 07.17.19'!AA186</f>
        <v>5144.2310919144493</v>
      </c>
      <c r="Q16" s="348">
        <f>'Revision 07.17.19'!AB186</f>
        <v>5435.1221991065313</v>
      </c>
      <c r="R16" s="348">
        <f>'Revision 07.17.19'!AC186</f>
        <v>5713.9867890365349</v>
      </c>
      <c r="S16" s="348"/>
      <c r="T16" s="383"/>
      <c r="U16" s="383" t="s">
        <v>161</v>
      </c>
      <c r="V16" s="388">
        <f>'Revision 01.10.19'!V186</f>
        <v>4743.3830156738813</v>
      </c>
      <c r="W16" s="388">
        <f>'Revision 01.10.19'!X186</f>
        <v>5108.3176329951712</v>
      </c>
      <c r="X16" s="388">
        <f>'Revision 01.10.19'!Z186</f>
        <v>5484.8276332678861</v>
      </c>
      <c r="Y16" s="388">
        <f>'Revision 01.10.19'!AA186</f>
        <v>5876.0264500051917</v>
      </c>
      <c r="Z16" s="388">
        <f>'Revision 01.10.19'!AB186</f>
        <v>6280.6792883586822</v>
      </c>
    </row>
    <row r="17" spans="1:26" x14ac:dyDescent="0.3">
      <c r="A17" t="s">
        <v>164</v>
      </c>
      <c r="C17" s="349">
        <f>SUM(C13:C16)</f>
        <v>9725.0757830509829</v>
      </c>
      <c r="D17" s="1">
        <f>(C17-M17)/M17</f>
        <v>-1.6862325443410025E-2</v>
      </c>
      <c r="E17" s="349">
        <f>SUM(E13:E16)</f>
        <v>10942.035083921366</v>
      </c>
      <c r="F17" s="349">
        <f t="shared" ref="F17:I17" si="2">SUM(F13:F16)</f>
        <v>11855.839772119563</v>
      </c>
      <c r="G17" s="349">
        <f t="shared" si="2"/>
        <v>12750.035138455398</v>
      </c>
      <c r="H17" s="349">
        <f t="shared" si="2"/>
        <v>13730.564541475065</v>
      </c>
      <c r="I17" s="349">
        <f t="shared" si="2"/>
        <v>14679.892404641098</v>
      </c>
      <c r="K17" t="s">
        <v>164</v>
      </c>
      <c r="M17" s="349">
        <f>SUM(M13:M16)</f>
        <v>9891.8758122428171</v>
      </c>
      <c r="N17" s="349">
        <f>SUM(N13:N16)</f>
        <v>10980.48119973933</v>
      </c>
      <c r="O17" s="349">
        <f t="shared" ref="O17:R17" si="3">SUM(O13:O16)</f>
        <v>11929.138620042937</v>
      </c>
      <c r="P17" s="349">
        <f t="shared" si="3"/>
        <v>12906.465711837271</v>
      </c>
      <c r="Q17" s="349">
        <f t="shared" si="3"/>
        <v>13922.864983394385</v>
      </c>
      <c r="R17" s="349">
        <f t="shared" si="3"/>
        <v>14905.603444661814</v>
      </c>
      <c r="S17" s="377"/>
      <c r="T17" s="383" t="s">
        <v>164</v>
      </c>
      <c r="U17" s="383"/>
      <c r="V17" s="389">
        <f>SUM(V13:V16)</f>
        <v>10720.157531850076</v>
      </c>
      <c r="W17" s="389">
        <f>SUM(W13:W16)</f>
        <v>11573.174213557413</v>
      </c>
      <c r="X17" s="389">
        <f>SUM(X13:X16)</f>
        <v>12409.732170884232</v>
      </c>
      <c r="Y17" s="389">
        <f>SUM(Y13:Y16)</f>
        <v>13279.772369112641</v>
      </c>
      <c r="Z17" s="389">
        <f>SUM(Z13:Z16)</f>
        <v>14179.650282401832</v>
      </c>
    </row>
    <row r="18" spans="1:26" x14ac:dyDescent="0.3">
      <c r="D18" s="411"/>
      <c r="E18" s="10">
        <f>(E17-N17)/N17</f>
        <v>-3.5013142974896663E-3</v>
      </c>
      <c r="F18" s="10">
        <f>(F17-O17)/O17</f>
        <v>-6.1445214326053144E-3</v>
      </c>
      <c r="G18" s="10">
        <f>(G17-P17)/P17</f>
        <v>-1.2120326112082042E-2</v>
      </c>
      <c r="H18" s="10">
        <f>(H17-Q17)/Q17</f>
        <v>-1.3811844196483587E-2</v>
      </c>
      <c r="I18" s="10">
        <f>(I17-R17)/R17</f>
        <v>-1.5142697231862233E-2</v>
      </c>
      <c r="O18" s="10"/>
      <c r="P18" s="10"/>
      <c r="R18" s="10"/>
      <c r="T18" s="383"/>
      <c r="U18" s="383"/>
      <c r="V18" s="383"/>
      <c r="W18" s="383"/>
      <c r="X18" s="383"/>
      <c r="Y18" s="383"/>
      <c r="Z18" s="383"/>
    </row>
    <row r="19" spans="1:26" x14ac:dyDescent="0.3">
      <c r="D19" s="411"/>
      <c r="E19" s="10"/>
      <c r="F19" s="10"/>
      <c r="G19" s="10"/>
      <c r="H19" s="10"/>
      <c r="I19" s="10"/>
      <c r="O19" s="10"/>
      <c r="P19" s="10"/>
      <c r="R19" s="10"/>
      <c r="T19" s="383"/>
      <c r="U19" s="383"/>
      <c r="V19" s="383"/>
      <c r="W19" s="383"/>
      <c r="X19" s="383"/>
      <c r="Y19" s="383"/>
      <c r="Z19" s="383"/>
    </row>
    <row r="20" spans="1:26" x14ac:dyDescent="0.3">
      <c r="A20" s="345" t="s">
        <v>165</v>
      </c>
      <c r="B20" s="345"/>
      <c r="C20" s="350">
        <f>C11+C17</f>
        <v>45343.987433434602</v>
      </c>
      <c r="D20" s="351">
        <f>(C20-M20)/M20</f>
        <v>-1.8968247721396644E-2</v>
      </c>
      <c r="E20" s="350">
        <f>E11+E17</f>
        <v>46911.930172784865</v>
      </c>
      <c r="F20" s="350">
        <f>F11+F17</f>
        <v>49889.040346606533</v>
      </c>
      <c r="G20" s="350">
        <f>G11+G17</f>
        <v>53835.13557917338</v>
      </c>
      <c r="H20" s="350">
        <f>H11+H17</f>
        <v>57625.20517523415</v>
      </c>
      <c r="I20" s="350">
        <f>I11+I17</f>
        <v>62139.163640246057</v>
      </c>
      <c r="J20" s="345"/>
      <c r="K20" s="345" t="s">
        <v>165</v>
      </c>
      <c r="L20" s="345"/>
      <c r="M20" s="350">
        <f t="shared" ref="M20:R20" si="4">M11+M17</f>
        <v>46220.713374583371</v>
      </c>
      <c r="N20" s="350">
        <f t="shared" si="4"/>
        <v>50411.631885606024</v>
      </c>
      <c r="O20" s="350">
        <f t="shared" si="4"/>
        <v>54028.971974750108</v>
      </c>
      <c r="P20" s="350">
        <f t="shared" si="4"/>
        <v>58052.06474882568</v>
      </c>
      <c r="Q20" s="350">
        <f t="shared" si="4"/>
        <v>62007.276299996571</v>
      </c>
      <c r="R20" s="350">
        <f t="shared" si="4"/>
        <v>66684.986576536408</v>
      </c>
      <c r="S20" s="350"/>
      <c r="T20" s="380" t="s">
        <v>165</v>
      </c>
      <c r="U20" s="380"/>
      <c r="V20" s="391">
        <f>V11+V17</f>
        <v>49264.748682351819</v>
      </c>
      <c r="W20" s="391">
        <f>W11+W17</f>
        <v>53159.617782719521</v>
      </c>
      <c r="X20" s="391">
        <f>X11+X17</f>
        <v>57257.387403579138</v>
      </c>
      <c r="Y20" s="391">
        <f>Y11+Y17</f>
        <v>61978.007343021789</v>
      </c>
      <c r="Z20" s="391">
        <f>Z11+Z17</f>
        <v>66864.54912508071</v>
      </c>
    </row>
    <row r="21" spans="1:26" x14ac:dyDescent="0.3">
      <c r="A21" s="364" t="s">
        <v>193</v>
      </c>
      <c r="B21" s="345"/>
      <c r="C21" s="366">
        <f>C20-M20</f>
        <v>-876.72594114876847</v>
      </c>
      <c r="D21" s="365"/>
      <c r="E21" s="366">
        <f>E20-N20</f>
        <v>-3499.7017128211592</v>
      </c>
      <c r="F21" s="366">
        <f>F20-O20</f>
        <v>-4139.9316281435749</v>
      </c>
      <c r="G21" s="366">
        <f>G20-P20</f>
        <v>-4216.9291696522996</v>
      </c>
      <c r="H21" s="366">
        <f>H20-Q20</f>
        <v>-4382.0711247624204</v>
      </c>
      <c r="I21" s="366">
        <f>I20-R20</f>
        <v>-4545.8229362903512</v>
      </c>
      <c r="J21" s="345"/>
      <c r="K21" s="345"/>
      <c r="L21" s="345"/>
      <c r="M21" s="350"/>
      <c r="N21" s="350"/>
      <c r="O21" s="350"/>
      <c r="P21" s="350"/>
      <c r="Q21" s="350"/>
      <c r="R21" s="350"/>
      <c r="S21" s="350"/>
    </row>
    <row r="22" spans="1:26" x14ac:dyDescent="0.3">
      <c r="C22" s="10">
        <f>(C20-M20)/M20</f>
        <v>-1.8968247721396644E-2</v>
      </c>
      <c r="E22" s="10">
        <f>(E20-N20)/N20</f>
        <v>-6.9422503932478827E-2</v>
      </c>
      <c r="F22" s="10">
        <f>(F20-O20)/O20</f>
        <v>-7.6624290206342066E-2</v>
      </c>
      <c r="G22" s="10">
        <f>(G20-P20)/P20</f>
        <v>-7.2640468308883072E-2</v>
      </c>
      <c r="H22" s="10">
        <f>(H20-Q20)/Q20</f>
        <v>-7.0670272688024241E-2</v>
      </c>
      <c r="I22" s="10">
        <f>(I20-R20)/R20</f>
        <v>-6.8168611402102786E-2</v>
      </c>
    </row>
    <row r="23" spans="1:26" x14ac:dyDescent="0.3">
      <c r="N23" s="348"/>
    </row>
    <row r="24" spans="1:26" x14ac:dyDescent="0.3">
      <c r="A24" s="379" t="s">
        <v>175</v>
      </c>
      <c r="B24" s="380"/>
      <c r="C24" s="381">
        <f>C20-V20</f>
        <v>-3920.761248917217</v>
      </c>
      <c r="D24" s="382"/>
      <c r="E24" s="381">
        <f>E20-W20</f>
        <v>-6247.6876099346555</v>
      </c>
      <c r="F24" s="381">
        <f>F20-X20</f>
        <v>-7368.3470569726051</v>
      </c>
      <c r="G24" s="381">
        <f>G20-Y20</f>
        <v>-8142.8717638484086</v>
      </c>
      <c r="H24" s="381">
        <f>H20-Z20</f>
        <v>-9239.3439498465596</v>
      </c>
      <c r="I24" s="381"/>
      <c r="J24" s="345"/>
      <c r="K24" s="345"/>
      <c r="L24" s="345"/>
      <c r="M24" s="350"/>
      <c r="N24" s="350"/>
      <c r="O24" s="350"/>
      <c r="P24" s="350"/>
      <c r="Q24" s="350"/>
      <c r="R24" s="350"/>
      <c r="S24" s="350"/>
    </row>
    <row r="25" spans="1:26" x14ac:dyDescent="0.3">
      <c r="A25" s="383"/>
      <c r="B25" s="383"/>
      <c r="C25" s="384">
        <f>(C20-V20)/V20</f>
        <v>-7.9585532328550312E-2</v>
      </c>
      <c r="D25" s="383"/>
      <c r="E25" s="384">
        <f>(E20-W20)/W20</f>
        <v>-0.11752694753131911</v>
      </c>
      <c r="F25" s="384">
        <f>(F20-X20)/X20</f>
        <v>-0.1286881464750872</v>
      </c>
      <c r="G25" s="384">
        <f>(G20-Y20)/Y20</f>
        <v>-0.13138324565327009</v>
      </c>
      <c r="H25" s="384">
        <f>(H20-Z20)/Z20</f>
        <v>-0.13818000825165075</v>
      </c>
      <c r="I25" s="384"/>
    </row>
    <row r="26" spans="1:26" x14ac:dyDescent="0.3">
      <c r="A26" s="383"/>
      <c r="B26" s="383"/>
      <c r="C26" s="384"/>
      <c r="D26" s="383"/>
      <c r="E26" s="384"/>
      <c r="F26" s="384"/>
      <c r="G26" s="384"/>
      <c r="H26" s="384"/>
      <c r="I26" s="384"/>
      <c r="N26" s="348"/>
    </row>
    <row r="27" spans="1:26" ht="15" thickBot="1" x14ac:dyDescent="0.35">
      <c r="C27" s="413"/>
      <c r="E27" s="10"/>
      <c r="F27" s="10"/>
      <c r="G27" s="10"/>
      <c r="H27" s="10"/>
      <c r="I27" s="10"/>
      <c r="M27" s="348"/>
    </row>
    <row r="28" spans="1:26" x14ac:dyDescent="0.3">
      <c r="B28" s="410"/>
      <c r="C28" s="414" t="s">
        <v>183</v>
      </c>
      <c r="D28" s="416">
        <v>43663</v>
      </c>
      <c r="E28" s="418" t="s">
        <v>184</v>
      </c>
      <c r="F28" s="416">
        <v>43466</v>
      </c>
      <c r="G28" s="419" t="s">
        <v>184</v>
      </c>
      <c r="K28" s="428"/>
      <c r="L28" s="429"/>
      <c r="M28" s="632" t="s">
        <v>198</v>
      </c>
      <c r="N28" s="632"/>
      <c r="O28" s="632"/>
      <c r="P28" s="632"/>
      <c r="Q28" s="632"/>
      <c r="R28" s="633"/>
    </row>
    <row r="29" spans="1:26" x14ac:dyDescent="0.3">
      <c r="B29" s="401" t="s">
        <v>181</v>
      </c>
      <c r="C29" s="390">
        <f>SUM(C8:C10)</f>
        <v>20810.449990000001</v>
      </c>
      <c r="D29" s="390">
        <f>SUM(M8:M10)</f>
        <v>21520.37590195693</v>
      </c>
      <c r="E29" s="377">
        <f>+C29-D29</f>
        <v>-709.92591195692876</v>
      </c>
      <c r="F29" s="390">
        <f>SUM(V8:V10)</f>
        <v>22367.956321436075</v>
      </c>
      <c r="G29" s="402">
        <f>+C29-F29</f>
        <v>-1557.5063314360741</v>
      </c>
      <c r="K29" s="430"/>
      <c r="L29" s="375"/>
      <c r="M29" s="375"/>
      <c r="N29" s="375"/>
      <c r="O29" s="375"/>
      <c r="P29" s="375"/>
      <c r="Q29" s="375"/>
      <c r="R29" s="431"/>
    </row>
    <row r="30" spans="1:26" x14ac:dyDescent="0.3">
      <c r="B30" s="401" t="s">
        <v>182</v>
      </c>
      <c r="C30" s="388">
        <f>SUM(C15:C16)</f>
        <v>5881.0793799999992</v>
      </c>
      <c r="D30" s="388">
        <f>SUM(M15:M16)</f>
        <v>6047.8794091918326</v>
      </c>
      <c r="E30" s="393">
        <f>+C30-D30</f>
        <v>-166.80002919183335</v>
      </c>
      <c r="F30" s="388">
        <f>SUM(V15:V16)</f>
        <v>6622.6540607826473</v>
      </c>
      <c r="G30" s="403">
        <f>+C30-F30</f>
        <v>-741.5746807826481</v>
      </c>
      <c r="K30" s="430"/>
      <c r="L30" s="375"/>
      <c r="M30" s="376">
        <v>2019</v>
      </c>
      <c r="N30" s="376">
        <f>M30+1</f>
        <v>2020</v>
      </c>
      <c r="O30" s="376">
        <f>N30+1</f>
        <v>2021</v>
      </c>
      <c r="P30" s="376">
        <f>O30+1</f>
        <v>2022</v>
      </c>
      <c r="Q30" s="376">
        <v>2023</v>
      </c>
      <c r="R30" s="432">
        <v>2024</v>
      </c>
    </row>
    <row r="31" spans="1:26" x14ac:dyDescent="0.3">
      <c r="B31" s="401"/>
      <c r="C31" s="390">
        <f>SUM(C29:C30)</f>
        <v>26691.52937</v>
      </c>
      <c r="D31" s="390">
        <f>SUM(D29:D30)</f>
        <v>27568.255311148761</v>
      </c>
      <c r="E31" s="377">
        <f>SUM(E29:E30)</f>
        <v>-876.7259411487621</v>
      </c>
      <c r="F31" s="390">
        <f t="shared" ref="F31" si="5">SUM(F29:F30)</f>
        <v>28990.610382218721</v>
      </c>
      <c r="G31" s="402">
        <f>SUM(G29:G30)</f>
        <v>-2299.0810122187222</v>
      </c>
      <c r="K31" s="430" t="s">
        <v>157</v>
      </c>
      <c r="L31" s="375"/>
      <c r="M31" s="375"/>
      <c r="N31" s="375"/>
      <c r="O31" s="375"/>
      <c r="P31" s="375"/>
      <c r="Q31" s="375"/>
      <c r="R31" s="431"/>
    </row>
    <row r="32" spans="1:26" x14ac:dyDescent="0.3">
      <c r="B32" s="401"/>
      <c r="C32" s="415"/>
      <c r="D32" s="415"/>
      <c r="E32" s="375"/>
      <c r="F32" s="415"/>
      <c r="G32" s="404"/>
      <c r="K32" s="430"/>
      <c r="L32" s="375" t="s">
        <v>158</v>
      </c>
      <c r="M32" s="377">
        <f>C7-M7</f>
        <v>0</v>
      </c>
      <c r="N32" s="481">
        <f>E7-N7</f>
        <v>-1583.3729851729404</v>
      </c>
      <c r="O32" s="377">
        <f>F7-O7</f>
        <v>-2247.6814403358094</v>
      </c>
      <c r="P32" s="377">
        <f t="shared" ref="P32:R35" si="6">G7-P7</f>
        <v>-2204.7310925293168</v>
      </c>
      <c r="Q32" s="377">
        <f t="shared" si="6"/>
        <v>-2243.9973686580852</v>
      </c>
      <c r="R32" s="433">
        <f t="shared" si="6"/>
        <v>-2272.846753007856</v>
      </c>
      <c r="S32" s="348"/>
    </row>
    <row r="33" spans="2:18" x14ac:dyDescent="0.3">
      <c r="B33" s="401" t="s">
        <v>185</v>
      </c>
      <c r="C33" s="390">
        <f>+C7</f>
        <v>14808.461660383624</v>
      </c>
      <c r="D33" s="390">
        <f>M7</f>
        <v>14808.461660383624</v>
      </c>
      <c r="E33" s="377">
        <f>+C33-D33</f>
        <v>0</v>
      </c>
      <c r="F33" s="390">
        <f>+V7</f>
        <v>16176.634829065673</v>
      </c>
      <c r="G33" s="402">
        <f>+C33-F33</f>
        <v>-1368.1731686820494</v>
      </c>
      <c r="K33" s="430"/>
      <c r="L33" s="375" t="s">
        <v>159</v>
      </c>
      <c r="M33" s="377">
        <f>C8-M8</f>
        <v>-457.79633167751763</v>
      </c>
      <c r="N33" s="390">
        <f>E8-N8</f>
        <v>-597.80564376803977</v>
      </c>
      <c r="O33" s="377">
        <f t="shared" ref="O33:O35" si="7">F8-O8</f>
        <v>-580.3283168661419</v>
      </c>
      <c r="P33" s="377">
        <f t="shared" si="6"/>
        <v>-594.9256610916882</v>
      </c>
      <c r="Q33" s="377">
        <f t="shared" si="6"/>
        <v>-640.26490734462823</v>
      </c>
      <c r="R33" s="433">
        <f t="shared" si="6"/>
        <v>-695.54601939259919</v>
      </c>
    </row>
    <row r="34" spans="2:18" x14ac:dyDescent="0.3">
      <c r="B34" s="401" t="s">
        <v>186</v>
      </c>
      <c r="C34" s="388">
        <f>+C14</f>
        <v>3843.9964030509846</v>
      </c>
      <c r="D34" s="388">
        <f>M14</f>
        <v>3843.9964030509846</v>
      </c>
      <c r="E34" s="393">
        <f>+C34-D34</f>
        <v>0</v>
      </c>
      <c r="F34" s="388">
        <f>+V14</f>
        <v>4097.5034710674299</v>
      </c>
      <c r="G34" s="403">
        <f>+C34-F34</f>
        <v>-253.50706801644537</v>
      </c>
      <c r="K34" s="430"/>
      <c r="L34" s="375" t="s">
        <v>160</v>
      </c>
      <c r="M34" s="377">
        <f>C9-M9</f>
        <v>-127.64055691099566</v>
      </c>
      <c r="N34" s="471">
        <f>E9-N9</f>
        <v>-1153.7206093432742</v>
      </c>
      <c r="O34" s="377">
        <f t="shared" si="7"/>
        <v>-1109.7395371249277</v>
      </c>
      <c r="P34" s="377">
        <f t="shared" si="6"/>
        <v>-1129.3806870382377</v>
      </c>
      <c r="Q34" s="377">
        <f t="shared" si="6"/>
        <v>-1171.4180281169629</v>
      </c>
      <c r="R34" s="433">
        <f t="shared" si="6"/>
        <v>-1214.9469375712997</v>
      </c>
    </row>
    <row r="35" spans="2:18" x14ac:dyDescent="0.3">
      <c r="B35" s="401"/>
      <c r="C35" s="390">
        <f>SUM(C33:C34)</f>
        <v>18652.458063434609</v>
      </c>
      <c r="D35" s="390">
        <f t="shared" ref="D35:G35" si="8">SUM(D33:D34)</f>
        <v>18652.458063434609</v>
      </c>
      <c r="E35" s="377">
        <f t="shared" si="8"/>
        <v>0</v>
      </c>
      <c r="F35" s="390">
        <f t="shared" si="8"/>
        <v>20274.138300133105</v>
      </c>
      <c r="G35" s="402">
        <f t="shared" si="8"/>
        <v>-1621.6802366984948</v>
      </c>
      <c r="K35" s="430"/>
      <c r="L35" s="375" t="s">
        <v>161</v>
      </c>
      <c r="M35" s="377">
        <f>C10-M10</f>
        <v>-124.4890233684132</v>
      </c>
      <c r="N35" s="390">
        <f t="shared" ref="N35" si="9">E10-N10</f>
        <v>-126.35635871893965</v>
      </c>
      <c r="O35" s="377">
        <f t="shared" si="7"/>
        <v>-128.88348589331827</v>
      </c>
      <c r="P35" s="377">
        <f t="shared" si="6"/>
        <v>-131.46115561118449</v>
      </c>
      <c r="Q35" s="377">
        <f t="shared" si="6"/>
        <v>-134.09037872340878</v>
      </c>
      <c r="R35" s="433">
        <f t="shared" si="6"/>
        <v>-136.77218629787649</v>
      </c>
    </row>
    <row r="36" spans="2:18" x14ac:dyDescent="0.3">
      <c r="B36" s="401"/>
      <c r="C36" s="415"/>
      <c r="D36" s="417"/>
      <c r="E36" s="375"/>
      <c r="F36" s="417"/>
      <c r="G36" s="404"/>
      <c r="K36" s="430" t="s">
        <v>162</v>
      </c>
      <c r="L36" s="375"/>
      <c r="M36" s="349">
        <f>SUM(M32:M35)</f>
        <v>-709.92591195692648</v>
      </c>
      <c r="N36" s="349">
        <f>SUM(N32:N35)</f>
        <v>-3461.255597003194</v>
      </c>
      <c r="O36" s="349">
        <f t="shared" ref="O36:R36" si="10">SUM(O32:O35)</f>
        <v>-4066.6327802201972</v>
      </c>
      <c r="P36" s="349">
        <f t="shared" si="10"/>
        <v>-4060.4985962704272</v>
      </c>
      <c r="Q36" s="349">
        <f t="shared" si="10"/>
        <v>-4189.7706828430855</v>
      </c>
      <c r="R36" s="434">
        <f t="shared" si="10"/>
        <v>-4320.111896269631</v>
      </c>
    </row>
    <row r="37" spans="2:18" x14ac:dyDescent="0.3">
      <c r="B37" s="401"/>
      <c r="C37" s="390">
        <f>+C31+C35</f>
        <v>45343.98743343461</v>
      </c>
      <c r="D37" s="390">
        <f>+D31+D35</f>
        <v>46220.713374583371</v>
      </c>
      <c r="E37" s="377">
        <f>+E31+E35</f>
        <v>-876.7259411487621</v>
      </c>
      <c r="F37" s="390">
        <f t="shared" ref="F37" si="11">+F31+F35</f>
        <v>49264.748682351827</v>
      </c>
      <c r="G37" s="402">
        <f>+G31+G35</f>
        <v>-3920.761248917217</v>
      </c>
      <c r="K37" s="430"/>
      <c r="L37" s="375"/>
      <c r="M37" s="375"/>
      <c r="N37" s="375"/>
      <c r="O37" s="427"/>
      <c r="P37" s="427"/>
      <c r="Q37" s="375"/>
      <c r="R37" s="435"/>
    </row>
    <row r="38" spans="2:18" x14ac:dyDescent="0.3">
      <c r="B38" s="401"/>
      <c r="C38" s="375"/>
      <c r="D38" s="375"/>
      <c r="E38" s="375"/>
      <c r="F38" s="375"/>
      <c r="G38" s="404"/>
      <c r="K38" s="430" t="s">
        <v>163</v>
      </c>
      <c r="L38" s="375"/>
      <c r="M38" s="375"/>
      <c r="N38" s="375"/>
      <c r="O38" s="375"/>
      <c r="P38" s="375"/>
      <c r="Q38" s="375"/>
      <c r="R38" s="431"/>
    </row>
    <row r="39" spans="2:18" x14ac:dyDescent="0.3">
      <c r="B39" s="401" t="s">
        <v>189</v>
      </c>
      <c r="C39" s="406">
        <v>-2268</v>
      </c>
      <c r="D39" s="375"/>
      <c r="E39" s="375"/>
      <c r="F39" s="375"/>
      <c r="G39" s="404"/>
      <c r="K39" s="430"/>
      <c r="L39" s="375" t="s">
        <v>158</v>
      </c>
      <c r="M39" s="377">
        <f>C14-M14</f>
        <v>0</v>
      </c>
      <c r="N39" s="377">
        <f>E14-N14</f>
        <v>54.896304831790985</v>
      </c>
      <c r="O39" s="377">
        <f t="shared" ref="O39:R41" si="12">F14-O14</f>
        <v>54.294334995073768</v>
      </c>
      <c r="P39" s="377">
        <f t="shared" si="12"/>
        <v>31.89436851543087</v>
      </c>
      <c r="Q39" s="377">
        <f t="shared" si="12"/>
        <v>31.402499363161041</v>
      </c>
      <c r="R39" s="433">
        <f t="shared" si="12"/>
        <v>32.030549350424735</v>
      </c>
    </row>
    <row r="40" spans="2:18" x14ac:dyDescent="0.3">
      <c r="B40" s="401" t="s">
        <v>190</v>
      </c>
      <c r="C40" s="406">
        <f>-(C16+C10)/2</f>
        <v>-3759.4899850000002</v>
      </c>
      <c r="D40" s="375"/>
      <c r="E40" s="375"/>
      <c r="F40" s="375"/>
      <c r="G40" s="404"/>
      <c r="K40" s="430"/>
      <c r="L40" s="375" t="s">
        <v>159</v>
      </c>
      <c r="M40" s="377">
        <f>C15-M15</f>
        <v>-144.08718686314796</v>
      </c>
      <c r="N40" s="377">
        <f t="shared" ref="N40:N41" si="13">E15-N15</f>
        <v>-140.39557165726069</v>
      </c>
      <c r="O40" s="377">
        <f t="shared" si="12"/>
        <v>-156.98935973906055</v>
      </c>
      <c r="P40" s="377">
        <f t="shared" si="12"/>
        <v>-183.48207852609812</v>
      </c>
      <c r="Q40" s="377">
        <f t="shared" si="12"/>
        <v>-201.59639507431075</v>
      </c>
      <c r="R40" s="433">
        <f t="shared" si="12"/>
        <v>-218.72758853694449</v>
      </c>
    </row>
    <row r="41" spans="2:18" x14ac:dyDescent="0.3">
      <c r="B41" s="401" t="s">
        <v>191</v>
      </c>
      <c r="C41" s="406">
        <f>+(4412+3479+13)/2</f>
        <v>3952</v>
      </c>
      <c r="D41" s="375"/>
      <c r="E41" s="375"/>
      <c r="F41" s="375"/>
      <c r="G41" s="404"/>
      <c r="K41" s="430"/>
      <c r="L41" s="375" t="s">
        <v>161</v>
      </c>
      <c r="M41" s="377">
        <f>C16-M16</f>
        <v>-22.712842328684928</v>
      </c>
      <c r="N41" s="377">
        <f t="shared" si="13"/>
        <v>47.053151007505221</v>
      </c>
      <c r="O41" s="377">
        <f t="shared" si="12"/>
        <v>29.396176820612709</v>
      </c>
      <c r="P41" s="377">
        <f t="shared" si="12"/>
        <v>-4.8428633712073861</v>
      </c>
      <c r="Q41" s="377">
        <f t="shared" si="12"/>
        <v>-22.106546208168766</v>
      </c>
      <c r="R41" s="433">
        <f t="shared" si="12"/>
        <v>-39.014000834195031</v>
      </c>
    </row>
    <row r="42" spans="2:18" x14ac:dyDescent="0.3">
      <c r="B42" s="401"/>
      <c r="C42" s="405"/>
      <c r="D42" s="375"/>
      <c r="E42" s="375"/>
      <c r="F42" s="375"/>
      <c r="G42" s="404"/>
      <c r="K42" s="430" t="s">
        <v>164</v>
      </c>
      <c r="L42" s="375"/>
      <c r="M42" s="349">
        <f>SUM(M38:M41)</f>
        <v>-166.80002919183289</v>
      </c>
      <c r="N42" s="349">
        <f>SUM(N38:N41)</f>
        <v>-38.446115817964483</v>
      </c>
      <c r="O42" s="349">
        <f t="shared" ref="O42:R42" si="14">SUM(O38:O41)</f>
        <v>-73.298847923374069</v>
      </c>
      <c r="P42" s="349">
        <f t="shared" si="14"/>
        <v>-156.43057338187464</v>
      </c>
      <c r="Q42" s="349">
        <f t="shared" si="14"/>
        <v>-192.30044191931847</v>
      </c>
      <c r="R42" s="434">
        <f t="shared" si="14"/>
        <v>-225.71104002071479</v>
      </c>
    </row>
    <row r="43" spans="2:18" x14ac:dyDescent="0.3">
      <c r="B43" s="407" t="s">
        <v>192</v>
      </c>
      <c r="C43" s="408">
        <f>SUM(C37:C41)</f>
        <v>43268.497448434609</v>
      </c>
      <c r="D43" s="394"/>
      <c r="E43" s="394"/>
      <c r="F43" s="394"/>
      <c r="G43" s="409"/>
      <c r="K43" s="430"/>
      <c r="L43" s="375"/>
      <c r="M43" s="375"/>
      <c r="N43" s="375"/>
      <c r="O43" s="427"/>
      <c r="P43" s="427"/>
      <c r="Q43" s="375"/>
      <c r="R43" s="435"/>
    </row>
    <row r="44" spans="2:18" x14ac:dyDescent="0.3">
      <c r="K44" s="430"/>
      <c r="L44" s="375"/>
      <c r="M44" s="375"/>
      <c r="N44" s="375"/>
      <c r="O44" s="427"/>
      <c r="P44" s="427"/>
      <c r="Q44" s="375"/>
      <c r="R44" s="435"/>
    </row>
    <row r="45" spans="2:18" ht="15" thickBot="1" x14ac:dyDescent="0.35">
      <c r="K45" s="436" t="s">
        <v>165</v>
      </c>
      <c r="L45" s="437"/>
      <c r="M45" s="438">
        <f>M36+M42</f>
        <v>-876.72594114875938</v>
      </c>
      <c r="N45" s="438">
        <f>N36+N42</f>
        <v>-3499.7017128211583</v>
      </c>
      <c r="O45" s="438">
        <f t="shared" ref="O45:R45" si="15">O36+O42</f>
        <v>-4139.9316281435713</v>
      </c>
      <c r="P45" s="438">
        <f t="shared" si="15"/>
        <v>-4216.9291696523014</v>
      </c>
      <c r="Q45" s="438">
        <f t="shared" si="15"/>
        <v>-4382.071124762404</v>
      </c>
      <c r="R45" s="439">
        <f t="shared" si="15"/>
        <v>-4545.8229362903458</v>
      </c>
    </row>
    <row r="47" spans="2:18" x14ac:dyDescent="0.3">
      <c r="L47" s="472"/>
      <c r="M47" s="474" t="s">
        <v>200</v>
      </c>
      <c r="N47" s="476">
        <f>N33+N35++N40+N41+N39</f>
        <v>-762.6081183049439</v>
      </c>
      <c r="O47" s="473"/>
      <c r="P47" s="473"/>
      <c r="Q47" s="473"/>
      <c r="R47" s="473"/>
    </row>
  </sheetData>
  <mergeCells count="4">
    <mergeCell ref="C3:I3"/>
    <mergeCell ref="M3:R3"/>
    <mergeCell ref="V3:Z3"/>
    <mergeCell ref="M28:R28"/>
  </mergeCells>
  <pageMargins left="0.7" right="0.7" top="0.75" bottom="0.75" header="0.3" footer="0.3"/>
  <pageSetup scale="54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47"/>
  <sheetViews>
    <sheetView zoomScaleNormal="100" workbookViewId="0">
      <pane ySplit="5" topLeftCell="A18" activePane="bottomLeft" state="frozen"/>
      <selection pane="bottomLeft" activeCell="O18" sqref="O18"/>
    </sheetView>
  </sheetViews>
  <sheetFormatPr defaultRowHeight="14.4" x14ac:dyDescent="0.3"/>
  <cols>
    <col min="1" max="1" width="7.109375" customWidth="1"/>
    <col min="2" max="2" width="30.33203125" customWidth="1"/>
    <col min="4" max="4" width="9.6640625" bestFit="1" customWidth="1"/>
    <col min="7" max="7" width="9.88671875" customWidth="1"/>
    <col min="10" max="10" width="11.33203125" customWidth="1"/>
    <col min="11" max="11" width="7.109375" customWidth="1"/>
    <col min="14" max="14" width="10.33203125" customWidth="1"/>
    <col min="19" max="19" width="15.33203125" customWidth="1"/>
    <col min="20" max="20" width="7.109375" customWidth="1"/>
    <col min="21" max="21" width="10.44140625" customWidth="1"/>
  </cols>
  <sheetData>
    <row r="1" spans="1:26" x14ac:dyDescent="0.3">
      <c r="A1" s="345" t="s">
        <v>155</v>
      </c>
      <c r="C1" s="383"/>
      <c r="D1" s="383"/>
      <c r="E1" s="383"/>
      <c r="F1" s="383"/>
      <c r="G1" s="383"/>
      <c r="H1" s="383"/>
      <c r="I1" s="383"/>
    </row>
    <row r="2" spans="1:26" x14ac:dyDescent="0.3">
      <c r="C2" s="383"/>
      <c r="D2" s="383"/>
      <c r="E2" s="383"/>
      <c r="F2" s="383"/>
      <c r="G2" s="383"/>
      <c r="H2" s="383"/>
      <c r="I2" s="383"/>
      <c r="T2" s="383"/>
      <c r="U2" s="383"/>
      <c r="V2" s="383"/>
      <c r="W2" s="385"/>
      <c r="X2" s="383"/>
      <c r="Y2" s="383"/>
      <c r="Z2" s="386"/>
    </row>
    <row r="3" spans="1:26" ht="15" customHeight="1" x14ac:dyDescent="0.3">
      <c r="C3" s="627" t="s">
        <v>197</v>
      </c>
      <c r="D3" s="627"/>
      <c r="E3" s="627"/>
      <c r="F3" s="627"/>
      <c r="G3" s="627"/>
      <c r="H3" s="627"/>
      <c r="I3" s="627"/>
      <c r="J3" s="396"/>
      <c r="M3" s="627" t="s">
        <v>188</v>
      </c>
      <c r="N3" s="627"/>
      <c r="O3" s="627"/>
      <c r="P3" s="627"/>
      <c r="Q3" s="627"/>
      <c r="R3" s="627"/>
      <c r="S3" s="376"/>
      <c r="T3" s="383"/>
      <c r="U3" s="383"/>
      <c r="V3" s="627" t="s">
        <v>174</v>
      </c>
      <c r="W3" s="627"/>
      <c r="X3" s="627"/>
      <c r="Y3" s="627"/>
      <c r="Z3" s="627"/>
    </row>
    <row r="4" spans="1:26" x14ac:dyDescent="0.3">
      <c r="T4" s="383"/>
      <c r="U4" s="383"/>
      <c r="V4" s="383"/>
      <c r="W4" s="383"/>
      <c r="X4" s="383"/>
      <c r="Y4" s="383"/>
      <c r="Z4" s="383"/>
    </row>
    <row r="5" spans="1:26" x14ac:dyDescent="0.3">
      <c r="C5" s="400">
        <v>2019</v>
      </c>
      <c r="D5" s="400"/>
      <c r="E5" s="400">
        <f>C5+1</f>
        <v>2020</v>
      </c>
      <c r="F5" s="400">
        <f>E5+1</f>
        <v>2021</v>
      </c>
      <c r="G5" s="400">
        <f>F5+1</f>
        <v>2022</v>
      </c>
      <c r="H5" s="400">
        <f>G5+1</f>
        <v>2023</v>
      </c>
      <c r="I5" s="400">
        <f>H5+1</f>
        <v>2024</v>
      </c>
      <c r="M5" s="396">
        <v>2019</v>
      </c>
      <c r="N5" s="396">
        <f>M5+1</f>
        <v>2020</v>
      </c>
      <c r="O5" s="396">
        <f>N5+1</f>
        <v>2021</v>
      </c>
      <c r="P5" s="396">
        <f>O5+1</f>
        <v>2022</v>
      </c>
      <c r="Q5" s="396">
        <v>2023</v>
      </c>
      <c r="R5" s="412">
        <v>2024</v>
      </c>
      <c r="S5" s="412"/>
      <c r="T5" s="383"/>
      <c r="U5" s="383"/>
      <c r="V5" s="397">
        <v>2019</v>
      </c>
      <c r="W5" s="397">
        <f>V5+1</f>
        <v>2020</v>
      </c>
      <c r="X5" s="397">
        <f>W5+1</f>
        <v>2021</v>
      </c>
      <c r="Y5" s="397">
        <f>X5+1</f>
        <v>2022</v>
      </c>
      <c r="Z5" s="397">
        <f>Y5+1</f>
        <v>2023</v>
      </c>
    </row>
    <row r="6" spans="1:26" x14ac:dyDescent="0.3">
      <c r="A6" t="s">
        <v>157</v>
      </c>
      <c r="K6" t="s">
        <v>157</v>
      </c>
      <c r="T6" s="383" t="s">
        <v>157</v>
      </c>
      <c r="U6" s="383"/>
      <c r="V6" s="383"/>
      <c r="W6" s="383"/>
      <c r="X6" s="383"/>
      <c r="Y6" s="383"/>
      <c r="Z6" s="383"/>
    </row>
    <row r="7" spans="1:26" x14ac:dyDescent="0.3">
      <c r="B7" t="s">
        <v>158</v>
      </c>
      <c r="C7" s="348">
        <f>'Revision 12.10.19'!V174</f>
        <v>14808.461660383624</v>
      </c>
      <c r="D7" s="1">
        <f>(C7-M7)/M7</f>
        <v>0</v>
      </c>
      <c r="E7" s="386">
        <v>13925.082901149826</v>
      </c>
      <c r="F7" s="348">
        <f>'Revision 12.10.19'!Z174</f>
        <v>15264.497818942384</v>
      </c>
      <c r="G7" s="348">
        <f>'Revision 12.10.19'!AA174</f>
        <v>16741.632407551399</v>
      </c>
      <c r="H7" s="348">
        <f>'Revision 12.10.19'!AB174</f>
        <v>18073.858912976993</v>
      </c>
      <c r="I7" s="348">
        <f>'Revision 12.10.19'!AC174</f>
        <v>19824.711340207843</v>
      </c>
      <c r="J7" s="348"/>
      <c r="L7" t="s">
        <v>158</v>
      </c>
      <c r="M7" s="348">
        <f>'Revision 07.17.19'!V174</f>
        <v>14808.461660383624</v>
      </c>
      <c r="N7" s="386">
        <f>'Revision 07.17.19'!X174</f>
        <v>16271.455886322767</v>
      </c>
      <c r="O7" s="348">
        <f>'Revision 07.17.19'!Z174</f>
        <v>17512.179259278193</v>
      </c>
      <c r="P7" s="348">
        <f>'Revision 07.17.19'!AA174</f>
        <v>18946.363500080715</v>
      </c>
      <c r="Q7" s="348">
        <f>'Revision 07.17.19'!AB174</f>
        <v>20317.856281635079</v>
      </c>
      <c r="R7" s="348">
        <f>'Revision 07.17.19'!AC174</f>
        <v>22097.558093215699</v>
      </c>
      <c r="S7" s="348"/>
      <c r="T7" s="383"/>
      <c r="U7" s="383" t="s">
        <v>158</v>
      </c>
      <c r="V7" s="386">
        <f>'Revision 01.10.19'!V174</f>
        <v>16176.634829065673</v>
      </c>
      <c r="W7" s="386">
        <f>'Revision 01.10.19'!X174</f>
        <v>17660.198256227395</v>
      </c>
      <c r="X7" s="386">
        <f>'Revision 01.10.19'!Z174</f>
        <v>19257.568208895344</v>
      </c>
      <c r="Y7" s="386">
        <f>'Revision 01.10.19'!AA174</f>
        <v>21152.58777984617</v>
      </c>
      <c r="Z7" s="386">
        <f>'Revision 01.10.19'!AB174</f>
        <v>23115.70510635147</v>
      </c>
    </row>
    <row r="8" spans="1:26" x14ac:dyDescent="0.3">
      <c r="B8" t="s">
        <v>159</v>
      </c>
      <c r="C8" s="348">
        <f>'Revision 12.10.19'!V176</f>
        <v>5979.1903499999999</v>
      </c>
      <c r="D8" s="1">
        <f>(C8-M8)/M8</f>
        <v>-7.1119664264741519E-2</v>
      </c>
      <c r="E8" s="386">
        <f>'Revision 12.10.19'!X176</f>
        <v>6485.9689935238766</v>
      </c>
      <c r="F8" s="348">
        <f>'Revision 12.10.19'!Z176</f>
        <v>7049.1565542400222</v>
      </c>
      <c r="G8" s="348">
        <f>'Revision 12.10.19'!AA176</f>
        <v>7665.6285653430778</v>
      </c>
      <c r="H8" s="348">
        <f>'Revision 12.10.19'!AB176</f>
        <v>8223.6446912756182</v>
      </c>
      <c r="I8" s="348">
        <f>'Revision 12.10.19'!AC176</f>
        <v>8951.8719113049247</v>
      </c>
      <c r="L8" t="s">
        <v>159</v>
      </c>
      <c r="M8" s="348">
        <f>'Revision 07.17.19'!V176</f>
        <v>6436.9866816775175</v>
      </c>
      <c r="N8" s="386">
        <f>'Revision 07.17.19'!X176</f>
        <v>7083.7746372919164</v>
      </c>
      <c r="O8" s="348">
        <f>'Revision 07.17.19'!Z176</f>
        <v>7629.4848711061641</v>
      </c>
      <c r="P8" s="348">
        <f>'Revision 07.17.19'!AA176</f>
        <v>8260.554226434766</v>
      </c>
      <c r="Q8" s="348">
        <f>'Revision 07.17.19'!AB176</f>
        <v>8863.9095986202465</v>
      </c>
      <c r="R8" s="348">
        <f>'Revision 07.17.19'!AC176</f>
        <v>9647.4179306975238</v>
      </c>
      <c r="S8" s="348"/>
      <c r="T8" s="383"/>
      <c r="U8" s="383" t="s">
        <v>159</v>
      </c>
      <c r="V8" s="386">
        <f>'Revision 01.10.19'!V176</f>
        <v>6811.8201993011862</v>
      </c>
      <c r="W8" s="386">
        <f>'Revision 01.10.19'!X176</f>
        <v>7434.8156859921783</v>
      </c>
      <c r="X8" s="386">
        <f>'Revision 01.10.19'!Z176</f>
        <v>8105.695099915677</v>
      </c>
      <c r="Y8" s="386">
        <f>'Revision 01.10.19'!AA176</f>
        <v>8901.5087405383838</v>
      </c>
      <c r="Z8" s="386">
        <f>'Revision 01.10.19'!AB176</f>
        <v>9725.9126487460308</v>
      </c>
    </row>
    <row r="9" spans="1:26" x14ac:dyDescent="0.3">
      <c r="B9" t="s">
        <v>160</v>
      </c>
      <c r="C9" s="348">
        <f>'Revision 12.10.19'!V177</f>
        <v>11537.7201</v>
      </c>
      <c r="D9" s="1">
        <f>(C9-M9)/M9</f>
        <v>-1.0941844034232805E-2</v>
      </c>
      <c r="E9" s="386">
        <f>'Revision 12.10.19'!X177</f>
        <v>11452.9005610898</v>
      </c>
      <c r="F9" s="348">
        <f>'Revision 12.10.19'!Z177</f>
        <v>12309.744715542563</v>
      </c>
      <c r="G9" s="348">
        <f>'Revision 12.10.19'!AA177</f>
        <v>13199.841952346265</v>
      </c>
      <c r="H9" s="348">
        <f>'Revision 12.10.19'!AB177</f>
        <v>14049.579563719695</v>
      </c>
      <c r="I9" s="348">
        <f>'Revision 12.10.19'!AC177</f>
        <v>15064.179368989671</v>
      </c>
      <c r="L9" t="s">
        <v>160</v>
      </c>
      <c r="M9" s="348">
        <f>'Revision 07.17.19'!V177</f>
        <v>11665.360656910996</v>
      </c>
      <c r="N9" s="386">
        <f>'Revision 07.17.19'!X177</f>
        <v>12606.621170433074</v>
      </c>
      <c r="O9" s="348">
        <f>'Revision 07.17.19'!Z177</f>
        <v>13419.484252667491</v>
      </c>
      <c r="P9" s="348">
        <f>'Revision 07.17.19'!AA177</f>
        <v>14329.222639384503</v>
      </c>
      <c r="Q9" s="348">
        <f>'Revision 07.17.19'!AB177</f>
        <v>15220.997591836658</v>
      </c>
      <c r="R9" s="348">
        <f>'Revision 07.17.19'!AC177</f>
        <v>16279.126306560971</v>
      </c>
      <c r="S9" s="348"/>
      <c r="T9" s="383"/>
      <c r="U9" s="383" t="s">
        <v>160</v>
      </c>
      <c r="V9" s="386">
        <f>'Revision 01.10.19'!V177</f>
        <v>12028.763692634888</v>
      </c>
      <c r="W9" s="386">
        <f>'Revision 01.10.19'!X177</f>
        <v>12911.146611000037</v>
      </c>
      <c r="X9" s="386">
        <f>'Revision 01.10.19'!Z177</f>
        <v>13832.503247622539</v>
      </c>
      <c r="Y9" s="386">
        <f>'Revision 01.10.19'!AA177</f>
        <v>14919.212003738023</v>
      </c>
      <c r="Z9" s="386">
        <f>'Revision 01.10.19'!AB177</f>
        <v>16043.856108799073</v>
      </c>
    </row>
    <row r="10" spans="1:26" x14ac:dyDescent="0.3">
      <c r="B10" t="s">
        <v>161</v>
      </c>
      <c r="C10" s="348">
        <f>'Revision 12.10.19'!V178+'Revision 12.10.19'!V179</f>
        <v>3293.5395400000002</v>
      </c>
      <c r="D10" s="1">
        <f>(C10-M10)/M10</f>
        <v>-3.6421294047271277E-2</v>
      </c>
      <c r="E10" s="348">
        <f>'Revision 12.10.19'!X178+'Revision 12.10.19'!X179</f>
        <v>3342.9426331</v>
      </c>
      <c r="F10" s="348">
        <f>'Revision 12.10.19'!Z178+'Revision 12.10.19'!Z179</f>
        <v>3409.8014857620001</v>
      </c>
      <c r="G10" s="348">
        <f>'Revision 12.10.19'!AA178+'Revision 12.10.19'!AA179</f>
        <v>3477.9975154772401</v>
      </c>
      <c r="H10" s="348">
        <f>'Revision 12.10.19'!AB178+'Revision 12.10.19'!AB179</f>
        <v>3547.5574657867842</v>
      </c>
      <c r="I10" s="348">
        <f>'Revision 12.10.19'!AC178+'Revision 12.10.19'!AC179</f>
        <v>3618.5086151025203</v>
      </c>
      <c r="L10" t="s">
        <v>161</v>
      </c>
      <c r="M10" s="348">
        <f>'Revision 07.17.19'!V178+'Revision 07.17.19'!V179</f>
        <v>3418.0285633684134</v>
      </c>
      <c r="N10" s="348">
        <f>'Revision 07.17.19'!X178+'Revision 07.17.19'!X179</f>
        <v>3469.2989918189396</v>
      </c>
      <c r="O10" s="348">
        <f>'Revision 07.17.19'!Z178+'Revision 07.17.19'!Z179</f>
        <v>3538.6849716553183</v>
      </c>
      <c r="P10" s="348">
        <f>'Revision 07.17.19'!AA178+'Revision 07.17.19'!AA179</f>
        <v>3609.4586710884246</v>
      </c>
      <c r="Q10" s="348">
        <f>'Revision 07.17.19'!AB178+'Revision 07.17.19'!AB179</f>
        <v>3681.647844510193</v>
      </c>
      <c r="R10" s="348">
        <f>'Revision 07.17.19'!AC178+'Revision 07.17.19'!AC179</f>
        <v>3755.2808014003967</v>
      </c>
      <c r="S10" s="348"/>
      <c r="T10" s="383"/>
      <c r="U10" s="383" t="s">
        <v>161</v>
      </c>
      <c r="V10" s="388">
        <f>'Revision 01.10.19'!V178+'Revision 01.10.19'!V179</f>
        <v>3527.3724294999997</v>
      </c>
      <c r="W10" s="388">
        <f>'Revision 01.10.19'!X178+'Revision 01.10.19'!X179</f>
        <v>3580.2830159424993</v>
      </c>
      <c r="X10" s="388">
        <f>'Revision 01.10.19'!Z178+'Revision 01.10.19'!Z179</f>
        <v>3651.8886762613492</v>
      </c>
      <c r="Y10" s="388">
        <f>'Revision 01.10.19'!AA178+'Revision 01.10.19'!AA179</f>
        <v>3724.9264497865765</v>
      </c>
      <c r="Z10" s="388">
        <f>'Revision 01.10.19'!AB178+'Revision 01.10.19'!AB179</f>
        <v>3799.4249787823078</v>
      </c>
    </row>
    <row r="11" spans="1:26" x14ac:dyDescent="0.3">
      <c r="A11" t="s">
        <v>162</v>
      </c>
      <c r="C11" s="349">
        <f>SUM(C7:C10)</f>
        <v>35618.911650383619</v>
      </c>
      <c r="D11" s="1">
        <f>(C11-M11)/M11</f>
        <v>-1.9541663306421361E-2</v>
      </c>
      <c r="E11" s="349">
        <f>SUM(E7:E10)</f>
        <v>35206.895088863501</v>
      </c>
      <c r="F11" s="349">
        <f t="shared" ref="F11:I11" si="0">SUM(F7:F10)</f>
        <v>38033.200574486968</v>
      </c>
      <c r="G11" s="349">
        <f t="shared" si="0"/>
        <v>41085.100440717986</v>
      </c>
      <c r="H11" s="349">
        <f t="shared" si="0"/>
        <v>43894.640633759089</v>
      </c>
      <c r="I11" s="349">
        <f t="shared" si="0"/>
        <v>47459.27123560496</v>
      </c>
      <c r="K11" t="s">
        <v>162</v>
      </c>
      <c r="M11" s="349">
        <f>SUM(M7:M10)</f>
        <v>36328.837562340552</v>
      </c>
      <c r="N11" s="349">
        <f>SUM(N7:N10)</f>
        <v>39431.150685866698</v>
      </c>
      <c r="O11" s="349">
        <f t="shared" ref="O11:R11" si="1">SUM(O7:O10)</f>
        <v>42099.833354707167</v>
      </c>
      <c r="P11" s="349">
        <f t="shared" si="1"/>
        <v>45145.599036988409</v>
      </c>
      <c r="Q11" s="349">
        <f t="shared" si="1"/>
        <v>48084.411316602185</v>
      </c>
      <c r="R11" s="349">
        <f t="shared" si="1"/>
        <v>51779.383131874594</v>
      </c>
      <c r="S11" s="377"/>
      <c r="T11" s="383" t="s">
        <v>162</v>
      </c>
      <c r="U11" s="383"/>
      <c r="V11" s="389">
        <f>SUM(V7:V10)</f>
        <v>38544.591150501743</v>
      </c>
      <c r="W11" s="389">
        <f>SUM(W7:W10)</f>
        <v>41586.443569162111</v>
      </c>
      <c r="X11" s="389">
        <f>SUM(X7:X10)</f>
        <v>44847.65523269491</v>
      </c>
      <c r="Y11" s="389">
        <f>SUM(Y7:Y10)</f>
        <v>48698.234973909151</v>
      </c>
      <c r="Z11" s="389">
        <f>SUM(Z7:Z10)</f>
        <v>52684.898842678878</v>
      </c>
    </row>
    <row r="12" spans="1:26" x14ac:dyDescent="0.3">
      <c r="D12" s="411"/>
      <c r="E12" s="10">
        <f>(E11-N11)/N11</f>
        <v>-0.1071299093109473</v>
      </c>
      <c r="F12" s="10">
        <f>(F11-O11)/O11</f>
        <v>-9.6594985209496345E-2</v>
      </c>
      <c r="G12" s="10">
        <f>(G11-P11)/P11</f>
        <v>-8.9942290785500506E-2</v>
      </c>
      <c r="H12" s="10">
        <f>(H11-Q11)/Q11</f>
        <v>-8.713365866655598E-2</v>
      </c>
      <c r="I12" s="10">
        <f>(I11-R11)/R11</f>
        <v>-8.3433050665492378E-2</v>
      </c>
      <c r="O12" s="10"/>
      <c r="P12" s="10"/>
      <c r="R12" s="10"/>
      <c r="T12" s="383"/>
      <c r="U12" s="383"/>
      <c r="V12" s="383"/>
      <c r="W12" s="383"/>
      <c r="X12" s="383"/>
      <c r="Y12" s="383"/>
      <c r="Z12" s="383"/>
    </row>
    <row r="13" spans="1:26" x14ac:dyDescent="0.3">
      <c r="A13" t="s">
        <v>163</v>
      </c>
      <c r="D13" s="411"/>
      <c r="K13" t="s">
        <v>163</v>
      </c>
      <c r="T13" s="383" t="s">
        <v>163</v>
      </c>
      <c r="U13" s="383"/>
      <c r="V13" s="383"/>
      <c r="W13" s="383"/>
      <c r="X13" s="383"/>
      <c r="Y13" s="383"/>
      <c r="Z13" s="383"/>
    </row>
    <row r="14" spans="1:26" x14ac:dyDescent="0.3">
      <c r="B14" t="s">
        <v>158</v>
      </c>
      <c r="C14" s="348">
        <f>'Revision 12.10.19'!V184</f>
        <v>3843.9964030509846</v>
      </c>
      <c r="D14" s="1">
        <f>(C14-M14)/M14</f>
        <v>0</v>
      </c>
      <c r="E14" s="348">
        <f>'Revision 12.10.19'!X184</f>
        <v>4418.748438837325</v>
      </c>
      <c r="F14" s="348">
        <f>'Revision 12.10.19'!Z184</f>
        <v>4875.8132112193616</v>
      </c>
      <c r="G14" s="348">
        <f>'Revision 12.10.19'!AA184</f>
        <v>5340.4974457933859</v>
      </c>
      <c r="H14" s="348">
        <f>'Revision 12.10.19'!AB184</f>
        <v>5841.7521248904177</v>
      </c>
      <c r="I14" s="348">
        <f>'Revision 12.10.19'!AC184</f>
        <v>6329.0893402286101</v>
      </c>
      <c r="L14" t="s">
        <v>158</v>
      </c>
      <c r="M14" s="348">
        <f>'Revision 07.17.19'!V184</f>
        <v>3843.9964030509846</v>
      </c>
      <c r="N14" s="348">
        <f>'Revision 07.17.19'!X184</f>
        <v>4363.852134005534</v>
      </c>
      <c r="O14" s="348">
        <f>'Revision 07.17.19'!Z184</f>
        <v>4821.5188762242879</v>
      </c>
      <c r="P14" s="348">
        <f>'Revision 07.17.19'!AA184</f>
        <v>5308.603077277955</v>
      </c>
      <c r="Q14" s="348">
        <f>'Revision 07.17.19'!AB184</f>
        <v>5810.3496255272566</v>
      </c>
      <c r="R14" s="348">
        <f>'Revision 07.17.19'!AC184</f>
        <v>6297.0587908781854</v>
      </c>
      <c r="S14" s="348"/>
      <c r="T14" s="383"/>
      <c r="U14" s="383" t="s">
        <v>158</v>
      </c>
      <c r="V14" s="390">
        <f>'Revision 01.10.19'!V184</f>
        <v>4097.5034710674299</v>
      </c>
      <c r="W14" s="390">
        <f>'Revision 01.10.19'!X184</f>
        <v>4438.488647809455</v>
      </c>
      <c r="X14" s="390">
        <f>'Revision 01.10.19'!Z184</f>
        <v>4759.2997710701065</v>
      </c>
      <c r="Y14" s="390">
        <f>'Revision 01.10.19'!AA184</f>
        <v>5093.2568009835568</v>
      </c>
      <c r="Z14" s="390">
        <f>'Revision 01.10.19'!AB184</f>
        <v>5438.6683921851172</v>
      </c>
    </row>
    <row r="15" spans="1:26" x14ac:dyDescent="0.3">
      <c r="B15" t="s">
        <v>159</v>
      </c>
      <c r="C15" s="348">
        <f>'Revision 12.10.19'!V185</f>
        <v>1655.63895</v>
      </c>
      <c r="D15" s="1">
        <f>(C15-M15)/M15</f>
        <v>-8.0060618063971814E-2</v>
      </c>
      <c r="E15" s="348">
        <f>'Revision 12.10.19'!X185</f>
        <v>1891.7815198947171</v>
      </c>
      <c r="F15" s="348">
        <f>'Revision 12.10.19'!Z185</f>
        <v>2079.3984473092009</v>
      </c>
      <c r="G15" s="348">
        <f>'Revision 12.10.19'!AA185</f>
        <v>2270.1494641187687</v>
      </c>
      <c r="H15" s="348">
        <f>'Revision 12.10.19'!AB185</f>
        <v>2475.796763686285</v>
      </c>
      <c r="I15" s="348">
        <f>'Revision 12.10.19'!AC185</f>
        <v>2675.8302762101484</v>
      </c>
      <c r="L15" t="s">
        <v>159</v>
      </c>
      <c r="M15" s="348">
        <f>'Revision 07.17.19'!V185</f>
        <v>1799.726136863148</v>
      </c>
      <c r="N15" s="348">
        <f>'Revision 07.17.19'!X185</f>
        <v>2032.1770915519778</v>
      </c>
      <c r="O15" s="348">
        <f>'Revision 07.17.19'!Z185</f>
        <v>2236.3878070482615</v>
      </c>
      <c r="P15" s="348">
        <f>'Revision 07.17.19'!AA185</f>
        <v>2453.6315426448668</v>
      </c>
      <c r="Q15" s="348">
        <f>'Revision 07.17.19'!AB185</f>
        <v>2677.3931587605957</v>
      </c>
      <c r="R15" s="348">
        <f>'Revision 07.17.19'!AC185</f>
        <v>2894.5578647470929</v>
      </c>
      <c r="S15" s="348"/>
      <c r="T15" s="383"/>
      <c r="U15" s="383" t="s">
        <v>159</v>
      </c>
      <c r="V15" s="390">
        <f>'Revision 01.10.19'!V185</f>
        <v>1879.2710451087662</v>
      </c>
      <c r="W15" s="390">
        <f>'Revision 01.10.19'!X185</f>
        <v>2026.3679327527882</v>
      </c>
      <c r="X15" s="390">
        <f>'Revision 01.10.19'!Z185</f>
        <v>2165.6047665462388</v>
      </c>
      <c r="Y15" s="390">
        <f>'Revision 01.10.19'!AA185</f>
        <v>2310.4891181238913</v>
      </c>
      <c r="Z15" s="390">
        <f>'Revision 01.10.19'!AB185</f>
        <v>2460.3026018580322</v>
      </c>
    </row>
    <row r="16" spans="1:26" x14ac:dyDescent="0.3">
      <c r="B16" t="s">
        <v>161</v>
      </c>
      <c r="C16" s="348">
        <f>'Revision 12.10.19'!V186</f>
        <v>4225.4404299999997</v>
      </c>
      <c r="D16" s="1">
        <f>(C16-M16)/M16</f>
        <v>-5.346521387688671E-3</v>
      </c>
      <c r="E16" s="348">
        <f>'Revision 12.10.19'!X186</f>
        <v>4631.5051251893237</v>
      </c>
      <c r="F16" s="348">
        <f>'Revision 12.10.19'!Z186</f>
        <v>4900.6281135910012</v>
      </c>
      <c r="G16" s="348">
        <f>'Revision 12.10.19'!AA186</f>
        <v>5139.3882285432419</v>
      </c>
      <c r="H16" s="348">
        <f>'Revision 12.10.19'!AB186</f>
        <v>5413.0156528983625</v>
      </c>
      <c r="I16" s="348">
        <f>'Revision 12.10.19'!AC186</f>
        <v>5674.9727882023399</v>
      </c>
      <c r="L16" t="s">
        <v>161</v>
      </c>
      <c r="M16" s="348">
        <f>'Revision 07.17.19'!V186</f>
        <v>4248.1532723286846</v>
      </c>
      <c r="N16" s="348">
        <f>'Revision 07.17.19'!X186</f>
        <v>4584.4519741818185</v>
      </c>
      <c r="O16" s="348">
        <f>'Revision 07.17.19'!Z186</f>
        <v>4871.2319367703885</v>
      </c>
      <c r="P16" s="348">
        <f>'Revision 07.17.19'!AA186</f>
        <v>5144.2310919144493</v>
      </c>
      <c r="Q16" s="348">
        <f>'Revision 07.17.19'!AB186</f>
        <v>5435.1221991065313</v>
      </c>
      <c r="R16" s="348">
        <f>'Revision 07.17.19'!AC186</f>
        <v>5713.9867890365349</v>
      </c>
      <c r="S16" s="348"/>
      <c r="T16" s="383"/>
      <c r="U16" s="383" t="s">
        <v>161</v>
      </c>
      <c r="V16" s="388">
        <f>'Revision 01.10.19'!V186</f>
        <v>4743.3830156738813</v>
      </c>
      <c r="W16" s="388">
        <f>'Revision 01.10.19'!X186</f>
        <v>5108.3176329951712</v>
      </c>
      <c r="X16" s="388">
        <f>'Revision 01.10.19'!Z186</f>
        <v>5484.8276332678861</v>
      </c>
      <c r="Y16" s="388">
        <f>'Revision 01.10.19'!AA186</f>
        <v>5876.0264500051917</v>
      </c>
      <c r="Z16" s="388">
        <f>'Revision 01.10.19'!AB186</f>
        <v>6280.6792883586822</v>
      </c>
    </row>
    <row r="17" spans="1:26" x14ac:dyDescent="0.3">
      <c r="A17" t="s">
        <v>164</v>
      </c>
      <c r="C17" s="349">
        <f>SUM(C13:C16)</f>
        <v>9725.0757830509829</v>
      </c>
      <c r="D17" s="1">
        <f>(C17-M17)/M17</f>
        <v>-1.6862325443410025E-2</v>
      </c>
      <c r="E17" s="349">
        <f>SUM(E13:E16)</f>
        <v>10942.035083921366</v>
      </c>
      <c r="F17" s="349">
        <f t="shared" ref="F17:I17" si="2">SUM(F13:F16)</f>
        <v>11855.839772119563</v>
      </c>
      <c r="G17" s="349">
        <f t="shared" si="2"/>
        <v>12750.035138455398</v>
      </c>
      <c r="H17" s="349">
        <f t="shared" si="2"/>
        <v>13730.564541475065</v>
      </c>
      <c r="I17" s="349">
        <f t="shared" si="2"/>
        <v>14679.892404641098</v>
      </c>
      <c r="K17" t="s">
        <v>164</v>
      </c>
      <c r="M17" s="349">
        <f>SUM(M13:M16)</f>
        <v>9891.8758122428171</v>
      </c>
      <c r="N17" s="349">
        <f>SUM(N13:N16)</f>
        <v>10980.48119973933</v>
      </c>
      <c r="O17" s="349">
        <f t="shared" ref="O17:R17" si="3">SUM(O13:O16)</f>
        <v>11929.138620042937</v>
      </c>
      <c r="P17" s="349">
        <f t="shared" si="3"/>
        <v>12906.465711837271</v>
      </c>
      <c r="Q17" s="349">
        <f t="shared" si="3"/>
        <v>13922.864983394385</v>
      </c>
      <c r="R17" s="349">
        <f t="shared" si="3"/>
        <v>14905.603444661814</v>
      </c>
      <c r="S17" s="377"/>
      <c r="T17" s="383" t="s">
        <v>164</v>
      </c>
      <c r="U17" s="383"/>
      <c r="V17" s="389">
        <f>SUM(V13:V16)</f>
        <v>10720.157531850076</v>
      </c>
      <c r="W17" s="389">
        <f>SUM(W13:W16)</f>
        <v>11573.174213557413</v>
      </c>
      <c r="X17" s="389">
        <f>SUM(X13:X16)</f>
        <v>12409.732170884232</v>
      </c>
      <c r="Y17" s="389">
        <f>SUM(Y13:Y16)</f>
        <v>13279.772369112641</v>
      </c>
      <c r="Z17" s="389">
        <f>SUM(Z13:Z16)</f>
        <v>14179.650282401832</v>
      </c>
    </row>
    <row r="18" spans="1:26" x14ac:dyDescent="0.3">
      <c r="D18" s="411"/>
      <c r="E18" s="10">
        <f>(E17-N17)/N17</f>
        <v>-3.5013142974896663E-3</v>
      </c>
      <c r="F18" s="10">
        <f>(F17-O17)/O17</f>
        <v>-6.1445214326053144E-3</v>
      </c>
      <c r="G18" s="10">
        <f>(G17-P17)/P17</f>
        <v>-1.2120326112082042E-2</v>
      </c>
      <c r="H18" s="10">
        <f>(H17-Q17)/Q17</f>
        <v>-1.3811844196483587E-2</v>
      </c>
      <c r="I18" s="10">
        <f>(I17-R17)/R17</f>
        <v>-1.5142697231862233E-2</v>
      </c>
      <c r="O18" s="10"/>
      <c r="P18" s="10"/>
      <c r="R18" s="10"/>
      <c r="T18" s="383"/>
      <c r="U18" s="383"/>
      <c r="V18" s="383"/>
      <c r="W18" s="383"/>
      <c r="X18" s="383"/>
      <c r="Y18" s="383"/>
      <c r="Z18" s="383"/>
    </row>
    <row r="19" spans="1:26" x14ac:dyDescent="0.3">
      <c r="D19" s="411"/>
      <c r="E19" s="10"/>
      <c r="F19" s="10"/>
      <c r="G19" s="10"/>
      <c r="H19" s="10"/>
      <c r="I19" s="10"/>
      <c r="O19" s="10"/>
      <c r="P19" s="10"/>
      <c r="R19" s="10"/>
      <c r="T19" s="383"/>
      <c r="U19" s="383"/>
      <c r="V19" s="383"/>
      <c r="W19" s="383"/>
      <c r="X19" s="383"/>
      <c r="Y19" s="383"/>
      <c r="Z19" s="383"/>
    </row>
    <row r="20" spans="1:26" x14ac:dyDescent="0.3">
      <c r="A20" s="345" t="s">
        <v>165</v>
      </c>
      <c r="B20" s="345"/>
      <c r="C20" s="350">
        <f>C11+C17</f>
        <v>45343.987433434602</v>
      </c>
      <c r="D20" s="351">
        <f>(C20-M20)/M20</f>
        <v>-1.8968247721396644E-2</v>
      </c>
      <c r="E20" s="350">
        <f>E11+E17</f>
        <v>46148.930172784865</v>
      </c>
      <c r="F20" s="350">
        <f>F11+F17</f>
        <v>49889.040346606533</v>
      </c>
      <c r="G20" s="350">
        <f>G11+G17</f>
        <v>53835.13557917338</v>
      </c>
      <c r="H20" s="350">
        <f>H11+H17</f>
        <v>57625.20517523415</v>
      </c>
      <c r="I20" s="350">
        <f>I11+I17</f>
        <v>62139.163640246057</v>
      </c>
      <c r="J20" s="345"/>
      <c r="K20" s="345" t="s">
        <v>165</v>
      </c>
      <c r="L20" s="345"/>
      <c r="M20" s="350">
        <f t="shared" ref="M20:R20" si="4">M11+M17</f>
        <v>46220.713374583371</v>
      </c>
      <c r="N20" s="350">
        <f t="shared" si="4"/>
        <v>50411.631885606024</v>
      </c>
      <c r="O20" s="350">
        <f t="shared" si="4"/>
        <v>54028.971974750108</v>
      </c>
      <c r="P20" s="350">
        <f t="shared" si="4"/>
        <v>58052.06474882568</v>
      </c>
      <c r="Q20" s="350">
        <f t="shared" si="4"/>
        <v>62007.276299996571</v>
      </c>
      <c r="R20" s="350">
        <f t="shared" si="4"/>
        <v>66684.986576536408</v>
      </c>
      <c r="S20" s="350"/>
      <c r="T20" s="380" t="s">
        <v>165</v>
      </c>
      <c r="U20" s="380"/>
      <c r="V20" s="391">
        <f>V11+V17</f>
        <v>49264.748682351819</v>
      </c>
      <c r="W20" s="391">
        <f>W11+W17</f>
        <v>53159.617782719521</v>
      </c>
      <c r="X20" s="391">
        <f>X11+X17</f>
        <v>57257.387403579138</v>
      </c>
      <c r="Y20" s="391">
        <f>Y11+Y17</f>
        <v>61978.007343021789</v>
      </c>
      <c r="Z20" s="391">
        <f>Z11+Z17</f>
        <v>66864.54912508071</v>
      </c>
    </row>
    <row r="21" spans="1:26" x14ac:dyDescent="0.3">
      <c r="A21" s="364" t="s">
        <v>193</v>
      </c>
      <c r="B21" s="345"/>
      <c r="C21" s="366">
        <f>C20-M20</f>
        <v>-876.72594114876847</v>
      </c>
      <c r="D21" s="365"/>
      <c r="E21" s="366">
        <f>E20-N20</f>
        <v>-4262.7017128211592</v>
      </c>
      <c r="F21" s="366">
        <f>F20-O20</f>
        <v>-4139.9316281435749</v>
      </c>
      <c r="G21" s="366">
        <f>G20-P20</f>
        <v>-4216.9291696522996</v>
      </c>
      <c r="H21" s="366">
        <f>H20-Q20</f>
        <v>-4382.0711247624204</v>
      </c>
      <c r="I21" s="366">
        <f>I20-R20</f>
        <v>-4545.8229362903512</v>
      </c>
      <c r="J21" s="345"/>
      <c r="K21" s="345"/>
      <c r="L21" s="345"/>
      <c r="M21" s="350"/>
      <c r="N21" s="350"/>
      <c r="O21" s="350"/>
      <c r="P21" s="350"/>
      <c r="Q21" s="350"/>
      <c r="R21" s="350"/>
      <c r="S21" s="350"/>
    </row>
    <row r="22" spans="1:26" x14ac:dyDescent="0.3">
      <c r="C22" s="10">
        <f>(C20-M20)/M20</f>
        <v>-1.8968247721396644E-2</v>
      </c>
      <c r="E22" s="10">
        <f>(E20-N20)/N20</f>
        <v>-8.455789970247489E-2</v>
      </c>
      <c r="F22" s="10">
        <f>(F20-O20)/O20</f>
        <v>-7.6624290206342066E-2</v>
      </c>
      <c r="G22" s="10">
        <f>(G20-P20)/P20</f>
        <v>-7.2640468308883072E-2</v>
      </c>
      <c r="H22" s="10">
        <f>(H20-Q20)/Q20</f>
        <v>-7.0670272688024241E-2</v>
      </c>
      <c r="I22" s="10">
        <f>(I20-R20)/R20</f>
        <v>-6.8168611402102786E-2</v>
      </c>
    </row>
    <row r="24" spans="1:26" x14ac:dyDescent="0.3">
      <c r="A24" s="379" t="s">
        <v>175</v>
      </c>
      <c r="B24" s="380"/>
      <c r="C24" s="381">
        <f>C20-V20</f>
        <v>-3920.761248917217</v>
      </c>
      <c r="D24" s="382"/>
      <c r="E24" s="381">
        <f>E20-W20</f>
        <v>-7010.6876099346555</v>
      </c>
      <c r="F24" s="381">
        <f>F20-X20</f>
        <v>-7368.3470569726051</v>
      </c>
      <c r="G24" s="381">
        <f>G20-Y20</f>
        <v>-8142.8717638484086</v>
      </c>
      <c r="H24" s="381">
        <f>H20-Z20</f>
        <v>-9239.3439498465596</v>
      </c>
      <c r="I24" s="381"/>
      <c r="J24" s="345"/>
      <c r="K24" s="345"/>
      <c r="L24" s="345"/>
      <c r="M24" s="350"/>
      <c r="N24" s="350"/>
      <c r="O24" s="350"/>
      <c r="P24" s="350"/>
      <c r="Q24" s="350"/>
      <c r="R24" s="350"/>
      <c r="S24" s="350"/>
    </row>
    <row r="25" spans="1:26" x14ac:dyDescent="0.3">
      <c r="A25" s="383"/>
      <c r="B25" s="383"/>
      <c r="C25" s="384">
        <f>(C20-V20)/V20</f>
        <v>-7.9585532328550312E-2</v>
      </c>
      <c r="D25" s="383"/>
      <c r="E25" s="384">
        <f>(E20-W20)/W20</f>
        <v>-0.13187994764352132</v>
      </c>
      <c r="F25" s="384">
        <f>(F20-X20)/X20</f>
        <v>-0.1286881464750872</v>
      </c>
      <c r="G25" s="384">
        <f>(G20-Y20)/Y20</f>
        <v>-0.13138324565327009</v>
      </c>
      <c r="H25" s="384">
        <f>(H20-Z20)/Z20</f>
        <v>-0.13818000825165075</v>
      </c>
      <c r="I25" s="384"/>
    </row>
    <row r="26" spans="1:26" x14ac:dyDescent="0.3">
      <c r="A26" s="383"/>
      <c r="B26" s="383"/>
      <c r="C26" s="384"/>
      <c r="D26" s="383"/>
      <c r="E26" s="384"/>
      <c r="F26" s="384"/>
      <c r="G26" s="384"/>
      <c r="H26" s="384"/>
      <c r="I26" s="384"/>
      <c r="N26" s="348"/>
    </row>
    <row r="27" spans="1:26" ht="15" thickBot="1" x14ac:dyDescent="0.35">
      <c r="C27" s="413"/>
      <c r="E27" s="10"/>
      <c r="F27" s="10"/>
      <c r="G27" s="10"/>
      <c r="H27" s="10"/>
      <c r="I27" s="10"/>
      <c r="M27" s="348"/>
    </row>
    <row r="28" spans="1:26" x14ac:dyDescent="0.3">
      <c r="B28" s="410"/>
      <c r="C28" s="414" t="s">
        <v>183</v>
      </c>
      <c r="D28" s="416">
        <v>43663</v>
      </c>
      <c r="E28" s="418" t="s">
        <v>184</v>
      </c>
      <c r="F28" s="416">
        <v>43466</v>
      </c>
      <c r="G28" s="419" t="s">
        <v>184</v>
      </c>
      <c r="K28" s="428"/>
      <c r="L28" s="429"/>
      <c r="M28" s="632" t="s">
        <v>198</v>
      </c>
      <c r="N28" s="632"/>
      <c r="O28" s="632"/>
      <c r="P28" s="632"/>
      <c r="Q28" s="632"/>
      <c r="R28" s="633"/>
    </row>
    <row r="29" spans="1:26" x14ac:dyDescent="0.3">
      <c r="B29" s="401" t="s">
        <v>181</v>
      </c>
      <c r="C29" s="390">
        <f>SUM(C8:C10)</f>
        <v>20810.449990000001</v>
      </c>
      <c r="D29" s="390">
        <f>SUM(M8:M10)</f>
        <v>21520.37590195693</v>
      </c>
      <c r="E29" s="377">
        <f>+C29-D29</f>
        <v>-709.92591195692876</v>
      </c>
      <c r="F29" s="390">
        <f>SUM(V8:V10)</f>
        <v>22367.956321436075</v>
      </c>
      <c r="G29" s="402">
        <f>+C29-F29</f>
        <v>-1557.5063314360741</v>
      </c>
      <c r="K29" s="430"/>
      <c r="L29" s="375"/>
      <c r="M29" s="375"/>
      <c r="N29" s="375"/>
      <c r="O29" s="375"/>
      <c r="P29" s="375"/>
      <c r="Q29" s="375"/>
      <c r="R29" s="431"/>
    </row>
    <row r="30" spans="1:26" x14ac:dyDescent="0.3">
      <c r="B30" s="401" t="s">
        <v>182</v>
      </c>
      <c r="C30" s="388">
        <f>SUM(C15:C16)</f>
        <v>5881.0793799999992</v>
      </c>
      <c r="D30" s="388">
        <f>SUM(M15:M16)</f>
        <v>6047.8794091918326</v>
      </c>
      <c r="E30" s="393">
        <f>+C30-D30</f>
        <v>-166.80002919183335</v>
      </c>
      <c r="F30" s="388">
        <f>SUM(V15:V16)</f>
        <v>6622.6540607826473</v>
      </c>
      <c r="G30" s="403">
        <f>+C30-F30</f>
        <v>-741.5746807826481</v>
      </c>
      <c r="K30" s="430"/>
      <c r="L30" s="375"/>
      <c r="M30" s="376">
        <v>2019</v>
      </c>
      <c r="N30" s="376">
        <f>M30+1</f>
        <v>2020</v>
      </c>
      <c r="O30" s="376">
        <f>N30+1</f>
        <v>2021</v>
      </c>
      <c r="P30" s="376">
        <f>O30+1</f>
        <v>2022</v>
      </c>
      <c r="Q30" s="376">
        <v>2023</v>
      </c>
      <c r="R30" s="432">
        <v>2024</v>
      </c>
    </row>
    <row r="31" spans="1:26" x14ac:dyDescent="0.3">
      <c r="B31" s="401"/>
      <c r="C31" s="390">
        <f>SUM(C29:C30)</f>
        <v>26691.52937</v>
      </c>
      <c r="D31" s="390">
        <f>SUM(D29:D30)</f>
        <v>27568.255311148761</v>
      </c>
      <c r="E31" s="377">
        <f>SUM(E29:E30)</f>
        <v>-876.7259411487621</v>
      </c>
      <c r="F31" s="390">
        <f t="shared" ref="F31" si="5">SUM(F29:F30)</f>
        <v>28990.610382218721</v>
      </c>
      <c r="G31" s="402">
        <f>SUM(G29:G30)</f>
        <v>-2299.0810122187222</v>
      </c>
      <c r="K31" s="430" t="s">
        <v>157</v>
      </c>
      <c r="L31" s="375"/>
      <c r="M31" s="375"/>
      <c r="N31" s="375"/>
      <c r="O31" s="375"/>
      <c r="P31" s="375"/>
      <c r="Q31" s="375"/>
      <c r="R31" s="431"/>
    </row>
    <row r="32" spans="1:26" x14ac:dyDescent="0.3">
      <c r="B32" s="401"/>
      <c r="C32" s="415"/>
      <c r="D32" s="415"/>
      <c r="E32" s="375"/>
      <c r="F32" s="415"/>
      <c r="G32" s="404"/>
      <c r="K32" s="430"/>
      <c r="L32" s="375" t="s">
        <v>158</v>
      </c>
      <c r="M32" s="377">
        <f>C7-M7</f>
        <v>0</v>
      </c>
      <c r="N32" s="471">
        <f>E7-N7</f>
        <v>-2346.3729851729404</v>
      </c>
      <c r="O32" s="377">
        <f>F7-O7</f>
        <v>-2247.6814403358094</v>
      </c>
      <c r="P32" s="377">
        <f t="shared" ref="P32:R35" si="6">G7-P7</f>
        <v>-2204.7310925293168</v>
      </c>
      <c r="Q32" s="377">
        <f t="shared" si="6"/>
        <v>-2243.9973686580852</v>
      </c>
      <c r="R32" s="433">
        <f t="shared" si="6"/>
        <v>-2272.846753007856</v>
      </c>
    </row>
    <row r="33" spans="2:18" x14ac:dyDescent="0.3">
      <c r="B33" s="401" t="s">
        <v>185</v>
      </c>
      <c r="C33" s="390">
        <f>+C7</f>
        <v>14808.461660383624</v>
      </c>
      <c r="D33" s="390">
        <f>M7</f>
        <v>14808.461660383624</v>
      </c>
      <c r="E33" s="377">
        <f>+C33-D33</f>
        <v>0</v>
      </c>
      <c r="F33" s="390">
        <f>+V7</f>
        <v>16176.634829065673</v>
      </c>
      <c r="G33" s="402">
        <f>+C33-F33</f>
        <v>-1368.1731686820494</v>
      </c>
      <c r="K33" s="430"/>
      <c r="L33" s="375" t="s">
        <v>159</v>
      </c>
      <c r="M33" s="377">
        <f>C8-M8</f>
        <v>-457.79633167751763</v>
      </c>
      <c r="N33" s="390">
        <f>E8-N8</f>
        <v>-597.80564376803977</v>
      </c>
      <c r="O33" s="377">
        <f t="shared" ref="O33:O35" si="7">F8-O8</f>
        <v>-580.3283168661419</v>
      </c>
      <c r="P33" s="377">
        <f t="shared" si="6"/>
        <v>-594.9256610916882</v>
      </c>
      <c r="Q33" s="377">
        <f t="shared" si="6"/>
        <v>-640.26490734462823</v>
      </c>
      <c r="R33" s="433">
        <f t="shared" si="6"/>
        <v>-695.54601939259919</v>
      </c>
    </row>
    <row r="34" spans="2:18" x14ac:dyDescent="0.3">
      <c r="B34" s="401" t="s">
        <v>186</v>
      </c>
      <c r="C34" s="388">
        <f>+C14</f>
        <v>3843.9964030509846</v>
      </c>
      <c r="D34" s="388">
        <f>M14</f>
        <v>3843.9964030509846</v>
      </c>
      <c r="E34" s="393">
        <f>+C34-D34</f>
        <v>0</v>
      </c>
      <c r="F34" s="388">
        <f>+V14</f>
        <v>4097.5034710674299</v>
      </c>
      <c r="G34" s="403">
        <f>+C34-F34</f>
        <v>-253.50706801644537</v>
      </c>
      <c r="K34" s="430"/>
      <c r="L34" s="375" t="s">
        <v>160</v>
      </c>
      <c r="M34" s="377">
        <f>C9-M9</f>
        <v>-127.64055691099566</v>
      </c>
      <c r="N34" s="471">
        <f>E9-N9</f>
        <v>-1153.7206093432742</v>
      </c>
      <c r="O34" s="377">
        <f t="shared" si="7"/>
        <v>-1109.7395371249277</v>
      </c>
      <c r="P34" s="377">
        <f t="shared" si="6"/>
        <v>-1129.3806870382377</v>
      </c>
      <c r="Q34" s="377">
        <f t="shared" si="6"/>
        <v>-1171.4180281169629</v>
      </c>
      <c r="R34" s="433">
        <f t="shared" si="6"/>
        <v>-1214.9469375712997</v>
      </c>
    </row>
    <row r="35" spans="2:18" x14ac:dyDescent="0.3">
      <c r="B35" s="401"/>
      <c r="C35" s="390">
        <f>SUM(C33:C34)</f>
        <v>18652.458063434609</v>
      </c>
      <c r="D35" s="390">
        <f t="shared" ref="D35:G35" si="8">SUM(D33:D34)</f>
        <v>18652.458063434609</v>
      </c>
      <c r="E35" s="377">
        <f t="shared" si="8"/>
        <v>0</v>
      </c>
      <c r="F35" s="390">
        <f t="shared" si="8"/>
        <v>20274.138300133105</v>
      </c>
      <c r="G35" s="402">
        <f t="shared" si="8"/>
        <v>-1621.6802366984948</v>
      </c>
      <c r="K35" s="430"/>
      <c r="L35" s="375" t="s">
        <v>161</v>
      </c>
      <c r="M35" s="377">
        <f>C10-M10</f>
        <v>-124.4890233684132</v>
      </c>
      <c r="N35" s="390">
        <f t="shared" ref="N35" si="9">E10-N10</f>
        <v>-126.35635871893965</v>
      </c>
      <c r="O35" s="377">
        <f t="shared" si="7"/>
        <v>-128.88348589331827</v>
      </c>
      <c r="P35" s="377">
        <f t="shared" si="6"/>
        <v>-131.46115561118449</v>
      </c>
      <c r="Q35" s="377">
        <f t="shared" si="6"/>
        <v>-134.09037872340878</v>
      </c>
      <c r="R35" s="433">
        <f t="shared" si="6"/>
        <v>-136.77218629787649</v>
      </c>
    </row>
    <row r="36" spans="2:18" x14ac:dyDescent="0.3">
      <c r="B36" s="401"/>
      <c r="C36" s="415"/>
      <c r="D36" s="417"/>
      <c r="E36" s="375"/>
      <c r="F36" s="417"/>
      <c r="G36" s="404"/>
      <c r="K36" s="430" t="s">
        <v>162</v>
      </c>
      <c r="L36" s="375"/>
      <c r="M36" s="349">
        <f>SUM(M32:M35)</f>
        <v>-709.92591195692648</v>
      </c>
      <c r="N36" s="349">
        <f>SUM(N32:N35)</f>
        <v>-4224.2555970031935</v>
      </c>
      <c r="O36" s="349">
        <f t="shared" ref="O36:R36" si="10">SUM(O32:O35)</f>
        <v>-4066.6327802201972</v>
      </c>
      <c r="P36" s="349">
        <f t="shared" si="10"/>
        <v>-4060.4985962704272</v>
      </c>
      <c r="Q36" s="349">
        <f t="shared" si="10"/>
        <v>-4189.7706828430855</v>
      </c>
      <c r="R36" s="434">
        <f t="shared" si="10"/>
        <v>-4320.111896269631</v>
      </c>
    </row>
    <row r="37" spans="2:18" x14ac:dyDescent="0.3">
      <c r="B37" s="401"/>
      <c r="C37" s="390">
        <f>+C31+C35</f>
        <v>45343.98743343461</v>
      </c>
      <c r="D37" s="390">
        <f>+D31+D35</f>
        <v>46220.713374583371</v>
      </c>
      <c r="E37" s="377">
        <f>+E31+E35</f>
        <v>-876.7259411487621</v>
      </c>
      <c r="F37" s="390">
        <f t="shared" ref="F37" si="11">+F31+F35</f>
        <v>49264.748682351827</v>
      </c>
      <c r="G37" s="402">
        <f>+G31+G35</f>
        <v>-3920.761248917217</v>
      </c>
      <c r="K37" s="430"/>
      <c r="L37" s="375"/>
      <c r="M37" s="375"/>
      <c r="N37" s="375"/>
      <c r="O37" s="427"/>
      <c r="P37" s="427"/>
      <c r="Q37" s="375"/>
      <c r="R37" s="435"/>
    </row>
    <row r="38" spans="2:18" x14ac:dyDescent="0.3">
      <c r="B38" s="401"/>
      <c r="C38" s="375"/>
      <c r="D38" s="375"/>
      <c r="E38" s="375"/>
      <c r="F38" s="375"/>
      <c r="G38" s="404"/>
      <c r="K38" s="430" t="s">
        <v>163</v>
      </c>
      <c r="L38" s="375"/>
      <c r="M38" s="375"/>
      <c r="N38" s="375"/>
      <c r="O38" s="375"/>
      <c r="P38" s="375"/>
      <c r="Q38" s="375"/>
      <c r="R38" s="431"/>
    </row>
    <row r="39" spans="2:18" x14ac:dyDescent="0.3">
      <c r="B39" s="401" t="s">
        <v>189</v>
      </c>
      <c r="C39" s="406">
        <v>-2268</v>
      </c>
      <c r="D39" s="375"/>
      <c r="E39" s="375"/>
      <c r="F39" s="375"/>
      <c r="G39" s="404"/>
      <c r="K39" s="430"/>
      <c r="L39" s="375" t="s">
        <v>158</v>
      </c>
      <c r="M39" s="377">
        <f>C14-M14</f>
        <v>0</v>
      </c>
      <c r="N39" s="377">
        <f>E14-N14</f>
        <v>54.896304831790985</v>
      </c>
      <c r="O39" s="377">
        <f t="shared" ref="O39:R41" si="12">F14-O14</f>
        <v>54.294334995073768</v>
      </c>
      <c r="P39" s="377">
        <f t="shared" si="12"/>
        <v>31.89436851543087</v>
      </c>
      <c r="Q39" s="377">
        <f t="shared" si="12"/>
        <v>31.402499363161041</v>
      </c>
      <c r="R39" s="433">
        <f t="shared" si="12"/>
        <v>32.030549350424735</v>
      </c>
    </row>
    <row r="40" spans="2:18" x14ac:dyDescent="0.3">
      <c r="B40" s="401" t="s">
        <v>190</v>
      </c>
      <c r="C40" s="406">
        <f>-(C16+C10)/2</f>
        <v>-3759.4899850000002</v>
      </c>
      <c r="D40" s="375"/>
      <c r="E40" s="375"/>
      <c r="F40" s="375"/>
      <c r="G40" s="404"/>
      <c r="K40" s="430"/>
      <c r="L40" s="375" t="s">
        <v>159</v>
      </c>
      <c r="M40" s="377">
        <f>C15-M15</f>
        <v>-144.08718686314796</v>
      </c>
      <c r="N40" s="377">
        <f t="shared" ref="N40:N41" si="13">E15-N15</f>
        <v>-140.39557165726069</v>
      </c>
      <c r="O40" s="377">
        <f t="shared" si="12"/>
        <v>-156.98935973906055</v>
      </c>
      <c r="P40" s="377">
        <f t="shared" si="12"/>
        <v>-183.48207852609812</v>
      </c>
      <c r="Q40" s="377">
        <f t="shared" si="12"/>
        <v>-201.59639507431075</v>
      </c>
      <c r="R40" s="433">
        <f t="shared" si="12"/>
        <v>-218.72758853694449</v>
      </c>
    </row>
    <row r="41" spans="2:18" x14ac:dyDescent="0.3">
      <c r="B41" s="401" t="s">
        <v>191</v>
      </c>
      <c r="C41" s="406">
        <f>+(4412+3479+13)/2</f>
        <v>3952</v>
      </c>
      <c r="D41" s="375"/>
      <c r="E41" s="375"/>
      <c r="F41" s="375"/>
      <c r="G41" s="404"/>
      <c r="K41" s="430"/>
      <c r="L41" s="375" t="s">
        <v>161</v>
      </c>
      <c r="M41" s="377">
        <f>C16-M16</f>
        <v>-22.712842328684928</v>
      </c>
      <c r="N41" s="377">
        <f t="shared" si="13"/>
        <v>47.053151007505221</v>
      </c>
      <c r="O41" s="377">
        <f t="shared" si="12"/>
        <v>29.396176820612709</v>
      </c>
      <c r="P41" s="377">
        <f t="shared" si="12"/>
        <v>-4.8428633712073861</v>
      </c>
      <c r="Q41" s="377">
        <f t="shared" si="12"/>
        <v>-22.106546208168766</v>
      </c>
      <c r="R41" s="433">
        <f t="shared" si="12"/>
        <v>-39.014000834195031</v>
      </c>
    </row>
    <row r="42" spans="2:18" x14ac:dyDescent="0.3">
      <c r="B42" s="401"/>
      <c r="C42" s="405"/>
      <c r="D42" s="375"/>
      <c r="E42" s="375"/>
      <c r="F42" s="375"/>
      <c r="G42" s="404"/>
      <c r="K42" s="430" t="s">
        <v>164</v>
      </c>
      <c r="L42" s="375"/>
      <c r="M42" s="349">
        <f>SUM(M38:M41)</f>
        <v>-166.80002919183289</v>
      </c>
      <c r="N42" s="349">
        <f>SUM(N38:N41)</f>
        <v>-38.446115817964483</v>
      </c>
      <c r="O42" s="349">
        <f t="shared" ref="O42:R42" si="14">SUM(O38:O41)</f>
        <v>-73.298847923374069</v>
      </c>
      <c r="P42" s="349">
        <f t="shared" si="14"/>
        <v>-156.43057338187464</v>
      </c>
      <c r="Q42" s="349">
        <f t="shared" si="14"/>
        <v>-192.30044191931847</v>
      </c>
      <c r="R42" s="434">
        <f t="shared" si="14"/>
        <v>-225.71104002071479</v>
      </c>
    </row>
    <row r="43" spans="2:18" x14ac:dyDescent="0.3">
      <c r="B43" s="407" t="s">
        <v>192</v>
      </c>
      <c r="C43" s="408">
        <f>SUM(C37:C41)</f>
        <v>43268.497448434609</v>
      </c>
      <c r="D43" s="394"/>
      <c r="E43" s="394"/>
      <c r="F43" s="394"/>
      <c r="G43" s="409"/>
      <c r="K43" s="430"/>
      <c r="L43" s="375"/>
      <c r="M43" s="375"/>
      <c r="N43" s="375"/>
      <c r="O43" s="427"/>
      <c r="P43" s="427"/>
      <c r="Q43" s="375"/>
      <c r="R43" s="435"/>
    </row>
    <row r="44" spans="2:18" x14ac:dyDescent="0.3">
      <c r="K44" s="430"/>
      <c r="L44" s="375"/>
      <c r="M44" s="375"/>
      <c r="N44" s="375"/>
      <c r="O44" s="427"/>
      <c r="P44" s="427"/>
      <c r="Q44" s="375"/>
      <c r="R44" s="435"/>
    </row>
    <row r="45" spans="2:18" ht="15" thickBot="1" x14ac:dyDescent="0.35">
      <c r="K45" s="436" t="s">
        <v>165</v>
      </c>
      <c r="L45" s="437"/>
      <c r="M45" s="438">
        <f>M36+M42</f>
        <v>-876.72594114875938</v>
      </c>
      <c r="N45" s="438">
        <f t="shared" ref="N45:R45" si="15">N36+N42</f>
        <v>-4262.7017128211583</v>
      </c>
      <c r="O45" s="438">
        <f t="shared" si="15"/>
        <v>-4139.9316281435713</v>
      </c>
      <c r="P45" s="438">
        <f t="shared" si="15"/>
        <v>-4216.9291696523014</v>
      </c>
      <c r="Q45" s="438">
        <f t="shared" si="15"/>
        <v>-4382.071124762404</v>
      </c>
      <c r="R45" s="439">
        <f t="shared" si="15"/>
        <v>-4545.8229362903458</v>
      </c>
    </row>
    <row r="47" spans="2:18" x14ac:dyDescent="0.3">
      <c r="L47" s="472"/>
      <c r="M47" s="474" t="s">
        <v>199</v>
      </c>
      <c r="N47" s="473">
        <f>N33+N35++N40+N41+N39</f>
        <v>-762.6081183049439</v>
      </c>
      <c r="O47" s="473"/>
      <c r="P47" s="473"/>
      <c r="Q47" s="473"/>
      <c r="R47" s="473"/>
    </row>
  </sheetData>
  <mergeCells count="4">
    <mergeCell ref="V3:Z3"/>
    <mergeCell ref="C3:I3"/>
    <mergeCell ref="M3:R3"/>
    <mergeCell ref="M28:R28"/>
  </mergeCells>
  <pageMargins left="0.7" right="0.7" top="0.75" bottom="0.75" header="0.3" footer="0.3"/>
  <pageSetup scale="54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36"/>
  <sheetViews>
    <sheetView zoomScale="85" zoomScaleNormal="85" workbookViewId="0">
      <pane xSplit="1" ySplit="9" topLeftCell="R61" activePane="bottomRight" state="frozen"/>
      <selection pane="topRight" activeCell="B1" sqref="B1"/>
      <selection pane="bottomLeft" activeCell="A10" sqref="A10"/>
      <selection pane="bottomRight" activeCell="X80" sqref="X80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8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customWidth="1" collapsed="1"/>
    <col min="19" max="19" width="7.6640625" style="2" customWidth="1"/>
    <col min="20" max="20" width="18.6640625" style="12" customWidth="1"/>
    <col min="21" max="21" width="7.6640625" style="2" customWidth="1"/>
    <col min="22" max="22" width="18.6640625" style="12" customWidth="1"/>
    <col min="23" max="23" width="7.6640625" style="2" customWidth="1"/>
    <col min="24" max="24" width="18.6640625" style="12" customWidth="1"/>
    <col min="25" max="25" width="7.6640625" style="2" customWidth="1"/>
    <col min="26" max="29" width="18.6640625" style="12" customWidth="1"/>
    <col min="30" max="16384" width="9.109375" style="12"/>
  </cols>
  <sheetData>
    <row r="1" spans="1:32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C1" s="298" t="s">
        <v>0</v>
      </c>
      <c r="AE1" s="300"/>
      <c r="AF1" s="12" t="s">
        <v>103</v>
      </c>
    </row>
    <row r="2" spans="1:32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/>
      <c r="W2" s="4"/>
      <c r="X2" s="299"/>
      <c r="Y2" s="4"/>
      <c r="Z2" s="299"/>
      <c r="AA2" s="299"/>
      <c r="AB2" s="299"/>
      <c r="AC2" s="299"/>
    </row>
    <row r="3" spans="1:32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194</v>
      </c>
      <c r="W3" s="36"/>
      <c r="X3" s="264" t="s">
        <v>195</v>
      </c>
      <c r="Y3" s="36"/>
      <c r="Z3" s="264" t="s">
        <v>195</v>
      </c>
      <c r="AA3" s="264" t="s">
        <v>195</v>
      </c>
      <c r="AB3" s="264" t="s">
        <v>195</v>
      </c>
      <c r="AC3" s="264" t="s">
        <v>195</v>
      </c>
    </row>
    <row r="4" spans="1:32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  <c r="AC4" s="16" t="s">
        <v>3</v>
      </c>
    </row>
    <row r="5" spans="1:32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9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C7" si="0">Z5+1</f>
        <v>2021</v>
      </c>
      <c r="AB5" s="307">
        <f t="shared" si="0"/>
        <v>2022</v>
      </c>
      <c r="AC5" s="307">
        <f t="shared" si="0"/>
        <v>2023</v>
      </c>
    </row>
    <row r="6" spans="1:32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42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  <c r="AC6" s="308">
        <f t="shared" si="0"/>
        <v>2024</v>
      </c>
    </row>
    <row r="7" spans="1:32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46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  <c r="AC7" s="309">
        <f t="shared" si="0"/>
        <v>2024</v>
      </c>
    </row>
    <row r="8" spans="1:32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5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  <c r="AC8" s="310" t="s">
        <v>176</v>
      </c>
    </row>
    <row r="9" spans="1:32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54"/>
      <c r="W9" s="55"/>
      <c r="X9" s="311"/>
      <c r="Y9" s="55"/>
      <c r="Z9" s="311"/>
      <c r="AA9" s="311"/>
      <c r="AB9" s="311"/>
      <c r="AC9" s="311"/>
    </row>
    <row r="10" spans="1:32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120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  <c r="AC10" s="301" t="s">
        <v>177</v>
      </c>
    </row>
    <row r="11" spans="1:32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42"/>
      <c r="W11" s="43"/>
      <c r="X11" s="308"/>
      <c r="Y11" s="43"/>
      <c r="Z11" s="308"/>
      <c r="AA11" s="308"/>
      <c r="AB11" s="308"/>
      <c r="AC11" s="308"/>
    </row>
    <row r="12" spans="1:32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68"/>
      <c r="W12" s="47"/>
      <c r="X12" s="312"/>
      <c r="Y12" s="47"/>
      <c r="Z12" s="312"/>
      <c r="AA12" s="312"/>
      <c r="AB12" s="312"/>
      <c r="AC12" s="312"/>
    </row>
    <row r="13" spans="1:32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70">
        <v>2400000</v>
      </c>
      <c r="W13" s="73"/>
      <c r="X13" s="313">
        <v>2200000</v>
      </c>
      <c r="Y13" s="73"/>
      <c r="Z13" s="313">
        <f>SUM(X13:X19)</f>
        <v>2200000</v>
      </c>
      <c r="AA13" s="313">
        <f>SUM(Z13:Z19)</f>
        <v>2478165</v>
      </c>
      <c r="AB13" s="313">
        <f>SUM(AA13:AA19)</f>
        <v>2768818</v>
      </c>
      <c r="AC13" s="313">
        <f>SUM(AB13:AB19)</f>
        <v>3029995</v>
      </c>
    </row>
    <row r="14" spans="1:32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153"/>
      <c r="W14" s="73"/>
      <c r="X14" s="313"/>
      <c r="Y14" s="73"/>
      <c r="Z14" s="313"/>
      <c r="AA14" s="313"/>
      <c r="AB14" s="313"/>
      <c r="AC14" s="313"/>
    </row>
    <row r="15" spans="1:32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153"/>
      <c r="W15" s="73"/>
      <c r="X15" s="313"/>
      <c r="Y15" s="73"/>
      <c r="Z15" s="154">
        <v>303587</v>
      </c>
      <c r="AA15" s="154">
        <v>310788</v>
      </c>
      <c r="AB15" s="154">
        <v>280335</v>
      </c>
      <c r="AC15" s="154">
        <v>329161</v>
      </c>
    </row>
    <row r="16" spans="1:32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153"/>
      <c r="W16" s="73"/>
      <c r="X16" s="313"/>
      <c r="Y16" s="73"/>
      <c r="Z16" s="154">
        <v>-18675</v>
      </c>
      <c r="AA16" s="154">
        <v>-13145</v>
      </c>
      <c r="AB16" s="154">
        <v>-12168</v>
      </c>
      <c r="AC16" s="154">
        <v>-5895</v>
      </c>
    </row>
    <row r="17" spans="1:29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153"/>
      <c r="W17" s="73"/>
      <c r="X17" s="313"/>
      <c r="Y17" s="73"/>
      <c r="Z17" s="154"/>
      <c r="AA17" s="154"/>
      <c r="AB17" s="154"/>
      <c r="AC17" s="154"/>
    </row>
    <row r="18" spans="1:29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153"/>
      <c r="W18" s="73"/>
      <c r="X18" s="313"/>
      <c r="Y18" s="73"/>
      <c r="Z18" s="154">
        <v>-6747</v>
      </c>
      <c r="AA18" s="154">
        <v>-6990</v>
      </c>
      <c r="AB18" s="154">
        <v>-6990</v>
      </c>
      <c r="AC18" s="154">
        <v>-7760</v>
      </c>
    </row>
    <row r="19" spans="1:29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155"/>
      <c r="W19" s="84"/>
      <c r="X19" s="323"/>
      <c r="Y19" s="84"/>
      <c r="Z19" s="398">
        <f>X19</f>
        <v>0</v>
      </c>
      <c r="AA19" s="398">
        <f t="shared" ref="AA19:AC19" si="1">Z19</f>
        <v>0</v>
      </c>
      <c r="AB19" s="398">
        <f t="shared" si="1"/>
        <v>0</v>
      </c>
      <c r="AC19" s="398">
        <f t="shared" si="1"/>
        <v>0</v>
      </c>
    </row>
    <row r="20" spans="1:29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87">
        <v>0.96493331984800101</v>
      </c>
      <c r="W20" s="73"/>
      <c r="X20" s="314">
        <v>0.9601430262821341</v>
      </c>
      <c r="Y20" s="73"/>
      <c r="Z20" s="314">
        <f>SUM(X20)</f>
        <v>0.9601430262821341</v>
      </c>
      <c r="AA20" s="314">
        <f t="shared" ref="AA20:AA21" si="2">SUM(Z20)</f>
        <v>0.9601430262821341</v>
      </c>
      <c r="AB20" s="314">
        <f>SUM(AA20)</f>
        <v>0.9601430262821341</v>
      </c>
      <c r="AC20" s="314">
        <f>SUM(AB20)</f>
        <v>0.9601430262821341</v>
      </c>
    </row>
    <row r="21" spans="1:29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91">
        <v>0.56470299999999995</v>
      </c>
      <c r="W21" s="84"/>
      <c r="X21" s="315">
        <v>0.57349399999999995</v>
      </c>
      <c r="Y21" s="84"/>
      <c r="Z21" s="315">
        <f>SUM(X21)</f>
        <v>0.57349399999999995</v>
      </c>
      <c r="AA21" s="315">
        <f t="shared" si="2"/>
        <v>0.57349399999999995</v>
      </c>
      <c r="AB21" s="315">
        <f>SUM(AA21)</f>
        <v>0.57349399999999995</v>
      </c>
      <c r="AC21" s="315">
        <f>SUM(AB21)</f>
        <v>0.57349399999999995</v>
      </c>
    </row>
    <row r="22" spans="1:29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3">SUM(G13:G19)*G20*G21</f>
        <v>749495.24554680008</v>
      </c>
      <c r="I22" s="69">
        <f t="shared" si="3"/>
        <v>822232.32062400004</v>
      </c>
      <c r="J22" s="70"/>
      <c r="K22" s="71"/>
      <c r="L22" s="69">
        <f t="shared" ref="L22:N22" si="4">SUM(L13:L19)*L20*L21</f>
        <v>962461.34900000005</v>
      </c>
      <c r="M22" s="72"/>
      <c r="N22" s="69">
        <f t="shared" si="4"/>
        <v>1154211.1569999997</v>
      </c>
      <c r="O22" s="70"/>
      <c r="P22" s="70">
        <f t="shared" ref="P22" si="5">SUM(P13:P19)*P20*P21</f>
        <v>1162234.5759999999</v>
      </c>
      <c r="Q22" s="73"/>
      <c r="R22" s="70">
        <f t="shared" ref="R22" si="6">SUM(R13:R19)*R20*R21</f>
        <v>1207497.787</v>
      </c>
      <c r="S22" s="73"/>
      <c r="T22" s="70">
        <f>SUM(T13:T19)*T20*T21</f>
        <v>1238307.8730000001</v>
      </c>
      <c r="U22" s="73"/>
      <c r="V22" s="70">
        <f>SUM(V13:V19)*V20*V21</f>
        <v>1307761.7772435015</v>
      </c>
      <c r="W22" s="73"/>
      <c r="X22" s="313">
        <f>SUM(X13:X19)*X20*X21</f>
        <v>1211399.7823722216</v>
      </c>
      <c r="Y22" s="73"/>
      <c r="Z22" s="313">
        <f>SUM(Z13:Z19)*Z20*Z21</f>
        <v>1364567.518946571</v>
      </c>
      <c r="AA22" s="313">
        <f>SUM(AA13:AA19)*AA20*AA21</f>
        <v>1524611.6011946769</v>
      </c>
      <c r="AB22" s="313">
        <f>SUM(AB13:AB19)*AB20*AB21</f>
        <v>1668425.1289040544</v>
      </c>
      <c r="AC22" s="313">
        <f>SUM(AC13:AC19)*AC20*AC21</f>
        <v>1842154.1742391135</v>
      </c>
    </row>
    <row r="23" spans="1:29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70">
        <v>489.39157803826998</v>
      </c>
      <c r="W23" s="73"/>
      <c r="X23" s="313">
        <v>629</v>
      </c>
      <c r="Y23" s="73"/>
      <c r="Z23" s="313"/>
      <c r="AA23" s="313"/>
      <c r="AB23" s="313"/>
      <c r="AC23" s="313"/>
    </row>
    <row r="24" spans="1:29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7">SUM(I22)</f>
        <v>822232.32062400004</v>
      </c>
      <c r="J24" s="70"/>
      <c r="K24" s="71"/>
      <c r="L24" s="69">
        <f t="shared" ref="L24" si="8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70">
        <f>SUM(V22:V23)</f>
        <v>1308251.1688215397</v>
      </c>
      <c r="W24" s="73"/>
      <c r="X24" s="313">
        <f>SUM(X22:X23)</f>
        <v>1212028.7823722216</v>
      </c>
      <c r="Y24" s="73"/>
      <c r="Z24" s="313">
        <f t="shared" ref="Z24:AA24" si="9">SUM(Z22)</f>
        <v>1364567.518946571</v>
      </c>
      <c r="AA24" s="313">
        <f t="shared" si="9"/>
        <v>1524611.6011946769</v>
      </c>
      <c r="AB24" s="313">
        <f>SUM(AB22)</f>
        <v>1668425.1289040544</v>
      </c>
      <c r="AC24" s="313">
        <f>SUM(AC22)</f>
        <v>1842154.1742391135</v>
      </c>
    </row>
    <row r="25" spans="1:29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70">
        <v>1064023.335</v>
      </c>
      <c r="Q25" s="73"/>
      <c r="R25" s="70">
        <v>1117051.1471780001</v>
      </c>
      <c r="S25" s="73"/>
      <c r="T25" s="70">
        <v>1153650.0430000001</v>
      </c>
      <c r="U25" s="73"/>
      <c r="V25" s="72"/>
      <c r="W25" s="73"/>
      <c r="X25" s="313"/>
      <c r="Y25" s="73"/>
      <c r="Z25" s="313"/>
      <c r="AA25" s="313"/>
      <c r="AB25" s="313"/>
      <c r="AC25" s="313"/>
    </row>
    <row r="26" spans="1:29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316">
        <f>SUM(T26)</f>
        <v>0.93137142914001647</v>
      </c>
      <c r="W26" s="81"/>
      <c r="X26" s="316">
        <f>SUM(V26)</f>
        <v>0.93137142914001647</v>
      </c>
      <c r="Y26" s="81"/>
      <c r="Z26" s="316">
        <f>SUM(X26)</f>
        <v>0.93137142914001647</v>
      </c>
      <c r="AA26" s="316">
        <f t="shared" ref="AA26" si="10">SUM(Z26)</f>
        <v>0.93137142914001647</v>
      </c>
      <c r="AB26" s="316">
        <f>SUM(AA26)</f>
        <v>0.93137142914001647</v>
      </c>
      <c r="AC26" s="316">
        <f>SUM(AB26)</f>
        <v>0.93137142914001647</v>
      </c>
    </row>
    <row r="27" spans="1:29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1">SUM(G24*G26)</f>
        <v>681556.79615745938</v>
      </c>
      <c r="I27" s="69">
        <f t="shared" si="11"/>
        <v>765508.78650503687</v>
      </c>
      <c r="J27" s="70"/>
      <c r="K27" s="71"/>
      <c r="L27" s="69">
        <f t="shared" ref="L27:AA27" si="12">SUM(L24*L26)</f>
        <v>898630</v>
      </c>
      <c r="M27" s="72"/>
      <c r="N27" s="69">
        <f t="shared" si="12"/>
        <v>1070854.5930000001</v>
      </c>
      <c r="O27" s="72"/>
      <c r="P27" s="70">
        <f>SUM(P24*P26)</f>
        <v>1064023.335</v>
      </c>
      <c r="R27" s="70">
        <f>SUM(R24*R26)</f>
        <v>1117051.1471780001</v>
      </c>
      <c r="T27" s="70">
        <f>SUM(T24*T26)</f>
        <v>1153650.0430000001</v>
      </c>
      <c r="U27" s="71"/>
      <c r="V27" s="313">
        <f>SUM(V24*V26)</f>
        <v>1218467.7607794143</v>
      </c>
      <c r="W27" s="71"/>
      <c r="X27" s="313">
        <f>SUM(X24*X26)</f>
        <v>1128848.97919685</v>
      </c>
      <c r="Y27" s="71"/>
      <c r="Z27" s="313">
        <f t="shared" si="12"/>
        <v>1270919.2002793143</v>
      </c>
      <c r="AA27" s="313">
        <f t="shared" si="12"/>
        <v>1419979.6858881351</v>
      </c>
      <c r="AB27" s="313">
        <f>SUM(AB24*AB26)</f>
        <v>1553923.4967204854</v>
      </c>
      <c r="AC27" s="313">
        <f>SUM(AC24*AC26)</f>
        <v>1715729.7659573301</v>
      </c>
    </row>
    <row r="28" spans="1:29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313">
        <v>0</v>
      </c>
      <c r="W28" s="71"/>
      <c r="X28" s="313">
        <v>0</v>
      </c>
      <c r="Y28" s="71"/>
      <c r="Z28" s="313">
        <v>0</v>
      </c>
      <c r="AA28" s="313">
        <v>0</v>
      </c>
      <c r="AB28" s="313">
        <v>0</v>
      </c>
      <c r="AC28" s="313">
        <v>0</v>
      </c>
    </row>
    <row r="29" spans="1:29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3">SUM(G27:G28)</f>
        <v>681556.79615745938</v>
      </c>
      <c r="I29" s="99">
        <f t="shared" si="13"/>
        <v>765508.78650503687</v>
      </c>
      <c r="J29" s="100"/>
      <c r="K29" s="101"/>
      <c r="L29" s="99">
        <f t="shared" ref="L29:AA29" si="14">SUM(L27:L28)</f>
        <v>898630</v>
      </c>
      <c r="M29" s="102"/>
      <c r="N29" s="99">
        <f t="shared" si="14"/>
        <v>1070854.5930000001</v>
      </c>
      <c r="O29" s="102"/>
      <c r="P29" s="100">
        <f t="shared" si="14"/>
        <v>1064023.335</v>
      </c>
      <c r="Q29" s="101"/>
      <c r="R29" s="100">
        <f t="shared" ref="R29" si="15">SUM(R27:R28)</f>
        <v>1117051.1471780001</v>
      </c>
      <c r="S29" s="101"/>
      <c r="T29" s="100">
        <f>SUM(T27:T28)</f>
        <v>1153650.0430000001</v>
      </c>
      <c r="U29" s="101"/>
      <c r="V29" s="317">
        <f>SUM(V27:V28)</f>
        <v>1218467.7607794143</v>
      </c>
      <c r="W29" s="101"/>
      <c r="X29" s="317">
        <f t="shared" si="14"/>
        <v>1128848.97919685</v>
      </c>
      <c r="Y29" s="101"/>
      <c r="Z29" s="317">
        <f t="shared" si="14"/>
        <v>1270919.2002793143</v>
      </c>
      <c r="AA29" s="317">
        <f t="shared" si="14"/>
        <v>1419979.6858881351</v>
      </c>
      <c r="AB29" s="317">
        <f>SUM(AB27:AB28)</f>
        <v>1553923.4967204854</v>
      </c>
      <c r="AC29" s="317">
        <f>SUM(AC27:AC28)</f>
        <v>1715729.7659573301</v>
      </c>
    </row>
    <row r="30" spans="1:29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305">
        <v>0.09</v>
      </c>
      <c r="V30" s="318">
        <f>SUM(T30*(1+U30))</f>
        <v>1.2153347127470267E-2</v>
      </c>
      <c r="W30" s="305">
        <v>1.4999999999999999E-2</v>
      </c>
      <c r="X30" s="318">
        <f>SUM(V30*(1+W30))</f>
        <v>1.233564733438232E-2</v>
      </c>
      <c r="Y30" s="305">
        <v>0.02</v>
      </c>
      <c r="Z30" s="318">
        <f>SUM(X30*(1+Y30))</f>
        <v>1.2582360281069967E-2</v>
      </c>
      <c r="AA30" s="318">
        <f>SUM(Z30*(1+Y30))</f>
        <v>1.2834007486691366E-2</v>
      </c>
      <c r="AB30" s="318">
        <f>SUM(AA30*(1+Y30))</f>
        <v>1.3090687636425194E-2</v>
      </c>
      <c r="AC30" s="318">
        <f>SUM(AB30*(1+$Y$30))</f>
        <v>1.3352501389153698E-2</v>
      </c>
    </row>
    <row r="31" spans="1:29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319"/>
      <c r="W31" s="71"/>
      <c r="X31" s="319"/>
      <c r="Y31" s="71"/>
      <c r="Z31" s="319"/>
      <c r="AA31" s="319"/>
      <c r="AB31" s="319"/>
      <c r="AC31" s="319"/>
    </row>
    <row r="32" spans="1:29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6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P32" si="17">SUM(N29*N30)</f>
        <v>12999.765589175515</v>
      </c>
      <c r="O32" s="113"/>
      <c r="P32" s="141">
        <f t="shared" si="17"/>
        <v>12677.752</v>
      </c>
      <c r="Q32" s="114"/>
      <c r="R32" s="141">
        <f t="shared" ref="R32" si="18">SUM(R29*R30)</f>
        <v>14080.649957033333</v>
      </c>
      <c r="S32" s="114"/>
      <c r="T32" s="141">
        <f>SUM(T29*T30)</f>
        <v>12863.036179999999</v>
      </c>
      <c r="U32" s="114"/>
      <c r="V32" s="320">
        <f>SUM(V29*V30)</f>
        <v>14808.461660383624</v>
      </c>
      <c r="W32" s="370"/>
      <c r="X32" s="320">
        <f>SUM(X29*X30)</f>
        <v>13925.082901149826</v>
      </c>
      <c r="Y32" s="370"/>
      <c r="Z32" s="320">
        <f>SUM(Z29*Z30)</f>
        <v>15991.16326604365</v>
      </c>
      <c r="AA32" s="320">
        <f>SUM(AA29*AA30)</f>
        <v>18224.029919637978</v>
      </c>
      <c r="AB32" s="320">
        <f>SUM(AB29*AB30)</f>
        <v>20341.927106469462</v>
      </c>
      <c r="AC32" s="320">
        <f>SUM(AC29*AC30)</f>
        <v>22909.284083357601</v>
      </c>
    </row>
    <row r="33" spans="1:29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116"/>
      <c r="W33" s="117"/>
      <c r="X33" s="116"/>
      <c r="Y33" s="117"/>
      <c r="Z33" s="116"/>
      <c r="AA33" s="116"/>
      <c r="AB33" s="116"/>
      <c r="AC33" s="116"/>
    </row>
    <row r="34" spans="1:29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120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  <c r="AC34" s="301" t="str">
        <f>$AC$10</f>
        <v>2024 Estimate</v>
      </c>
    </row>
    <row r="35" spans="1:29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65"/>
      <c r="W35" s="64"/>
      <c r="X35" s="321"/>
      <c r="Y35" s="64"/>
      <c r="Z35" s="321"/>
      <c r="AA35" s="321"/>
      <c r="AB35" s="321"/>
      <c r="AC35" s="321"/>
    </row>
    <row r="36" spans="1:29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65"/>
      <c r="W36" s="64"/>
      <c r="X36" s="321"/>
      <c r="Y36" s="64"/>
      <c r="Z36" s="321"/>
      <c r="AA36" s="321"/>
      <c r="AB36" s="321"/>
      <c r="AC36" s="321"/>
    </row>
    <row r="37" spans="1:29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70">
        <v>2481598.6882600002</v>
      </c>
      <c r="W37" s="73"/>
      <c r="X37" s="313">
        <f>SUM(V37:V42)</f>
        <v>2481598.6882600002</v>
      </c>
      <c r="Y37" s="73"/>
      <c r="Z37" s="313">
        <f>SUM(X37:X42)</f>
        <v>2481598.6882600002</v>
      </c>
      <c r="AA37" s="313">
        <f>SUM(Z37:Z42)</f>
        <v>2759763.6882600002</v>
      </c>
      <c r="AB37" s="313">
        <f>SUM(AA37:AA42)</f>
        <v>3050416.6882600002</v>
      </c>
      <c r="AC37" s="313">
        <f>SUM(AB37:AB42)</f>
        <v>3311593.6882600002</v>
      </c>
    </row>
    <row r="38" spans="1:29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124"/>
      <c r="W38" s="73"/>
      <c r="X38" s="322"/>
      <c r="Y38" s="73"/>
      <c r="Z38" s="322"/>
      <c r="AA38" s="322"/>
      <c r="AB38" s="322"/>
      <c r="AC38" s="322"/>
    </row>
    <row r="39" spans="1:29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153"/>
      <c r="W39" s="73"/>
      <c r="X39" s="423">
        <f>SUM(X15)</f>
        <v>0</v>
      </c>
      <c r="Y39" s="73"/>
      <c r="Z39" s="344">
        <f t="shared" ref="X39:AA40" si="19">SUM(Z15)</f>
        <v>303587</v>
      </c>
      <c r="AA39" s="344">
        <f t="shared" si="19"/>
        <v>310788</v>
      </c>
      <c r="AB39" s="344">
        <f>SUM(AB15)</f>
        <v>280335</v>
      </c>
      <c r="AC39" s="344">
        <f>SUM(AC15)</f>
        <v>329161</v>
      </c>
    </row>
    <row r="40" spans="1:29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126"/>
      <c r="W40" s="73"/>
      <c r="X40" s="423">
        <f t="shared" si="19"/>
        <v>0</v>
      </c>
      <c r="Y40" s="73"/>
      <c r="Z40" s="344">
        <f t="shared" si="19"/>
        <v>-18675</v>
      </c>
      <c r="AA40" s="344">
        <f t="shared" si="19"/>
        <v>-13145</v>
      </c>
      <c r="AB40" s="344">
        <f>SUM(AB16)</f>
        <v>-12168</v>
      </c>
      <c r="AC40" s="344">
        <f>SUM(AC16)</f>
        <v>-5895</v>
      </c>
    </row>
    <row r="41" spans="1:29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126"/>
      <c r="W41" s="73"/>
      <c r="X41" s="423">
        <f t="shared" ref="X41:AA42" si="20">SUM(X18)</f>
        <v>0</v>
      </c>
      <c r="Y41" s="73"/>
      <c r="Z41" s="344">
        <f>SUM(Z18)</f>
        <v>-6747</v>
      </c>
      <c r="AA41" s="344">
        <f t="shared" si="20"/>
        <v>-6990</v>
      </c>
      <c r="AB41" s="344">
        <f>SUM(AB18)</f>
        <v>-6990</v>
      </c>
      <c r="AC41" s="344">
        <f>SUM(AC18)</f>
        <v>-7760</v>
      </c>
    </row>
    <row r="42" spans="1:29" x14ac:dyDescent="0.3">
      <c r="A42" s="56" t="s">
        <v>52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126"/>
      <c r="W42" s="73"/>
      <c r="X42" s="423">
        <f t="shared" si="20"/>
        <v>0</v>
      </c>
      <c r="Y42" s="73"/>
      <c r="Z42" s="344">
        <f t="shared" si="20"/>
        <v>0</v>
      </c>
      <c r="AA42" s="344">
        <f t="shared" si="20"/>
        <v>0</v>
      </c>
      <c r="AB42" s="344">
        <f>SUM(AB19)</f>
        <v>0</v>
      </c>
      <c r="AC42" s="344">
        <f>SUM(AC19)</f>
        <v>0</v>
      </c>
    </row>
    <row r="43" spans="1:29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83"/>
      <c r="W43" s="84"/>
      <c r="X43" s="323"/>
      <c r="Y43" s="84"/>
      <c r="Z43" s="323"/>
      <c r="AA43" s="323"/>
      <c r="AB43" s="323"/>
      <c r="AC43" s="323"/>
    </row>
    <row r="44" spans="1:29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87">
        <v>1</v>
      </c>
      <c r="W44" s="73"/>
      <c r="X44" s="314">
        <v>1</v>
      </c>
      <c r="Y44" s="73"/>
      <c r="Z44" s="314">
        <v>1</v>
      </c>
      <c r="AA44" s="314">
        <v>1</v>
      </c>
      <c r="AB44" s="314">
        <v>1</v>
      </c>
      <c r="AC44" s="314">
        <v>1</v>
      </c>
    </row>
    <row r="45" spans="1:29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91">
        <f>619029054/2481598688.26</f>
        <v>0.24944768746393839</v>
      </c>
      <c r="W45" s="84"/>
      <c r="X45" s="315">
        <f>SUM(V45)</f>
        <v>0.24944768746393839</v>
      </c>
      <c r="Y45" s="84"/>
      <c r="Z45" s="315">
        <f>SUM(X45)</f>
        <v>0.24944768746393839</v>
      </c>
      <c r="AA45" s="315">
        <f t="shared" ref="AA45" si="21">SUM(Z45)</f>
        <v>0.24944768746393839</v>
      </c>
      <c r="AB45" s="315">
        <f>SUM(AA45)</f>
        <v>0.24944768746393839</v>
      </c>
      <c r="AC45" s="315">
        <f>SUM(AB45)</f>
        <v>0.24944768746393839</v>
      </c>
    </row>
    <row r="46" spans="1:29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70">
        <f>SUM(V37:V43)*V44*V45</f>
        <v>619029.054</v>
      </c>
      <c r="W46" s="73"/>
      <c r="X46" s="313">
        <f>SUM(X37:X43)*X44*X45</f>
        <v>619029.054</v>
      </c>
      <c r="Y46" s="73"/>
      <c r="Z46" s="313">
        <f>SUM(Z37:Z43)*Z44*Z45</f>
        <v>688416.66998340643</v>
      </c>
      <c r="AA46" s="313">
        <f>SUM(AA37:AA43)*AA44*AA45</f>
        <v>760919.38868786255</v>
      </c>
      <c r="AB46" s="313">
        <f>SUM(AB37:AB43)*AB44*AB45</f>
        <v>826069.38735663157</v>
      </c>
      <c r="AC46" s="313">
        <f>SUM(AC37:AC43)*AC44*AC45</f>
        <v>904771.6294376289</v>
      </c>
    </row>
    <row r="47" spans="1:29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83">
        <f>589749.943-V46</f>
        <v>-29279.111000000034</v>
      </c>
      <c r="W47" s="84"/>
      <c r="X47" s="323">
        <f>SUM(V47)</f>
        <v>-29279.111000000034</v>
      </c>
      <c r="Y47" s="84"/>
      <c r="Z47" s="323">
        <f>SUM(X47)</f>
        <v>-29279.111000000034</v>
      </c>
      <c r="AA47" s="323">
        <f t="shared" ref="AA47" si="22">SUM(Z47)</f>
        <v>-29279.111000000034</v>
      </c>
      <c r="AB47" s="323">
        <f>SUM(AA47)</f>
        <v>-29279.111000000034</v>
      </c>
      <c r="AC47" s="323">
        <f>SUM(AB47)</f>
        <v>-29279.111000000034</v>
      </c>
    </row>
    <row r="48" spans="1:29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3">SUM(L46:L47)</f>
        <v>469394.93499999994</v>
      </c>
      <c r="M48" s="72"/>
      <c r="N48" s="69">
        <f t="shared" si="23"/>
        <v>504910.23699999996</v>
      </c>
      <c r="O48" s="70"/>
      <c r="P48" s="70">
        <f t="shared" si="23"/>
        <v>504754.00099999999</v>
      </c>
      <c r="Q48" s="73"/>
      <c r="R48" s="70">
        <f>SUM(R46:R47)</f>
        <v>549171.69446199993</v>
      </c>
      <c r="S48" s="73"/>
      <c r="T48" s="70">
        <f t="shared" si="23"/>
        <v>573846.04099999997</v>
      </c>
      <c r="U48" s="73"/>
      <c r="V48" s="70">
        <f>SUM(V46:V47)</f>
        <v>589749.94299999997</v>
      </c>
      <c r="W48" s="73"/>
      <c r="X48" s="313">
        <f t="shared" si="23"/>
        <v>589749.94299999997</v>
      </c>
      <c r="Y48" s="73"/>
      <c r="Z48" s="313">
        <f>SUM(Z46:Z47)</f>
        <v>659137.5589834064</v>
      </c>
      <c r="AA48" s="313">
        <f t="shared" si="23"/>
        <v>731640.27768786252</v>
      </c>
      <c r="AB48" s="313">
        <f>SUM(AB46:AB47)</f>
        <v>796790.27635663154</v>
      </c>
      <c r="AC48" s="313">
        <f>SUM(AC46:AC47)</f>
        <v>875492.51843762887</v>
      </c>
    </row>
    <row r="49" spans="1:29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134">
        <v>1</v>
      </c>
      <c r="W49" s="84"/>
      <c r="X49" s="324">
        <v>1</v>
      </c>
      <c r="Y49" s="84"/>
      <c r="Z49" s="324">
        <v>1</v>
      </c>
      <c r="AA49" s="324">
        <v>1</v>
      </c>
      <c r="AB49" s="324">
        <v>1</v>
      </c>
      <c r="AC49" s="324">
        <v>1</v>
      </c>
    </row>
    <row r="50" spans="1:29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4">SUM(G48*G49)</f>
        <v>426852.43202319462</v>
      </c>
      <c r="I50" s="69">
        <f t="shared" si="24"/>
        <v>468663.26434402453</v>
      </c>
      <c r="J50" s="70"/>
      <c r="K50" s="71"/>
      <c r="L50" s="69">
        <f t="shared" ref="L50:AA50" si="25">SUM(L48*L49)</f>
        <v>469394.93499999994</v>
      </c>
      <c r="M50" s="72"/>
      <c r="N50" s="69">
        <f t="shared" si="25"/>
        <v>504910.23699999996</v>
      </c>
      <c r="O50" s="70"/>
      <c r="P50" s="70">
        <f t="shared" si="25"/>
        <v>504754.00099999999</v>
      </c>
      <c r="Q50" s="73"/>
      <c r="R50" s="70">
        <f>SUM(R48*R49)</f>
        <v>549171.69446199993</v>
      </c>
      <c r="S50" s="73"/>
      <c r="T50" s="70">
        <f t="shared" si="25"/>
        <v>573846.04099999997</v>
      </c>
      <c r="U50" s="73"/>
      <c r="V50" s="70">
        <f>SUM(V48*V49)</f>
        <v>589749.94299999997</v>
      </c>
      <c r="W50" s="73"/>
      <c r="X50" s="313">
        <f t="shared" si="25"/>
        <v>589749.94299999997</v>
      </c>
      <c r="Y50" s="73"/>
      <c r="Z50" s="313">
        <f>SUM(Z48*Z49)</f>
        <v>659137.5589834064</v>
      </c>
      <c r="AA50" s="313">
        <f t="shared" si="25"/>
        <v>731640.27768786252</v>
      </c>
      <c r="AB50" s="313">
        <f>SUM(AB48*AB49)</f>
        <v>796790.27635663154</v>
      </c>
      <c r="AC50" s="313">
        <f>SUM(AC48*AC49)</f>
        <v>875492.51843762887</v>
      </c>
    </row>
    <row r="51" spans="1:29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305">
        <v>0.01</v>
      </c>
      <c r="V51" s="318">
        <f>SUM(T51*(1+U51))</f>
        <v>1.0914772876336704E-2</v>
      </c>
      <c r="W51" s="305">
        <f>$W$30</f>
        <v>1.4999999999999999E-2</v>
      </c>
      <c r="X51" s="318">
        <f>SUM(V51*(1+W51))</f>
        <v>1.1078494469481753E-2</v>
      </c>
      <c r="Y51" s="305">
        <f>$Y$30</f>
        <v>0.02</v>
      </c>
      <c r="Z51" s="318">
        <f>SUM(X51*(1+Y51))</f>
        <v>1.1300064358871388E-2</v>
      </c>
      <c r="AA51" s="318">
        <f>SUM(Z51*(1+Y51))</f>
        <v>1.1526065646048815E-2</v>
      </c>
      <c r="AB51" s="318">
        <f>SUM(AA51*(1+Y51))</f>
        <v>1.1756586958969792E-2</v>
      </c>
      <c r="AC51" s="318">
        <f>SUM(AB51*(1+$Y$51))</f>
        <v>1.1991718698149188E-2</v>
      </c>
    </row>
    <row r="52" spans="1:29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319"/>
      <c r="W52" s="71"/>
      <c r="X52" s="319"/>
      <c r="Y52" s="71"/>
      <c r="Z52" s="319"/>
      <c r="AA52" s="319"/>
      <c r="AB52" s="319"/>
      <c r="AC52" s="319"/>
    </row>
    <row r="53" spans="1:29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6">SUM(G50*G51)</f>
        <v>4690.254523070862</v>
      </c>
      <c r="I53" s="112">
        <f t="shared" si="26"/>
        <v>5359.0285675337436</v>
      </c>
      <c r="J53" s="141"/>
      <c r="K53" s="114"/>
      <c r="L53" s="112">
        <f t="shared" ref="L53:AA53" si="27">SUM(L50*L51)</f>
        <v>5440.7422465869995</v>
      </c>
      <c r="M53" s="113"/>
      <c r="N53" s="112">
        <f t="shared" si="27"/>
        <v>5717.717903841688</v>
      </c>
      <c r="O53" s="113"/>
      <c r="P53" s="141">
        <f t="shared" si="27"/>
        <v>5675.1669887565686</v>
      </c>
      <c r="Q53" s="114"/>
      <c r="R53" s="141">
        <f>SUM(R50*R51)</f>
        <v>6132.3038800000004</v>
      </c>
      <c r="S53" s="114"/>
      <c r="T53" s="141">
        <f>SUM(T50*T51)</f>
        <v>6201.3853499999996</v>
      </c>
      <c r="U53" s="114"/>
      <c r="V53" s="320">
        <f>SUM(V50*V51)</f>
        <v>6436.9866816775175</v>
      </c>
      <c r="W53" s="370"/>
      <c r="X53" s="320">
        <f>SUM(X50*X51)</f>
        <v>6533.5414819026792</v>
      </c>
      <c r="Y53" s="370"/>
      <c r="Z53" s="320">
        <f t="shared" si="27"/>
        <v>7448.296837861878</v>
      </c>
      <c r="AA53" s="320">
        <f t="shared" si="27"/>
        <v>8432.9338699236869</v>
      </c>
      <c r="AB53" s="320">
        <f>SUM(AB50*AB51)</f>
        <v>9367.5341720483102</v>
      </c>
      <c r="AC53" s="320">
        <f>SUM(AC50*AC51)</f>
        <v>10498.660003438237</v>
      </c>
    </row>
    <row r="54" spans="1:29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  <c r="AC54" s="144"/>
    </row>
    <row r="55" spans="1:29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120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  <c r="AC55" s="301" t="str">
        <f>$AC$10</f>
        <v>2024 Estimate</v>
      </c>
    </row>
    <row r="56" spans="1:29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4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  <c r="AC56" s="312" t="s">
        <v>57</v>
      </c>
    </row>
    <row r="57" spans="1:29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149">
        <v>4499000</v>
      </c>
      <c r="W57" s="152"/>
      <c r="X57" s="325">
        <f>+V57</f>
        <v>4499000</v>
      </c>
      <c r="Y57" s="152"/>
      <c r="Z57" s="325">
        <f>SUM(X57:X60)</f>
        <v>4591772</v>
      </c>
      <c r="AA57" s="325">
        <f>SUM(Z57:Z60)</f>
        <v>4934787</v>
      </c>
      <c r="AB57" s="325">
        <f>SUM(AA57:AA60)</f>
        <v>5288756</v>
      </c>
      <c r="AC57" s="325">
        <f>SUM(AB57:AB60)</f>
        <v>5616619</v>
      </c>
    </row>
    <row r="58" spans="1:29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70">
        <v>4049000</v>
      </c>
      <c r="W58" s="73"/>
      <c r="X58" s="313"/>
      <c r="Y58" s="73"/>
      <c r="Z58" s="313"/>
      <c r="AA58" s="313"/>
      <c r="AB58" s="313"/>
      <c r="AC58" s="313"/>
    </row>
    <row r="59" spans="1:29" x14ac:dyDescent="0.3">
      <c r="A59" s="369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70"/>
      <c r="W59" s="73"/>
      <c r="X59" s="424">
        <f>SUM(X15+X16+X17+X18+X118)</f>
        <v>126661</v>
      </c>
      <c r="Y59" s="399"/>
      <c r="Z59" s="313">
        <f>SUM(Z15+Z16+Z17+Z18+Z118)</f>
        <v>376904</v>
      </c>
      <c r="AA59" s="313">
        <f>SUM(AA15+AA16+AA17+AA18+AA118)</f>
        <v>387858</v>
      </c>
      <c r="AB59" s="313">
        <f>SUM(AB15+AB16+AB17+AB18+AB118)</f>
        <v>361752</v>
      </c>
      <c r="AC59" s="313">
        <f>SUM(AC15+AC16+AC17+AC18+AC118)</f>
        <v>410805</v>
      </c>
    </row>
    <row r="60" spans="1:29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70"/>
      <c r="W60" s="73"/>
      <c r="X60" s="424">
        <f>SUM(X19+X119)</f>
        <v>-33889</v>
      </c>
      <c r="Y60" s="73"/>
      <c r="Z60" s="313">
        <f>SUM(Z19+Z119)</f>
        <v>-33889</v>
      </c>
      <c r="AA60" s="313">
        <f>SUM(AA19+AA119)</f>
        <v>-33889</v>
      </c>
      <c r="AB60" s="313">
        <f>SUM(AB19+AB119)</f>
        <v>-33889</v>
      </c>
      <c r="AC60" s="313">
        <f>SUM(AC19+AC119)</f>
        <v>-33889</v>
      </c>
    </row>
    <row r="61" spans="1:29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83"/>
      <c r="U61" s="84"/>
      <c r="V61" s="83"/>
      <c r="W61" s="84"/>
      <c r="X61" s="425">
        <f>SUM(X57:X60)*0.1*-1</f>
        <v>-459177.2</v>
      </c>
      <c r="Y61" s="84"/>
      <c r="Z61" s="323">
        <f>SUM(Z57:Z60)*0.1*-1</f>
        <v>-493478.7</v>
      </c>
      <c r="AA61" s="323">
        <f>SUM(AA57:AA60)*0.1*-1</f>
        <v>-528875.6</v>
      </c>
      <c r="AB61" s="323">
        <f>SUM(AB57:AB60)*0.1*-1</f>
        <v>-561661.9</v>
      </c>
      <c r="AC61" s="323">
        <f>SUM(AC57:AC60)*0.1*-1</f>
        <v>-599353.5</v>
      </c>
    </row>
    <row r="62" spans="1:29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70">
        <f>SUM(V58:V61)</f>
        <v>4049000</v>
      </c>
      <c r="W62" s="73"/>
      <c r="X62" s="313">
        <f>SUM(X57:X61)</f>
        <v>4132594.8</v>
      </c>
      <c r="Y62" s="73"/>
      <c r="Z62" s="313">
        <f>SUM(Z57:Z61)</f>
        <v>4441308.3</v>
      </c>
      <c r="AA62" s="313">
        <f>SUM(AA57:AA61)</f>
        <v>4759880.4000000004</v>
      </c>
      <c r="AB62" s="313">
        <f>SUM(AB57:AB61)</f>
        <v>5054957.0999999996</v>
      </c>
      <c r="AC62" s="313">
        <f>SUM(AC57:AC61)</f>
        <v>5394181.5</v>
      </c>
    </row>
    <row r="63" spans="1:29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87">
        <v>1</v>
      </c>
      <c r="W63" s="73"/>
      <c r="X63" s="314">
        <v>1</v>
      </c>
      <c r="Y63" s="73"/>
      <c r="Z63" s="314">
        <v>1</v>
      </c>
      <c r="AA63" s="314">
        <v>1</v>
      </c>
      <c r="AB63" s="314">
        <v>1</v>
      </c>
      <c r="AC63" s="314">
        <v>1</v>
      </c>
    </row>
    <row r="64" spans="1:29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91">
        <f>489758686/4049000000</f>
        <v>0.12095793677451222</v>
      </c>
      <c r="W64" s="84"/>
      <c r="X64" s="315">
        <f>SUM(V64)</f>
        <v>0.12095793677451222</v>
      </c>
      <c r="Y64" s="84"/>
      <c r="Z64" s="315">
        <f t="shared" ref="Z64" si="28">SUM(X64)</f>
        <v>0.12095793677451222</v>
      </c>
      <c r="AA64" s="315">
        <f>SUM(Z64)</f>
        <v>0.12095793677451222</v>
      </c>
      <c r="AB64" s="315">
        <f>SUM(AA64)</f>
        <v>0.12095793677451222</v>
      </c>
      <c r="AC64" s="315">
        <f>SUM(AB64)</f>
        <v>0.12095793677451222</v>
      </c>
    </row>
    <row r="65" spans="1:29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29">SUM(G62*G64)</f>
        <v>350240.37700000004</v>
      </c>
      <c r="I65" s="69">
        <f t="shared" si="29"/>
        <v>370904.02</v>
      </c>
      <c r="J65" s="70"/>
      <c r="K65" s="71"/>
      <c r="L65" s="69">
        <f t="shared" ref="L65:Z65" si="30">SUM(L62*L64)</f>
        <v>379502.29200000002</v>
      </c>
      <c r="M65" s="72"/>
      <c r="N65" s="69">
        <f t="shared" si="30"/>
        <v>345023.42800000001</v>
      </c>
      <c r="O65" s="70"/>
      <c r="P65" s="70">
        <f t="shared" si="30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70">
        <f>SUM(V62*V64)</f>
        <v>489758.68599999999</v>
      </c>
      <c r="W65" s="73"/>
      <c r="X65" s="313">
        <f>SUM(X62*X64)</f>
        <v>499870.14053307794</v>
      </c>
      <c r="Y65" s="73"/>
      <c r="Z65" s="313">
        <f t="shared" si="30"/>
        <v>537211.48854751629</v>
      </c>
      <c r="AA65" s="313">
        <f>SUM(AA62*AA64)</f>
        <v>575745.31247743999</v>
      </c>
      <c r="AB65" s="313">
        <f>SUM(AB62*AB64)</f>
        <v>611437.18129967165</v>
      </c>
      <c r="AC65" s="313">
        <f>SUM(AC62*AC64)</f>
        <v>652469.06482724345</v>
      </c>
    </row>
    <row r="66" spans="1:29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70">
        <f>488836.762-V65</f>
        <v>-921.92399999999907</v>
      </c>
      <c r="W66" s="73"/>
      <c r="X66" s="313">
        <v>0</v>
      </c>
      <c r="Y66" s="73"/>
      <c r="Z66" s="313">
        <v>0</v>
      </c>
      <c r="AA66" s="313">
        <v>0</v>
      </c>
      <c r="AB66" s="313">
        <v>0</v>
      </c>
      <c r="AC66" s="313">
        <v>0</v>
      </c>
    </row>
    <row r="67" spans="1:29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157">
        <v>1</v>
      </c>
      <c r="W67" s="73"/>
      <c r="X67" s="326">
        <v>1</v>
      </c>
      <c r="Y67" s="73"/>
      <c r="Z67" s="326">
        <v>1</v>
      </c>
      <c r="AA67" s="326">
        <v>1</v>
      </c>
      <c r="AB67" s="326">
        <v>1</v>
      </c>
      <c r="AC67" s="326">
        <v>1</v>
      </c>
    </row>
    <row r="68" spans="1:29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31">SUM(G65:G66)*G67</f>
        <v>349938.54100000003</v>
      </c>
      <c r="I68" s="69">
        <f t="shared" si="31"/>
        <v>370623.68800000002</v>
      </c>
      <c r="J68" s="70"/>
      <c r="K68" s="71"/>
      <c r="L68" s="69">
        <f t="shared" ref="L68:N68" si="32">SUM(L65:L66)*L67</f>
        <v>379213.82400000002</v>
      </c>
      <c r="M68" s="72"/>
      <c r="N68" s="69">
        <f t="shared" si="32"/>
        <v>344746.50900000002</v>
      </c>
      <c r="O68" s="70"/>
      <c r="P68" s="70">
        <f t="shared" ref="P68:Z68" si="33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70">
        <f>SUM(V65:V66)*V67</f>
        <v>488836.76199999999</v>
      </c>
      <c r="W68" s="73"/>
      <c r="X68" s="313">
        <f>SUM(X65:X66)*X67</f>
        <v>499870.14053307794</v>
      </c>
      <c r="Y68" s="73"/>
      <c r="Z68" s="313">
        <f t="shared" si="33"/>
        <v>537211.48854751629</v>
      </c>
      <c r="AA68" s="313">
        <f>SUM(AA65:AA66)*AA67</f>
        <v>575745.31247743999</v>
      </c>
      <c r="AB68" s="313">
        <f>SUM(AB65:AB66)*AB67</f>
        <v>611437.18129967165</v>
      </c>
      <c r="AC68" s="313">
        <f>SUM(AC65:AC66)*AC67</f>
        <v>652469.06482724345</v>
      </c>
    </row>
    <row r="69" spans="1:29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176">
        <f>32120.631/V68</f>
        <v>6.5708296709485206E-2</v>
      </c>
      <c r="W69" s="164"/>
      <c r="X69" s="327">
        <f>SUM(V69)</f>
        <v>6.5708296709485206E-2</v>
      </c>
      <c r="Y69" s="164"/>
      <c r="Z69" s="327">
        <f t="shared" ref="Z69" si="34">SUM(X69)</f>
        <v>6.5708296709485206E-2</v>
      </c>
      <c r="AA69" s="327">
        <f>SUM(Z69)</f>
        <v>6.5708296709485206E-2</v>
      </c>
      <c r="AB69" s="327">
        <f>SUM(AA69)</f>
        <v>6.5708296709485206E-2</v>
      </c>
      <c r="AC69" s="327">
        <f>SUM(AB69)</f>
        <v>6.5708296709485206E-2</v>
      </c>
    </row>
    <row r="70" spans="1:29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5">SUM(G68*G69)</f>
        <v>22904.265934547748</v>
      </c>
      <c r="I70" s="69">
        <f t="shared" si="35"/>
        <v>24673.979228846489</v>
      </c>
      <c r="J70" s="153"/>
      <c r="K70" s="71"/>
      <c r="L70" s="69">
        <f t="shared" ref="L70:X70" si="36">SUM(L68*L69)</f>
        <v>24737.454518899576</v>
      </c>
      <c r="M70" s="72"/>
      <c r="N70" s="69">
        <f t="shared" si="36"/>
        <v>22376.198131038327</v>
      </c>
      <c r="O70" s="165"/>
      <c r="P70" s="131">
        <f t="shared" si="36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70">
        <f>SUM(V68*V69)</f>
        <v>32120.631000000001</v>
      </c>
      <c r="W70" s="166"/>
      <c r="X70" s="313">
        <f t="shared" si="36"/>
        <v>32845.615510359552</v>
      </c>
      <c r="Y70" s="166"/>
      <c r="Z70" s="313">
        <f>SUM(Z68*Z69)</f>
        <v>35299.251885224417</v>
      </c>
      <c r="AA70" s="313">
        <f>SUM(AA68*AA69)</f>
        <v>37831.243821362899</v>
      </c>
      <c r="AB70" s="313">
        <f>SUM(AB68*AB69)</f>
        <v>40176.495728050126</v>
      </c>
      <c r="AC70" s="313">
        <f>SUM(AC68*AC69)</f>
        <v>42872.63090542885</v>
      </c>
    </row>
    <row r="71" spans="1:29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  <c r="AC71" s="313">
        <v>0</v>
      </c>
    </row>
    <row r="72" spans="1:29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7">SUM(G70:G71)</f>
        <v>22904.265934547748</v>
      </c>
      <c r="I72" s="99">
        <f t="shared" si="37"/>
        <v>24673.979228846489</v>
      </c>
      <c r="J72" s="167"/>
      <c r="K72" s="101"/>
      <c r="L72" s="99">
        <f t="shared" ref="L72:Z72" si="38">SUM(L70:L71)</f>
        <v>24737.454518899576</v>
      </c>
      <c r="M72" s="102"/>
      <c r="N72" s="99">
        <f t="shared" si="38"/>
        <v>22376.198131038327</v>
      </c>
      <c r="O72" s="102"/>
      <c r="P72" s="100">
        <f t="shared" si="38"/>
        <v>27999.644464958154</v>
      </c>
      <c r="Q72" s="101"/>
      <c r="R72" s="100">
        <f t="shared" ref="R72" si="39">SUM(R70:R71)</f>
        <v>29277.027320712124</v>
      </c>
      <c r="S72" s="101"/>
      <c r="T72" s="100">
        <f>SUM(T70:T71)</f>
        <v>30670.574000000001</v>
      </c>
      <c r="U72" s="101"/>
      <c r="V72" s="100">
        <f>SUM(V70:V71)</f>
        <v>32120.631000000001</v>
      </c>
      <c r="W72" s="101"/>
      <c r="X72" s="317">
        <f t="shared" si="38"/>
        <v>32845.615510359552</v>
      </c>
      <c r="Y72" s="101"/>
      <c r="Z72" s="317">
        <f t="shared" si="38"/>
        <v>35299.251885224417</v>
      </c>
      <c r="AA72" s="317">
        <f>SUM(AA70:AA71)</f>
        <v>37831.243821362899</v>
      </c>
      <c r="AB72" s="317">
        <f>SUM(AB70:AB71)</f>
        <v>40176.495728050126</v>
      </c>
      <c r="AC72" s="317">
        <f>SUM(AC70:AC71)</f>
        <v>42872.63090542885</v>
      </c>
    </row>
    <row r="73" spans="1:29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294">
        <f>SUM((V73-T73)/T73)</f>
        <v>-1.3491836583370404E-2</v>
      </c>
      <c r="V73" s="293">
        <f>11537.7201/V72</f>
        <v>0.3591996713887719</v>
      </c>
      <c r="W73" s="305">
        <f>$W$30</f>
        <v>1.4999999999999999E-2</v>
      </c>
      <c r="X73" s="318">
        <f>SUM(V73*(1+W73))</f>
        <v>0.36458766645960344</v>
      </c>
      <c r="Y73" s="305">
        <f>$Y$30</f>
        <v>0.02</v>
      </c>
      <c r="Z73" s="318">
        <f>SUM(X73*(1+Y73))</f>
        <v>0.37187941978879552</v>
      </c>
      <c r="AA73" s="318">
        <f>SUM(Z73*(1+Y73))</f>
        <v>0.37931700818457142</v>
      </c>
      <c r="AB73" s="318">
        <f>SUM(AA73*(1+Y73))</f>
        <v>0.38690334834826284</v>
      </c>
      <c r="AC73" s="318">
        <f>SUM(AB73*(1+$Y$73))</f>
        <v>0.39464141531522812</v>
      </c>
    </row>
    <row r="74" spans="1:29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139"/>
      <c r="W74" s="71"/>
      <c r="X74" s="319"/>
      <c r="Y74" s="71"/>
      <c r="Z74" s="319"/>
      <c r="AA74" s="319"/>
      <c r="AB74" s="319"/>
      <c r="AC74" s="319"/>
    </row>
    <row r="75" spans="1:29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40">SUM(G72*G73)</f>
        <v>7219.74299186594</v>
      </c>
      <c r="I75" s="112">
        <f t="shared" si="40"/>
        <v>8163.043288322272</v>
      </c>
      <c r="J75" s="141"/>
      <c r="K75" s="114"/>
      <c r="L75" s="112">
        <f t="shared" ref="L75:N75" si="41">SUM(L72*L73)</f>
        <v>8456.9513856009962</v>
      </c>
      <c r="M75" s="113"/>
      <c r="N75" s="112">
        <f t="shared" si="41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141">
        <f>SUM(T72*T73)</f>
        <v>11167.5306</v>
      </c>
      <c r="U75" s="114"/>
      <c r="V75" s="421">
        <f>SUM(V72*V73)</f>
        <v>11537.7201</v>
      </c>
      <c r="W75" s="370"/>
      <c r="X75" s="392">
        <f>SUM(X72*X73)</f>
        <v>11975.106312351345</v>
      </c>
      <c r="Y75" s="370"/>
      <c r="Z75" s="392">
        <f>SUM(Z72*Z73)</f>
        <v>13127.065310055803</v>
      </c>
      <c r="AA75" s="392">
        <f>SUM(AA72*AA73)</f>
        <v>14350.034222220427</v>
      </c>
      <c r="AB75" s="392">
        <f>SUM(AB72*AB73)</f>
        <v>15544.420722082272</v>
      </c>
      <c r="AC75" s="392">
        <f>SUM(AC72*AC73)</f>
        <v>16919.315738805832</v>
      </c>
    </row>
    <row r="76" spans="1:29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  <c r="AC76" s="171"/>
    </row>
    <row r="77" spans="1:29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120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">
        <v>178</v>
      </c>
      <c r="AC77" s="301" t="s">
        <v>179</v>
      </c>
    </row>
    <row r="78" spans="1:29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65"/>
      <c r="W78" s="175"/>
      <c r="X78" s="321"/>
      <c r="Y78" s="175"/>
      <c r="Z78" s="321"/>
      <c r="AA78" s="321"/>
      <c r="AB78" s="321"/>
      <c r="AC78" s="321"/>
    </row>
    <row r="79" spans="1:29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46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  <c r="AC79" s="308" t="s">
        <v>75</v>
      </c>
    </row>
    <row r="80" spans="1:29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70">
        <v>1377</v>
      </c>
      <c r="W80" s="73"/>
      <c r="X80" s="313">
        <f>SUM(V80)</f>
        <v>1377</v>
      </c>
      <c r="Y80" s="73"/>
      <c r="Z80" s="313">
        <f>SUM(X80)</f>
        <v>1377</v>
      </c>
      <c r="AA80" s="313">
        <f t="shared" ref="AA80" si="42">SUM(Z80)</f>
        <v>1377</v>
      </c>
      <c r="AB80" s="313">
        <f>SUM(AA80)</f>
        <v>1377</v>
      </c>
      <c r="AC80" s="313">
        <f>SUM(AB80)</f>
        <v>1377</v>
      </c>
    </row>
    <row r="81" spans="1:29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70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  <c r="AC81" s="313">
        <v>0</v>
      </c>
    </row>
    <row r="82" spans="1:29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70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  <c r="AC82" s="313">
        <f>SUM(AC74)</f>
        <v>0</v>
      </c>
    </row>
    <row r="83" spans="1:29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87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  <c r="AC83" s="314">
        <v>1</v>
      </c>
    </row>
    <row r="84" spans="1:29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91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  <c r="AC84" s="315">
        <v>1</v>
      </c>
    </row>
    <row r="85" spans="1:29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3">SUM((G80+G81+G82)*G83*G84)</f>
        <v>888.3152139</v>
      </c>
      <c r="I85" s="69">
        <f t="shared" si="43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4">SUM((P80+P81+P82)*P83*P84)</f>
        <v>1137.998</v>
      </c>
      <c r="Q85" s="73"/>
      <c r="R85" s="70">
        <f t="shared" ref="R85" si="45">SUM((R80+R81+R82)*R83*R84)</f>
        <v>1221</v>
      </c>
      <c r="S85" s="73"/>
      <c r="T85" s="70">
        <f t="shared" si="44"/>
        <v>1432</v>
      </c>
      <c r="U85" s="73"/>
      <c r="V85" s="70">
        <f>SUM((V80+V81+V82)*V83*V84)</f>
        <v>1377</v>
      </c>
      <c r="W85" s="73"/>
      <c r="X85" s="313">
        <f t="shared" si="44"/>
        <v>1377</v>
      </c>
      <c r="Y85" s="73"/>
      <c r="Z85" s="313">
        <f t="shared" si="44"/>
        <v>1377</v>
      </c>
      <c r="AA85" s="313">
        <f t="shared" si="44"/>
        <v>1377</v>
      </c>
      <c r="AB85" s="313">
        <f>SUM((AB80+AB81+AB82)*AB83*AB84)</f>
        <v>1377</v>
      </c>
      <c r="AC85" s="313">
        <f>SUM((AC80+AC81+AC82)*AC83*AC84)</f>
        <v>1377</v>
      </c>
    </row>
    <row r="86" spans="1:29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124"/>
      <c r="W86" s="73"/>
      <c r="X86" s="313"/>
      <c r="Y86" s="73"/>
      <c r="Z86" s="313"/>
      <c r="AA86" s="313"/>
      <c r="AB86" s="313"/>
      <c r="AC86" s="313"/>
    </row>
    <row r="87" spans="1:29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157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  <c r="AC87" s="326">
        <v>1</v>
      </c>
    </row>
    <row r="88" spans="1:29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6">SUM(G85:G86)*G87</f>
        <v>888.3152139</v>
      </c>
      <c r="I88" s="69">
        <f t="shared" si="46"/>
        <v>1002.3308361092717</v>
      </c>
      <c r="J88" s="70"/>
      <c r="K88" s="71"/>
      <c r="L88" s="69">
        <v>1190</v>
      </c>
      <c r="M88" s="72"/>
      <c r="N88" s="69">
        <f t="shared" ref="N88" si="47">SUM(N85:N86)*N87</f>
        <v>1131</v>
      </c>
      <c r="O88" s="70"/>
      <c r="P88" s="70">
        <f t="shared" ref="P88:AA88" si="48">SUM(P85:P86)*P87</f>
        <v>1137.998</v>
      </c>
      <c r="Q88" s="73"/>
      <c r="R88" s="70">
        <f t="shared" ref="R88" si="49">SUM(R85:R86)*R87</f>
        <v>1221</v>
      </c>
      <c r="S88" s="73"/>
      <c r="T88" s="70">
        <f t="shared" si="48"/>
        <v>1432</v>
      </c>
      <c r="U88" s="73"/>
      <c r="V88" s="70">
        <f>SUM(V85:V86)*V87</f>
        <v>1377</v>
      </c>
      <c r="W88" s="73"/>
      <c r="X88" s="313">
        <f t="shared" si="48"/>
        <v>1377</v>
      </c>
      <c r="Y88" s="73"/>
      <c r="Z88" s="313">
        <f t="shared" si="48"/>
        <v>1377</v>
      </c>
      <c r="AA88" s="313">
        <f t="shared" si="48"/>
        <v>1377</v>
      </c>
      <c r="AB88" s="313">
        <f>SUM(AB85:AB86)*AB87</f>
        <v>1377</v>
      </c>
      <c r="AC88" s="313">
        <f>SUM(AC85:AC86)*AC87</f>
        <v>1377</v>
      </c>
    </row>
    <row r="89" spans="1:29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176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  <c r="AC89" s="327">
        <v>1</v>
      </c>
    </row>
    <row r="90" spans="1:29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50">SUM(G88*G89)</f>
        <v>888.3152139</v>
      </c>
      <c r="I90" s="69">
        <f t="shared" si="50"/>
        <v>1002.3308361092717</v>
      </c>
      <c r="J90" s="70"/>
      <c r="K90" s="71"/>
      <c r="L90" s="69">
        <f t="shared" ref="L90:AA90" si="51">SUM(L88*L89)</f>
        <v>1190</v>
      </c>
      <c r="M90" s="72"/>
      <c r="N90" s="69">
        <f t="shared" si="51"/>
        <v>1131</v>
      </c>
      <c r="O90" s="70"/>
      <c r="P90" s="70">
        <f t="shared" si="51"/>
        <v>1137.998</v>
      </c>
      <c r="Q90" s="73"/>
      <c r="R90" s="70">
        <f t="shared" ref="R90" si="52">SUM(R88*R89)</f>
        <v>1221</v>
      </c>
      <c r="S90" s="73"/>
      <c r="T90" s="70">
        <f t="shared" si="51"/>
        <v>1432</v>
      </c>
      <c r="U90" s="73"/>
      <c r="V90" s="70">
        <f t="shared" si="51"/>
        <v>1377</v>
      </c>
      <c r="W90" s="73"/>
      <c r="X90" s="313">
        <f t="shared" si="51"/>
        <v>1377</v>
      </c>
      <c r="Y90" s="73"/>
      <c r="Z90" s="313">
        <f t="shared" si="51"/>
        <v>1377</v>
      </c>
      <c r="AA90" s="313">
        <f t="shared" si="51"/>
        <v>1377</v>
      </c>
      <c r="AB90" s="313">
        <f>SUM(AB88*AB89)</f>
        <v>1377</v>
      </c>
      <c r="AC90" s="313">
        <f>SUM(AC88*AC89)</f>
        <v>1377</v>
      </c>
    </row>
    <row r="91" spans="1:29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70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  <c r="AC91" s="313">
        <v>0</v>
      </c>
    </row>
    <row r="92" spans="1:29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3">SUM(G90:G91)</f>
        <v>888.3152139</v>
      </c>
      <c r="I92" s="99">
        <f t="shared" si="53"/>
        <v>1002.3308361092717</v>
      </c>
      <c r="J92" s="100"/>
      <c r="K92" s="101"/>
      <c r="L92" s="99">
        <f t="shared" ref="L92:AA92" si="54">SUM(L90:L91)</f>
        <v>1190</v>
      </c>
      <c r="M92" s="111"/>
      <c r="N92" s="99">
        <f t="shared" si="54"/>
        <v>1131</v>
      </c>
      <c r="O92" s="100"/>
      <c r="P92" s="100">
        <f t="shared" si="54"/>
        <v>1137.998</v>
      </c>
      <c r="Q92" s="177"/>
      <c r="R92" s="100">
        <f t="shared" ref="R92" si="55">SUM(R90:R91)</f>
        <v>1221</v>
      </c>
      <c r="S92" s="177"/>
      <c r="T92" s="100">
        <f t="shared" si="54"/>
        <v>1432</v>
      </c>
      <c r="U92" s="177"/>
      <c r="V92" s="100">
        <f t="shared" si="54"/>
        <v>1377</v>
      </c>
      <c r="W92" s="177"/>
      <c r="X92" s="317">
        <f t="shared" si="54"/>
        <v>1377</v>
      </c>
      <c r="Y92" s="177"/>
      <c r="Z92" s="317">
        <f t="shared" si="54"/>
        <v>1377</v>
      </c>
      <c r="AA92" s="317">
        <f t="shared" si="54"/>
        <v>1377</v>
      </c>
      <c r="AB92" s="317">
        <f>SUM(AB90:AB91)</f>
        <v>1377</v>
      </c>
      <c r="AC92" s="317">
        <f>SUM(AC90:AC91)</f>
        <v>1377</v>
      </c>
    </row>
    <row r="93" spans="1:29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294">
        <f>SUM((V93-T93)/R93)</f>
        <v>-2.3244457749252265E-3</v>
      </c>
      <c r="V93" s="293">
        <f>12.63643/V92</f>
        <v>9.1767828612926653E-3</v>
      </c>
      <c r="W93" s="305">
        <f>$W$30</f>
        <v>1.4999999999999999E-2</v>
      </c>
      <c r="X93" s="318">
        <f>SUM(V93*(1+W93))</f>
        <v>9.3144346042120536E-3</v>
      </c>
      <c r="Y93" s="305">
        <f>$Y$30</f>
        <v>0.02</v>
      </c>
      <c r="Z93" s="318">
        <f>SUM(X93*(1+Y93))</f>
        <v>9.5007232962962956E-3</v>
      </c>
      <c r="AA93" s="318">
        <f>SUM(Z93*(1+Y93))</f>
        <v>9.6907377622222225E-3</v>
      </c>
      <c r="AB93" s="318">
        <f>SUM(AA93*(1+Y93))</f>
        <v>9.8845525174666663E-3</v>
      </c>
      <c r="AC93" s="318">
        <f>SUM(AB93*(1+$Y$93))</f>
        <v>1.0082243567816E-2</v>
      </c>
    </row>
    <row r="94" spans="1:29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111"/>
      <c r="W94" s="73"/>
      <c r="X94" s="319"/>
      <c r="Y94" s="73"/>
      <c r="Z94" s="319"/>
      <c r="AA94" s="319"/>
      <c r="AB94" s="319"/>
      <c r="AC94" s="319"/>
    </row>
    <row r="95" spans="1:29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6">SUM(G92*G93)</f>
        <v>8.2702146414089999</v>
      </c>
      <c r="I95" s="178">
        <f t="shared" si="56"/>
        <v>9.3172825078781703</v>
      </c>
      <c r="J95" s="179"/>
      <c r="K95" s="180"/>
      <c r="L95" s="178">
        <f t="shared" ref="L95:AA95" si="57">SUM(L92*L93)</f>
        <v>11.382350000000001</v>
      </c>
      <c r="M95" s="181"/>
      <c r="N95" s="182">
        <f t="shared" si="57"/>
        <v>10.468988399999999</v>
      </c>
      <c r="O95" s="183"/>
      <c r="P95" s="183">
        <f t="shared" si="57"/>
        <v>10.51116</v>
      </c>
      <c r="Q95" s="55"/>
      <c r="R95" s="183">
        <f t="shared" ref="R95" si="58">SUM(R92*R93)</f>
        <v>11.256590000000001</v>
      </c>
      <c r="S95" s="55"/>
      <c r="T95" s="183">
        <f>SUM(T92*T93)</f>
        <v>13.17184</v>
      </c>
      <c r="U95" s="55"/>
      <c r="V95" s="183">
        <f>SUM(V92*V93)</f>
        <v>12.636430000000001</v>
      </c>
      <c r="W95" s="371"/>
      <c r="X95" s="328">
        <f>SUM(X92*X93)</f>
        <v>12.825976449999997</v>
      </c>
      <c r="Y95" s="371"/>
      <c r="Z95" s="328">
        <f>SUM(Z92*Z93)</f>
        <v>13.082495978999999</v>
      </c>
      <c r="AA95" s="328">
        <f t="shared" si="57"/>
        <v>13.344145898580001</v>
      </c>
      <c r="AB95" s="328">
        <f>SUM(AB92*AB93)</f>
        <v>13.611028816551599</v>
      </c>
      <c r="AC95" s="328">
        <f>SUM(AC92*AC93)</f>
        <v>13.883249392882632</v>
      </c>
    </row>
    <row r="96" spans="1:29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  <c r="AC96" s="171"/>
    </row>
    <row r="97" spans="1:29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120" t="s">
        <v>74</v>
      </c>
      <c r="W97" s="174"/>
      <c r="X97" s="301" t="s">
        <v>136</v>
      </c>
      <c r="Y97" s="174"/>
      <c r="Z97" s="301" t="str">
        <f>Z77</f>
        <v>21/22 Estimate</v>
      </c>
      <c r="AA97" s="301" t="str">
        <f>AA77</f>
        <v>22/23 Estimate</v>
      </c>
      <c r="AB97" s="301" t="str">
        <f>AB77</f>
        <v>23/24 Estimate</v>
      </c>
      <c r="AC97" s="301" t="str">
        <f>AC77</f>
        <v>24/25 Estimate</v>
      </c>
    </row>
    <row r="98" spans="1:29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42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  <c r="AC98" s="308" t="s">
        <v>78</v>
      </c>
    </row>
    <row r="99" spans="1:29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42"/>
      <c r="W99" s="47"/>
      <c r="X99" s="308"/>
      <c r="Y99" s="47"/>
      <c r="Z99" s="308"/>
      <c r="AA99" s="308"/>
      <c r="AB99" s="308"/>
      <c r="AC99" s="308"/>
    </row>
    <row r="100" spans="1:29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46"/>
      <c r="W100" s="47"/>
      <c r="X100" s="308"/>
      <c r="Y100" s="47"/>
      <c r="Z100" s="308"/>
      <c r="AA100" s="308"/>
      <c r="AB100" s="308"/>
      <c r="AC100" s="308"/>
    </row>
    <row r="101" spans="1:29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197">
        <f>197600-V80</f>
        <v>196223</v>
      </c>
      <c r="W101" s="175"/>
      <c r="X101" s="329">
        <f>SUM(V101:V103)</f>
        <v>196223</v>
      </c>
      <c r="Y101" s="175"/>
      <c r="Z101" s="329">
        <f>SUM(X101:X103)</f>
        <v>196223</v>
      </c>
      <c r="AA101" s="329">
        <f t="shared" ref="AA101" si="59">SUM(Z101:Z103)</f>
        <v>196223</v>
      </c>
      <c r="AB101" s="329">
        <f>SUM(AA101:AA103)</f>
        <v>196223</v>
      </c>
      <c r="AC101" s="329">
        <f>SUM(AB101:AB103)</f>
        <v>196223</v>
      </c>
    </row>
    <row r="102" spans="1:29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70">
        <v>0</v>
      </c>
      <c r="W102" s="73"/>
      <c r="X102" s="313">
        <v>0</v>
      </c>
      <c r="Y102" s="73"/>
      <c r="Z102" s="313">
        <v>0</v>
      </c>
      <c r="AA102" s="313">
        <v>0</v>
      </c>
      <c r="AB102" s="313">
        <v>0</v>
      </c>
      <c r="AC102" s="313">
        <v>0</v>
      </c>
    </row>
    <row r="103" spans="1:29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70">
        <v>0</v>
      </c>
      <c r="W103" s="73"/>
      <c r="X103" s="313">
        <v>0</v>
      </c>
      <c r="Y103" s="73"/>
      <c r="Z103" s="313">
        <v>0</v>
      </c>
      <c r="AA103" s="313">
        <v>0</v>
      </c>
      <c r="AB103" s="313">
        <v>0</v>
      </c>
      <c r="AC103" s="313">
        <v>0</v>
      </c>
    </row>
    <row r="104" spans="1:29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204">
        <v>0</v>
      </c>
      <c r="W104" s="73"/>
      <c r="X104" s="330">
        <v>0</v>
      </c>
      <c r="Y104" s="73"/>
      <c r="Z104" s="330">
        <v>0</v>
      </c>
      <c r="AA104" s="330">
        <v>0</v>
      </c>
      <c r="AB104" s="330">
        <v>0</v>
      </c>
      <c r="AC104" s="330">
        <v>0</v>
      </c>
    </row>
    <row r="105" spans="1:29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208" t="s">
        <v>81</v>
      </c>
      <c r="W105" s="174"/>
      <c r="X105" s="331" t="s">
        <v>81</v>
      </c>
      <c r="Y105" s="174"/>
      <c r="Z105" s="331" t="s">
        <v>81</v>
      </c>
      <c r="AA105" s="331" t="s">
        <v>81</v>
      </c>
      <c r="AB105" s="331" t="s">
        <v>81</v>
      </c>
      <c r="AC105" s="331" t="s">
        <v>81</v>
      </c>
    </row>
    <row r="106" spans="1:29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212">
        <v>0</v>
      </c>
      <c r="W106" s="152"/>
      <c r="X106" s="332">
        <v>0</v>
      </c>
      <c r="Y106" s="152"/>
      <c r="Z106" s="332">
        <v>0</v>
      </c>
      <c r="AA106" s="332">
        <v>0</v>
      </c>
      <c r="AB106" s="332">
        <v>0</v>
      </c>
      <c r="AC106" s="332">
        <v>0</v>
      </c>
    </row>
    <row r="107" spans="1:29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216"/>
      <c r="W107" s="152"/>
      <c r="X107" s="333"/>
      <c r="Y107" s="152"/>
      <c r="Z107" s="333"/>
      <c r="AA107" s="333"/>
      <c r="AB107" s="333"/>
      <c r="AC107" s="333"/>
    </row>
    <row r="108" spans="1:29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232">
        <f>SUM((V108-T108)/T108)</f>
        <v>-2.7004141355659494E-2</v>
      </c>
      <c r="V108" s="293">
        <f>3280.90311/V101</f>
        <v>1.6720278000030578E-2</v>
      </c>
      <c r="W108" s="305">
        <f>$W$30</f>
        <v>1.4999999999999999E-2</v>
      </c>
      <c r="X108" s="318">
        <f>SUM(V108*(1+W108))</f>
        <v>1.6971082170031036E-2</v>
      </c>
      <c r="Y108" s="305">
        <f>$Y$30</f>
        <v>0.02</v>
      </c>
      <c r="Z108" s="318">
        <f>SUM(X108*(1+Y108))</f>
        <v>1.7310503813431657E-2</v>
      </c>
      <c r="AA108" s="318">
        <f>SUM(Z108*(1+Y108))</f>
        <v>1.765671388970029E-2</v>
      </c>
      <c r="AB108" s="318">
        <f>SUM(AA108*(1+Y108))</f>
        <v>1.8009848167494295E-2</v>
      </c>
      <c r="AC108" s="318">
        <f>SUM(AB108*(1+$Y$108))</f>
        <v>1.8370045130844181E-2</v>
      </c>
    </row>
    <row r="109" spans="1:29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220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  <c r="AC109" s="334">
        <v>1</v>
      </c>
    </row>
    <row r="110" spans="1:29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222"/>
      <c r="W110" s="55"/>
      <c r="X110" s="335"/>
      <c r="Y110" s="55"/>
      <c r="Z110" s="335"/>
      <c r="AA110" s="335"/>
      <c r="AB110" s="335"/>
      <c r="AC110" s="335"/>
    </row>
    <row r="111" spans="1:29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60">SUM(G101:G105)*G108*G109</f>
        <v>1918.901132</v>
      </c>
      <c r="I111" s="178">
        <f t="shared" si="60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61">SUM(N101:N105)*N108*N109</f>
        <v>2707.3523175999999</v>
      </c>
      <c r="O111" s="183"/>
      <c r="P111" s="179">
        <f t="shared" ref="P111" si="62">SUM(P101:P105)*P108*P109</f>
        <v>2514.9974500000003</v>
      </c>
      <c r="Q111" s="55"/>
      <c r="R111" s="179">
        <f t="shared" ref="R111" si="63">SUM(R101:R105)*R108*R109</f>
        <v>2956.1579400000001</v>
      </c>
      <c r="S111" s="55"/>
      <c r="T111" s="179">
        <f>SUM(T101:T105)*T108*T109</f>
        <v>3479.2761100000002</v>
      </c>
      <c r="U111" s="55"/>
      <c r="V111" s="179">
        <f>SUM(V101:V105)*V108*V109</f>
        <v>3280.9031100000002</v>
      </c>
      <c r="W111" s="372"/>
      <c r="X111" s="336">
        <f>SUM(X101:X105)*X108*X109</f>
        <v>3330.1166566500001</v>
      </c>
      <c r="Y111" s="372"/>
      <c r="Z111" s="336">
        <f t="shared" ref="Z111" si="64">SUM(Z101:Z105)*Z108*Z109</f>
        <v>3396.7189897829999</v>
      </c>
      <c r="AA111" s="336">
        <f>SUM(AA101:AA105)*AA108*AA109</f>
        <v>3464.6533695786602</v>
      </c>
      <c r="AB111" s="336">
        <f>SUM(AB101:AB105)*AB108*AB109</f>
        <v>3533.9464369702328</v>
      </c>
      <c r="AC111" s="336">
        <f>SUM(AC101:AC105)*AC108*AC109</f>
        <v>3604.6253657096377</v>
      </c>
    </row>
    <row r="112" spans="1:29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  <c r="AC112" s="171"/>
    </row>
    <row r="113" spans="1:29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144"/>
      <c r="Y113" s="145"/>
      <c r="Z113" s="144"/>
      <c r="AA113" s="144"/>
      <c r="AB113" s="144"/>
      <c r="AC113" s="144"/>
    </row>
    <row r="114" spans="1:29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120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  <c r="AC114" s="301" t="str">
        <f>$AB$10</f>
        <v>2023 Estimate</v>
      </c>
    </row>
    <row r="115" spans="1:29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65"/>
      <c r="W115" s="64"/>
      <c r="X115" s="321"/>
      <c r="Y115" s="64"/>
      <c r="Z115" s="321"/>
      <c r="AA115" s="321"/>
      <c r="AB115" s="321"/>
      <c r="AC115" s="321"/>
    </row>
    <row r="116" spans="1:29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63"/>
      <c r="W116" s="175"/>
      <c r="X116" s="321"/>
      <c r="Y116" s="175"/>
      <c r="Z116" s="321"/>
      <c r="AA116" s="321"/>
      <c r="AB116" s="321"/>
      <c r="AC116" s="321"/>
    </row>
    <row r="117" spans="1:29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70">
        <v>700000</v>
      </c>
      <c r="W117" s="73"/>
      <c r="X117" s="313">
        <f>SUM(V117:V119)</f>
        <v>700000</v>
      </c>
      <c r="Y117" s="73"/>
      <c r="Z117" s="313">
        <f>SUM(X117:X119)</f>
        <v>792772</v>
      </c>
      <c r="AA117" s="313">
        <f>SUM(Z117:Z119)</f>
        <v>857622</v>
      </c>
      <c r="AB117" s="313">
        <f>SUM(AA117:AA119)</f>
        <v>920938</v>
      </c>
      <c r="AC117" s="313">
        <f>SUM(AB117:AB119)</f>
        <v>987624</v>
      </c>
    </row>
    <row r="118" spans="1:29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70"/>
      <c r="W118" s="73"/>
      <c r="X118" s="154">
        <f>91240+35421</f>
        <v>126661</v>
      </c>
      <c r="Y118" s="73"/>
      <c r="Z118" s="154">
        <f>76162+22577</f>
        <v>98739</v>
      </c>
      <c r="AA118" s="154">
        <f>77486+19719</f>
        <v>97205</v>
      </c>
      <c r="AB118" s="154">
        <f>92514+8061</f>
        <v>100575</v>
      </c>
      <c r="AC118" s="154">
        <f>75072+20227</f>
        <v>95299</v>
      </c>
    </row>
    <row r="119" spans="1:29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70"/>
      <c r="W119" s="73"/>
      <c r="X119" s="154">
        <v>-33889</v>
      </c>
      <c r="Y119" s="73"/>
      <c r="Z119" s="154">
        <f>X119</f>
        <v>-33889</v>
      </c>
      <c r="AA119" s="154">
        <f>Z119</f>
        <v>-33889</v>
      </c>
      <c r="AB119" s="154">
        <f>AA119</f>
        <v>-33889</v>
      </c>
      <c r="AC119" s="154">
        <f>AB119</f>
        <v>-33889</v>
      </c>
    </row>
    <row r="120" spans="1:29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87">
        <v>0.91990911480638227</v>
      </c>
      <c r="W120" s="73"/>
      <c r="X120" s="314">
        <f>SUM(V120)</f>
        <v>0.91990911480638227</v>
      </c>
      <c r="Y120" s="73"/>
      <c r="Z120" s="314">
        <f t="shared" ref="Z120:Z121" si="65">SUM(X120)</f>
        <v>0.91990911480638227</v>
      </c>
      <c r="AA120" s="314">
        <f t="shared" ref="AA120:AC121" si="66">SUM(Z120)</f>
        <v>0.91990911480638227</v>
      </c>
      <c r="AB120" s="314">
        <f t="shared" si="66"/>
        <v>0.91990911480638227</v>
      </c>
      <c r="AC120" s="314">
        <f t="shared" si="66"/>
        <v>0.91990911480638227</v>
      </c>
    </row>
    <row r="121" spans="1:29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91">
        <v>0.50019043891570614</v>
      </c>
      <c r="W121" s="84"/>
      <c r="X121" s="315">
        <f>SUM(V121)</f>
        <v>0.50019043891570614</v>
      </c>
      <c r="Y121" s="84"/>
      <c r="Z121" s="315">
        <f t="shared" si="65"/>
        <v>0.50019043891570614</v>
      </c>
      <c r="AA121" s="315">
        <f t="shared" si="66"/>
        <v>0.50019043891570614</v>
      </c>
      <c r="AB121" s="315">
        <f t="shared" si="66"/>
        <v>0.50019043891570614</v>
      </c>
      <c r="AC121" s="315">
        <f t="shared" si="66"/>
        <v>0.50019043891570614</v>
      </c>
    </row>
    <row r="122" spans="1:29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7">SUM(G117+G118+G119)*G120*G121</f>
        <v>188890.26799999998</v>
      </c>
      <c r="I122" s="69">
        <f t="shared" si="67"/>
        <v>199575.79679677499</v>
      </c>
      <c r="J122" s="70"/>
      <c r="K122" s="71"/>
      <c r="L122" s="69">
        <f t="shared" ref="L122:N122" si="68">SUM(L117+L118+L119)*L120*L121</f>
        <v>234774.02500000002</v>
      </c>
      <c r="M122" s="72"/>
      <c r="N122" s="69">
        <f t="shared" si="68"/>
        <v>230552.66500000001</v>
      </c>
      <c r="O122" s="70"/>
      <c r="P122" s="70">
        <f t="shared" ref="P122:Z122" si="69">SUM(P117+P118+P119)*P120*P121</f>
        <v>229911.818</v>
      </c>
      <c r="Q122" s="73"/>
      <c r="R122" s="70">
        <f t="shared" ref="R122" si="70">SUM(R117+R118+R119)*R120*R121</f>
        <v>246152.10861059991</v>
      </c>
      <c r="S122" s="73"/>
      <c r="T122" s="70">
        <f>SUM(T117+T118+T119)*T120*T121</f>
        <v>306718.19200000004</v>
      </c>
      <c r="U122" s="73"/>
      <c r="V122" s="70">
        <f>SUM(V117+V118+V119)*V120*V121</f>
        <v>322090.82072829414</v>
      </c>
      <c r="W122" s="73"/>
      <c r="X122" s="313">
        <f>SUM(X117+X118+X119)*X120*X121</f>
        <v>364777.97732915886</v>
      </c>
      <c r="Y122" s="73"/>
      <c r="Z122" s="313">
        <f t="shared" si="69"/>
        <v>394617.39122091583</v>
      </c>
      <c r="AA122" s="313">
        <f>SUM(AA117+AA118+AA119)*AA120*AA121</f>
        <v>423750.96608553396</v>
      </c>
      <c r="AB122" s="313">
        <f>SUM(AB117+AB118+AB119)*AB120*AB121</f>
        <v>454435.17818708683</v>
      </c>
      <c r="AC122" s="313">
        <f>SUM(AC117+AC118+AC119)*AC120*AC121</f>
        <v>482691.74575983617</v>
      </c>
    </row>
    <row r="123" spans="1:29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70"/>
      <c r="W123" s="73"/>
      <c r="X123" s="313"/>
      <c r="Y123" s="73"/>
      <c r="Z123" s="313"/>
      <c r="AA123" s="313"/>
      <c r="AB123" s="313"/>
      <c r="AC123" s="313"/>
    </row>
    <row r="124" spans="1:29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71">SUM(G122)</f>
        <v>188890.26799999998</v>
      </c>
      <c r="I124" s="69">
        <f t="shared" si="71"/>
        <v>199575.79679677499</v>
      </c>
      <c r="J124" s="70"/>
      <c r="K124" s="71"/>
      <c r="L124" s="69">
        <f t="shared" ref="L124:AA124" si="72">SUM(L122)</f>
        <v>234774.02500000002</v>
      </c>
      <c r="M124" s="72"/>
      <c r="N124" s="69">
        <f t="shared" si="72"/>
        <v>230552.66500000001</v>
      </c>
      <c r="O124" s="70"/>
      <c r="P124" s="70">
        <f t="shared" si="72"/>
        <v>229911.818</v>
      </c>
      <c r="Q124" s="73"/>
      <c r="R124" s="70">
        <f t="shared" ref="R124" si="73">SUM(R122)</f>
        <v>246152.10861059991</v>
      </c>
      <c r="S124" s="73"/>
      <c r="T124" s="70">
        <f t="shared" si="72"/>
        <v>306718.19200000004</v>
      </c>
      <c r="U124" s="73"/>
      <c r="V124" s="70">
        <f t="shared" si="72"/>
        <v>322090.82072829414</v>
      </c>
      <c r="W124" s="73"/>
      <c r="X124" s="313">
        <f t="shared" si="72"/>
        <v>364777.97732915886</v>
      </c>
      <c r="Y124" s="73"/>
      <c r="Z124" s="313">
        <f t="shared" si="72"/>
        <v>394617.39122091583</v>
      </c>
      <c r="AA124" s="313">
        <f t="shared" si="72"/>
        <v>423750.96608553396</v>
      </c>
      <c r="AB124" s="313">
        <f>SUM(AB122)</f>
        <v>454435.17818708683</v>
      </c>
      <c r="AC124" s="313">
        <f>SUM(AC122)</f>
        <v>482691.74575983617</v>
      </c>
    </row>
    <row r="125" spans="1:29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70">
        <v>293289.11</v>
      </c>
      <c r="U125" s="73"/>
      <c r="V125" s="72"/>
      <c r="W125" s="73"/>
      <c r="X125" s="313"/>
      <c r="Y125" s="73"/>
      <c r="Z125" s="313"/>
      <c r="AA125" s="313"/>
      <c r="AB125" s="313"/>
      <c r="AC125" s="313"/>
    </row>
    <row r="126" spans="1:29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337">
        <f>SUM(T126)</f>
        <v>0.95621687154441737</v>
      </c>
      <c r="W126" s="230"/>
      <c r="X126" s="337">
        <f>SUM(V126)</f>
        <v>0.95621687154441737</v>
      </c>
      <c r="Y126" s="230"/>
      <c r="Z126" s="337">
        <f>SUM(X126)</f>
        <v>0.95621687154441737</v>
      </c>
      <c r="AA126" s="337">
        <f t="shared" ref="AA126" si="74">SUM(Z126)</f>
        <v>0.95621687154441737</v>
      </c>
      <c r="AB126" s="337">
        <f>SUM(AA126)</f>
        <v>0.95621687154441737</v>
      </c>
      <c r="AC126" s="337">
        <f>SUM(AB126)</f>
        <v>0.95621687154441737</v>
      </c>
    </row>
    <row r="127" spans="1:29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5">SUM(G124*G126)</f>
        <v>173804.16659564062</v>
      </c>
      <c r="I127" s="69">
        <f t="shared" si="75"/>
        <v>189501.07105461584</v>
      </c>
      <c r="J127" s="70"/>
      <c r="K127" s="71"/>
      <c r="L127" s="69">
        <f t="shared" ref="L127:AA127" si="76">SUM(L124*L126)</f>
        <v>223370.065</v>
      </c>
      <c r="M127" s="72"/>
      <c r="N127" s="69">
        <f t="shared" si="76"/>
        <v>216345.522</v>
      </c>
      <c r="O127" s="231"/>
      <c r="P127" s="70">
        <f t="shared" si="76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313">
        <f>SUM(V124*V126)</f>
        <v>307988.67694998323</v>
      </c>
      <c r="W127" s="232"/>
      <c r="X127" s="313">
        <f>SUM(X124*X126)</f>
        <v>348806.85628998867</v>
      </c>
      <c r="Y127" s="232"/>
      <c r="Z127" s="313">
        <f t="shared" si="76"/>
        <v>377339.80729028356</v>
      </c>
      <c r="AA127" s="313">
        <f t="shared" si="76"/>
        <v>405197.82310423377</v>
      </c>
      <c r="AB127" s="313">
        <f>SUM(AB124*AB126)</f>
        <v>434538.58440578601</v>
      </c>
      <c r="AC127" s="313">
        <f>SUM(AC124*AC126)</f>
        <v>461557.99105078384</v>
      </c>
    </row>
    <row r="128" spans="1:29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305">
        <v>0.09</v>
      </c>
      <c r="V128" s="318">
        <f>SUM(T128*(1+U128))</f>
        <v>1.2480966641754958E-2</v>
      </c>
      <c r="W128" s="305">
        <f>$W$30</f>
        <v>1.4999999999999999E-2</v>
      </c>
      <c r="X128" s="318">
        <f>SUM(V128*(1+W128))</f>
        <v>1.2668181141381281E-2</v>
      </c>
      <c r="Y128" s="305">
        <f>$Y$30</f>
        <v>0.02</v>
      </c>
      <c r="Z128" s="318">
        <f>SUM(X128*(1+Y128))</f>
        <v>1.2921544764208906E-2</v>
      </c>
      <c r="AA128" s="318">
        <f>SUM(Z128*(1+Y128))</f>
        <v>1.3179975659493085E-2</v>
      </c>
      <c r="AB128" s="318">
        <f>SUM(AA128*(1+Y128))</f>
        <v>1.3443575172682947E-2</v>
      </c>
      <c r="AC128" s="318">
        <f>SUM(AB128*(1+$Y$128))</f>
        <v>1.3712446676136606E-2</v>
      </c>
    </row>
    <row r="129" spans="1:29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313"/>
      <c r="W129" s="420"/>
      <c r="X129" s="313"/>
      <c r="Y129" s="420"/>
      <c r="Z129" s="313"/>
      <c r="AA129" s="313"/>
      <c r="AB129" s="313"/>
      <c r="AC129" s="313"/>
    </row>
    <row r="130" spans="1:29" ht="15" thickBot="1" x14ac:dyDescent="0.35">
      <c r="C130" s="112">
        <v>1843</v>
      </c>
      <c r="E130" s="112">
        <f>SUM(E127*E128)</f>
        <v>1939.7429074619999</v>
      </c>
      <c r="G130" s="112">
        <f t="shared" ref="G130" si="77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78">SUM(R127*R128)</f>
        <v>3018.7944147768244</v>
      </c>
      <c r="S130" s="114"/>
      <c r="T130" s="141">
        <f>SUM(T127*T128)</f>
        <v>3358.2858700000002</v>
      </c>
      <c r="U130" s="114"/>
      <c r="V130" s="320">
        <f>SUM(V127*V128)</f>
        <v>3843.9964030509846</v>
      </c>
      <c r="W130" s="370"/>
      <c r="X130" s="392">
        <f>SUM(X127*X128)</f>
        <v>4418.748438837325</v>
      </c>
      <c r="Y130" s="370"/>
      <c r="Z130" s="320">
        <f>SUM(Z127*Z128)</f>
        <v>4875.8132112193616</v>
      </c>
      <c r="AA130" s="320">
        <f>SUM(AA127*AA128)</f>
        <v>5340.4974457933859</v>
      </c>
      <c r="AB130" s="320">
        <f>SUM(AB127*AB128)</f>
        <v>5841.7521248904177</v>
      </c>
      <c r="AC130" s="320">
        <f>SUM(AC127*AC128)</f>
        <v>6329.0893402286101</v>
      </c>
    </row>
    <row r="131" spans="1:29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238"/>
      <c r="W131" s="239"/>
      <c r="X131" s="238"/>
      <c r="Y131" s="239"/>
      <c r="Z131" s="238"/>
      <c r="AA131" s="238"/>
      <c r="AB131" s="238"/>
      <c r="AC131" s="238"/>
    </row>
    <row r="132" spans="1:29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120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  <c r="AC132" s="301" t="str">
        <f>$AC$10</f>
        <v>2024 Estimate</v>
      </c>
    </row>
    <row r="133" spans="1:29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65"/>
      <c r="W133" s="64"/>
      <c r="X133" s="321"/>
      <c r="Y133" s="64"/>
      <c r="Z133" s="321"/>
      <c r="AA133" s="321"/>
      <c r="AB133" s="321"/>
      <c r="AC133" s="321"/>
    </row>
    <row r="134" spans="1:29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65"/>
      <c r="W134" s="64"/>
      <c r="X134" s="321"/>
      <c r="Y134" s="64"/>
      <c r="Z134" s="321"/>
      <c r="AA134" s="321"/>
      <c r="AB134" s="321"/>
      <c r="AC134" s="321"/>
    </row>
    <row r="135" spans="1:29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70">
        <v>742683.92599999998</v>
      </c>
      <c r="W135" s="73"/>
      <c r="X135" s="313">
        <f>SUM(V135:V137)</f>
        <v>742683.92599999998</v>
      </c>
      <c r="Y135" s="73"/>
      <c r="Z135" s="313">
        <f>SUM(X135:X137)</f>
        <v>835455.92599999998</v>
      </c>
      <c r="AA135" s="313">
        <f>SUM(Z135:Z137)</f>
        <v>900305.92599999998</v>
      </c>
      <c r="AB135" s="313">
        <f>SUM(AA135:AA137)</f>
        <v>963621.92599999998</v>
      </c>
      <c r="AC135" s="313">
        <f>SUM(AB135:AB137)</f>
        <v>1030307.926</v>
      </c>
    </row>
    <row r="136" spans="1:29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70"/>
      <c r="W136" s="73"/>
      <c r="X136" s="313">
        <f>SUM(X118)</f>
        <v>126661</v>
      </c>
      <c r="Y136" s="73"/>
      <c r="Z136" s="313">
        <f t="shared" ref="X136:AA137" si="79">SUM(Z118)</f>
        <v>98739</v>
      </c>
      <c r="AA136" s="313">
        <f t="shared" si="79"/>
        <v>97205</v>
      </c>
      <c r="AB136" s="313">
        <f>SUM(AB118)</f>
        <v>100575</v>
      </c>
      <c r="AC136" s="313">
        <f>SUM(AC118)</f>
        <v>95299</v>
      </c>
    </row>
    <row r="137" spans="1:29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70"/>
      <c r="W137" s="73"/>
      <c r="X137" s="313">
        <f t="shared" si="79"/>
        <v>-33889</v>
      </c>
      <c r="Y137" s="73"/>
      <c r="Z137" s="313">
        <f t="shared" si="79"/>
        <v>-33889</v>
      </c>
      <c r="AA137" s="313">
        <f t="shared" si="79"/>
        <v>-33889</v>
      </c>
      <c r="AB137" s="313">
        <f>SUM(AB119)</f>
        <v>-33889</v>
      </c>
      <c r="AC137" s="313">
        <f>SUM(AC119)</f>
        <v>-33889</v>
      </c>
    </row>
    <row r="138" spans="1:29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87">
        <v>1</v>
      </c>
      <c r="W138" s="73"/>
      <c r="X138" s="314">
        <v>1</v>
      </c>
      <c r="Y138" s="73"/>
      <c r="Z138" s="314">
        <v>1</v>
      </c>
      <c r="AA138" s="314">
        <v>1</v>
      </c>
      <c r="AB138" s="314">
        <v>1</v>
      </c>
      <c r="AC138" s="314">
        <v>1</v>
      </c>
    </row>
    <row r="139" spans="1:29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91">
        <v>0.18293040999999999</v>
      </c>
      <c r="W139" s="84"/>
      <c r="X139" s="315">
        <f>SUM(V139)</f>
        <v>0.18293040999999999</v>
      </c>
      <c r="Y139" s="84"/>
      <c r="Z139" s="315">
        <f>SUM(X139)</f>
        <v>0.18293040999999999</v>
      </c>
      <c r="AA139" s="315">
        <f t="shared" ref="AA139:AC139" si="80">SUM(Z139)</f>
        <v>0.18293040999999999</v>
      </c>
      <c r="AB139" s="315">
        <f t="shared" si="80"/>
        <v>0.18293040999999999</v>
      </c>
      <c r="AC139" s="315">
        <f t="shared" si="80"/>
        <v>0.18293040999999999</v>
      </c>
    </row>
    <row r="140" spans="1:29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81">SUM((G135+G136+G137)*G138*G139)</f>
        <v>79213.073000000004</v>
      </c>
      <c r="I140" s="99">
        <f t="shared" si="81"/>
        <v>85831.54</v>
      </c>
      <c r="J140" s="100"/>
      <c r="K140" s="101"/>
      <c r="L140" s="99">
        <f t="shared" ref="L140:T140" si="82">SUM((L135+L136+L137)*L138*L139)</f>
        <v>92701.07758538505</v>
      </c>
      <c r="M140" s="102"/>
      <c r="N140" s="99">
        <f t="shared" si="82"/>
        <v>96666.592999999993</v>
      </c>
      <c r="O140" s="100"/>
      <c r="P140" s="100">
        <f t="shared" si="82"/>
        <v>103095.598</v>
      </c>
      <c r="Q140" s="177"/>
      <c r="R140" s="100">
        <f t="shared" ref="R140" si="83">SUM((R135+R136+R137)*R138*R139)</f>
        <v>115955.848</v>
      </c>
      <c r="S140" s="177"/>
      <c r="T140" s="100">
        <f t="shared" si="82"/>
        <v>134625.429</v>
      </c>
      <c r="U140" s="177"/>
      <c r="V140" s="100">
        <f>SUM((V135+V136+V137)*V138*V139)</f>
        <v>135859.47508358964</v>
      </c>
      <c r="W140" s="177"/>
      <c r="X140" s="317">
        <f>SUM((X135+X136+X137)*X138*X139)</f>
        <v>152830.29508010964</v>
      </c>
      <c r="Y140" s="177"/>
      <c r="Z140" s="317">
        <f>SUM((Z135+Z136+Z137)*Z138*Z139)</f>
        <v>164693.33216860963</v>
      </c>
      <c r="AA140" s="317">
        <f>SUM((AA135+AA136+AA137)*AA138*AA139)</f>
        <v>176275.75400816964</v>
      </c>
      <c r="AB140" s="317">
        <f>SUM((AB135+AB136+AB137)*AB138*AB139)</f>
        <v>188474.65132942965</v>
      </c>
      <c r="AC140" s="317">
        <f>SUM((AC135+AC136+AC137)*AC138*AC139)</f>
        <v>199708.40780752964</v>
      </c>
    </row>
    <row r="141" spans="1:29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83">
        <v>-100</v>
      </c>
      <c r="W141" s="84"/>
      <c r="X141" s="323"/>
      <c r="Y141" s="84"/>
      <c r="Z141" s="323"/>
      <c r="AA141" s="323"/>
      <c r="AB141" s="323"/>
      <c r="AC141" s="323"/>
    </row>
    <row r="142" spans="1:29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4">SUM(G140)</f>
        <v>79213.073000000004</v>
      </c>
      <c r="I142" s="69">
        <f t="shared" si="84"/>
        <v>85831.54</v>
      </c>
      <c r="J142" s="70"/>
      <c r="K142" s="71"/>
      <c r="L142" s="69">
        <f t="shared" ref="L142:AA142" si="85">SUM(L140)</f>
        <v>92701.07758538505</v>
      </c>
      <c r="M142" s="72"/>
      <c r="N142" s="69">
        <f t="shared" si="85"/>
        <v>96666.592999999993</v>
      </c>
      <c r="O142" s="70"/>
      <c r="P142" s="70">
        <f t="shared" si="85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70">
        <f>SUM(V140:V141)</f>
        <v>135759.47508358964</v>
      </c>
      <c r="W142" s="73"/>
      <c r="X142" s="313">
        <f>SUM(X140)</f>
        <v>152830.29508010964</v>
      </c>
      <c r="Y142" s="73"/>
      <c r="Z142" s="313">
        <f t="shared" si="85"/>
        <v>164693.33216860963</v>
      </c>
      <c r="AA142" s="313">
        <f t="shared" si="85"/>
        <v>176275.75400816964</v>
      </c>
      <c r="AB142" s="313">
        <f>SUM(AB140)</f>
        <v>188474.65132942965</v>
      </c>
      <c r="AC142" s="313">
        <f>SUM(AC140)</f>
        <v>199708.40780752964</v>
      </c>
    </row>
    <row r="143" spans="1:29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134">
        <v>1</v>
      </c>
      <c r="W143" s="84"/>
      <c r="X143" s="324">
        <v>1</v>
      </c>
      <c r="Y143" s="84"/>
      <c r="Z143" s="324">
        <v>1</v>
      </c>
      <c r="AA143" s="324">
        <v>1</v>
      </c>
      <c r="AB143" s="324">
        <v>1</v>
      </c>
      <c r="AC143" s="324">
        <v>1</v>
      </c>
    </row>
    <row r="144" spans="1:29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6">SUM(G142*G143)</f>
        <v>77458.071382651833</v>
      </c>
      <c r="I144" s="69">
        <f t="shared" si="86"/>
        <v>85831.54</v>
      </c>
      <c r="J144" s="70"/>
      <c r="K144" s="71"/>
      <c r="L144" s="69">
        <f t="shared" ref="L144:AA144" si="87">SUM(L142*L143)</f>
        <v>92701.07758538505</v>
      </c>
      <c r="M144" s="72"/>
      <c r="N144" s="69">
        <f t="shared" si="87"/>
        <v>96666.592999999993</v>
      </c>
      <c r="O144" s="70"/>
      <c r="P144" s="70">
        <f t="shared" si="87"/>
        <v>103095.598</v>
      </c>
      <c r="Q144" s="73"/>
      <c r="R144" s="70">
        <f t="shared" ref="R144" si="88">SUM(R142*R143)</f>
        <v>115955.848</v>
      </c>
      <c r="S144" s="73"/>
      <c r="T144" s="70">
        <f t="shared" si="87"/>
        <v>134525.429</v>
      </c>
      <c r="U144" s="73"/>
      <c r="V144" s="70">
        <f>SUM(V142*V143)</f>
        <v>135759.47508358964</v>
      </c>
      <c r="W144" s="73"/>
      <c r="X144" s="313">
        <f t="shared" si="87"/>
        <v>152830.29508010964</v>
      </c>
      <c r="Y144" s="73"/>
      <c r="Z144" s="313">
        <f t="shared" si="87"/>
        <v>164693.33216860963</v>
      </c>
      <c r="AA144" s="313">
        <f t="shared" si="87"/>
        <v>176275.75400816964</v>
      </c>
      <c r="AB144" s="313">
        <f>SUM(AB142*AB143)</f>
        <v>188474.65132942965</v>
      </c>
      <c r="AC144" s="313">
        <f>SUM(AC142*AC143)</f>
        <v>199708.40780752964</v>
      </c>
    </row>
    <row r="145" spans="1:29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305">
        <v>0.01</v>
      </c>
      <c r="V145" s="318">
        <f>SUM(T145*(1+U145))</f>
        <v>1.3256725806836119E-2</v>
      </c>
      <c r="W145" s="305">
        <f>$W$30</f>
        <v>1.4999999999999999E-2</v>
      </c>
      <c r="X145" s="318">
        <f>SUM(V145*(1+W145))</f>
        <v>1.345557669393866E-2</v>
      </c>
      <c r="Y145" s="305">
        <f>$Y$30</f>
        <v>0.02</v>
      </c>
      <c r="Z145" s="318">
        <f>SUM(X145*(1+Y145))</f>
        <v>1.3724688227817434E-2</v>
      </c>
      <c r="AA145" s="318">
        <f>SUM(Z145*(1+Y145))</f>
        <v>1.3999181992373783E-2</v>
      </c>
      <c r="AB145" s="318">
        <f>SUM(AA145*(1+Y145))</f>
        <v>1.427916563222126E-2</v>
      </c>
      <c r="AC145" s="318">
        <f>SUM(AB145*(1+$Y$145))</f>
        <v>1.4564748944865685E-2</v>
      </c>
    </row>
    <row r="146" spans="1:29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317"/>
      <c r="W146" s="101"/>
      <c r="X146" s="317"/>
      <c r="Y146" s="101"/>
      <c r="Z146" s="317"/>
      <c r="AA146" s="317"/>
      <c r="AB146" s="317"/>
      <c r="AC146" s="317"/>
    </row>
    <row r="147" spans="1:29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89">SUM(G144*G145)</f>
        <v>1112.580366038414</v>
      </c>
      <c r="I147" s="178">
        <f t="shared" si="89"/>
        <v>1255.1733400000001</v>
      </c>
      <c r="J147" s="179"/>
      <c r="K147" s="180"/>
      <c r="L147" s="178">
        <f t="shared" ref="L147:P147" si="90">SUM(L144*L145)</f>
        <v>1336.7211187574665</v>
      </c>
      <c r="M147" s="181"/>
      <c r="N147" s="178">
        <f t="shared" si="90"/>
        <v>1396.8021189769413</v>
      </c>
      <c r="O147" s="181"/>
      <c r="P147" s="179">
        <f t="shared" si="90"/>
        <v>1470.0476900000001</v>
      </c>
      <c r="Q147" s="180"/>
      <c r="R147" s="179">
        <f t="shared" ref="R147" si="91">SUM(R144*R145)</f>
        <v>1640.8960900000002</v>
      </c>
      <c r="S147" s="180"/>
      <c r="T147" s="179">
        <f>SUM(T144*T145)</f>
        <v>1765.7096300000001</v>
      </c>
      <c r="U147" s="180"/>
      <c r="V147" s="338">
        <f>SUM(V144*V145)</f>
        <v>1799.726136863148</v>
      </c>
      <c r="W147" s="373"/>
      <c r="X147" s="338">
        <f>SUM(X144*X145)</f>
        <v>2056.4197566076919</v>
      </c>
      <c r="Y147" s="373"/>
      <c r="Z147" s="338">
        <f>SUM(Z144*Z145)</f>
        <v>2260.3646372145431</v>
      </c>
      <c r="AA147" s="338">
        <f>SUM(AA144*AA145)</f>
        <v>2467.7163612032791</v>
      </c>
      <c r="AB147" s="338">
        <f>SUM(AB144*AB145)</f>
        <v>2691.2607638080767</v>
      </c>
      <c r="AC147" s="338">
        <f>SUM(AC144*AC145)</f>
        <v>2908.7028218955234</v>
      </c>
    </row>
    <row r="148" spans="1:29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  <c r="AC148" s="144"/>
    </row>
    <row r="149" spans="1:29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187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">
        <v>178</v>
      </c>
      <c r="AC149" s="301" t="s">
        <v>179</v>
      </c>
    </row>
    <row r="150" spans="1:29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65"/>
      <c r="W150" s="64"/>
      <c r="X150" s="321"/>
      <c r="Y150" s="64"/>
      <c r="Z150" s="321"/>
      <c r="AA150" s="321"/>
      <c r="AB150" s="321"/>
      <c r="AC150" s="321"/>
    </row>
    <row r="151" spans="1:29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65"/>
      <c r="W151" s="64"/>
      <c r="X151" s="321"/>
      <c r="Y151" s="64"/>
      <c r="Z151" s="321"/>
      <c r="AA151" s="321"/>
      <c r="AB151" s="321"/>
      <c r="AC151" s="321"/>
    </row>
    <row r="152" spans="1:29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70">
        <v>324700</v>
      </c>
      <c r="W152" s="73"/>
      <c r="X152" s="313">
        <f>SUM(V152:V154)</f>
        <v>324700</v>
      </c>
      <c r="Y152" s="73"/>
      <c r="Z152" s="313">
        <f>SUM(X152:X154)</f>
        <v>350644</v>
      </c>
      <c r="AA152" s="313">
        <f t="shared" ref="AA152" si="92">SUM(Z152:Z154)</f>
        <v>363744</v>
      </c>
      <c r="AB152" s="313">
        <f>SUM(AA152:AA154)</f>
        <v>373986</v>
      </c>
      <c r="AC152" s="313">
        <f>SUM(AB152:AB154)</f>
        <v>386174</v>
      </c>
    </row>
    <row r="153" spans="1:29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70">
        <v>0</v>
      </c>
      <c r="W153" s="73"/>
      <c r="X153" s="154">
        <f>35421</f>
        <v>35421</v>
      </c>
      <c r="Y153" s="73"/>
      <c r="Z153" s="154">
        <v>22577</v>
      </c>
      <c r="AA153" s="154">
        <v>19719</v>
      </c>
      <c r="AB153" s="154">
        <v>21665</v>
      </c>
      <c r="AC153" s="154">
        <v>20227</v>
      </c>
    </row>
    <row r="154" spans="1:29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70">
        <v>0</v>
      </c>
      <c r="W154" s="73"/>
      <c r="X154" s="154">
        <v>-9477</v>
      </c>
      <c r="Y154" s="73"/>
      <c r="Z154" s="154">
        <f>X154</f>
        <v>-9477</v>
      </c>
      <c r="AA154" s="154">
        <f>Z154</f>
        <v>-9477</v>
      </c>
      <c r="AB154" s="154">
        <f>AA154</f>
        <v>-9477</v>
      </c>
      <c r="AC154" s="154">
        <f>AB154</f>
        <v>-9477</v>
      </c>
    </row>
    <row r="155" spans="1:29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87">
        <v>1</v>
      </c>
      <c r="W155" s="73"/>
      <c r="X155" s="314">
        <v>1</v>
      </c>
      <c r="Y155" s="73"/>
      <c r="Z155" s="314">
        <v>1</v>
      </c>
      <c r="AA155" s="314">
        <v>1</v>
      </c>
      <c r="AB155" s="314">
        <v>1</v>
      </c>
      <c r="AC155" s="314">
        <v>1</v>
      </c>
    </row>
    <row r="156" spans="1:29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91">
        <v>1</v>
      </c>
      <c r="W156" s="84"/>
      <c r="X156" s="315">
        <v>1</v>
      </c>
      <c r="Y156" s="84"/>
      <c r="Z156" s="315">
        <v>1</v>
      </c>
      <c r="AA156" s="315">
        <v>1</v>
      </c>
      <c r="AB156" s="315">
        <v>1</v>
      </c>
      <c r="AC156" s="315">
        <v>1</v>
      </c>
    </row>
    <row r="157" spans="1:29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3">SUM((G152+G153+G154)*G155*G156)</f>
        <v>160600</v>
      </c>
      <c r="I157" s="99">
        <f t="shared" si="93"/>
        <v>168937</v>
      </c>
      <c r="J157" s="100"/>
      <c r="K157" s="101"/>
      <c r="L157" s="99">
        <f t="shared" ref="L157:AA157" si="94">SUM((L152+L153+L154)*L155*L156)</f>
        <v>184700</v>
      </c>
      <c r="M157" s="102"/>
      <c r="N157" s="99">
        <f t="shared" si="94"/>
        <v>209500</v>
      </c>
      <c r="O157" s="100"/>
      <c r="P157" s="100">
        <f t="shared" ref="P157" si="95">SUM((P152+P153+P154)*P155*P156)</f>
        <v>243796.47</v>
      </c>
      <c r="Q157" s="177"/>
      <c r="R157" s="100">
        <f t="shared" ref="R157" si="96">SUM((R152+R153+R154)*R155*R156)</f>
        <v>282611.34999999998</v>
      </c>
      <c r="S157" s="177"/>
      <c r="T157" s="100">
        <f t="shared" si="94"/>
        <v>340600</v>
      </c>
      <c r="U157" s="177"/>
      <c r="V157" s="100">
        <f>SUM((V152+V153+V154)*V155*V156)</f>
        <v>324700</v>
      </c>
      <c r="W157" s="177"/>
      <c r="X157" s="317">
        <f>SUM((X152+X153+X154)*X155*X156)</f>
        <v>350644</v>
      </c>
      <c r="Y157" s="177"/>
      <c r="Z157" s="317">
        <f t="shared" si="94"/>
        <v>363744</v>
      </c>
      <c r="AA157" s="317">
        <f t="shared" si="94"/>
        <v>373986</v>
      </c>
      <c r="AB157" s="317">
        <f>SUM((AB152+AB153+AB154)*AB155*AB156)</f>
        <v>386174</v>
      </c>
      <c r="AC157" s="317">
        <f>SUM((AC152+AC153+AC154)*AC155*AC156)</f>
        <v>396924</v>
      </c>
    </row>
    <row r="158" spans="1:29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70"/>
      <c r="W158" s="73"/>
      <c r="X158" s="313"/>
      <c r="Y158" s="73"/>
      <c r="Z158" s="313"/>
      <c r="AA158" s="313"/>
      <c r="AB158" s="313"/>
      <c r="AC158" s="313"/>
    </row>
    <row r="159" spans="1:29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245">
        <v>1</v>
      </c>
      <c r="W159" s="73"/>
      <c r="X159" s="339">
        <v>1</v>
      </c>
      <c r="Y159" s="73"/>
      <c r="Z159" s="339">
        <v>1</v>
      </c>
      <c r="AA159" s="339">
        <v>1</v>
      </c>
      <c r="AB159" s="339">
        <v>1</v>
      </c>
      <c r="AC159" s="339">
        <v>1</v>
      </c>
    </row>
    <row r="160" spans="1:29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97">SUM(G157*G159)</f>
        <v>160600</v>
      </c>
      <c r="I160" s="69">
        <f t="shared" si="97"/>
        <v>168937</v>
      </c>
      <c r="J160" s="70"/>
      <c r="K160" s="71"/>
      <c r="L160" s="69">
        <f t="shared" ref="L160:AA160" si="98">SUM(L157*L159)</f>
        <v>184700</v>
      </c>
      <c r="M160" s="72"/>
      <c r="N160" s="69">
        <f t="shared" si="98"/>
        <v>209500</v>
      </c>
      <c r="O160" s="70"/>
      <c r="P160" s="70">
        <f t="shared" ref="P160" si="99">SUM(P157*P159)</f>
        <v>243796.47</v>
      </c>
      <c r="Q160" s="73"/>
      <c r="R160" s="70">
        <f t="shared" ref="R160" si="100">SUM(R157*R159)</f>
        <v>282611.34999999998</v>
      </c>
      <c r="S160" s="73"/>
      <c r="T160" s="70">
        <f t="shared" si="98"/>
        <v>340600</v>
      </c>
      <c r="U160" s="73"/>
      <c r="V160" s="70">
        <f t="shared" si="98"/>
        <v>324700</v>
      </c>
      <c r="W160" s="73"/>
      <c r="X160" s="313">
        <f>SUM(X157*X159)</f>
        <v>350644</v>
      </c>
      <c r="Y160" s="73"/>
      <c r="Z160" s="313">
        <f t="shared" si="98"/>
        <v>363744</v>
      </c>
      <c r="AA160" s="313">
        <f t="shared" si="98"/>
        <v>373986</v>
      </c>
      <c r="AB160" s="313">
        <f>SUM(AB157*AB159)</f>
        <v>386174</v>
      </c>
      <c r="AC160" s="313">
        <f>SUM(AC157*AC159)</f>
        <v>396924</v>
      </c>
    </row>
    <row r="161" spans="1:31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247">
        <v>1</v>
      </c>
      <c r="W161" s="84"/>
      <c r="X161" s="340">
        <v>1</v>
      </c>
      <c r="Y161" s="84"/>
      <c r="Z161" s="340">
        <v>1</v>
      </c>
      <c r="AA161" s="340">
        <v>1</v>
      </c>
      <c r="AB161" s="340">
        <v>1</v>
      </c>
      <c r="AC161" s="340">
        <v>1</v>
      </c>
    </row>
    <row r="162" spans="1:31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101">SUM(G160*G161)</f>
        <v>160600</v>
      </c>
      <c r="I162" s="69">
        <f t="shared" si="101"/>
        <v>168937</v>
      </c>
      <c r="J162" s="70"/>
      <c r="K162" s="71"/>
      <c r="L162" s="69">
        <f t="shared" ref="L162:AA162" si="102">SUM(L160*L161)</f>
        <v>184700</v>
      </c>
      <c r="M162" s="72"/>
      <c r="N162" s="69">
        <f t="shared" si="102"/>
        <v>209500</v>
      </c>
      <c r="O162" s="70"/>
      <c r="P162" s="70">
        <f t="shared" ref="P162" si="103">SUM(P160*P161)</f>
        <v>243796.47</v>
      </c>
      <c r="Q162" s="73"/>
      <c r="R162" s="70">
        <f t="shared" ref="R162" si="104">SUM(R160*R161)</f>
        <v>282611.34999999998</v>
      </c>
      <c r="S162" s="73"/>
      <c r="T162" s="70">
        <f t="shared" si="102"/>
        <v>340600</v>
      </c>
      <c r="U162" s="73"/>
      <c r="V162" s="70">
        <f>SUM(V160*V161)</f>
        <v>324700</v>
      </c>
      <c r="W162" s="73"/>
      <c r="X162" s="313">
        <f t="shared" si="102"/>
        <v>350644</v>
      </c>
      <c r="Y162" s="73"/>
      <c r="Z162" s="313">
        <f t="shared" si="102"/>
        <v>363744</v>
      </c>
      <c r="AA162" s="313">
        <f t="shared" si="102"/>
        <v>373986</v>
      </c>
      <c r="AB162" s="313">
        <f>SUM(AB160*AB161)</f>
        <v>386174</v>
      </c>
      <c r="AC162" s="313">
        <f>SUM(AC160*AC161)</f>
        <v>396924</v>
      </c>
    </row>
    <row r="163" spans="1:31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232">
        <f>SUM((V163-T163)/T163)</f>
        <v>4.6000133984343871E-3</v>
      </c>
      <c r="V163" s="293">
        <f>4225.44043/V162</f>
        <v>1.3013367508469355E-2</v>
      </c>
      <c r="W163" s="305">
        <f>$W$30</f>
        <v>1.4999999999999999E-2</v>
      </c>
      <c r="X163" s="318">
        <f>SUM(V163*(1+W163))</f>
        <v>1.3208568021096394E-2</v>
      </c>
      <c r="Y163" s="305">
        <f>$Y$30</f>
        <v>0.02</v>
      </c>
      <c r="Z163" s="318">
        <f>SUM(X163*(1+Y163))</f>
        <v>1.3472739381518323E-2</v>
      </c>
      <c r="AA163" s="318">
        <f>SUM(Z163*(1+Y163))</f>
        <v>1.3742194169148689E-2</v>
      </c>
      <c r="AB163" s="318">
        <f>SUM(AA163*(1+Y163))</f>
        <v>1.4017038052531664E-2</v>
      </c>
      <c r="AC163" s="318">
        <f>SUM(AB163*(1+$Y$163))</f>
        <v>1.4297378813582296E-2</v>
      </c>
    </row>
    <row r="164" spans="1:31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139"/>
      <c r="W164" s="73"/>
      <c r="X164" s="319"/>
      <c r="Y164" s="73"/>
      <c r="Z164" s="319"/>
      <c r="AA164" s="319"/>
      <c r="AB164" s="319"/>
      <c r="AC164" s="319"/>
    </row>
    <row r="165" spans="1:31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5">SUM(G162*G163)</f>
        <v>2030.6547399999999</v>
      </c>
      <c r="I165" s="112">
        <f t="shared" si="105"/>
        <v>2137.1771711399883</v>
      </c>
      <c r="J165" s="141"/>
      <c r="K165" s="114"/>
      <c r="L165" s="248">
        <f t="shared" ref="L165:Z165" si="106">SUM(L162*L163)</f>
        <v>2378.8604999999998</v>
      </c>
      <c r="M165" s="113"/>
      <c r="N165" s="112">
        <f t="shared" si="106"/>
        <v>2651</v>
      </c>
      <c r="O165" s="141"/>
      <c r="P165" s="141">
        <f t="shared" si="106"/>
        <v>3184.1441200000004</v>
      </c>
      <c r="Q165" s="249"/>
      <c r="R165" s="141">
        <f t="shared" ref="R165" si="107">SUM(R162*R163)</f>
        <v>3678.2691199999999</v>
      </c>
      <c r="S165" s="273"/>
      <c r="T165" s="141">
        <f>SUM(T162*T163)</f>
        <v>4412.0574500000002</v>
      </c>
      <c r="U165" s="273"/>
      <c r="V165" s="141">
        <f>SUM(V162*V163)</f>
        <v>4225.4404299999997</v>
      </c>
      <c r="W165" s="273"/>
      <c r="X165" s="320">
        <f>SUM(X162*X163)</f>
        <v>4631.5051251893237</v>
      </c>
      <c r="Y165" s="273"/>
      <c r="Z165" s="320">
        <f t="shared" si="106"/>
        <v>4900.6281135910012</v>
      </c>
      <c r="AA165" s="320">
        <f>SUM(AA162*AA163)</f>
        <v>5139.3882285432419</v>
      </c>
      <c r="AB165" s="320">
        <f>SUM(AB162*AB163)</f>
        <v>5413.0156528983625</v>
      </c>
      <c r="AC165" s="320">
        <f>SUM(AC162*AC163)</f>
        <v>5674.9727882023399</v>
      </c>
    </row>
    <row r="166" spans="1:31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  <c r="AC166" s="144"/>
    </row>
    <row r="167" spans="1:31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  <c r="AC167" s="257"/>
    </row>
    <row r="168" spans="1:31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  <c r="AC168" s="257"/>
    </row>
    <row r="169" spans="1:31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  <c r="AC169" s="257"/>
    </row>
    <row r="170" spans="1:31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  <c r="AC170" s="265"/>
    </row>
    <row r="171" spans="1:31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  <c r="AC171" s="341" t="s">
        <v>103</v>
      </c>
    </row>
    <row r="172" spans="1:31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  <c r="AC172" s="301">
        <f>AB172+1</f>
        <v>2024</v>
      </c>
    </row>
    <row r="173" spans="1:31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C173" s="321"/>
      <c r="AE173" s="11"/>
    </row>
    <row r="174" spans="1:31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14808.461660383624</v>
      </c>
      <c r="W174" s="355"/>
      <c r="X174" s="342">
        <f>SUM(X32)</f>
        <v>13925.082901149826</v>
      </c>
      <c r="Y174" s="355"/>
      <c r="Z174" s="342">
        <f>SUM(Z32)</f>
        <v>15991.16326604365</v>
      </c>
      <c r="AA174" s="342">
        <f>SUM(AA32)</f>
        <v>18224.029919637978</v>
      </c>
      <c r="AB174" s="342">
        <f>SUM(AB32)</f>
        <v>20341.927106469462</v>
      </c>
      <c r="AC174" s="342">
        <f>SUM(AC32)</f>
        <v>22909.284083357601</v>
      </c>
      <c r="AE174" s="145"/>
    </row>
    <row r="175" spans="1:31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342"/>
      <c r="W175" s="271"/>
      <c r="X175" s="342"/>
      <c r="Y175" s="271"/>
      <c r="Z175" s="342"/>
      <c r="AA175" s="342"/>
      <c r="AB175" s="342"/>
      <c r="AC175" s="342"/>
      <c r="AE175" s="144"/>
    </row>
    <row r="176" spans="1:31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342">
        <f>SUM(V53)</f>
        <v>6436.9866816775175</v>
      </c>
      <c r="W176" s="273"/>
      <c r="X176" s="342">
        <f>SUM(X53)</f>
        <v>6533.5414819026792</v>
      </c>
      <c r="Y176" s="273"/>
      <c r="Z176" s="342">
        <f>SUM(Z53)</f>
        <v>7448.296837861878</v>
      </c>
      <c r="AA176" s="342">
        <f>SUM(AA53)</f>
        <v>8432.9338699236869</v>
      </c>
      <c r="AB176" s="342">
        <f>SUM(AB53)</f>
        <v>9367.5341720483102</v>
      </c>
      <c r="AC176" s="342">
        <f>SUM(AC53)</f>
        <v>10498.660003438237</v>
      </c>
      <c r="AE176" s="145"/>
    </row>
    <row r="177" spans="1:31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270">
        <f>SUM(V75)</f>
        <v>11537.7201</v>
      </c>
      <c r="W177" s="273"/>
      <c r="X177" s="342">
        <f>SUM(X75)</f>
        <v>11975.106312351345</v>
      </c>
      <c r="Y177" s="273"/>
      <c r="Z177" s="342">
        <f>SUM(Z75)</f>
        <v>13127.065310055803</v>
      </c>
      <c r="AA177" s="342">
        <f>SUM(AA75)</f>
        <v>14350.034222220427</v>
      </c>
      <c r="AB177" s="342">
        <f>SUM(AB75)</f>
        <v>15544.420722082272</v>
      </c>
      <c r="AC177" s="342">
        <f>SUM(AC75)</f>
        <v>16919.315738805832</v>
      </c>
      <c r="AE177" s="145"/>
    </row>
    <row r="178" spans="1:31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422">
        <f>SUM(V95)</f>
        <v>12.636430000000001</v>
      </c>
      <c r="W178" s="273"/>
      <c r="X178" s="343">
        <f>SUM(X95)</f>
        <v>12.825976449999997</v>
      </c>
      <c r="Y178" s="273"/>
      <c r="Z178" s="343">
        <f>SUM(Z95)</f>
        <v>13.082495978999999</v>
      </c>
      <c r="AA178" s="343">
        <f>SUM(AA95)</f>
        <v>13.344145898580001</v>
      </c>
      <c r="AB178" s="343">
        <f>SUM(AB95)</f>
        <v>13.611028816551599</v>
      </c>
      <c r="AC178" s="343">
        <f>SUM(AC95)</f>
        <v>13.883249392882632</v>
      </c>
      <c r="AE178" s="145"/>
    </row>
    <row r="179" spans="1:31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175"/>
      <c r="T179" s="179">
        <f>SUM(T111)</f>
        <v>3479.2761100000002</v>
      </c>
      <c r="U179" s="273"/>
      <c r="V179" s="181">
        <f>SUM(V111)</f>
        <v>3280.9031100000002</v>
      </c>
      <c r="W179" s="273"/>
      <c r="X179" s="338">
        <f>SUM(X111)</f>
        <v>3330.1166566500001</v>
      </c>
      <c r="Y179" s="273"/>
      <c r="Z179" s="338">
        <f>SUM(Z111)</f>
        <v>3396.7189897829999</v>
      </c>
      <c r="AA179" s="338">
        <f>SUM(AA111)</f>
        <v>3464.6533695786602</v>
      </c>
      <c r="AB179" s="338">
        <f>SUM(AB111)</f>
        <v>3533.9464369702328</v>
      </c>
      <c r="AC179" s="338">
        <f>SUM(AC111)</f>
        <v>3604.6253657096377</v>
      </c>
      <c r="AE179" s="145"/>
    </row>
    <row r="180" spans="1:31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175"/>
      <c r="T180" s="272"/>
      <c r="U180" s="271"/>
      <c r="V180" s="342"/>
      <c r="W180" s="271"/>
      <c r="X180" s="342"/>
      <c r="Y180" s="271"/>
      <c r="Z180" s="342"/>
      <c r="AA180" s="342"/>
      <c r="AB180" s="342"/>
      <c r="AC180" s="342"/>
      <c r="AE180" s="144"/>
    </row>
    <row r="181" spans="1:31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08">SUM(G174:G179)</f>
        <v>22467.722571320119</v>
      </c>
      <c r="H181" s="3"/>
      <c r="I181" s="178">
        <f t="shared" si="108"/>
        <v>25222.541358363891</v>
      </c>
      <c r="J181" s="181"/>
      <c r="K181" s="180"/>
      <c r="L181" s="178">
        <f t="shared" ref="L181:AA181" si="109">SUM(L174:L179)</f>
        <v>27721.837982187997</v>
      </c>
      <c r="M181" s="181"/>
      <c r="N181" s="178">
        <f t="shared" ref="N181" si="110">SUM(N174:N179)</f>
        <v>29497.728188102526</v>
      </c>
      <c r="O181" s="280"/>
      <c r="P181" s="179">
        <f t="shared" si="109"/>
        <v>30629.426470680279</v>
      </c>
      <c r="Q181" s="281"/>
      <c r="R181" s="179">
        <f>SUM(R174:R179)</f>
        <v>33603.611274662006</v>
      </c>
      <c r="S181" s="175"/>
      <c r="T181" s="179">
        <f>SUM(T174:T179)</f>
        <v>33724.400079999999</v>
      </c>
      <c r="U181" s="273"/>
      <c r="V181" s="338">
        <f t="shared" si="109"/>
        <v>36076.70798206114</v>
      </c>
      <c r="W181" s="273"/>
      <c r="X181" s="338">
        <f t="shared" si="109"/>
        <v>35776.67332850385</v>
      </c>
      <c r="Y181" s="273"/>
      <c r="Z181" s="338">
        <f t="shared" si="109"/>
        <v>39976.326899723332</v>
      </c>
      <c r="AA181" s="338">
        <f t="shared" si="109"/>
        <v>44484.995527259336</v>
      </c>
      <c r="AB181" s="338">
        <f>SUM(AB174:AB179)</f>
        <v>48801.43946638683</v>
      </c>
      <c r="AC181" s="338">
        <f>SUM(AC174:AC179)</f>
        <v>53945.768440704196</v>
      </c>
      <c r="AE181" s="144"/>
    </row>
    <row r="182" spans="1:31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175"/>
      <c r="T182" s="272"/>
      <c r="U182" s="271"/>
      <c r="V182" s="342"/>
      <c r="W182" s="271"/>
      <c r="X182" s="342"/>
      <c r="Y182" s="271"/>
      <c r="Z182" s="342"/>
      <c r="AA182" s="342"/>
      <c r="AB182" s="342"/>
      <c r="AC182" s="342"/>
      <c r="AE182" s="144"/>
    </row>
    <row r="183" spans="1:31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175"/>
      <c r="T183" s="272"/>
      <c r="U183" s="271"/>
      <c r="V183" s="342"/>
      <c r="W183" s="271"/>
      <c r="X183" s="342"/>
      <c r="Y183" s="271"/>
      <c r="Z183" s="342"/>
      <c r="AA183" s="342"/>
      <c r="AB183" s="342"/>
      <c r="AC183" s="342"/>
      <c r="AE183" s="144"/>
    </row>
    <row r="184" spans="1:31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175"/>
      <c r="T184" s="276">
        <f>SUM(T130)</f>
        <v>3358.2858700000002</v>
      </c>
      <c r="U184" s="273"/>
      <c r="V184" s="342">
        <f>SUM(V130)</f>
        <v>3843.9964030509846</v>
      </c>
      <c r="W184" s="355"/>
      <c r="X184" s="342">
        <f>SUM(X130)</f>
        <v>4418.748438837325</v>
      </c>
      <c r="Y184" s="355"/>
      <c r="Z184" s="342">
        <f>SUM(Z130)</f>
        <v>4875.8132112193616</v>
      </c>
      <c r="AA184" s="342">
        <f>SUM(AA130)</f>
        <v>5340.4974457933859</v>
      </c>
      <c r="AB184" s="342">
        <f>SUM(AB130)</f>
        <v>5841.7521248904177</v>
      </c>
      <c r="AC184" s="342">
        <f>SUM(AC130)</f>
        <v>6329.0893402286101</v>
      </c>
      <c r="AE184" s="145"/>
    </row>
    <row r="185" spans="1:31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175"/>
      <c r="T185" s="276">
        <f>SUM(T147)</f>
        <v>1765.7096300000001</v>
      </c>
      <c r="U185" s="273"/>
      <c r="V185" s="342">
        <f>SUM(V147)</f>
        <v>1799.726136863148</v>
      </c>
      <c r="W185" s="273"/>
      <c r="X185" s="342">
        <f>SUM(X147)</f>
        <v>2056.4197566076919</v>
      </c>
      <c r="Y185" s="273"/>
      <c r="Z185" s="342">
        <f>SUM(Z147)</f>
        <v>2260.3646372145431</v>
      </c>
      <c r="AA185" s="342">
        <f>SUM(AA147)</f>
        <v>2467.7163612032791</v>
      </c>
      <c r="AB185" s="342">
        <f>SUM(AB147)</f>
        <v>2691.2607638080767</v>
      </c>
      <c r="AC185" s="342">
        <f>SUM(AC147)</f>
        <v>2908.7028218955234</v>
      </c>
      <c r="AE185" s="145"/>
    </row>
    <row r="186" spans="1:31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270">
        <f>SUM(V165)</f>
        <v>4225.4404299999997</v>
      </c>
      <c r="W186" s="273"/>
      <c r="X186" s="342">
        <f>SUM(X165)</f>
        <v>4631.5051251893237</v>
      </c>
      <c r="Y186" s="273"/>
      <c r="Z186" s="342">
        <f>SUM(Z165)</f>
        <v>4900.6281135910012</v>
      </c>
      <c r="AA186" s="342">
        <f>SUM(AA165)</f>
        <v>5139.3882285432419</v>
      </c>
      <c r="AB186" s="342">
        <f>SUM(AB165)</f>
        <v>5413.0156528983625</v>
      </c>
      <c r="AC186" s="342">
        <f>SUM(AC165)</f>
        <v>5674.9727882023399</v>
      </c>
      <c r="AE186" s="145"/>
    </row>
    <row r="187" spans="1:31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75"/>
      <c r="T187" s="179">
        <v>0</v>
      </c>
      <c r="U187" s="273"/>
      <c r="V187" s="181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C187" s="338">
        <v>0</v>
      </c>
      <c r="AE187" s="144"/>
    </row>
    <row r="188" spans="1:31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175"/>
      <c r="T188" s="272"/>
      <c r="U188" s="271"/>
      <c r="V188" s="342"/>
      <c r="W188" s="271"/>
      <c r="X188" s="342"/>
      <c r="Y188" s="271"/>
      <c r="Z188" s="342"/>
      <c r="AA188" s="342"/>
      <c r="AB188" s="342"/>
      <c r="AC188" s="342"/>
      <c r="AE188" s="27"/>
    </row>
    <row r="189" spans="1:31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11">SUM(G184:G186)</f>
        <v>5381.658967623669</v>
      </c>
      <c r="H189" s="3"/>
      <c r="I189" s="178">
        <f t="shared" si="111"/>
        <v>5836.652431139988</v>
      </c>
      <c r="J189" s="181"/>
      <c r="K189" s="180"/>
      <c r="L189" s="178">
        <f t="shared" ref="L189:AC189" si="112">SUM(L184:L186)</f>
        <v>6656.9436187574665</v>
      </c>
      <c r="M189" s="181"/>
      <c r="N189" s="178">
        <f t="shared" ref="N189" si="113">SUM(N184:N186)</f>
        <v>6826.5169189769413</v>
      </c>
      <c r="O189" s="181"/>
      <c r="P189" s="179">
        <f t="shared" si="112"/>
        <v>7377.2878482527303</v>
      </c>
      <c r="Q189" s="180"/>
      <c r="R189" s="179">
        <f>SUM(R184:R186)</f>
        <v>8337.9596247768241</v>
      </c>
      <c r="S189" s="175"/>
      <c r="T189" s="179">
        <f>SUM(T184:T186)</f>
        <v>9536.0529500000011</v>
      </c>
      <c r="U189" s="273"/>
      <c r="V189" s="338">
        <f>SUM(V184:V186)</f>
        <v>9869.1629699141322</v>
      </c>
      <c r="W189" s="273"/>
      <c r="X189" s="338">
        <f t="shared" si="112"/>
        <v>11106.673320634342</v>
      </c>
      <c r="Y189" s="273"/>
      <c r="Z189" s="338">
        <f t="shared" si="112"/>
        <v>12036.805962024906</v>
      </c>
      <c r="AA189" s="338">
        <f t="shared" si="112"/>
        <v>12947.602035539907</v>
      </c>
      <c r="AB189" s="338">
        <f t="shared" si="112"/>
        <v>13946.028541596857</v>
      </c>
      <c r="AC189" s="338">
        <f t="shared" si="112"/>
        <v>14912.764950326473</v>
      </c>
    </row>
    <row r="190" spans="1:31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175"/>
      <c r="T190" s="270"/>
      <c r="U190" s="271"/>
      <c r="V190" s="368"/>
      <c r="W190" s="271"/>
      <c r="X190" s="342"/>
      <c r="Y190" s="271"/>
      <c r="Z190" s="342"/>
      <c r="AA190" s="342"/>
      <c r="AB190" s="342"/>
      <c r="AC190" s="342"/>
    </row>
    <row r="191" spans="1:31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75"/>
      <c r="T191" s="141">
        <f>SUM(T181+T189)</f>
        <v>43260.453030000004</v>
      </c>
      <c r="U191" s="273"/>
      <c r="V191" s="320">
        <f>SUM(V181+V189)</f>
        <v>45945.870951975274</v>
      </c>
      <c r="W191" s="273"/>
      <c r="X191" s="320">
        <f>SUM(X181+X189)</f>
        <v>46883.346649138191</v>
      </c>
      <c r="Y191" s="273"/>
      <c r="Z191" s="320">
        <f>SUM(Z181+Z189)</f>
        <v>52013.132861748236</v>
      </c>
      <c r="AA191" s="320">
        <f>SUM(AA181+AA189)</f>
        <v>57432.597562799245</v>
      </c>
      <c r="AB191" s="320">
        <f>SUM(AB181+AB189)</f>
        <v>62747.468007983683</v>
      </c>
      <c r="AC191" s="320">
        <f>SUM(AC181+AC189)</f>
        <v>68858.533391030665</v>
      </c>
    </row>
    <row r="192" spans="1:31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175"/>
      <c r="T192" s="285"/>
      <c r="U192" s="286"/>
      <c r="V192" s="285"/>
      <c r="W192" s="286"/>
      <c r="X192" s="285"/>
      <c r="Y192" s="286"/>
      <c r="Z192" s="285"/>
      <c r="AA192" s="285"/>
      <c r="AB192" s="285"/>
      <c r="AC192" s="285"/>
    </row>
    <row r="193" spans="1:29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175"/>
      <c r="T193" s="289">
        <f>SUM(T191-R191)</f>
        <v>1318.8821305611782</v>
      </c>
      <c r="U193" s="175"/>
      <c r="V193" s="289">
        <f>SUM(V191-T191)</f>
        <v>2685.4179219752696</v>
      </c>
      <c r="W193" s="175"/>
      <c r="X193" s="289">
        <f>SUM(X191-V191)</f>
        <v>937.47569716291764</v>
      </c>
      <c r="Y193" s="175"/>
      <c r="Z193" s="289">
        <f>SUM(Z191-X191)</f>
        <v>5129.7862126100445</v>
      </c>
      <c r="AA193" s="289">
        <f>SUM(AA191-Z191)</f>
        <v>5419.4647010510089</v>
      </c>
      <c r="AB193" s="289">
        <f>SUM(AB191-AA191)</f>
        <v>5314.8704451844387</v>
      </c>
      <c r="AC193" s="289">
        <f>SUM(AC191-AB191)</f>
        <v>6111.0653830469819</v>
      </c>
    </row>
    <row r="194" spans="1:29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S194" s="12"/>
      <c r="U194" s="12"/>
      <c r="W194" s="12"/>
      <c r="Y194" s="12"/>
    </row>
    <row r="195" spans="1:29" x14ac:dyDescent="0.3">
      <c r="L195" s="10">
        <f>(L191-I191)/I191</f>
        <v>0.10687939403512148</v>
      </c>
      <c r="N195" s="10">
        <f>(N191-L191)/L191</f>
        <v>5.6589076620461323E-2</v>
      </c>
      <c r="P195" s="10">
        <f>(P191-N191)/N191</f>
        <v>4.631807782636152E-2</v>
      </c>
      <c r="R195" s="10">
        <f>(R191-P191)/P191</f>
        <v>0.10353056429678457</v>
      </c>
      <c r="T195" s="10">
        <f>(T191-R191)/R191</f>
        <v>3.1445701776964791E-2</v>
      </c>
      <c r="U195" s="10"/>
      <c r="V195" s="10">
        <f>(V191-T191)/T191</f>
        <v>6.2075584832942038E-2</v>
      </c>
      <c r="W195" s="10"/>
      <c r="X195" s="10">
        <f>(X191-V191)/V191</f>
        <v>2.0403916124319639E-2</v>
      </c>
      <c r="Y195" s="10"/>
      <c r="Z195" s="10">
        <f>(Z191-X191)/X191</f>
        <v>0.10941595639492045</v>
      </c>
      <c r="AA195" s="10">
        <f>(AA191-Z191)/Z191</f>
        <v>0.10419416026056411</v>
      </c>
      <c r="AB195" s="10">
        <f>(AB191-AA191)/AA191</f>
        <v>9.2541007558868169E-2</v>
      </c>
      <c r="AC195" s="10">
        <f>(AC191-AB191)/AB191</f>
        <v>9.7391425934022377E-2</v>
      </c>
    </row>
    <row r="232" spans="20:22" x14ac:dyDescent="0.3">
      <c r="T232" s="354"/>
      <c r="V232" s="354"/>
    </row>
    <row r="233" spans="20:22" x14ac:dyDescent="0.3">
      <c r="T233" s="354"/>
      <c r="V233" s="354"/>
    </row>
    <row r="234" spans="20:22" x14ac:dyDescent="0.3">
      <c r="T234" s="354"/>
      <c r="V234" s="354"/>
    </row>
    <row r="236" spans="20:22" x14ac:dyDescent="0.3">
      <c r="T236" s="357"/>
      <c r="V236" s="357"/>
    </row>
  </sheetData>
  <pageMargins left="0.7" right="0.7" top="0.75" bottom="0.75" header="0.3" footer="0.3"/>
  <pageSetup paperSize="5" scale="60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36"/>
  <sheetViews>
    <sheetView zoomScale="85" zoomScaleNormal="85" workbookViewId="0">
      <pane xSplit="1" ySplit="9" topLeftCell="R70" activePane="bottomRight" state="frozen"/>
      <selection pane="topRight" activeCell="B1" sqref="B1"/>
      <selection pane="bottomLeft" activeCell="A10" sqref="A10"/>
      <selection pane="bottomRight" activeCell="V80" sqref="V80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8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customWidth="1" collapsed="1"/>
    <col min="19" max="19" width="7.6640625" style="2" customWidth="1"/>
    <col min="20" max="20" width="18.6640625" style="12" customWidth="1"/>
    <col min="21" max="21" width="7.6640625" style="2" customWidth="1"/>
    <col min="22" max="22" width="18.6640625" style="12" customWidth="1"/>
    <col min="23" max="23" width="7.6640625" style="2" customWidth="1"/>
    <col min="24" max="24" width="18.6640625" style="12" customWidth="1"/>
    <col min="25" max="25" width="7.6640625" style="2" customWidth="1"/>
    <col min="26" max="29" width="18.6640625" style="12" customWidth="1"/>
    <col min="30" max="16384" width="9.109375" style="12"/>
  </cols>
  <sheetData>
    <row r="1" spans="1:32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C1" s="298" t="s">
        <v>0</v>
      </c>
      <c r="AE1" s="300"/>
      <c r="AF1" s="12" t="s">
        <v>103</v>
      </c>
    </row>
    <row r="2" spans="1:32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/>
      <c r="W2" s="4"/>
      <c r="X2" s="299"/>
      <c r="Y2" s="4"/>
      <c r="Z2" s="299"/>
      <c r="AA2" s="299"/>
      <c r="AB2" s="299"/>
      <c r="AC2" s="299"/>
    </row>
    <row r="3" spans="1:32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187</v>
      </c>
      <c r="W3" s="36"/>
      <c r="X3" s="264" t="s">
        <v>187</v>
      </c>
      <c r="Y3" s="36"/>
      <c r="Z3" s="264" t="s">
        <v>187</v>
      </c>
      <c r="AA3" s="264" t="s">
        <v>187</v>
      </c>
      <c r="AB3" s="264" t="s">
        <v>187</v>
      </c>
      <c r="AC3" s="264" t="s">
        <v>187</v>
      </c>
    </row>
    <row r="4" spans="1:32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  <c r="AC4" s="16" t="s">
        <v>3</v>
      </c>
    </row>
    <row r="5" spans="1:32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9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C7" si="0">Z5+1</f>
        <v>2021</v>
      </c>
      <c r="AB5" s="307">
        <f t="shared" si="0"/>
        <v>2022</v>
      </c>
      <c r="AC5" s="307">
        <f t="shared" si="0"/>
        <v>2023</v>
      </c>
    </row>
    <row r="6" spans="1:32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42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  <c r="AC6" s="308">
        <f t="shared" si="0"/>
        <v>2024</v>
      </c>
    </row>
    <row r="7" spans="1:32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46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  <c r="AC7" s="309">
        <f t="shared" si="0"/>
        <v>2024</v>
      </c>
    </row>
    <row r="8" spans="1:32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5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  <c r="AC8" s="310" t="s">
        <v>176</v>
      </c>
    </row>
    <row r="9" spans="1:32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54"/>
      <c r="W9" s="55"/>
      <c r="X9" s="311"/>
      <c r="Y9" s="55"/>
      <c r="Z9" s="311"/>
      <c r="AA9" s="311"/>
      <c r="AB9" s="311"/>
      <c r="AC9" s="311"/>
    </row>
    <row r="10" spans="1:32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120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  <c r="AC10" s="301" t="s">
        <v>177</v>
      </c>
    </row>
    <row r="11" spans="1:32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42"/>
      <c r="W11" s="43"/>
      <c r="X11" s="308"/>
      <c r="Y11" s="43"/>
      <c r="Z11" s="308"/>
      <c r="AA11" s="308"/>
      <c r="AB11" s="308"/>
      <c r="AC11" s="308"/>
    </row>
    <row r="12" spans="1:32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68"/>
      <c r="W12" s="47"/>
      <c r="X12" s="312"/>
      <c r="Y12" s="47"/>
      <c r="Z12" s="312"/>
      <c r="AA12" s="312"/>
      <c r="AB12" s="312"/>
      <c r="AC12" s="312"/>
    </row>
    <row r="13" spans="1:32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70">
        <v>2400000</v>
      </c>
      <c r="W13" s="73"/>
      <c r="X13" s="313">
        <f>SUM(V13:V19)</f>
        <v>2400000</v>
      </c>
      <c r="Y13" s="73"/>
      <c r="Z13" s="313">
        <f t="shared" ref="Z13" si="1">SUM(X13:X19)</f>
        <v>2599107</v>
      </c>
      <c r="AA13" s="313">
        <f>SUM(Z13:Z19)</f>
        <v>2742444</v>
      </c>
      <c r="AB13" s="313">
        <f>SUM(AA13:AA19)</f>
        <v>2908863</v>
      </c>
      <c r="AC13" s="313">
        <f>SUM(AB13:AB19)</f>
        <v>3058265</v>
      </c>
    </row>
    <row r="14" spans="1:32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153"/>
      <c r="W14" s="73"/>
      <c r="X14" s="313"/>
      <c r="Y14" s="73"/>
      <c r="Z14" s="313"/>
      <c r="AA14" s="313"/>
      <c r="AB14" s="313"/>
      <c r="AC14" s="313"/>
    </row>
    <row r="15" spans="1:32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153"/>
      <c r="W15" s="73"/>
      <c r="X15" s="154">
        <v>349684</v>
      </c>
      <c r="Y15" s="73"/>
      <c r="Z15" s="154">
        <v>277611</v>
      </c>
      <c r="AA15" s="154">
        <v>299910</v>
      </c>
      <c r="AB15" s="154">
        <v>281172</v>
      </c>
      <c r="AC15" s="154">
        <v>328931</v>
      </c>
    </row>
    <row r="16" spans="1:32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153"/>
      <c r="W16" s="73"/>
      <c r="X16" s="154">
        <v>-29089</v>
      </c>
      <c r="Y16" s="73"/>
      <c r="Z16" s="154">
        <v>-14672</v>
      </c>
      <c r="AA16" s="154">
        <v>-13889</v>
      </c>
      <c r="AB16" s="154">
        <v>-12168</v>
      </c>
      <c r="AC16" s="154">
        <v>-5895</v>
      </c>
    </row>
    <row r="17" spans="1:29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153"/>
      <c r="W17" s="73"/>
      <c r="X17" s="154"/>
      <c r="Y17" s="73"/>
      <c r="Z17" s="154"/>
      <c r="AA17" s="154"/>
      <c r="AB17" s="154"/>
      <c r="AC17" s="154"/>
    </row>
    <row r="18" spans="1:29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153"/>
      <c r="W18" s="73"/>
      <c r="X18" s="154">
        <v>-8876</v>
      </c>
      <c r="Y18" s="73"/>
      <c r="Z18" s="154">
        <v>-6990</v>
      </c>
      <c r="AA18" s="154">
        <f t="shared" ref="AA18:AC19" si="2">Z18</f>
        <v>-6990</v>
      </c>
      <c r="AB18" s="154">
        <f t="shared" si="2"/>
        <v>-6990</v>
      </c>
      <c r="AC18" s="154">
        <v>-7760</v>
      </c>
    </row>
    <row r="19" spans="1:29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155"/>
      <c r="W19" s="84"/>
      <c r="X19" s="398">
        <f>-112612</f>
        <v>-112612</v>
      </c>
      <c r="Y19" s="84"/>
      <c r="Z19" s="398">
        <f>X19</f>
        <v>-112612</v>
      </c>
      <c r="AA19" s="398">
        <f t="shared" si="2"/>
        <v>-112612</v>
      </c>
      <c r="AB19" s="398">
        <f t="shared" si="2"/>
        <v>-112612</v>
      </c>
      <c r="AC19" s="398">
        <f t="shared" si="2"/>
        <v>-112612</v>
      </c>
    </row>
    <row r="20" spans="1:29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87">
        <v>0.96493331984800101</v>
      </c>
      <c r="W20" s="73"/>
      <c r="X20" s="314">
        <f>SUM(V20)</f>
        <v>0.96493331984800101</v>
      </c>
      <c r="Y20" s="73"/>
      <c r="Z20" s="314">
        <f>SUM(X20)</f>
        <v>0.96493331984800101</v>
      </c>
      <c r="AA20" s="314">
        <f t="shared" ref="AA20:AA21" si="3">SUM(Z20)</f>
        <v>0.96493331984800101</v>
      </c>
      <c r="AB20" s="314">
        <f>SUM(AA20)</f>
        <v>0.96493331984800101</v>
      </c>
      <c r="AC20" s="314">
        <f>SUM(AB20)</f>
        <v>0.96493331984800101</v>
      </c>
    </row>
    <row r="21" spans="1:29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91">
        <v>0.56470299999999995</v>
      </c>
      <c r="W21" s="84"/>
      <c r="X21" s="315">
        <f>SUM(V21)</f>
        <v>0.56470299999999995</v>
      </c>
      <c r="Y21" s="84"/>
      <c r="Z21" s="315">
        <f>SUM(X21)</f>
        <v>0.56470299999999995</v>
      </c>
      <c r="AA21" s="315">
        <f t="shared" si="3"/>
        <v>0.56470299999999995</v>
      </c>
      <c r="AB21" s="315">
        <f>SUM(AA21)</f>
        <v>0.56470299999999995</v>
      </c>
      <c r="AC21" s="315">
        <f>SUM(AB21)</f>
        <v>0.56470299999999995</v>
      </c>
    </row>
    <row r="22" spans="1:29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4">SUM(G13:G19)*G20*G21</f>
        <v>749495.24554680008</v>
      </c>
      <c r="I22" s="69">
        <f t="shared" si="4"/>
        <v>822232.32062400004</v>
      </c>
      <c r="J22" s="70"/>
      <c r="K22" s="71"/>
      <c r="L22" s="69">
        <f t="shared" ref="L22:N22" si="5">SUM(L13:L19)*L20*L21</f>
        <v>962461.34900000005</v>
      </c>
      <c r="M22" s="72"/>
      <c r="N22" s="69">
        <f t="shared" si="5"/>
        <v>1154211.1569999997</v>
      </c>
      <c r="O22" s="70"/>
      <c r="P22" s="70">
        <f t="shared" ref="P22" si="6">SUM(P13:P19)*P20*P21</f>
        <v>1162234.5759999999</v>
      </c>
      <c r="Q22" s="73"/>
      <c r="R22" s="70">
        <f t="shared" ref="R22" si="7">SUM(R13:R19)*R20*R21</f>
        <v>1207497.787</v>
      </c>
      <c r="S22" s="73"/>
      <c r="T22" s="70">
        <f>SUM(T13:T19)*T20*T21</f>
        <v>1238307.8730000001</v>
      </c>
      <c r="U22" s="73"/>
      <c r="V22" s="70">
        <f>SUM(V13:V19)*V20*V21</f>
        <v>1307761.7772435015</v>
      </c>
      <c r="W22" s="73"/>
      <c r="X22" s="313">
        <f>SUM(X13:X19)*X20*X21</f>
        <v>1416255.3289858443</v>
      </c>
      <c r="Y22" s="73"/>
      <c r="Z22" s="313">
        <f>SUM(Z13:Z19)*Z20*Z21</f>
        <v>1494359.7664294906</v>
      </c>
      <c r="AA22" s="313">
        <f>SUM(AA13:AA19)*AA20*AA21</f>
        <v>1585041.6027657764</v>
      </c>
      <c r="AB22" s="313">
        <f>SUM(AB13:AB19)*AB20*AB21</f>
        <v>1666450.8632006657</v>
      </c>
      <c r="AC22" s="313">
        <f>SUM(AC13:AC19)*AC20*AC21</f>
        <v>1776882.6268770311</v>
      </c>
    </row>
    <row r="23" spans="1:29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70">
        <v>489.39157803826998</v>
      </c>
      <c r="W23" s="73"/>
      <c r="X23" s="313"/>
      <c r="Y23" s="73"/>
      <c r="Z23" s="313"/>
      <c r="AA23" s="313"/>
      <c r="AB23" s="313"/>
      <c r="AC23" s="313"/>
    </row>
    <row r="24" spans="1:29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8">SUM(I22)</f>
        <v>822232.32062400004</v>
      </c>
      <c r="J24" s="70"/>
      <c r="K24" s="71"/>
      <c r="L24" s="69">
        <f t="shared" ref="L24" si="9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70">
        <f>SUM(V22:V23)</f>
        <v>1308251.1688215397</v>
      </c>
      <c r="W24" s="73"/>
      <c r="X24" s="313">
        <f t="shared" ref="X24:AA24" si="10">SUM(X22)</f>
        <v>1416255.3289858443</v>
      </c>
      <c r="Y24" s="73"/>
      <c r="Z24" s="313">
        <f t="shared" si="10"/>
        <v>1494359.7664294906</v>
      </c>
      <c r="AA24" s="313">
        <f t="shared" si="10"/>
        <v>1585041.6027657764</v>
      </c>
      <c r="AB24" s="313">
        <f>SUM(AB22)</f>
        <v>1666450.8632006657</v>
      </c>
      <c r="AC24" s="313">
        <f>SUM(AC22)</f>
        <v>1776882.6268770311</v>
      </c>
    </row>
    <row r="25" spans="1:29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70">
        <v>1064023.335</v>
      </c>
      <c r="Q25" s="73"/>
      <c r="R25" s="70">
        <v>1117051.1471780001</v>
      </c>
      <c r="S25" s="73"/>
      <c r="T25" s="70">
        <v>1153650.0430000001</v>
      </c>
      <c r="U25" s="73"/>
      <c r="V25" s="313"/>
      <c r="W25" s="73"/>
      <c r="X25" s="313"/>
      <c r="Y25" s="73"/>
      <c r="Z25" s="313"/>
      <c r="AA25" s="313"/>
      <c r="AB25" s="313"/>
      <c r="AC25" s="313"/>
    </row>
    <row r="26" spans="1:29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316">
        <f>SUM(T26)</f>
        <v>0.93137142914001647</v>
      </c>
      <c r="W26" s="81"/>
      <c r="X26" s="316">
        <f>SUM(V26)</f>
        <v>0.93137142914001647</v>
      </c>
      <c r="Y26" s="81"/>
      <c r="Z26" s="316">
        <f>SUM(X26)</f>
        <v>0.93137142914001647</v>
      </c>
      <c r="AA26" s="316">
        <f t="shared" ref="AA26" si="11">SUM(Z26)</f>
        <v>0.93137142914001647</v>
      </c>
      <c r="AB26" s="316">
        <f>SUM(AA26)</f>
        <v>0.93137142914001647</v>
      </c>
      <c r="AC26" s="316">
        <f>SUM(AB26)</f>
        <v>0.93137142914001647</v>
      </c>
    </row>
    <row r="27" spans="1:29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2">SUM(G24*G26)</f>
        <v>681556.79615745938</v>
      </c>
      <c r="I27" s="69">
        <f t="shared" si="12"/>
        <v>765508.78650503687</v>
      </c>
      <c r="J27" s="70"/>
      <c r="K27" s="71"/>
      <c r="L27" s="69">
        <f t="shared" ref="L27:AA27" si="13">SUM(L24*L26)</f>
        <v>898630</v>
      </c>
      <c r="M27" s="72"/>
      <c r="N27" s="69">
        <f t="shared" si="13"/>
        <v>1070854.5930000001</v>
      </c>
      <c r="O27" s="72"/>
      <c r="P27" s="70">
        <f>SUM(P24*P26)</f>
        <v>1064023.335</v>
      </c>
      <c r="R27" s="70">
        <f>SUM(R24*R26)</f>
        <v>1117051.1471780001</v>
      </c>
      <c r="T27" s="70">
        <f>SUM(T24*T26)</f>
        <v>1153650.0430000001</v>
      </c>
      <c r="U27" s="71"/>
      <c r="V27" s="313">
        <f>SUM(V24*V26)</f>
        <v>1218467.7607794143</v>
      </c>
      <c r="W27" s="71"/>
      <c r="X27" s="313">
        <f>SUM(X24*X26)</f>
        <v>1319059.7497847099</v>
      </c>
      <c r="Y27" s="71"/>
      <c r="Z27" s="313">
        <f t="shared" si="13"/>
        <v>1391803.991308776</v>
      </c>
      <c r="AA27" s="313">
        <f t="shared" si="13"/>
        <v>1476262.4628143434</v>
      </c>
      <c r="AB27" s="313">
        <f>SUM(AB24*AB26)</f>
        <v>1552084.7220508181</v>
      </c>
      <c r="AC27" s="313">
        <f>SUM(AC24*AC26)</f>
        <v>1654937.711608527</v>
      </c>
    </row>
    <row r="28" spans="1:29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313">
        <v>0</v>
      </c>
      <c r="W28" s="71"/>
      <c r="X28" s="313">
        <v>0</v>
      </c>
      <c r="Y28" s="71"/>
      <c r="Z28" s="313">
        <v>0</v>
      </c>
      <c r="AA28" s="313">
        <v>0</v>
      </c>
      <c r="AB28" s="313">
        <v>0</v>
      </c>
      <c r="AC28" s="313">
        <v>0</v>
      </c>
    </row>
    <row r="29" spans="1:29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4">SUM(G27:G28)</f>
        <v>681556.79615745938</v>
      </c>
      <c r="I29" s="99">
        <f t="shared" si="14"/>
        <v>765508.78650503687</v>
      </c>
      <c r="J29" s="100"/>
      <c r="K29" s="101"/>
      <c r="L29" s="99">
        <f t="shared" ref="L29:AA29" si="15">SUM(L27:L28)</f>
        <v>898630</v>
      </c>
      <c r="M29" s="102"/>
      <c r="N29" s="99">
        <f t="shared" si="15"/>
        <v>1070854.5930000001</v>
      </c>
      <c r="O29" s="102"/>
      <c r="P29" s="100">
        <f t="shared" si="15"/>
        <v>1064023.335</v>
      </c>
      <c r="Q29" s="101"/>
      <c r="R29" s="100">
        <f t="shared" ref="R29" si="16">SUM(R27:R28)</f>
        <v>1117051.1471780001</v>
      </c>
      <c r="S29" s="101"/>
      <c r="T29" s="100">
        <f>SUM(T27:T28)</f>
        <v>1153650.0430000001</v>
      </c>
      <c r="U29" s="101"/>
      <c r="V29" s="317">
        <f>SUM(V27:V28)</f>
        <v>1218467.7607794143</v>
      </c>
      <c r="W29" s="101"/>
      <c r="X29" s="317">
        <f t="shared" si="15"/>
        <v>1319059.7497847099</v>
      </c>
      <c r="Y29" s="101"/>
      <c r="Z29" s="317">
        <f t="shared" si="15"/>
        <v>1391803.991308776</v>
      </c>
      <c r="AA29" s="317">
        <f t="shared" si="15"/>
        <v>1476262.4628143434</v>
      </c>
      <c r="AB29" s="317">
        <f>SUM(AB27:AB28)</f>
        <v>1552084.7220508181</v>
      </c>
      <c r="AC29" s="317">
        <f>SUM(AC27:AC28)</f>
        <v>1654937.711608527</v>
      </c>
    </row>
    <row r="30" spans="1:29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305">
        <v>0.09</v>
      </c>
      <c r="V30" s="318">
        <f>SUM(T30*(1+U30))</f>
        <v>1.2153347127470267E-2</v>
      </c>
      <c r="W30" s="305">
        <v>1.4999999999999999E-2</v>
      </c>
      <c r="X30" s="318">
        <f>SUM(V30*(1+W30))</f>
        <v>1.233564733438232E-2</v>
      </c>
      <c r="Y30" s="305">
        <v>0.02</v>
      </c>
      <c r="Z30" s="318">
        <f>SUM(X30*(1+Y30))</f>
        <v>1.2582360281069967E-2</v>
      </c>
      <c r="AA30" s="318">
        <f>SUM(Z30*(1+Y30))</f>
        <v>1.2834007486691366E-2</v>
      </c>
      <c r="AB30" s="318">
        <f>SUM(AA30*(1+Y30))</f>
        <v>1.3090687636425194E-2</v>
      </c>
      <c r="AC30" s="318">
        <f>SUM(AB30*(1+$Y$30))</f>
        <v>1.3352501389153698E-2</v>
      </c>
    </row>
    <row r="31" spans="1:29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319"/>
      <c r="W31" s="71"/>
      <c r="X31" s="319"/>
      <c r="Y31" s="71"/>
      <c r="Z31" s="319"/>
      <c r="AA31" s="319"/>
      <c r="AB31" s="319"/>
      <c r="AC31" s="319"/>
    </row>
    <row r="32" spans="1:29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7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P32" si="18">SUM(N29*N30)</f>
        <v>12999.765589175515</v>
      </c>
      <c r="O32" s="113"/>
      <c r="P32" s="141">
        <f t="shared" si="18"/>
        <v>12677.752</v>
      </c>
      <c r="Q32" s="114"/>
      <c r="R32" s="141">
        <f t="shared" ref="R32" si="19">SUM(R29*R30)</f>
        <v>14080.649957033333</v>
      </c>
      <c r="S32" s="114"/>
      <c r="T32" s="141">
        <f>SUM(T29*T30)</f>
        <v>12863.036179999999</v>
      </c>
      <c r="U32" s="114"/>
      <c r="V32" s="320">
        <f>SUM(V29*V30)</f>
        <v>14808.461660383624</v>
      </c>
      <c r="W32" s="370"/>
      <c r="X32" s="320">
        <f>SUM(X29*X30)</f>
        <v>16271.455886322767</v>
      </c>
      <c r="Y32" s="370"/>
      <c r="Z32" s="320">
        <f>SUM(Z29*Z30)</f>
        <v>17512.179259278193</v>
      </c>
      <c r="AA32" s="320">
        <f>SUM(AA29*AA30)</f>
        <v>18946.363500080715</v>
      </c>
      <c r="AB32" s="320">
        <f>SUM(AB29*AB30)</f>
        <v>20317.856281635079</v>
      </c>
      <c r="AC32" s="320">
        <f>SUM(AC29*AC30)</f>
        <v>22097.558093215699</v>
      </c>
    </row>
    <row r="33" spans="1:29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116"/>
      <c r="W33" s="117"/>
      <c r="X33" s="116"/>
      <c r="Y33" s="117"/>
      <c r="Z33" s="116"/>
      <c r="AA33" s="116"/>
      <c r="AB33" s="116"/>
      <c r="AC33" s="116"/>
    </row>
    <row r="34" spans="1:29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120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  <c r="AC34" s="301" t="str">
        <f>$AC$10</f>
        <v>2024 Estimate</v>
      </c>
    </row>
    <row r="35" spans="1:29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65"/>
      <c r="W35" s="64"/>
      <c r="X35" s="321"/>
      <c r="Y35" s="64"/>
      <c r="Z35" s="321"/>
      <c r="AA35" s="321"/>
      <c r="AB35" s="321"/>
      <c r="AC35" s="321"/>
    </row>
    <row r="36" spans="1:29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65"/>
      <c r="W36" s="64"/>
      <c r="X36" s="321"/>
      <c r="Y36" s="64"/>
      <c r="Z36" s="321"/>
      <c r="AA36" s="321"/>
      <c r="AB36" s="321"/>
      <c r="AC36" s="321"/>
    </row>
    <row r="37" spans="1:29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70">
        <v>2481598.6882600002</v>
      </c>
      <c r="W37" s="73"/>
      <c r="X37" s="313">
        <f>SUM(V37:V42)</f>
        <v>2481598.6882600002</v>
      </c>
      <c r="Y37" s="73"/>
      <c r="Z37" s="313">
        <f>SUM(X37:X42)</f>
        <v>2680705.6882600002</v>
      </c>
      <c r="AA37" s="313">
        <f>SUM(Z37:Z42)</f>
        <v>2824042.6882600002</v>
      </c>
      <c r="AB37" s="313">
        <f>SUM(AA37:AA42)</f>
        <v>2990461.6882600002</v>
      </c>
      <c r="AC37" s="313">
        <f>SUM(AB37:AB42)</f>
        <v>3139863.6882600002</v>
      </c>
    </row>
    <row r="38" spans="1:29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124"/>
      <c r="W38" s="73"/>
      <c r="X38" s="322"/>
      <c r="Y38" s="73"/>
      <c r="Z38" s="322"/>
      <c r="AA38" s="322"/>
      <c r="AB38" s="322"/>
      <c r="AC38" s="322"/>
    </row>
    <row r="39" spans="1:29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153"/>
      <c r="W39" s="73"/>
      <c r="X39" s="344">
        <f>SUM(X15)</f>
        <v>349684</v>
      </c>
      <c r="Y39" s="73"/>
      <c r="Z39" s="344">
        <f t="shared" ref="X39:AA40" si="20">SUM(Z15)</f>
        <v>277611</v>
      </c>
      <c r="AA39" s="344">
        <f t="shared" si="20"/>
        <v>299910</v>
      </c>
      <c r="AB39" s="344">
        <f>SUM(AB15)</f>
        <v>281172</v>
      </c>
      <c r="AC39" s="344">
        <f>SUM(AC15)</f>
        <v>328931</v>
      </c>
    </row>
    <row r="40" spans="1:29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126"/>
      <c r="W40" s="73"/>
      <c r="X40" s="344">
        <f t="shared" si="20"/>
        <v>-29089</v>
      </c>
      <c r="Y40" s="73"/>
      <c r="Z40" s="344">
        <f t="shared" si="20"/>
        <v>-14672</v>
      </c>
      <c r="AA40" s="344">
        <f t="shared" si="20"/>
        <v>-13889</v>
      </c>
      <c r="AB40" s="344">
        <f>SUM(AB16)</f>
        <v>-12168</v>
      </c>
      <c r="AC40" s="344">
        <f>SUM(AC16)</f>
        <v>-5895</v>
      </c>
    </row>
    <row r="41" spans="1:29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126"/>
      <c r="W41" s="73"/>
      <c r="X41" s="344">
        <f t="shared" ref="X41:AA42" si="21">SUM(X18)</f>
        <v>-8876</v>
      </c>
      <c r="Y41" s="73"/>
      <c r="Z41" s="344">
        <f t="shared" si="21"/>
        <v>-6990</v>
      </c>
      <c r="AA41" s="344">
        <f t="shared" si="21"/>
        <v>-6990</v>
      </c>
      <c r="AB41" s="344">
        <f>SUM(AB18)</f>
        <v>-6990</v>
      </c>
      <c r="AC41" s="344">
        <f>SUM(AC18)</f>
        <v>-7760</v>
      </c>
    </row>
    <row r="42" spans="1:29" x14ac:dyDescent="0.3">
      <c r="A42" s="56" t="s">
        <v>52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126"/>
      <c r="W42" s="73"/>
      <c r="X42" s="344">
        <f t="shared" si="21"/>
        <v>-112612</v>
      </c>
      <c r="Y42" s="73"/>
      <c r="Z42" s="344">
        <f t="shared" si="21"/>
        <v>-112612</v>
      </c>
      <c r="AA42" s="344">
        <f t="shared" si="21"/>
        <v>-112612</v>
      </c>
      <c r="AB42" s="344">
        <f>SUM(AB19)</f>
        <v>-112612</v>
      </c>
      <c r="AC42" s="344">
        <f>SUM(AC19)</f>
        <v>-112612</v>
      </c>
    </row>
    <row r="43" spans="1:29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83"/>
      <c r="W43" s="84"/>
      <c r="X43" s="323"/>
      <c r="Y43" s="84"/>
      <c r="Z43" s="323"/>
      <c r="AA43" s="323"/>
      <c r="AB43" s="323"/>
      <c r="AC43" s="323"/>
    </row>
    <row r="44" spans="1:29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87">
        <v>1</v>
      </c>
      <c r="W44" s="73"/>
      <c r="X44" s="314">
        <v>1</v>
      </c>
      <c r="Y44" s="73"/>
      <c r="Z44" s="314">
        <v>1</v>
      </c>
      <c r="AA44" s="314">
        <v>1</v>
      </c>
      <c r="AB44" s="314">
        <v>1</v>
      </c>
      <c r="AC44" s="314">
        <v>1</v>
      </c>
    </row>
    <row r="45" spans="1:29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91">
        <f>619029054/2481598688.26</f>
        <v>0.24944768746393839</v>
      </c>
      <c r="W45" s="84"/>
      <c r="X45" s="315">
        <f>SUM(V45)</f>
        <v>0.24944768746393839</v>
      </c>
      <c r="Y45" s="84"/>
      <c r="Z45" s="315">
        <f>SUM(X45)</f>
        <v>0.24944768746393839</v>
      </c>
      <c r="AA45" s="315">
        <f t="shared" ref="AA45" si="22">SUM(Z45)</f>
        <v>0.24944768746393839</v>
      </c>
      <c r="AB45" s="315">
        <f>SUM(AA45)</f>
        <v>0.24944768746393839</v>
      </c>
      <c r="AC45" s="315">
        <f>SUM(AB45)</f>
        <v>0.24944768746393839</v>
      </c>
    </row>
    <row r="46" spans="1:29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70">
        <f>SUM(V37:V43)*V44*V45</f>
        <v>619029.054</v>
      </c>
      <c r="W46" s="73"/>
      <c r="X46" s="313">
        <f>SUM(X37:X43)*X44*X45</f>
        <v>668695.83470788237</v>
      </c>
      <c r="Y46" s="73"/>
      <c r="Z46" s="313">
        <f>SUM(Z37:Z43)*Z44*Z45</f>
        <v>704450.91788590094</v>
      </c>
      <c r="AA46" s="313">
        <f>SUM(AA37:AA43)*AA44*AA45</f>
        <v>745963.75258596207</v>
      </c>
      <c r="AB46" s="313">
        <f>SUM(AB37:AB43)*AB44*AB45</f>
        <v>783231.73598844942</v>
      </c>
      <c r="AC46" s="313">
        <f>SUM(AC37:AC43)*AC44*AC45</f>
        <v>833785.80212064099</v>
      </c>
    </row>
    <row r="47" spans="1:29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83">
        <f>589749.943-V46</f>
        <v>-29279.111000000034</v>
      </c>
      <c r="W47" s="84"/>
      <c r="X47" s="323">
        <f>SUM(V47)</f>
        <v>-29279.111000000034</v>
      </c>
      <c r="Y47" s="84"/>
      <c r="Z47" s="323">
        <f>SUM(X47)</f>
        <v>-29279.111000000034</v>
      </c>
      <c r="AA47" s="323">
        <f t="shared" ref="AA47" si="23">SUM(Z47)</f>
        <v>-29279.111000000034</v>
      </c>
      <c r="AB47" s="323">
        <f>SUM(AA47)</f>
        <v>-29279.111000000034</v>
      </c>
      <c r="AC47" s="323">
        <f>SUM(AB47)</f>
        <v>-29279.111000000034</v>
      </c>
    </row>
    <row r="48" spans="1:29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4">SUM(L46:L47)</f>
        <v>469394.93499999994</v>
      </c>
      <c r="M48" s="72"/>
      <c r="N48" s="69">
        <f t="shared" si="24"/>
        <v>504910.23699999996</v>
      </c>
      <c r="O48" s="70"/>
      <c r="P48" s="70">
        <f t="shared" si="24"/>
        <v>504754.00099999999</v>
      </c>
      <c r="Q48" s="73"/>
      <c r="R48" s="70">
        <f>SUM(R46:R47)</f>
        <v>549171.69446199993</v>
      </c>
      <c r="S48" s="73"/>
      <c r="T48" s="70">
        <f t="shared" si="24"/>
        <v>573846.04099999997</v>
      </c>
      <c r="U48" s="73"/>
      <c r="V48" s="70">
        <f>SUM(V46:V47)</f>
        <v>589749.94299999997</v>
      </c>
      <c r="W48" s="73"/>
      <c r="X48" s="313">
        <f t="shared" si="24"/>
        <v>639416.72370788234</v>
      </c>
      <c r="Y48" s="73"/>
      <c r="Z48" s="313">
        <f>SUM(Z46:Z47)</f>
        <v>675171.80688590091</v>
      </c>
      <c r="AA48" s="313">
        <f t="shared" si="24"/>
        <v>716684.64158596203</v>
      </c>
      <c r="AB48" s="313">
        <f>SUM(AB46:AB47)</f>
        <v>753952.62498844939</v>
      </c>
      <c r="AC48" s="313">
        <f>SUM(AC46:AC47)</f>
        <v>804506.69112064096</v>
      </c>
    </row>
    <row r="49" spans="1:29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134">
        <v>1</v>
      </c>
      <c r="W49" s="84"/>
      <c r="X49" s="324">
        <v>1</v>
      </c>
      <c r="Y49" s="84"/>
      <c r="Z49" s="324">
        <v>1</v>
      </c>
      <c r="AA49" s="324">
        <v>1</v>
      </c>
      <c r="AB49" s="324">
        <v>1</v>
      </c>
      <c r="AC49" s="324">
        <v>1</v>
      </c>
    </row>
    <row r="50" spans="1:29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5">SUM(G48*G49)</f>
        <v>426852.43202319462</v>
      </c>
      <c r="I50" s="69">
        <f t="shared" si="25"/>
        <v>468663.26434402453</v>
      </c>
      <c r="J50" s="70"/>
      <c r="K50" s="71"/>
      <c r="L50" s="69">
        <f t="shared" ref="L50:AA50" si="26">SUM(L48*L49)</f>
        <v>469394.93499999994</v>
      </c>
      <c r="M50" s="72"/>
      <c r="N50" s="69">
        <f t="shared" si="26"/>
        <v>504910.23699999996</v>
      </c>
      <c r="O50" s="70"/>
      <c r="P50" s="70">
        <f t="shared" si="26"/>
        <v>504754.00099999999</v>
      </c>
      <c r="Q50" s="73"/>
      <c r="R50" s="70">
        <f>SUM(R48*R49)</f>
        <v>549171.69446199993</v>
      </c>
      <c r="S50" s="73"/>
      <c r="T50" s="70">
        <f t="shared" si="26"/>
        <v>573846.04099999997</v>
      </c>
      <c r="U50" s="73"/>
      <c r="V50" s="70">
        <f>SUM(V48*V49)</f>
        <v>589749.94299999997</v>
      </c>
      <c r="W50" s="73"/>
      <c r="X50" s="313">
        <f t="shared" si="26"/>
        <v>639416.72370788234</v>
      </c>
      <c r="Y50" s="73"/>
      <c r="Z50" s="313">
        <f>SUM(Z48*Z49)</f>
        <v>675171.80688590091</v>
      </c>
      <c r="AA50" s="313">
        <f t="shared" si="26"/>
        <v>716684.64158596203</v>
      </c>
      <c r="AB50" s="313">
        <f>SUM(AB48*AB49)</f>
        <v>753952.62498844939</v>
      </c>
      <c r="AC50" s="313">
        <f>SUM(AC48*AC49)</f>
        <v>804506.69112064096</v>
      </c>
    </row>
    <row r="51" spans="1:29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305">
        <v>0.01</v>
      </c>
      <c r="V51" s="318">
        <f>SUM(T51*(1+U51))</f>
        <v>1.0914772876336704E-2</v>
      </c>
      <c r="W51" s="305">
        <f>$W$30</f>
        <v>1.4999999999999999E-2</v>
      </c>
      <c r="X51" s="318">
        <f>SUM(V51*(1+W51))</f>
        <v>1.1078494469481753E-2</v>
      </c>
      <c r="Y51" s="305">
        <f>$Y$30</f>
        <v>0.02</v>
      </c>
      <c r="Z51" s="318">
        <f>SUM(X51*(1+Y51))</f>
        <v>1.1300064358871388E-2</v>
      </c>
      <c r="AA51" s="318">
        <f>SUM(Z51*(1+Y51))</f>
        <v>1.1526065646048815E-2</v>
      </c>
      <c r="AB51" s="318">
        <f>SUM(AA51*(1+Y51))</f>
        <v>1.1756586958969792E-2</v>
      </c>
      <c r="AC51" s="318">
        <f>SUM(AB51*(1+$Y$51))</f>
        <v>1.1991718698149188E-2</v>
      </c>
    </row>
    <row r="52" spans="1:29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319"/>
      <c r="W52" s="71"/>
      <c r="X52" s="319"/>
      <c r="Y52" s="71"/>
      <c r="Z52" s="319"/>
      <c r="AA52" s="319"/>
      <c r="AB52" s="319"/>
      <c r="AC52" s="319"/>
    </row>
    <row r="53" spans="1:29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7">SUM(G50*G51)</f>
        <v>4690.254523070862</v>
      </c>
      <c r="I53" s="112">
        <f t="shared" si="27"/>
        <v>5359.0285675337436</v>
      </c>
      <c r="J53" s="141"/>
      <c r="K53" s="114"/>
      <c r="L53" s="112">
        <f t="shared" ref="L53:AA53" si="28">SUM(L50*L51)</f>
        <v>5440.7422465869995</v>
      </c>
      <c r="M53" s="113"/>
      <c r="N53" s="112">
        <f t="shared" si="28"/>
        <v>5717.717903841688</v>
      </c>
      <c r="O53" s="113"/>
      <c r="P53" s="141">
        <f t="shared" si="28"/>
        <v>5675.1669887565686</v>
      </c>
      <c r="Q53" s="114"/>
      <c r="R53" s="141">
        <f>SUM(R50*R51)</f>
        <v>6132.3038800000004</v>
      </c>
      <c r="S53" s="114"/>
      <c r="T53" s="141">
        <f>SUM(T50*T51)</f>
        <v>6201.3853499999996</v>
      </c>
      <c r="U53" s="114"/>
      <c r="V53" s="320">
        <f>SUM(V50*V51)</f>
        <v>6436.9866816775175</v>
      </c>
      <c r="W53" s="370"/>
      <c r="X53" s="320">
        <f>SUM(X50*X51)</f>
        <v>7083.7746372919164</v>
      </c>
      <c r="Y53" s="370"/>
      <c r="Z53" s="320">
        <f t="shared" si="28"/>
        <v>7629.4848711061641</v>
      </c>
      <c r="AA53" s="320">
        <f t="shared" si="28"/>
        <v>8260.554226434766</v>
      </c>
      <c r="AB53" s="320">
        <f>SUM(AB50*AB51)</f>
        <v>8863.9095986202465</v>
      </c>
      <c r="AC53" s="320">
        <f>SUM(AC50*AC51)</f>
        <v>9647.4179306975238</v>
      </c>
    </row>
    <row r="54" spans="1:29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  <c r="AC54" s="144"/>
    </row>
    <row r="55" spans="1:29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120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  <c r="AC55" s="301" t="str">
        <f>$AC$10</f>
        <v>2024 Estimate</v>
      </c>
    </row>
    <row r="56" spans="1:29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4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  <c r="AC56" s="312" t="s">
        <v>57</v>
      </c>
    </row>
    <row r="57" spans="1:29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149">
        <v>4499000</v>
      </c>
      <c r="W57" s="152"/>
      <c r="X57" s="325">
        <f>+V57</f>
        <v>4499000</v>
      </c>
      <c r="Y57" s="152"/>
      <c r="Z57" s="325">
        <f>SUM(X57:X60)</f>
        <v>4781030</v>
      </c>
      <c r="AA57" s="325">
        <f>SUM(Z57:Z60)</f>
        <v>4989516</v>
      </c>
      <c r="AB57" s="325">
        <f>SUM(AA57:AA60)</f>
        <v>5223301</v>
      </c>
      <c r="AC57" s="325">
        <f>SUM(AB57:AB60)</f>
        <v>5439580</v>
      </c>
    </row>
    <row r="58" spans="1:29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70">
        <v>4049000</v>
      </c>
      <c r="W58" s="73"/>
      <c r="X58" s="313"/>
      <c r="Y58" s="73"/>
      <c r="Z58" s="313"/>
      <c r="AA58" s="313"/>
      <c r="AB58" s="313"/>
      <c r="AC58" s="313"/>
    </row>
    <row r="59" spans="1:29" x14ac:dyDescent="0.3">
      <c r="A59" s="369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70"/>
      <c r="W59" s="73"/>
      <c r="X59" s="313">
        <f>SUM(X15+X16+X17+X18+X118)</f>
        <v>428531</v>
      </c>
      <c r="Y59" s="399"/>
      <c r="Z59" s="313">
        <f>SUM(Z15+Z16+Z17+Z18+Z118)</f>
        <v>354987</v>
      </c>
      <c r="AA59" s="313">
        <f>SUM(AA15+AA16+AA17+AA18+AA118)</f>
        <v>380286</v>
      </c>
      <c r="AB59" s="313">
        <f>SUM(AB15+AB16+AB17+AB18+AB118)</f>
        <v>362780</v>
      </c>
      <c r="AC59" s="313">
        <f>SUM(AC15+AC16+AC17+AC18+AC118)</f>
        <v>410575</v>
      </c>
    </row>
    <row r="60" spans="1:29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70"/>
      <c r="W60" s="73"/>
      <c r="X60" s="313">
        <f>SUM(X19+X119)</f>
        <v>-146501</v>
      </c>
      <c r="Y60" s="73"/>
      <c r="Z60" s="313">
        <f>SUM(Z19+Z119)</f>
        <v>-146501</v>
      </c>
      <c r="AA60" s="313">
        <f>SUM(AA19+AA119)</f>
        <v>-146501</v>
      </c>
      <c r="AB60" s="313">
        <f>SUM(AB19+AB119)</f>
        <v>-146501</v>
      </c>
      <c r="AC60" s="313">
        <f>SUM(AC19+AC119)</f>
        <v>-146501</v>
      </c>
    </row>
    <row r="61" spans="1:29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83"/>
      <c r="U61" s="84"/>
      <c r="V61" s="83"/>
      <c r="W61" s="84"/>
      <c r="X61" s="323">
        <f>SUM(X57:X60)*0.1*-1</f>
        <v>-478103</v>
      </c>
      <c r="Y61" s="84"/>
      <c r="Z61" s="323">
        <f>SUM(Z57:Z60)*0.1*-1</f>
        <v>-498951.60000000003</v>
      </c>
      <c r="AA61" s="323">
        <f>SUM(AA57:AA60)*0.1*-1</f>
        <v>-522330.10000000003</v>
      </c>
      <c r="AB61" s="323">
        <f>SUM(AB57:AB60)*0.1*-1</f>
        <v>-543958</v>
      </c>
      <c r="AC61" s="323">
        <f>SUM(AC57:AC60)*0.1*-1</f>
        <v>-570365.4</v>
      </c>
    </row>
    <row r="62" spans="1:29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70">
        <f>SUM(V58:V61)</f>
        <v>4049000</v>
      </c>
      <c r="W62" s="73"/>
      <c r="X62" s="313">
        <f>SUM(X57:X61)</f>
        <v>4302927</v>
      </c>
      <c r="Y62" s="73"/>
      <c r="Z62" s="313">
        <f>SUM(Z57:Z61)</f>
        <v>4490564.4000000004</v>
      </c>
      <c r="AA62" s="313">
        <f>SUM(AA57:AA61)</f>
        <v>4700970.9000000004</v>
      </c>
      <c r="AB62" s="313">
        <f>SUM(AB57:AB61)</f>
        <v>4895622</v>
      </c>
      <c r="AC62" s="313">
        <f>SUM(AC57:AC61)</f>
        <v>5133288.5999999996</v>
      </c>
    </row>
    <row r="63" spans="1:29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87">
        <v>1</v>
      </c>
      <c r="W63" s="73"/>
      <c r="X63" s="314">
        <v>1</v>
      </c>
      <c r="Y63" s="73"/>
      <c r="Z63" s="314">
        <v>1</v>
      </c>
      <c r="AA63" s="314">
        <v>1</v>
      </c>
      <c r="AB63" s="314">
        <v>1</v>
      </c>
      <c r="AC63" s="314">
        <v>1</v>
      </c>
    </row>
    <row r="64" spans="1:29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91">
        <f>489758686/4049000000</f>
        <v>0.12095793677451222</v>
      </c>
      <c r="W64" s="84"/>
      <c r="X64" s="315">
        <f>SUM(V64)</f>
        <v>0.12095793677451222</v>
      </c>
      <c r="Y64" s="84"/>
      <c r="Z64" s="315">
        <f t="shared" ref="Z64" si="29">SUM(X64)</f>
        <v>0.12095793677451222</v>
      </c>
      <c r="AA64" s="315">
        <f>SUM(Z64)</f>
        <v>0.12095793677451222</v>
      </c>
      <c r="AB64" s="315">
        <f>SUM(AA64)</f>
        <v>0.12095793677451222</v>
      </c>
      <c r="AC64" s="315">
        <f>SUM(AB64)</f>
        <v>0.12095793677451222</v>
      </c>
    </row>
    <row r="65" spans="1:29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30">SUM(G62*G64)</f>
        <v>350240.37700000004</v>
      </c>
      <c r="I65" s="69">
        <f t="shared" si="30"/>
        <v>370904.02</v>
      </c>
      <c r="J65" s="70"/>
      <c r="K65" s="71"/>
      <c r="L65" s="69">
        <f t="shared" ref="L65:Z65" si="31">SUM(L62*L64)</f>
        <v>379502.29200000002</v>
      </c>
      <c r="M65" s="72"/>
      <c r="N65" s="69">
        <f t="shared" si="31"/>
        <v>345023.42800000001</v>
      </c>
      <c r="O65" s="70"/>
      <c r="P65" s="70">
        <f t="shared" si="31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70">
        <f>SUM(V62*V64)</f>
        <v>489758.68599999999</v>
      </c>
      <c r="W65" s="73"/>
      <c r="X65" s="313">
        <f>SUM(X62*X64)</f>
        <v>520473.17201134155</v>
      </c>
      <c r="Y65" s="73"/>
      <c r="Z65" s="313">
        <f t="shared" si="31"/>
        <v>543169.4047770754</v>
      </c>
      <c r="AA65" s="313">
        <f>SUM(AA62*AA64)</f>
        <v>568619.74090102187</v>
      </c>
      <c r="AB65" s="313">
        <f>SUM(AB62*AB64)</f>
        <v>592164.33634791104</v>
      </c>
      <c r="AC65" s="313">
        <f>SUM(AC62*AC64)</f>
        <v>620911.99792412436</v>
      </c>
    </row>
    <row r="66" spans="1:29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70">
        <f>488836.762-V65</f>
        <v>-921.92399999999907</v>
      </c>
      <c r="W66" s="73"/>
      <c r="X66" s="313">
        <v>0</v>
      </c>
      <c r="Y66" s="73"/>
      <c r="Z66" s="313">
        <v>0</v>
      </c>
      <c r="AA66" s="313">
        <v>0</v>
      </c>
      <c r="AB66" s="313">
        <v>0</v>
      </c>
      <c r="AC66" s="313">
        <v>0</v>
      </c>
    </row>
    <row r="67" spans="1:29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157">
        <v>1</v>
      </c>
      <c r="W67" s="73"/>
      <c r="X67" s="326">
        <v>1</v>
      </c>
      <c r="Y67" s="73"/>
      <c r="Z67" s="326">
        <v>1</v>
      </c>
      <c r="AA67" s="326">
        <v>1</v>
      </c>
      <c r="AB67" s="326">
        <v>1</v>
      </c>
      <c r="AC67" s="326">
        <v>1</v>
      </c>
    </row>
    <row r="68" spans="1:29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32">SUM(G65:G66)*G67</f>
        <v>349938.54100000003</v>
      </c>
      <c r="I68" s="69">
        <f t="shared" si="32"/>
        <v>370623.68800000002</v>
      </c>
      <c r="J68" s="70"/>
      <c r="K68" s="71"/>
      <c r="L68" s="69">
        <f t="shared" ref="L68:N68" si="33">SUM(L65:L66)*L67</f>
        <v>379213.82400000002</v>
      </c>
      <c r="M68" s="72"/>
      <c r="N68" s="69">
        <f t="shared" si="33"/>
        <v>344746.50900000002</v>
      </c>
      <c r="O68" s="70"/>
      <c r="P68" s="70">
        <f t="shared" ref="P68:Z68" si="34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70">
        <f>SUM(V65:V66)*V67</f>
        <v>488836.76199999999</v>
      </c>
      <c r="W68" s="73"/>
      <c r="X68" s="313">
        <f>SUM(X65:X66)*X67</f>
        <v>520473.17201134155</v>
      </c>
      <c r="Y68" s="73"/>
      <c r="Z68" s="313">
        <f t="shared" si="34"/>
        <v>543169.4047770754</v>
      </c>
      <c r="AA68" s="313">
        <f>SUM(AA65:AA66)*AA67</f>
        <v>568619.74090102187</v>
      </c>
      <c r="AB68" s="313">
        <f>SUM(AB65:AB66)*AB67</f>
        <v>592164.33634791104</v>
      </c>
      <c r="AC68" s="313">
        <f>SUM(AC65:AC66)*AC67</f>
        <v>620911.99792412436</v>
      </c>
    </row>
    <row r="69" spans="1:29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327">
        <f>SUM(T69)</f>
        <v>6.4889987516961456E-2</v>
      </c>
      <c r="W69" s="164"/>
      <c r="X69" s="327">
        <f>SUM(V69)</f>
        <v>6.4889987516961456E-2</v>
      </c>
      <c r="Y69" s="164"/>
      <c r="Z69" s="327">
        <f t="shared" ref="Z69" si="35">SUM(X69)</f>
        <v>6.4889987516961456E-2</v>
      </c>
      <c r="AA69" s="327">
        <f>SUM(Z69)</f>
        <v>6.4889987516961456E-2</v>
      </c>
      <c r="AB69" s="327">
        <f>SUM(AA69)</f>
        <v>6.4889987516961456E-2</v>
      </c>
      <c r="AC69" s="327">
        <f>SUM(AB69)</f>
        <v>6.4889987516961456E-2</v>
      </c>
    </row>
    <row r="70" spans="1:29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6">SUM(G68*G69)</f>
        <v>22904.265934547748</v>
      </c>
      <c r="I70" s="69">
        <f t="shared" si="36"/>
        <v>24673.979228846489</v>
      </c>
      <c r="J70" s="153"/>
      <c r="K70" s="71"/>
      <c r="L70" s="69">
        <f t="shared" ref="L70:X70" si="37">SUM(L68*L69)</f>
        <v>24737.454518899576</v>
      </c>
      <c r="M70" s="72"/>
      <c r="N70" s="69">
        <f t="shared" si="37"/>
        <v>22376.198131038327</v>
      </c>
      <c r="O70" s="165"/>
      <c r="P70" s="131">
        <f t="shared" si="37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313">
        <f>SUM(V68*V69)</f>
        <v>31720.611384011856</v>
      </c>
      <c r="W70" s="166"/>
      <c r="X70" s="313">
        <f t="shared" si="37"/>
        <v>33773.497634729283</v>
      </c>
      <c r="Y70" s="166"/>
      <c r="Z70" s="313">
        <f>SUM(Z68*Z69)</f>
        <v>35246.255895579809</v>
      </c>
      <c r="AA70" s="313">
        <f>SUM(AA68*AA69)</f>
        <v>36897.727888965164</v>
      </c>
      <c r="AB70" s="313">
        <f>SUM(AB68*AB69)</f>
        <v>38425.536393605711</v>
      </c>
      <c r="AC70" s="313">
        <f>SUM(AC68*AC69)</f>
        <v>40290.971794428027</v>
      </c>
    </row>
    <row r="71" spans="1:29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313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  <c r="AC71" s="313">
        <v>0</v>
      </c>
    </row>
    <row r="72" spans="1:29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8">SUM(G70:G71)</f>
        <v>22904.265934547748</v>
      </c>
      <c r="I72" s="99">
        <f t="shared" si="38"/>
        <v>24673.979228846489</v>
      </c>
      <c r="J72" s="167"/>
      <c r="K72" s="101"/>
      <c r="L72" s="99">
        <f t="shared" ref="L72:Z72" si="39">SUM(L70:L71)</f>
        <v>24737.454518899576</v>
      </c>
      <c r="M72" s="102"/>
      <c r="N72" s="99">
        <f t="shared" si="39"/>
        <v>22376.198131038327</v>
      </c>
      <c r="O72" s="102"/>
      <c r="P72" s="100">
        <f t="shared" si="39"/>
        <v>27999.644464958154</v>
      </c>
      <c r="Q72" s="101"/>
      <c r="R72" s="100">
        <f t="shared" ref="R72" si="40">SUM(R70:R71)</f>
        <v>29277.027320712124</v>
      </c>
      <c r="S72" s="101"/>
      <c r="T72" s="100">
        <f>SUM(T70:T71)</f>
        <v>30670.574000000001</v>
      </c>
      <c r="U72" s="101"/>
      <c r="V72" s="317">
        <f>SUM(V70:V71)</f>
        <v>31720.611384011856</v>
      </c>
      <c r="W72" s="101"/>
      <c r="X72" s="317">
        <f t="shared" si="39"/>
        <v>33773.497634729283</v>
      </c>
      <c r="Y72" s="101"/>
      <c r="Z72" s="317">
        <f t="shared" si="39"/>
        <v>35246.255895579809</v>
      </c>
      <c r="AA72" s="317">
        <f>SUM(AA70:AA71)</f>
        <v>36897.727888965164</v>
      </c>
      <c r="AB72" s="317">
        <f>SUM(AB70:AB71)</f>
        <v>38425.536393605711</v>
      </c>
      <c r="AC72" s="317">
        <f>SUM(AC70:AC71)</f>
        <v>40290.971794428027</v>
      </c>
    </row>
    <row r="73" spans="1:29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305">
        <v>0.01</v>
      </c>
      <c r="V73" s="318">
        <f>SUM(T73*(1+U73))</f>
        <v>0.36775333601516552</v>
      </c>
      <c r="W73" s="305">
        <f>$W$30</f>
        <v>1.4999999999999999E-2</v>
      </c>
      <c r="X73" s="318">
        <f>SUM(V73*(1+W73))</f>
        <v>0.37326963605539298</v>
      </c>
      <c r="Y73" s="305">
        <f>$Y$30</f>
        <v>0.02</v>
      </c>
      <c r="Z73" s="318">
        <f>SUM(X73*(1+Y73))</f>
        <v>0.38073502877650084</v>
      </c>
      <c r="AA73" s="318">
        <f>SUM(Z73*(1+Y73))</f>
        <v>0.38834972935203088</v>
      </c>
      <c r="AB73" s="318">
        <f>SUM(AA73*(1+Y73))</f>
        <v>0.39611672393907149</v>
      </c>
      <c r="AC73" s="318">
        <f>SUM(AB73*(1+$Y$73))</f>
        <v>0.40403905841785293</v>
      </c>
    </row>
    <row r="74" spans="1:29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319"/>
      <c r="W74" s="71"/>
      <c r="X74" s="319"/>
      <c r="Y74" s="71"/>
      <c r="Z74" s="319"/>
      <c r="AA74" s="319"/>
      <c r="AB74" s="319"/>
      <c r="AC74" s="319"/>
    </row>
    <row r="75" spans="1:29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41">SUM(G72*G73)</f>
        <v>7219.74299186594</v>
      </c>
      <c r="I75" s="112">
        <f t="shared" si="41"/>
        <v>8163.043288322272</v>
      </c>
      <c r="J75" s="141"/>
      <c r="K75" s="114"/>
      <c r="L75" s="112">
        <f t="shared" ref="L75:N75" si="42">SUM(L72*L73)</f>
        <v>8456.9513856009962</v>
      </c>
      <c r="M75" s="113"/>
      <c r="N75" s="112">
        <f t="shared" si="42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141">
        <f>SUM(T72*T73)</f>
        <v>11167.5306</v>
      </c>
      <c r="U75" s="114"/>
      <c r="V75" s="320">
        <f>SUM(V72*V73)</f>
        <v>11665.360656910996</v>
      </c>
      <c r="W75" s="370"/>
      <c r="X75" s="392">
        <f>SUM(X72*X73)</f>
        <v>12606.621170433074</v>
      </c>
      <c r="Y75" s="370"/>
      <c r="Z75" s="320">
        <f>SUM(Z72*Z73)</f>
        <v>13419.484252667491</v>
      </c>
      <c r="AA75" s="320">
        <f>SUM(AA72*AA73)</f>
        <v>14329.222639384503</v>
      </c>
      <c r="AB75" s="320">
        <f>SUM(AB72*AB73)</f>
        <v>15220.997591836658</v>
      </c>
      <c r="AC75" s="320">
        <f>SUM(AC72*AC73)</f>
        <v>16279.126306560971</v>
      </c>
    </row>
    <row r="76" spans="1:29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  <c r="AC76" s="171"/>
    </row>
    <row r="77" spans="1:29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120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">
        <v>178</v>
      </c>
      <c r="AC77" s="301" t="s">
        <v>179</v>
      </c>
    </row>
    <row r="78" spans="1:29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65"/>
      <c r="W78" s="175"/>
      <c r="X78" s="321"/>
      <c r="Y78" s="175"/>
      <c r="Z78" s="321"/>
      <c r="AA78" s="321"/>
      <c r="AB78" s="321"/>
      <c r="AC78" s="321"/>
    </row>
    <row r="79" spans="1:29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46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  <c r="AC79" s="308" t="s">
        <v>75</v>
      </c>
    </row>
    <row r="80" spans="1:29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358">
        <f>SUM(T80)</f>
        <v>1432</v>
      </c>
      <c r="W80" s="73"/>
      <c r="X80" s="313">
        <f>SUM(V80)</f>
        <v>1432</v>
      </c>
      <c r="Y80" s="73"/>
      <c r="Z80" s="313">
        <f>SUM(X80)</f>
        <v>1432</v>
      </c>
      <c r="AA80" s="313">
        <f t="shared" ref="AA80" si="43">SUM(Z80)</f>
        <v>1432</v>
      </c>
      <c r="AB80" s="313">
        <f>SUM(AA80)</f>
        <v>1432</v>
      </c>
      <c r="AC80" s="313">
        <f>SUM(AB80)</f>
        <v>1432</v>
      </c>
    </row>
    <row r="81" spans="1:29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358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  <c r="AC81" s="313">
        <v>0</v>
      </c>
    </row>
    <row r="82" spans="1:29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358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  <c r="AC82" s="313">
        <f>SUM(AC74)</f>
        <v>0</v>
      </c>
    </row>
    <row r="83" spans="1:29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359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  <c r="AC83" s="314">
        <v>1</v>
      </c>
    </row>
    <row r="84" spans="1:29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360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  <c r="AC84" s="315">
        <v>1</v>
      </c>
    </row>
    <row r="85" spans="1:29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4">SUM((G80+G81+G82)*G83*G84)</f>
        <v>888.3152139</v>
      </c>
      <c r="I85" s="69">
        <f t="shared" si="44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5">SUM((P80+P81+P82)*P83*P84)</f>
        <v>1137.998</v>
      </c>
      <c r="Q85" s="73"/>
      <c r="R85" s="70">
        <f t="shared" ref="R85" si="46">SUM((R80+R81+R82)*R83*R84)</f>
        <v>1221</v>
      </c>
      <c r="S85" s="73"/>
      <c r="T85" s="70">
        <f t="shared" si="45"/>
        <v>1432</v>
      </c>
      <c r="U85" s="73"/>
      <c r="V85" s="358">
        <f>SUM((V80+V81+V82)*V83*V84)</f>
        <v>1432</v>
      </c>
      <c r="W85" s="73"/>
      <c r="X85" s="313">
        <f t="shared" si="45"/>
        <v>1432</v>
      </c>
      <c r="Y85" s="73"/>
      <c r="Z85" s="313">
        <f t="shared" si="45"/>
        <v>1432</v>
      </c>
      <c r="AA85" s="313">
        <f t="shared" si="45"/>
        <v>1432</v>
      </c>
      <c r="AB85" s="313">
        <f>SUM((AB80+AB81+AB82)*AB83*AB84)</f>
        <v>1432</v>
      </c>
      <c r="AC85" s="313">
        <f>SUM((AC80+AC81+AC82)*AC83*AC84)</f>
        <v>1432</v>
      </c>
    </row>
    <row r="86" spans="1:29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322"/>
      <c r="W86" s="73"/>
      <c r="X86" s="313"/>
      <c r="Y86" s="73"/>
      <c r="Z86" s="313"/>
      <c r="AA86" s="313"/>
      <c r="AB86" s="313"/>
      <c r="AC86" s="313"/>
    </row>
    <row r="87" spans="1:29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361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  <c r="AC87" s="326">
        <v>1</v>
      </c>
    </row>
    <row r="88" spans="1:29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7">SUM(G85:G86)*G87</f>
        <v>888.3152139</v>
      </c>
      <c r="I88" s="69">
        <f t="shared" si="47"/>
        <v>1002.3308361092717</v>
      </c>
      <c r="J88" s="70"/>
      <c r="K88" s="71"/>
      <c r="L88" s="69">
        <v>1190</v>
      </c>
      <c r="M88" s="72"/>
      <c r="N88" s="69">
        <f t="shared" ref="N88" si="48">SUM(N85:N86)*N87</f>
        <v>1131</v>
      </c>
      <c r="O88" s="70"/>
      <c r="P88" s="70">
        <f t="shared" ref="P88:AA88" si="49">SUM(P85:P86)*P87</f>
        <v>1137.998</v>
      </c>
      <c r="Q88" s="73"/>
      <c r="R88" s="70">
        <f t="shared" ref="R88" si="50">SUM(R85:R86)*R87</f>
        <v>1221</v>
      </c>
      <c r="S88" s="73"/>
      <c r="T88" s="70">
        <f t="shared" si="49"/>
        <v>1432</v>
      </c>
      <c r="U88" s="73"/>
      <c r="V88" s="358">
        <f t="shared" si="49"/>
        <v>1432</v>
      </c>
      <c r="W88" s="73"/>
      <c r="X88" s="313">
        <f t="shared" si="49"/>
        <v>1432</v>
      </c>
      <c r="Y88" s="73"/>
      <c r="Z88" s="313">
        <f t="shared" si="49"/>
        <v>1432</v>
      </c>
      <c r="AA88" s="313">
        <f t="shared" si="49"/>
        <v>1432</v>
      </c>
      <c r="AB88" s="313">
        <f>SUM(AB85:AB86)*AB87</f>
        <v>1432</v>
      </c>
      <c r="AC88" s="313">
        <f>SUM(AC85:AC86)*AC87</f>
        <v>1432</v>
      </c>
    </row>
    <row r="89" spans="1:29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362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  <c r="AC89" s="327">
        <v>1</v>
      </c>
    </row>
    <row r="90" spans="1:29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51">SUM(G88*G89)</f>
        <v>888.3152139</v>
      </c>
      <c r="I90" s="69">
        <f t="shared" si="51"/>
        <v>1002.3308361092717</v>
      </c>
      <c r="J90" s="70"/>
      <c r="K90" s="71"/>
      <c r="L90" s="69">
        <f t="shared" ref="L90:AA90" si="52">SUM(L88*L89)</f>
        <v>1190</v>
      </c>
      <c r="M90" s="72"/>
      <c r="N90" s="69">
        <f t="shared" si="52"/>
        <v>1131</v>
      </c>
      <c r="O90" s="70"/>
      <c r="P90" s="70">
        <f t="shared" si="52"/>
        <v>1137.998</v>
      </c>
      <c r="Q90" s="73"/>
      <c r="R90" s="70">
        <f t="shared" ref="R90" si="53">SUM(R88*R89)</f>
        <v>1221</v>
      </c>
      <c r="S90" s="73"/>
      <c r="T90" s="70">
        <f t="shared" si="52"/>
        <v>1432</v>
      </c>
      <c r="U90" s="73"/>
      <c r="V90" s="358">
        <f t="shared" si="52"/>
        <v>1432</v>
      </c>
      <c r="W90" s="73"/>
      <c r="X90" s="313">
        <f t="shared" si="52"/>
        <v>1432</v>
      </c>
      <c r="Y90" s="73"/>
      <c r="Z90" s="313">
        <f t="shared" si="52"/>
        <v>1432</v>
      </c>
      <c r="AA90" s="313">
        <f t="shared" si="52"/>
        <v>1432</v>
      </c>
      <c r="AB90" s="313">
        <f>SUM(AB88*AB89)</f>
        <v>1432</v>
      </c>
      <c r="AC90" s="313">
        <f>SUM(AC88*AC89)</f>
        <v>1432</v>
      </c>
    </row>
    <row r="91" spans="1:29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358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  <c r="AC91" s="313">
        <v>0</v>
      </c>
    </row>
    <row r="92" spans="1:29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4">SUM(G90:G91)</f>
        <v>888.3152139</v>
      </c>
      <c r="I92" s="99">
        <f t="shared" si="54"/>
        <v>1002.3308361092717</v>
      </c>
      <c r="J92" s="100"/>
      <c r="K92" s="101"/>
      <c r="L92" s="99">
        <f t="shared" ref="L92:AA92" si="55">SUM(L90:L91)</f>
        <v>1190</v>
      </c>
      <c r="M92" s="111"/>
      <c r="N92" s="99">
        <f t="shared" si="55"/>
        <v>1131</v>
      </c>
      <c r="O92" s="100"/>
      <c r="P92" s="100">
        <f t="shared" si="55"/>
        <v>1137.998</v>
      </c>
      <c r="Q92" s="177"/>
      <c r="R92" s="100">
        <f t="shared" ref="R92" si="56">SUM(R90:R91)</f>
        <v>1221</v>
      </c>
      <c r="S92" s="177"/>
      <c r="T92" s="100">
        <f t="shared" si="55"/>
        <v>1432</v>
      </c>
      <c r="U92" s="177"/>
      <c r="V92" s="363">
        <f t="shared" si="55"/>
        <v>1432</v>
      </c>
      <c r="W92" s="177"/>
      <c r="X92" s="317">
        <f t="shared" si="55"/>
        <v>1432</v>
      </c>
      <c r="Y92" s="177"/>
      <c r="Z92" s="317">
        <f t="shared" si="55"/>
        <v>1432</v>
      </c>
      <c r="AA92" s="317">
        <f t="shared" si="55"/>
        <v>1432</v>
      </c>
      <c r="AB92" s="317">
        <f>SUM(AB90:AB91)</f>
        <v>1432</v>
      </c>
      <c r="AC92" s="317">
        <f>SUM(AC90:AC91)</f>
        <v>1432</v>
      </c>
    </row>
    <row r="93" spans="1:29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305">
        <v>0.01</v>
      </c>
      <c r="V93" s="318">
        <f>SUM(T93*(1+U93))</f>
        <v>9.29019441340782E-3</v>
      </c>
      <c r="W93" s="305">
        <f>$W$30</f>
        <v>1.4999999999999999E-2</v>
      </c>
      <c r="X93" s="318">
        <f>SUM(V93*(1+W93))</f>
        <v>9.4295473296089356E-3</v>
      </c>
      <c r="Y93" s="305">
        <f>$Y$30</f>
        <v>0.02</v>
      </c>
      <c r="Z93" s="318">
        <f>SUM(X93*(1+Y93))</f>
        <v>9.6181382762011141E-3</v>
      </c>
      <c r="AA93" s="318">
        <f>SUM(Z93*(1+Y93))</f>
        <v>9.8105010417251365E-3</v>
      </c>
      <c r="AB93" s="318">
        <f>SUM(AA93*(1+Y93))</f>
        <v>1.0006711062559639E-2</v>
      </c>
      <c r="AC93" s="318">
        <f>SUM(AB93*(1+$Y$93))</f>
        <v>1.0206845283810833E-2</v>
      </c>
    </row>
    <row r="94" spans="1:29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319"/>
      <c r="W94" s="73"/>
      <c r="X94" s="319"/>
      <c r="Y94" s="73"/>
      <c r="Z94" s="319"/>
      <c r="AA94" s="319"/>
      <c r="AB94" s="319"/>
      <c r="AC94" s="319"/>
    </row>
    <row r="95" spans="1:29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7">SUM(G92*G93)</f>
        <v>8.2702146414089999</v>
      </c>
      <c r="I95" s="178">
        <f t="shared" si="57"/>
        <v>9.3172825078781703</v>
      </c>
      <c r="J95" s="179"/>
      <c r="K95" s="180"/>
      <c r="L95" s="178">
        <f t="shared" ref="L95:AA95" si="58">SUM(L92*L93)</f>
        <v>11.382350000000001</v>
      </c>
      <c r="M95" s="181"/>
      <c r="N95" s="182">
        <f t="shared" si="58"/>
        <v>10.468988399999999</v>
      </c>
      <c r="O95" s="183"/>
      <c r="P95" s="183">
        <f t="shared" si="58"/>
        <v>10.51116</v>
      </c>
      <c r="Q95" s="55"/>
      <c r="R95" s="183">
        <f t="shared" ref="R95" si="59">SUM(R92*R93)</f>
        <v>11.256590000000001</v>
      </c>
      <c r="S95" s="55"/>
      <c r="T95" s="183">
        <f>SUM(T92*T93)</f>
        <v>13.17184</v>
      </c>
      <c r="U95" s="55"/>
      <c r="V95" s="328">
        <f>SUM(V92*V93)</f>
        <v>13.303558399999998</v>
      </c>
      <c r="W95" s="371"/>
      <c r="X95" s="328">
        <f>SUM(X92*X93)</f>
        <v>13.503111775999995</v>
      </c>
      <c r="Y95" s="371"/>
      <c r="Z95" s="328">
        <f>SUM(Z92*Z93)</f>
        <v>13.773174011519995</v>
      </c>
      <c r="AA95" s="328">
        <f t="shared" si="58"/>
        <v>14.048637491750396</v>
      </c>
      <c r="AB95" s="328">
        <f>SUM(AB92*AB93)</f>
        <v>14.329610241585403</v>
      </c>
      <c r="AC95" s="328">
        <f>SUM(AC92*AC93)</f>
        <v>14.616202446417113</v>
      </c>
    </row>
    <row r="96" spans="1:29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  <c r="AC96" s="171"/>
    </row>
    <row r="97" spans="1:29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120" t="s">
        <v>74</v>
      </c>
      <c r="W97" s="174"/>
      <c r="X97" s="301" t="s">
        <v>136</v>
      </c>
      <c r="Y97" s="174"/>
      <c r="Z97" s="301" t="str">
        <f>Z77</f>
        <v>21/22 Estimate</v>
      </c>
      <c r="AA97" s="301" t="str">
        <f>AA77</f>
        <v>22/23 Estimate</v>
      </c>
      <c r="AB97" s="301" t="str">
        <f>AB77</f>
        <v>23/24 Estimate</v>
      </c>
      <c r="AC97" s="301" t="str">
        <f>AC77</f>
        <v>24/25 Estimate</v>
      </c>
    </row>
    <row r="98" spans="1:29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42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  <c r="AC98" s="308" t="s">
        <v>78</v>
      </c>
    </row>
    <row r="99" spans="1:29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42"/>
      <c r="W99" s="47"/>
      <c r="X99" s="308"/>
      <c r="Y99" s="47"/>
      <c r="Z99" s="308"/>
      <c r="AA99" s="308"/>
      <c r="AB99" s="308"/>
      <c r="AC99" s="308"/>
    </row>
    <row r="100" spans="1:29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46"/>
      <c r="W100" s="47"/>
      <c r="X100" s="308"/>
      <c r="Y100" s="47"/>
      <c r="Z100" s="308"/>
      <c r="AA100" s="308"/>
      <c r="AB100" s="308"/>
      <c r="AC100" s="308"/>
    </row>
    <row r="101" spans="1:29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197">
        <f>197600-V80</f>
        <v>196168</v>
      </c>
      <c r="W101" s="175"/>
      <c r="X101" s="329">
        <f>SUM(V101:V103)</f>
        <v>196168</v>
      </c>
      <c r="Y101" s="175"/>
      <c r="Z101" s="329">
        <f>SUM(X101:X103)</f>
        <v>196168</v>
      </c>
      <c r="AA101" s="329">
        <f t="shared" ref="AA101" si="60">SUM(Z101:Z103)</f>
        <v>196168</v>
      </c>
      <c r="AB101" s="329">
        <f>SUM(AA101:AA103)</f>
        <v>196168</v>
      </c>
      <c r="AC101" s="329">
        <f>SUM(AB101:AB103)</f>
        <v>196168</v>
      </c>
    </row>
    <row r="102" spans="1:29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70">
        <v>0</v>
      </c>
      <c r="W102" s="73"/>
      <c r="X102" s="313">
        <v>0</v>
      </c>
      <c r="Y102" s="73"/>
      <c r="Z102" s="313">
        <v>0</v>
      </c>
      <c r="AA102" s="313">
        <v>0</v>
      </c>
      <c r="AB102" s="313">
        <v>0</v>
      </c>
      <c r="AC102" s="313">
        <v>0</v>
      </c>
    </row>
    <row r="103" spans="1:29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70">
        <v>0</v>
      </c>
      <c r="W103" s="73"/>
      <c r="X103" s="313">
        <v>0</v>
      </c>
      <c r="Y103" s="73"/>
      <c r="Z103" s="313">
        <v>0</v>
      </c>
      <c r="AA103" s="313">
        <v>0</v>
      </c>
      <c r="AB103" s="313">
        <v>0</v>
      </c>
      <c r="AC103" s="313">
        <v>0</v>
      </c>
    </row>
    <row r="104" spans="1:29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204">
        <v>0</v>
      </c>
      <c r="W104" s="73"/>
      <c r="X104" s="330">
        <v>0</v>
      </c>
      <c r="Y104" s="73"/>
      <c r="Z104" s="330">
        <v>0</v>
      </c>
      <c r="AA104" s="330">
        <v>0</v>
      </c>
      <c r="AB104" s="330">
        <v>0</v>
      </c>
      <c r="AC104" s="330">
        <v>0</v>
      </c>
    </row>
    <row r="105" spans="1:29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208" t="s">
        <v>81</v>
      </c>
      <c r="W105" s="174"/>
      <c r="X105" s="331" t="s">
        <v>81</v>
      </c>
      <c r="Y105" s="174"/>
      <c r="Z105" s="331" t="s">
        <v>81</v>
      </c>
      <c r="AA105" s="331" t="s">
        <v>81</v>
      </c>
      <c r="AB105" s="331" t="s">
        <v>81</v>
      </c>
      <c r="AC105" s="331" t="s">
        <v>81</v>
      </c>
    </row>
    <row r="106" spans="1:29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212">
        <v>0</v>
      </c>
      <c r="W106" s="152"/>
      <c r="X106" s="332">
        <v>0</v>
      </c>
      <c r="Y106" s="152"/>
      <c r="Z106" s="332">
        <v>0</v>
      </c>
      <c r="AA106" s="332">
        <v>0</v>
      </c>
      <c r="AB106" s="332">
        <v>0</v>
      </c>
      <c r="AC106" s="332">
        <v>0</v>
      </c>
    </row>
    <row r="107" spans="1:29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216"/>
      <c r="W107" s="152"/>
      <c r="X107" s="333"/>
      <c r="Y107" s="152"/>
      <c r="Z107" s="333"/>
      <c r="AA107" s="333"/>
      <c r="AB107" s="333"/>
      <c r="AC107" s="333"/>
    </row>
    <row r="108" spans="1:29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305">
        <v>0.01</v>
      </c>
      <c r="V108" s="327">
        <f>SUM(T108*(1+U108))</f>
        <v>1.7356169227235908E-2</v>
      </c>
      <c r="W108" s="305">
        <f>$W$30</f>
        <v>1.4999999999999999E-2</v>
      </c>
      <c r="X108" s="318">
        <f>SUM(V108*(1+W108))</f>
        <v>1.7616511765644445E-2</v>
      </c>
      <c r="Y108" s="305">
        <f>$Y$30</f>
        <v>0.02</v>
      </c>
      <c r="Z108" s="318">
        <f>SUM(X108*(1+Y108))</f>
        <v>1.7968842000957334E-2</v>
      </c>
      <c r="AA108" s="318">
        <f>SUM(Z108*(1+Y108))</f>
        <v>1.832821884097648E-2</v>
      </c>
      <c r="AB108" s="318">
        <f>SUM(AA108*(1+Y108))</f>
        <v>1.869478321779601E-2</v>
      </c>
      <c r="AC108" s="318">
        <f>SUM(AB108*(1+$Y$108))</f>
        <v>1.906867888215193E-2</v>
      </c>
    </row>
    <row r="109" spans="1:29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334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  <c r="AC109" s="334">
        <v>1</v>
      </c>
    </row>
    <row r="110" spans="1:29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335"/>
      <c r="W110" s="55"/>
      <c r="X110" s="335"/>
      <c r="Y110" s="55"/>
      <c r="Z110" s="335"/>
      <c r="AA110" s="335"/>
      <c r="AB110" s="335"/>
      <c r="AC110" s="335"/>
    </row>
    <row r="111" spans="1:29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61">SUM(G101:G105)*G108*G109</f>
        <v>1918.901132</v>
      </c>
      <c r="I111" s="178">
        <f t="shared" si="61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62">SUM(N101:N105)*N108*N109</f>
        <v>2707.3523175999999</v>
      </c>
      <c r="O111" s="183"/>
      <c r="P111" s="179">
        <f t="shared" ref="P111" si="63">SUM(P101:P105)*P108*P109</f>
        <v>2514.9974500000003</v>
      </c>
      <c r="Q111" s="55"/>
      <c r="R111" s="179">
        <f t="shared" ref="R111" si="64">SUM(R101:R105)*R108*R109</f>
        <v>2956.1579400000001</v>
      </c>
      <c r="S111" s="55"/>
      <c r="T111" s="179">
        <f>SUM(T101:T105)*T108*T109</f>
        <v>3479.2761100000002</v>
      </c>
      <c r="U111" s="55"/>
      <c r="V111" s="336">
        <f>SUM(V101:V105)*V108*V109</f>
        <v>3404.7250049684135</v>
      </c>
      <c r="W111" s="372"/>
      <c r="X111" s="336">
        <f>SUM(X101:X105)*X108*X109</f>
        <v>3455.7958800429396</v>
      </c>
      <c r="Y111" s="372"/>
      <c r="Z111" s="336">
        <f t="shared" ref="Z111" si="65">SUM(Z101:Z105)*Z108*Z109</f>
        <v>3524.9117976437983</v>
      </c>
      <c r="AA111" s="336">
        <f>SUM(AA101:AA105)*AA108*AA109</f>
        <v>3595.4100335966741</v>
      </c>
      <c r="AB111" s="336">
        <f>SUM(AB101:AB105)*AB108*AB109</f>
        <v>3667.3182342686077</v>
      </c>
      <c r="AC111" s="336">
        <f>SUM(AC101:AC105)*AC108*AC109</f>
        <v>3740.6645989539797</v>
      </c>
    </row>
    <row r="112" spans="1:29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  <c r="AC112" s="171"/>
    </row>
    <row r="113" spans="1:29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144"/>
      <c r="Y113" s="145"/>
      <c r="Z113" s="144"/>
      <c r="AA113" s="144"/>
      <c r="AB113" s="144"/>
      <c r="AC113" s="144"/>
    </row>
    <row r="114" spans="1:29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120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  <c r="AC114" s="301" t="str">
        <f>$AB$10</f>
        <v>2023 Estimate</v>
      </c>
    </row>
    <row r="115" spans="1:29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65"/>
      <c r="W115" s="64"/>
      <c r="X115" s="321"/>
      <c r="Y115" s="64"/>
      <c r="Z115" s="321"/>
      <c r="AA115" s="321"/>
      <c r="AB115" s="321"/>
      <c r="AC115" s="321"/>
    </row>
    <row r="116" spans="1:29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63"/>
      <c r="W116" s="175"/>
      <c r="X116" s="321"/>
      <c r="Y116" s="175"/>
      <c r="Z116" s="321"/>
      <c r="AA116" s="321"/>
      <c r="AB116" s="321"/>
      <c r="AC116" s="321"/>
    </row>
    <row r="117" spans="1:29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70">
        <v>700000</v>
      </c>
      <c r="W117" s="73"/>
      <c r="X117" s="313">
        <f>SUM(V117:V119)</f>
        <v>700000</v>
      </c>
      <c r="Y117" s="73"/>
      <c r="Z117" s="313">
        <f>SUM(X117:X119)</f>
        <v>782923</v>
      </c>
      <c r="AA117" s="313">
        <f>SUM(Z117:Z119)</f>
        <v>848072</v>
      </c>
      <c r="AB117" s="313">
        <f>SUM(AA117:AA119)</f>
        <v>915438</v>
      </c>
      <c r="AC117" s="313">
        <f>SUM(AB117:AB119)</f>
        <v>982315</v>
      </c>
    </row>
    <row r="118" spans="1:29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70"/>
      <c r="W118" s="73"/>
      <c r="X118" s="154">
        <f>87897+28915</f>
        <v>116812</v>
      </c>
      <c r="Y118" s="73"/>
      <c r="Z118" s="154">
        <f>76246+22792</f>
        <v>99038</v>
      </c>
      <c r="AA118" s="154">
        <f>80158+21097</f>
        <v>101255</v>
      </c>
      <c r="AB118" s="154">
        <f>79036+21730</f>
        <v>100766</v>
      </c>
      <c r="AC118" s="154">
        <f>75072+20227</f>
        <v>95299</v>
      </c>
    </row>
    <row r="119" spans="1:29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70"/>
      <c r="W119" s="73"/>
      <c r="X119" s="154">
        <v>-33889</v>
      </c>
      <c r="Y119" s="73"/>
      <c r="Z119" s="154">
        <f>X119</f>
        <v>-33889</v>
      </c>
      <c r="AA119" s="154">
        <f>Z119</f>
        <v>-33889</v>
      </c>
      <c r="AB119" s="154">
        <f>AA119</f>
        <v>-33889</v>
      </c>
      <c r="AC119" s="154">
        <f>AB119</f>
        <v>-33889</v>
      </c>
    </row>
    <row r="120" spans="1:29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87">
        <v>0.91990911480638227</v>
      </c>
      <c r="W120" s="73"/>
      <c r="X120" s="314">
        <f>SUM(V120)</f>
        <v>0.91990911480638227</v>
      </c>
      <c r="Y120" s="73"/>
      <c r="Z120" s="314">
        <f t="shared" ref="Z120:Z121" si="66">SUM(X120)</f>
        <v>0.91990911480638227</v>
      </c>
      <c r="AA120" s="314">
        <f t="shared" ref="AA120:AC121" si="67">SUM(Z120)</f>
        <v>0.91990911480638227</v>
      </c>
      <c r="AB120" s="314">
        <f t="shared" si="67"/>
        <v>0.91990911480638227</v>
      </c>
      <c r="AC120" s="314">
        <f t="shared" si="67"/>
        <v>0.91990911480638227</v>
      </c>
    </row>
    <row r="121" spans="1:29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91">
        <v>0.50019043891570614</v>
      </c>
      <c r="W121" s="84"/>
      <c r="X121" s="315">
        <f>SUM(V121)</f>
        <v>0.50019043891570614</v>
      </c>
      <c r="Y121" s="84"/>
      <c r="Z121" s="315">
        <f t="shared" si="66"/>
        <v>0.50019043891570614</v>
      </c>
      <c r="AA121" s="315">
        <f t="shared" si="67"/>
        <v>0.50019043891570614</v>
      </c>
      <c r="AB121" s="315">
        <f t="shared" si="67"/>
        <v>0.50019043891570614</v>
      </c>
      <c r="AC121" s="315">
        <f t="shared" si="67"/>
        <v>0.50019043891570614</v>
      </c>
    </row>
    <row r="122" spans="1:29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8">SUM(G117+G118+G119)*G120*G121</f>
        <v>188890.26799999998</v>
      </c>
      <c r="I122" s="69">
        <f t="shared" si="68"/>
        <v>199575.79679677499</v>
      </c>
      <c r="J122" s="70"/>
      <c r="K122" s="71"/>
      <c r="L122" s="69">
        <f t="shared" ref="L122:N122" si="69">SUM(L117+L118+L119)*L120*L121</f>
        <v>234774.02500000002</v>
      </c>
      <c r="M122" s="72"/>
      <c r="N122" s="69">
        <f t="shared" si="69"/>
        <v>230552.66500000001</v>
      </c>
      <c r="O122" s="70"/>
      <c r="P122" s="70">
        <f t="shared" ref="P122:Z122" si="70">SUM(P117+P118+P119)*P120*P121</f>
        <v>229911.818</v>
      </c>
      <c r="Q122" s="73"/>
      <c r="R122" s="70">
        <f t="shared" ref="R122" si="71">SUM(R117+R118+R119)*R120*R121</f>
        <v>246152.10861059991</v>
      </c>
      <c r="S122" s="73"/>
      <c r="T122" s="70">
        <f>SUM(T117+T118+T119)*T120*T121</f>
        <v>306718.19200000004</v>
      </c>
      <c r="U122" s="73"/>
      <c r="V122" s="70">
        <f>SUM(V117+V118+V119)*V120*V121</f>
        <v>322090.82072829414</v>
      </c>
      <c r="W122" s="73"/>
      <c r="X122" s="313">
        <f>SUM(X117+X118+X119)*X120*X121</f>
        <v>360246.15948151174</v>
      </c>
      <c r="Y122" s="73"/>
      <c r="Z122" s="313">
        <f t="shared" si="70"/>
        <v>390223.15216669411</v>
      </c>
      <c r="AA122" s="313">
        <f>SUM(AA117+AA118+AA119)*AA120*AA121</f>
        <v>421220.25249409734</v>
      </c>
      <c r="AB122" s="313">
        <f>SUM(AB117+AB118+AB119)*AB120*AB121</f>
        <v>451992.34937673464</v>
      </c>
      <c r="AC122" s="313">
        <f>SUM(AC117+AC118+AC119)*AC120*AC121</f>
        <v>480248.91694948403</v>
      </c>
    </row>
    <row r="123" spans="1:29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70"/>
      <c r="W123" s="73"/>
      <c r="X123" s="313"/>
      <c r="Y123" s="73"/>
      <c r="Z123" s="313"/>
      <c r="AA123" s="313"/>
      <c r="AB123" s="313"/>
      <c r="AC123" s="313"/>
    </row>
    <row r="124" spans="1:29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72">SUM(G122)</f>
        <v>188890.26799999998</v>
      </c>
      <c r="I124" s="69">
        <f t="shared" si="72"/>
        <v>199575.79679677499</v>
      </c>
      <c r="J124" s="70"/>
      <c r="K124" s="71"/>
      <c r="L124" s="69">
        <f t="shared" ref="L124:AA124" si="73">SUM(L122)</f>
        <v>234774.02500000002</v>
      </c>
      <c r="M124" s="72"/>
      <c r="N124" s="69">
        <f t="shared" si="73"/>
        <v>230552.66500000001</v>
      </c>
      <c r="O124" s="70"/>
      <c r="P124" s="70">
        <f t="shared" si="73"/>
        <v>229911.818</v>
      </c>
      <c r="Q124" s="73"/>
      <c r="R124" s="70">
        <f t="shared" ref="R124" si="74">SUM(R122)</f>
        <v>246152.10861059991</v>
      </c>
      <c r="S124" s="73"/>
      <c r="T124" s="70">
        <f t="shared" si="73"/>
        <v>306718.19200000004</v>
      </c>
      <c r="U124" s="73"/>
      <c r="V124" s="70">
        <f t="shared" si="73"/>
        <v>322090.82072829414</v>
      </c>
      <c r="W124" s="73"/>
      <c r="X124" s="313">
        <f t="shared" si="73"/>
        <v>360246.15948151174</v>
      </c>
      <c r="Y124" s="73"/>
      <c r="Z124" s="313">
        <f t="shared" si="73"/>
        <v>390223.15216669411</v>
      </c>
      <c r="AA124" s="313">
        <f t="shared" si="73"/>
        <v>421220.25249409734</v>
      </c>
      <c r="AB124" s="313">
        <f>SUM(AB122)</f>
        <v>451992.34937673464</v>
      </c>
      <c r="AC124" s="313">
        <f>SUM(AC122)</f>
        <v>480248.91694948403</v>
      </c>
    </row>
    <row r="125" spans="1:29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70">
        <v>293289.11</v>
      </c>
      <c r="U125" s="73"/>
      <c r="V125" s="72"/>
      <c r="W125" s="73"/>
      <c r="X125" s="313"/>
      <c r="Y125" s="73"/>
      <c r="Z125" s="313"/>
      <c r="AA125" s="313"/>
      <c r="AB125" s="313"/>
      <c r="AC125" s="313"/>
    </row>
    <row r="126" spans="1:29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337">
        <f>SUM(T126)</f>
        <v>0.95621687154441737</v>
      </c>
      <c r="W126" s="230"/>
      <c r="X126" s="337">
        <f>SUM(V126)</f>
        <v>0.95621687154441737</v>
      </c>
      <c r="Y126" s="230"/>
      <c r="Z126" s="337">
        <f>SUM(X126)</f>
        <v>0.95621687154441737</v>
      </c>
      <c r="AA126" s="337">
        <f t="shared" ref="AA126" si="75">SUM(Z126)</f>
        <v>0.95621687154441737</v>
      </c>
      <c r="AB126" s="337">
        <f>SUM(AA126)</f>
        <v>0.95621687154441737</v>
      </c>
      <c r="AC126" s="337">
        <f>SUM(AB126)</f>
        <v>0.95621687154441737</v>
      </c>
    </row>
    <row r="127" spans="1:29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6">SUM(G124*G126)</f>
        <v>173804.16659564062</v>
      </c>
      <c r="I127" s="69">
        <f t="shared" si="76"/>
        <v>189501.07105461584</v>
      </c>
      <c r="J127" s="70"/>
      <c r="K127" s="71"/>
      <c r="L127" s="69">
        <f t="shared" ref="L127:AA127" si="77">SUM(L124*L126)</f>
        <v>223370.065</v>
      </c>
      <c r="M127" s="72"/>
      <c r="N127" s="69">
        <f t="shared" si="77"/>
        <v>216345.522</v>
      </c>
      <c r="O127" s="231"/>
      <c r="P127" s="70">
        <f t="shared" si="77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313">
        <f>SUM(V124*V126)</f>
        <v>307988.67694998323</v>
      </c>
      <c r="W127" s="232"/>
      <c r="X127" s="313">
        <f>SUM(X124*X126)</f>
        <v>344473.45560530241</v>
      </c>
      <c r="Y127" s="232"/>
      <c r="Z127" s="313">
        <f t="shared" si="77"/>
        <v>373137.96176903736</v>
      </c>
      <c r="AA127" s="313">
        <f t="shared" si="77"/>
        <v>402777.91207105533</v>
      </c>
      <c r="AB127" s="313">
        <f>SUM(AB124*AB126)</f>
        <v>432202.7102830325</v>
      </c>
      <c r="AC127" s="313">
        <f>SUM(AC124*AC126)</f>
        <v>459222.11692803033</v>
      </c>
    </row>
    <row r="128" spans="1:29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305">
        <v>0.09</v>
      </c>
      <c r="V128" s="318">
        <f>SUM(T128*(1+U128))</f>
        <v>1.2480966641754958E-2</v>
      </c>
      <c r="W128" s="305">
        <f>$W$30</f>
        <v>1.4999999999999999E-2</v>
      </c>
      <c r="X128" s="318">
        <f>SUM(V128*(1+W128))</f>
        <v>1.2668181141381281E-2</v>
      </c>
      <c r="Y128" s="305">
        <f>$Y$30</f>
        <v>0.02</v>
      </c>
      <c r="Z128" s="318">
        <f>SUM(X128*(1+Y128))</f>
        <v>1.2921544764208906E-2</v>
      </c>
      <c r="AA128" s="318">
        <f>SUM(Z128*(1+Y128))</f>
        <v>1.3179975659493085E-2</v>
      </c>
      <c r="AB128" s="318">
        <f>SUM(AA128*(1+Y128))</f>
        <v>1.3443575172682947E-2</v>
      </c>
      <c r="AC128" s="318">
        <f>SUM(AB128*(1+$Y$128))</f>
        <v>1.3712446676136606E-2</v>
      </c>
    </row>
    <row r="129" spans="1:29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319"/>
      <c r="W129" s="71"/>
      <c r="X129" s="319"/>
      <c r="Y129" s="71"/>
      <c r="Z129" s="319"/>
      <c r="AA129" s="319"/>
      <c r="AB129" s="319"/>
      <c r="AC129" s="319"/>
    </row>
    <row r="130" spans="1:29" ht="15" thickBot="1" x14ac:dyDescent="0.35">
      <c r="C130" s="112">
        <v>1843</v>
      </c>
      <c r="E130" s="112">
        <f>SUM(E127*E128)</f>
        <v>1939.7429074619999</v>
      </c>
      <c r="G130" s="112">
        <f t="shared" ref="G130" si="78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79">SUM(R127*R128)</f>
        <v>3018.7944147768244</v>
      </c>
      <c r="S130" s="114"/>
      <c r="T130" s="141">
        <f>SUM(T127*T128)</f>
        <v>3358.2858700000002</v>
      </c>
      <c r="U130" s="114"/>
      <c r="V130" s="320">
        <f>SUM(V127*V128)</f>
        <v>3843.9964030509846</v>
      </c>
      <c r="W130" s="370"/>
      <c r="X130" s="320">
        <f>SUM(X127*X128)</f>
        <v>4363.852134005534</v>
      </c>
      <c r="Y130" s="370"/>
      <c r="Z130" s="320">
        <f>SUM(Z127*Z128)</f>
        <v>4821.5188762242879</v>
      </c>
      <c r="AA130" s="320">
        <f>SUM(AA127*AA128)</f>
        <v>5308.603077277955</v>
      </c>
      <c r="AB130" s="320">
        <f>SUM(AB127*AB128)</f>
        <v>5810.3496255272566</v>
      </c>
      <c r="AC130" s="320">
        <f>SUM(AC127*AC128)</f>
        <v>6297.0587908781854</v>
      </c>
    </row>
    <row r="131" spans="1:29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238"/>
      <c r="W131" s="239"/>
      <c r="X131" s="238"/>
      <c r="Y131" s="239"/>
      <c r="Z131" s="238"/>
      <c r="AA131" s="238"/>
      <c r="AB131" s="238"/>
      <c r="AC131" s="238"/>
    </row>
    <row r="132" spans="1:29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120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  <c r="AC132" s="301" t="str">
        <f>$AC$10</f>
        <v>2024 Estimate</v>
      </c>
    </row>
    <row r="133" spans="1:29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65"/>
      <c r="W133" s="64"/>
      <c r="X133" s="321"/>
      <c r="Y133" s="64"/>
      <c r="Z133" s="321"/>
      <c r="AA133" s="321"/>
      <c r="AB133" s="321"/>
      <c r="AC133" s="321"/>
    </row>
    <row r="134" spans="1:29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65"/>
      <c r="W134" s="64"/>
      <c r="X134" s="321"/>
      <c r="Y134" s="64"/>
      <c r="Z134" s="321"/>
      <c r="AA134" s="321"/>
      <c r="AB134" s="321"/>
      <c r="AC134" s="321"/>
    </row>
    <row r="135" spans="1:29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70">
        <v>742683.92599999998</v>
      </c>
      <c r="W135" s="73"/>
      <c r="X135" s="313">
        <f>SUM(V135:V137)</f>
        <v>742683.92599999998</v>
      </c>
      <c r="Y135" s="73"/>
      <c r="Z135" s="313">
        <f>SUM(X135:X137)</f>
        <v>825606.92599999998</v>
      </c>
      <c r="AA135" s="313">
        <f>SUM(Z135:Z137)</f>
        <v>890755.92599999998</v>
      </c>
      <c r="AB135" s="313">
        <f>SUM(AA135:AA137)</f>
        <v>958121.92599999998</v>
      </c>
      <c r="AC135" s="313">
        <f>SUM(AB135:AB137)</f>
        <v>1024998.926</v>
      </c>
    </row>
    <row r="136" spans="1:29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70"/>
      <c r="W136" s="73"/>
      <c r="X136" s="313">
        <f t="shared" ref="X136:AA137" si="80">SUM(X118)</f>
        <v>116812</v>
      </c>
      <c r="Y136" s="73"/>
      <c r="Z136" s="313">
        <f t="shared" si="80"/>
        <v>99038</v>
      </c>
      <c r="AA136" s="313">
        <f t="shared" si="80"/>
        <v>101255</v>
      </c>
      <c r="AB136" s="313">
        <f>SUM(AB118)</f>
        <v>100766</v>
      </c>
      <c r="AC136" s="313">
        <f>SUM(AC118)</f>
        <v>95299</v>
      </c>
    </row>
    <row r="137" spans="1:29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70"/>
      <c r="W137" s="73"/>
      <c r="X137" s="313">
        <f t="shared" si="80"/>
        <v>-33889</v>
      </c>
      <c r="Y137" s="73"/>
      <c r="Z137" s="313">
        <f t="shared" si="80"/>
        <v>-33889</v>
      </c>
      <c r="AA137" s="313">
        <f t="shared" si="80"/>
        <v>-33889</v>
      </c>
      <c r="AB137" s="313">
        <f>SUM(AB119)</f>
        <v>-33889</v>
      </c>
      <c r="AC137" s="313">
        <f>SUM(AC119)</f>
        <v>-33889</v>
      </c>
    </row>
    <row r="138" spans="1:29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87">
        <v>1</v>
      </c>
      <c r="W138" s="73"/>
      <c r="X138" s="314">
        <v>1</v>
      </c>
      <c r="Y138" s="73"/>
      <c r="Z138" s="314">
        <v>1</v>
      </c>
      <c r="AA138" s="314">
        <v>1</v>
      </c>
      <c r="AB138" s="314">
        <v>1</v>
      </c>
      <c r="AC138" s="314">
        <v>1</v>
      </c>
    </row>
    <row r="139" spans="1:29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91">
        <v>0.18293040999999999</v>
      </c>
      <c r="W139" s="84"/>
      <c r="X139" s="315">
        <f>SUM(V139)</f>
        <v>0.18293040999999999</v>
      </c>
      <c r="Y139" s="84"/>
      <c r="Z139" s="315">
        <f>SUM(X139)</f>
        <v>0.18293040999999999</v>
      </c>
      <c r="AA139" s="315">
        <f t="shared" ref="AA139:AC139" si="81">SUM(Z139)</f>
        <v>0.18293040999999999</v>
      </c>
      <c r="AB139" s="315">
        <f t="shared" si="81"/>
        <v>0.18293040999999999</v>
      </c>
      <c r="AC139" s="315">
        <f t="shared" si="81"/>
        <v>0.18293040999999999</v>
      </c>
    </row>
    <row r="140" spans="1:29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82">SUM((G135+G136+G137)*G138*G139)</f>
        <v>79213.073000000004</v>
      </c>
      <c r="I140" s="99">
        <f t="shared" si="82"/>
        <v>85831.54</v>
      </c>
      <c r="J140" s="100"/>
      <c r="K140" s="101"/>
      <c r="L140" s="99">
        <f t="shared" ref="L140:T140" si="83">SUM((L135+L136+L137)*L138*L139)</f>
        <v>92701.07758538505</v>
      </c>
      <c r="M140" s="102"/>
      <c r="N140" s="99">
        <f t="shared" si="83"/>
        <v>96666.592999999993</v>
      </c>
      <c r="O140" s="100"/>
      <c r="P140" s="100">
        <f t="shared" si="83"/>
        <v>103095.598</v>
      </c>
      <c r="Q140" s="177"/>
      <c r="R140" s="100">
        <f t="shared" ref="R140" si="84">SUM((R135+R136+R137)*R138*R139)</f>
        <v>115955.848</v>
      </c>
      <c r="S140" s="177"/>
      <c r="T140" s="100">
        <f t="shared" si="83"/>
        <v>134625.429</v>
      </c>
      <c r="U140" s="177"/>
      <c r="V140" s="100">
        <f>SUM((V135+V136+V137)*V138*V139)</f>
        <v>135859.47508358964</v>
      </c>
      <c r="W140" s="177"/>
      <c r="X140" s="317">
        <f>SUM((X135+X136+X137)*X138*X139)</f>
        <v>151028.61347201964</v>
      </c>
      <c r="Y140" s="177"/>
      <c r="Z140" s="317">
        <f>SUM((Z135+Z136+Z137)*Z138*Z139)</f>
        <v>162946.34675310965</v>
      </c>
      <c r="AA140" s="317">
        <f>SUM((AA135+AA136+AA137)*AA138*AA139)</f>
        <v>175269.63675316965</v>
      </c>
      <c r="AB140" s="317">
        <f>SUM((AB135+AB136+AB137)*AB138*AB139)</f>
        <v>187503.47378273963</v>
      </c>
      <c r="AC140" s="317">
        <f>SUM((AC135+AC136+AC137)*AC138*AC139)</f>
        <v>198737.23026083966</v>
      </c>
    </row>
    <row r="141" spans="1:29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83">
        <v>-100</v>
      </c>
      <c r="W141" s="84"/>
      <c r="X141" s="323"/>
      <c r="Y141" s="84"/>
      <c r="Z141" s="323"/>
      <c r="AA141" s="323"/>
      <c r="AB141" s="323"/>
      <c r="AC141" s="323"/>
    </row>
    <row r="142" spans="1:29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5">SUM(G140)</f>
        <v>79213.073000000004</v>
      </c>
      <c r="I142" s="69">
        <f t="shared" si="85"/>
        <v>85831.54</v>
      </c>
      <c r="J142" s="70"/>
      <c r="K142" s="71"/>
      <c r="L142" s="69">
        <f t="shared" ref="L142:AA142" si="86">SUM(L140)</f>
        <v>92701.07758538505</v>
      </c>
      <c r="M142" s="72"/>
      <c r="N142" s="69">
        <f t="shared" si="86"/>
        <v>96666.592999999993</v>
      </c>
      <c r="O142" s="70"/>
      <c r="P142" s="70">
        <f t="shared" si="86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70">
        <f>SUM(V140:V141)</f>
        <v>135759.47508358964</v>
      </c>
      <c r="W142" s="73"/>
      <c r="X142" s="313">
        <f>SUM(X140)</f>
        <v>151028.61347201964</v>
      </c>
      <c r="Y142" s="73"/>
      <c r="Z142" s="313">
        <f t="shared" si="86"/>
        <v>162946.34675310965</v>
      </c>
      <c r="AA142" s="313">
        <f t="shared" si="86"/>
        <v>175269.63675316965</v>
      </c>
      <c r="AB142" s="313">
        <f>SUM(AB140)</f>
        <v>187503.47378273963</v>
      </c>
      <c r="AC142" s="313">
        <f>SUM(AC140)</f>
        <v>198737.23026083966</v>
      </c>
    </row>
    <row r="143" spans="1:29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134">
        <v>1</v>
      </c>
      <c r="W143" s="84"/>
      <c r="X143" s="324">
        <v>1</v>
      </c>
      <c r="Y143" s="84"/>
      <c r="Z143" s="324">
        <v>1</v>
      </c>
      <c r="AA143" s="324">
        <v>1</v>
      </c>
      <c r="AB143" s="324">
        <v>1</v>
      </c>
      <c r="AC143" s="324">
        <v>1</v>
      </c>
    </row>
    <row r="144" spans="1:29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7">SUM(G142*G143)</f>
        <v>77458.071382651833</v>
      </c>
      <c r="I144" s="69">
        <f t="shared" si="87"/>
        <v>85831.54</v>
      </c>
      <c r="J144" s="70"/>
      <c r="K144" s="71"/>
      <c r="L144" s="69">
        <f t="shared" ref="L144:AA144" si="88">SUM(L142*L143)</f>
        <v>92701.07758538505</v>
      </c>
      <c r="M144" s="72"/>
      <c r="N144" s="69">
        <f t="shared" si="88"/>
        <v>96666.592999999993</v>
      </c>
      <c r="O144" s="70"/>
      <c r="P144" s="70">
        <f t="shared" si="88"/>
        <v>103095.598</v>
      </c>
      <c r="Q144" s="73"/>
      <c r="R144" s="70">
        <f t="shared" ref="R144" si="89">SUM(R142*R143)</f>
        <v>115955.848</v>
      </c>
      <c r="S144" s="73"/>
      <c r="T144" s="70">
        <f t="shared" si="88"/>
        <v>134525.429</v>
      </c>
      <c r="U144" s="73"/>
      <c r="V144" s="70">
        <f>SUM(V142*V143)</f>
        <v>135759.47508358964</v>
      </c>
      <c r="W144" s="73"/>
      <c r="X144" s="313">
        <f t="shared" si="88"/>
        <v>151028.61347201964</v>
      </c>
      <c r="Y144" s="73"/>
      <c r="Z144" s="313">
        <f t="shared" si="88"/>
        <v>162946.34675310965</v>
      </c>
      <c r="AA144" s="313">
        <f t="shared" si="88"/>
        <v>175269.63675316965</v>
      </c>
      <c r="AB144" s="313">
        <f>SUM(AB142*AB143)</f>
        <v>187503.47378273963</v>
      </c>
      <c r="AC144" s="313">
        <f>SUM(AC142*AC143)</f>
        <v>198737.23026083966</v>
      </c>
    </row>
    <row r="145" spans="1:29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305">
        <v>0.01</v>
      </c>
      <c r="V145" s="318">
        <f>SUM(T145*(1+U145))</f>
        <v>1.3256725806836119E-2</v>
      </c>
      <c r="W145" s="305">
        <f>$W$30</f>
        <v>1.4999999999999999E-2</v>
      </c>
      <c r="X145" s="318">
        <f>SUM(V145*(1+W145))</f>
        <v>1.345557669393866E-2</v>
      </c>
      <c r="Y145" s="305">
        <f>$Y$30</f>
        <v>0.02</v>
      </c>
      <c r="Z145" s="318">
        <f>SUM(X145*(1+Y145))</f>
        <v>1.3724688227817434E-2</v>
      </c>
      <c r="AA145" s="318">
        <f>SUM(Z145*(1+Y145))</f>
        <v>1.3999181992373783E-2</v>
      </c>
      <c r="AB145" s="318">
        <f>SUM(AA145*(1+Y145))</f>
        <v>1.427916563222126E-2</v>
      </c>
      <c r="AC145" s="318">
        <f>SUM(AB145*(1+$Y$145))</f>
        <v>1.4564748944865685E-2</v>
      </c>
    </row>
    <row r="146" spans="1:29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317"/>
      <c r="W146" s="101"/>
      <c r="X146" s="317"/>
      <c r="Y146" s="101"/>
      <c r="Z146" s="317"/>
      <c r="AA146" s="317"/>
      <c r="AB146" s="317"/>
      <c r="AC146" s="317"/>
    </row>
    <row r="147" spans="1:29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90">SUM(G144*G145)</f>
        <v>1112.580366038414</v>
      </c>
      <c r="I147" s="178">
        <f t="shared" si="90"/>
        <v>1255.1733400000001</v>
      </c>
      <c r="J147" s="179"/>
      <c r="K147" s="180"/>
      <c r="L147" s="178">
        <f t="shared" ref="L147:P147" si="91">SUM(L144*L145)</f>
        <v>1336.7211187574665</v>
      </c>
      <c r="M147" s="181"/>
      <c r="N147" s="178">
        <f t="shared" si="91"/>
        <v>1396.8021189769413</v>
      </c>
      <c r="O147" s="181"/>
      <c r="P147" s="179">
        <f t="shared" si="91"/>
        <v>1470.0476900000001</v>
      </c>
      <c r="Q147" s="180"/>
      <c r="R147" s="179">
        <f t="shared" ref="R147" si="92">SUM(R144*R145)</f>
        <v>1640.8960900000002</v>
      </c>
      <c r="S147" s="180"/>
      <c r="T147" s="179">
        <f>SUM(T144*T145)</f>
        <v>1765.7096300000001</v>
      </c>
      <c r="U147" s="180"/>
      <c r="V147" s="338">
        <f>SUM(V144*V145)</f>
        <v>1799.726136863148</v>
      </c>
      <c r="W147" s="373"/>
      <c r="X147" s="338">
        <f>SUM(X144*X145)</f>
        <v>2032.1770915519778</v>
      </c>
      <c r="Y147" s="373"/>
      <c r="Z147" s="338">
        <f>SUM(Z144*Z145)</f>
        <v>2236.3878070482615</v>
      </c>
      <c r="AA147" s="338">
        <f>SUM(AA144*AA145)</f>
        <v>2453.6315426448668</v>
      </c>
      <c r="AB147" s="338">
        <f>SUM(AB144*AB145)</f>
        <v>2677.3931587605957</v>
      </c>
      <c r="AC147" s="338">
        <f>SUM(AC144*AC145)</f>
        <v>2894.5578647470929</v>
      </c>
    </row>
    <row r="148" spans="1:29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  <c r="AC148" s="144"/>
    </row>
    <row r="149" spans="1:29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187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">
        <v>178</v>
      </c>
      <c r="AC149" s="301" t="s">
        <v>179</v>
      </c>
    </row>
    <row r="150" spans="1:29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65"/>
      <c r="W150" s="64"/>
      <c r="X150" s="321"/>
      <c r="Y150" s="64"/>
      <c r="Z150" s="321"/>
      <c r="AA150" s="321"/>
      <c r="AB150" s="321"/>
      <c r="AC150" s="321"/>
    </row>
    <row r="151" spans="1:29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65"/>
      <c r="W151" s="64"/>
      <c r="X151" s="321"/>
      <c r="Y151" s="64"/>
      <c r="Z151" s="321"/>
      <c r="AA151" s="321"/>
      <c r="AB151" s="321"/>
      <c r="AC151" s="321"/>
    </row>
    <row r="152" spans="1:29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70">
        <v>324700</v>
      </c>
      <c r="W152" s="73"/>
      <c r="X152" s="313">
        <f>SUM(V152:V154)</f>
        <v>324700</v>
      </c>
      <c r="Y152" s="73"/>
      <c r="Z152" s="313">
        <f>SUM(X152:X154)</f>
        <v>345226</v>
      </c>
      <c r="AA152" s="313">
        <f t="shared" ref="AA152" si="93">SUM(Z152:Z154)</f>
        <v>359629</v>
      </c>
      <c r="AB152" s="313">
        <f>SUM(AA152:AA154)</f>
        <v>372337</v>
      </c>
      <c r="AC152" s="313">
        <f>SUM(AB152:AB154)</f>
        <v>385678</v>
      </c>
    </row>
    <row r="153" spans="1:29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70">
        <v>0</v>
      </c>
      <c r="W153" s="73"/>
      <c r="X153" s="154">
        <v>28915</v>
      </c>
      <c r="Y153" s="73"/>
      <c r="Z153" s="154">
        <v>22792</v>
      </c>
      <c r="AA153" s="154">
        <v>21097</v>
      </c>
      <c r="AB153" s="154">
        <v>21730</v>
      </c>
      <c r="AC153" s="154">
        <v>20227</v>
      </c>
    </row>
    <row r="154" spans="1:29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70">
        <v>0</v>
      </c>
      <c r="W154" s="73"/>
      <c r="X154" s="154">
        <v>-8389</v>
      </c>
      <c r="Y154" s="73"/>
      <c r="Z154" s="154">
        <f>X154</f>
        <v>-8389</v>
      </c>
      <c r="AA154" s="154">
        <f>Z154</f>
        <v>-8389</v>
      </c>
      <c r="AB154" s="154">
        <f>AA154</f>
        <v>-8389</v>
      </c>
      <c r="AC154" s="154">
        <f>AB154</f>
        <v>-8389</v>
      </c>
    </row>
    <row r="155" spans="1:29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87">
        <v>1</v>
      </c>
      <c r="W155" s="73"/>
      <c r="X155" s="314">
        <v>1</v>
      </c>
      <c r="Y155" s="73"/>
      <c r="Z155" s="314">
        <v>1</v>
      </c>
      <c r="AA155" s="314">
        <v>1</v>
      </c>
      <c r="AB155" s="314">
        <v>1</v>
      </c>
      <c r="AC155" s="314">
        <v>1</v>
      </c>
    </row>
    <row r="156" spans="1:29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91">
        <v>1</v>
      </c>
      <c r="W156" s="84"/>
      <c r="X156" s="315">
        <v>1</v>
      </c>
      <c r="Y156" s="84"/>
      <c r="Z156" s="315">
        <v>1</v>
      </c>
      <c r="AA156" s="315">
        <v>1</v>
      </c>
      <c r="AB156" s="315">
        <v>1</v>
      </c>
      <c r="AC156" s="315">
        <v>1</v>
      </c>
    </row>
    <row r="157" spans="1:29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4">SUM((G152+G153+G154)*G155*G156)</f>
        <v>160600</v>
      </c>
      <c r="I157" s="99">
        <f t="shared" si="94"/>
        <v>168937</v>
      </c>
      <c r="J157" s="100"/>
      <c r="K157" s="101"/>
      <c r="L157" s="99">
        <f t="shared" ref="L157:AA157" si="95">SUM((L152+L153+L154)*L155*L156)</f>
        <v>184700</v>
      </c>
      <c r="M157" s="102"/>
      <c r="N157" s="99">
        <f t="shared" si="95"/>
        <v>209500</v>
      </c>
      <c r="O157" s="100"/>
      <c r="P157" s="100">
        <f t="shared" ref="P157" si="96">SUM((P152+P153+P154)*P155*P156)</f>
        <v>243796.47</v>
      </c>
      <c r="Q157" s="177"/>
      <c r="R157" s="100">
        <f t="shared" ref="R157" si="97">SUM((R152+R153+R154)*R155*R156)</f>
        <v>282611.34999999998</v>
      </c>
      <c r="S157" s="177"/>
      <c r="T157" s="100">
        <f t="shared" si="95"/>
        <v>340600</v>
      </c>
      <c r="U157" s="177"/>
      <c r="V157" s="100">
        <f>SUM((V152+V153+V154)*V155*V156)</f>
        <v>324700</v>
      </c>
      <c r="W157" s="177"/>
      <c r="X157" s="317">
        <f>SUM((X152+X153+X154)*X155*X156)</f>
        <v>345226</v>
      </c>
      <c r="Y157" s="177"/>
      <c r="Z157" s="317">
        <f t="shared" si="95"/>
        <v>359629</v>
      </c>
      <c r="AA157" s="317">
        <f t="shared" si="95"/>
        <v>372337</v>
      </c>
      <c r="AB157" s="317">
        <f>SUM((AB152+AB153+AB154)*AB155*AB156)</f>
        <v>385678</v>
      </c>
      <c r="AC157" s="317">
        <f>SUM((AC152+AC153+AC154)*AC155*AC156)</f>
        <v>397516</v>
      </c>
    </row>
    <row r="158" spans="1:29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70"/>
      <c r="W158" s="73"/>
      <c r="X158" s="313"/>
      <c r="Y158" s="73"/>
      <c r="Z158" s="313"/>
      <c r="AA158" s="313"/>
      <c r="AB158" s="313"/>
      <c r="AC158" s="313"/>
    </row>
    <row r="159" spans="1:29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245">
        <v>1</v>
      </c>
      <c r="W159" s="73"/>
      <c r="X159" s="339">
        <v>1</v>
      </c>
      <c r="Y159" s="73"/>
      <c r="Z159" s="339">
        <v>1</v>
      </c>
      <c r="AA159" s="339">
        <v>1</v>
      </c>
      <c r="AB159" s="339">
        <v>1</v>
      </c>
      <c r="AC159" s="339">
        <v>1</v>
      </c>
    </row>
    <row r="160" spans="1:29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98">SUM(G157*G159)</f>
        <v>160600</v>
      </c>
      <c r="I160" s="69">
        <f t="shared" si="98"/>
        <v>168937</v>
      </c>
      <c r="J160" s="70"/>
      <c r="K160" s="71"/>
      <c r="L160" s="69">
        <f t="shared" ref="L160:AA160" si="99">SUM(L157*L159)</f>
        <v>184700</v>
      </c>
      <c r="M160" s="72"/>
      <c r="N160" s="69">
        <f t="shared" si="99"/>
        <v>209500</v>
      </c>
      <c r="O160" s="70"/>
      <c r="P160" s="70">
        <f t="shared" ref="P160" si="100">SUM(P157*P159)</f>
        <v>243796.47</v>
      </c>
      <c r="Q160" s="73"/>
      <c r="R160" s="70">
        <f t="shared" ref="R160" si="101">SUM(R157*R159)</f>
        <v>282611.34999999998</v>
      </c>
      <c r="S160" s="73"/>
      <c r="T160" s="70">
        <f t="shared" si="99"/>
        <v>340600</v>
      </c>
      <c r="U160" s="73"/>
      <c r="V160" s="70">
        <f t="shared" si="99"/>
        <v>324700</v>
      </c>
      <c r="W160" s="73"/>
      <c r="X160" s="313">
        <f>SUM(X157*X159)</f>
        <v>345226</v>
      </c>
      <c r="Y160" s="73"/>
      <c r="Z160" s="313">
        <f t="shared" si="99"/>
        <v>359629</v>
      </c>
      <c r="AA160" s="313">
        <f t="shared" si="99"/>
        <v>372337</v>
      </c>
      <c r="AB160" s="313">
        <f>SUM(AB157*AB159)</f>
        <v>385678</v>
      </c>
      <c r="AC160" s="313">
        <f>SUM(AC157*AC159)</f>
        <v>397516</v>
      </c>
    </row>
    <row r="161" spans="1:31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247">
        <v>1</v>
      </c>
      <c r="W161" s="84"/>
      <c r="X161" s="340">
        <v>1</v>
      </c>
      <c r="Y161" s="84"/>
      <c r="Z161" s="340">
        <v>1</v>
      </c>
      <c r="AA161" s="340">
        <v>1</v>
      </c>
      <c r="AB161" s="340">
        <v>1</v>
      </c>
      <c r="AC161" s="340">
        <v>1</v>
      </c>
    </row>
    <row r="162" spans="1:31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102">SUM(G160*G161)</f>
        <v>160600</v>
      </c>
      <c r="I162" s="69">
        <f t="shared" si="102"/>
        <v>168937</v>
      </c>
      <c r="J162" s="70"/>
      <c r="K162" s="71"/>
      <c r="L162" s="69">
        <f t="shared" ref="L162:AA162" si="103">SUM(L160*L161)</f>
        <v>184700</v>
      </c>
      <c r="M162" s="72"/>
      <c r="N162" s="69">
        <f t="shared" si="103"/>
        <v>209500</v>
      </c>
      <c r="O162" s="70"/>
      <c r="P162" s="70">
        <f t="shared" ref="P162" si="104">SUM(P160*P161)</f>
        <v>243796.47</v>
      </c>
      <c r="Q162" s="73"/>
      <c r="R162" s="70">
        <f t="shared" ref="R162" si="105">SUM(R160*R161)</f>
        <v>282611.34999999998</v>
      </c>
      <c r="S162" s="73"/>
      <c r="T162" s="70">
        <f t="shared" si="103"/>
        <v>340600</v>
      </c>
      <c r="U162" s="73"/>
      <c r="V162" s="70">
        <f>SUM(V160*V161)</f>
        <v>324700</v>
      </c>
      <c r="W162" s="73"/>
      <c r="X162" s="313">
        <f t="shared" si="103"/>
        <v>345226</v>
      </c>
      <c r="Y162" s="73"/>
      <c r="Z162" s="313">
        <f t="shared" si="103"/>
        <v>359629</v>
      </c>
      <c r="AA162" s="313">
        <f t="shared" si="103"/>
        <v>372337</v>
      </c>
      <c r="AB162" s="313">
        <f>SUM(AB160*AB161)</f>
        <v>385678</v>
      </c>
      <c r="AC162" s="313">
        <f>SUM(AC160*AC161)</f>
        <v>397516</v>
      </c>
    </row>
    <row r="163" spans="1:31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305">
        <v>0.01</v>
      </c>
      <c r="V163" s="318">
        <f>SUM(T163*(1+U163))</f>
        <v>1.3083317746623606E-2</v>
      </c>
      <c r="W163" s="305">
        <f>$W$30</f>
        <v>1.4999999999999999E-2</v>
      </c>
      <c r="X163" s="318">
        <f>SUM(V163*(1+W163))</f>
        <v>1.3279567512822959E-2</v>
      </c>
      <c r="Y163" s="305">
        <f>$Y$30</f>
        <v>0.02</v>
      </c>
      <c r="Z163" s="318">
        <f>SUM(X163*(1+Y163))</f>
        <v>1.3545158863079419E-2</v>
      </c>
      <c r="AA163" s="318">
        <f>SUM(Z163*(1+Y163))</f>
        <v>1.3816062040341007E-2</v>
      </c>
      <c r="AB163" s="318">
        <f>SUM(AA163*(1+Y163))</f>
        <v>1.4092383281147827E-2</v>
      </c>
      <c r="AC163" s="318">
        <f>SUM(AB163*(1+$Y$163))</f>
        <v>1.4374230946770783E-2</v>
      </c>
    </row>
    <row r="164" spans="1:31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319"/>
      <c r="W164" s="73"/>
      <c r="X164" s="319"/>
      <c r="Y164" s="73"/>
      <c r="Z164" s="319"/>
      <c r="AA164" s="319"/>
      <c r="AB164" s="319"/>
      <c r="AC164" s="319"/>
    </row>
    <row r="165" spans="1:31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6">SUM(G162*G163)</f>
        <v>2030.6547399999999</v>
      </c>
      <c r="I165" s="112">
        <f t="shared" si="106"/>
        <v>2137.1771711399883</v>
      </c>
      <c r="J165" s="141"/>
      <c r="K165" s="114"/>
      <c r="L165" s="248">
        <f t="shared" ref="L165:Z165" si="107">SUM(L162*L163)</f>
        <v>2378.8604999999998</v>
      </c>
      <c r="M165" s="113"/>
      <c r="N165" s="112">
        <f t="shared" si="107"/>
        <v>2651</v>
      </c>
      <c r="O165" s="141"/>
      <c r="P165" s="141">
        <f t="shared" si="107"/>
        <v>3184.1441200000004</v>
      </c>
      <c r="Q165" s="249"/>
      <c r="R165" s="141">
        <f t="shared" ref="R165" si="108">SUM(R162*R163)</f>
        <v>3678.2691199999999</v>
      </c>
      <c r="S165" s="249"/>
      <c r="T165" s="141">
        <f>SUM(T162*T163)</f>
        <v>4412.0574500000002</v>
      </c>
      <c r="U165" s="249"/>
      <c r="V165" s="320">
        <f>SUM(V162*V163)</f>
        <v>4248.1532723286846</v>
      </c>
      <c r="W165" s="374"/>
      <c r="X165" s="320">
        <f>SUM(X162*X163)</f>
        <v>4584.4519741818185</v>
      </c>
      <c r="Y165" s="374"/>
      <c r="Z165" s="320">
        <f t="shared" si="107"/>
        <v>4871.2319367703885</v>
      </c>
      <c r="AA165" s="320">
        <f>SUM(AA162*AA163)</f>
        <v>5144.2310919144493</v>
      </c>
      <c r="AB165" s="320">
        <f>SUM(AB162*AB163)</f>
        <v>5435.1221991065313</v>
      </c>
      <c r="AC165" s="320">
        <f>SUM(AC162*AC163)</f>
        <v>5713.9867890365349</v>
      </c>
    </row>
    <row r="166" spans="1:31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  <c r="AC166" s="144"/>
    </row>
    <row r="167" spans="1:31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  <c r="AC167" s="257"/>
    </row>
    <row r="168" spans="1:31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  <c r="AC168" s="257"/>
    </row>
    <row r="169" spans="1:31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  <c r="AC169" s="257"/>
    </row>
    <row r="170" spans="1:31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  <c r="AC170" s="265"/>
    </row>
    <row r="171" spans="1:31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  <c r="AC171" s="341" t="s">
        <v>103</v>
      </c>
    </row>
    <row r="172" spans="1:31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  <c r="AC172" s="301">
        <f>AB172+1</f>
        <v>2024</v>
      </c>
    </row>
    <row r="173" spans="1:31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C173" s="321"/>
      <c r="AE173" s="11"/>
    </row>
    <row r="174" spans="1:31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14808.461660383624</v>
      </c>
      <c r="W174" s="355"/>
      <c r="X174" s="342">
        <f>SUM(X32)</f>
        <v>16271.455886322767</v>
      </c>
      <c r="Y174" s="355"/>
      <c r="Z174" s="342">
        <f>SUM(Z32)</f>
        <v>17512.179259278193</v>
      </c>
      <c r="AA174" s="342">
        <f>SUM(AA32)</f>
        <v>18946.363500080715</v>
      </c>
      <c r="AB174" s="342">
        <f>SUM(AB32)</f>
        <v>20317.856281635079</v>
      </c>
      <c r="AC174" s="342">
        <f>SUM(AC32)</f>
        <v>22097.558093215699</v>
      </c>
      <c r="AE174" s="145"/>
    </row>
    <row r="175" spans="1:31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342"/>
      <c r="W175" s="271"/>
      <c r="X175" s="342"/>
      <c r="Y175" s="271"/>
      <c r="Z175" s="342"/>
      <c r="AA175" s="342"/>
      <c r="AB175" s="342"/>
      <c r="AC175" s="342"/>
      <c r="AE175" s="144"/>
    </row>
    <row r="176" spans="1:31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342">
        <f>SUM(V53)</f>
        <v>6436.9866816775175</v>
      </c>
      <c r="W176" s="273"/>
      <c r="X176" s="342">
        <f>SUM(X53)</f>
        <v>7083.7746372919164</v>
      </c>
      <c r="Y176" s="273"/>
      <c r="Z176" s="342">
        <f>SUM(Z53)</f>
        <v>7629.4848711061641</v>
      </c>
      <c r="AA176" s="342">
        <f>SUM(AA53)</f>
        <v>8260.554226434766</v>
      </c>
      <c r="AB176" s="342">
        <f>SUM(AB53)</f>
        <v>8863.9095986202465</v>
      </c>
      <c r="AC176" s="342">
        <f>SUM(AC53)</f>
        <v>9647.4179306975238</v>
      </c>
      <c r="AE176" s="145"/>
    </row>
    <row r="177" spans="1:31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342">
        <f>SUM(V75)</f>
        <v>11665.360656910996</v>
      </c>
      <c r="W177" s="273"/>
      <c r="X177" s="342">
        <f>SUM(X75)</f>
        <v>12606.621170433074</v>
      </c>
      <c r="Y177" s="273"/>
      <c r="Z177" s="342">
        <f>SUM(Z75)</f>
        <v>13419.484252667491</v>
      </c>
      <c r="AA177" s="342">
        <f>SUM(AA75)</f>
        <v>14329.222639384503</v>
      </c>
      <c r="AB177" s="342">
        <f>SUM(AB75)</f>
        <v>15220.997591836658</v>
      </c>
      <c r="AC177" s="342">
        <f>SUM(AC75)</f>
        <v>16279.126306560971</v>
      </c>
      <c r="AE177" s="145"/>
    </row>
    <row r="178" spans="1:31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343">
        <f>SUM(V95)</f>
        <v>13.303558399999998</v>
      </c>
      <c r="W178" s="273"/>
      <c r="X178" s="343">
        <f>SUM(X95)</f>
        <v>13.503111775999995</v>
      </c>
      <c r="Y178" s="273"/>
      <c r="Z178" s="343">
        <f>SUM(Z95)</f>
        <v>13.773174011519995</v>
      </c>
      <c r="AA178" s="343">
        <f>SUM(AA95)</f>
        <v>14.048637491750396</v>
      </c>
      <c r="AB178" s="343">
        <f>SUM(AB95)</f>
        <v>14.329610241585403</v>
      </c>
      <c r="AC178" s="343">
        <f>SUM(AC95)</f>
        <v>14.616202446417113</v>
      </c>
      <c r="AE178" s="145"/>
    </row>
    <row r="179" spans="1:31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55"/>
      <c r="T179" s="179">
        <f>SUM(T111)</f>
        <v>3479.2761100000002</v>
      </c>
      <c r="U179" s="273"/>
      <c r="V179" s="338">
        <f>SUM(V111)</f>
        <v>3404.7250049684135</v>
      </c>
      <c r="W179" s="273"/>
      <c r="X179" s="338">
        <f>SUM(X111)</f>
        <v>3455.7958800429396</v>
      </c>
      <c r="Y179" s="273"/>
      <c r="Z179" s="338">
        <f>SUM(Z111)</f>
        <v>3524.9117976437983</v>
      </c>
      <c r="AA179" s="338">
        <f>SUM(AA111)</f>
        <v>3595.4100335966741</v>
      </c>
      <c r="AB179" s="338">
        <f>SUM(AB111)</f>
        <v>3667.3182342686077</v>
      </c>
      <c r="AC179" s="338">
        <f>SUM(AC111)</f>
        <v>3740.6645989539797</v>
      </c>
      <c r="AE179" s="145"/>
    </row>
    <row r="180" spans="1:31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271"/>
      <c r="T180" s="272"/>
      <c r="U180" s="271"/>
      <c r="V180" s="342"/>
      <c r="W180" s="271"/>
      <c r="X180" s="342"/>
      <c r="Y180" s="271"/>
      <c r="Z180" s="342"/>
      <c r="AA180" s="342"/>
      <c r="AB180" s="342"/>
      <c r="AC180" s="342"/>
      <c r="AE180" s="144"/>
    </row>
    <row r="181" spans="1:31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09">SUM(G174:G179)</f>
        <v>22467.722571320119</v>
      </c>
      <c r="H181" s="3"/>
      <c r="I181" s="178">
        <f t="shared" si="109"/>
        <v>25222.541358363891</v>
      </c>
      <c r="J181" s="181"/>
      <c r="K181" s="180"/>
      <c r="L181" s="178">
        <f t="shared" ref="L181:AA181" si="110">SUM(L174:L179)</f>
        <v>27721.837982187997</v>
      </c>
      <c r="M181" s="181"/>
      <c r="N181" s="178">
        <f t="shared" ref="N181" si="111">SUM(N174:N179)</f>
        <v>29497.728188102526</v>
      </c>
      <c r="O181" s="280"/>
      <c r="P181" s="179">
        <f t="shared" si="110"/>
        <v>30629.426470680279</v>
      </c>
      <c r="Q181" s="281"/>
      <c r="R181" s="179">
        <f>SUM(R174:R179)</f>
        <v>33603.611274662006</v>
      </c>
      <c r="S181" s="281"/>
      <c r="T181" s="179">
        <f>SUM(T174:T179)</f>
        <v>33724.400079999999</v>
      </c>
      <c r="U181" s="273"/>
      <c r="V181" s="338">
        <f t="shared" si="110"/>
        <v>36328.837562340559</v>
      </c>
      <c r="W181" s="273"/>
      <c r="X181" s="338">
        <f t="shared" si="110"/>
        <v>39431.150685866698</v>
      </c>
      <c r="Y181" s="273"/>
      <c r="Z181" s="338">
        <f t="shared" si="110"/>
        <v>42099.833354707167</v>
      </c>
      <c r="AA181" s="338">
        <f t="shared" si="110"/>
        <v>45145.599036988409</v>
      </c>
      <c r="AB181" s="338">
        <f>SUM(AB174:AB179)</f>
        <v>48084.411316602178</v>
      </c>
      <c r="AC181" s="338">
        <f>SUM(AC174:AC179)</f>
        <v>51779.383131874594</v>
      </c>
      <c r="AE181" s="144"/>
    </row>
    <row r="182" spans="1:31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271"/>
      <c r="T182" s="272"/>
      <c r="U182" s="271"/>
      <c r="V182" s="342"/>
      <c r="W182" s="271"/>
      <c r="X182" s="342"/>
      <c r="Y182" s="271"/>
      <c r="Z182" s="342"/>
      <c r="AA182" s="342"/>
      <c r="AB182" s="342"/>
      <c r="AC182" s="342"/>
      <c r="AE182" s="144"/>
    </row>
    <row r="183" spans="1:31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271"/>
      <c r="T183" s="272"/>
      <c r="U183" s="271"/>
      <c r="V183" s="342"/>
      <c r="W183" s="271"/>
      <c r="X183" s="342"/>
      <c r="Y183" s="271"/>
      <c r="Z183" s="342"/>
      <c r="AA183" s="342"/>
      <c r="AB183" s="342"/>
      <c r="AC183" s="342"/>
      <c r="AE183" s="144"/>
    </row>
    <row r="184" spans="1:31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273"/>
      <c r="T184" s="276">
        <f>SUM(T130)</f>
        <v>3358.2858700000002</v>
      </c>
      <c r="U184" s="273"/>
      <c r="V184" s="342">
        <f>SUM(V130)</f>
        <v>3843.9964030509846</v>
      </c>
      <c r="W184" s="355"/>
      <c r="X184" s="342">
        <f>SUM(X130)</f>
        <v>4363.852134005534</v>
      </c>
      <c r="Y184" s="355"/>
      <c r="Z184" s="342">
        <f>SUM(Z130)</f>
        <v>4821.5188762242879</v>
      </c>
      <c r="AA184" s="342">
        <f>SUM(AA130)</f>
        <v>5308.603077277955</v>
      </c>
      <c r="AB184" s="342">
        <f>SUM(AB130)</f>
        <v>5810.3496255272566</v>
      </c>
      <c r="AC184" s="342">
        <f>SUM(AC130)</f>
        <v>6297.0587908781854</v>
      </c>
      <c r="AE184" s="145"/>
    </row>
    <row r="185" spans="1:31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273"/>
      <c r="T185" s="276">
        <f>SUM(T147)</f>
        <v>1765.7096300000001</v>
      </c>
      <c r="U185" s="273"/>
      <c r="V185" s="342">
        <f>SUM(V147)</f>
        <v>1799.726136863148</v>
      </c>
      <c r="W185" s="273"/>
      <c r="X185" s="342">
        <f>SUM(X147)</f>
        <v>2032.1770915519778</v>
      </c>
      <c r="Y185" s="273"/>
      <c r="Z185" s="342">
        <f>SUM(Z147)</f>
        <v>2236.3878070482615</v>
      </c>
      <c r="AA185" s="342">
        <f>SUM(AA147)</f>
        <v>2453.6315426448668</v>
      </c>
      <c r="AB185" s="342">
        <f>SUM(AB147)</f>
        <v>2677.3931587605957</v>
      </c>
      <c r="AC185" s="342">
        <f>SUM(AC147)</f>
        <v>2894.5578647470929</v>
      </c>
      <c r="AE185" s="145"/>
    </row>
    <row r="186" spans="1:31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342">
        <f>SUM(V165)</f>
        <v>4248.1532723286846</v>
      </c>
      <c r="W186" s="273"/>
      <c r="X186" s="342">
        <f>SUM(X165)</f>
        <v>4584.4519741818185</v>
      </c>
      <c r="Y186" s="273"/>
      <c r="Z186" s="342">
        <f>SUM(Z165)</f>
        <v>4871.2319367703885</v>
      </c>
      <c r="AA186" s="342">
        <f>SUM(AA165)</f>
        <v>5144.2310919144493</v>
      </c>
      <c r="AB186" s="342">
        <f>SUM(AB165)</f>
        <v>5435.1221991065313</v>
      </c>
      <c r="AC186" s="342">
        <f>SUM(AC165)</f>
        <v>5713.9867890365349</v>
      </c>
      <c r="AE186" s="145"/>
    </row>
    <row r="187" spans="1:31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80"/>
      <c r="T187" s="179">
        <v>0</v>
      </c>
      <c r="U187" s="273"/>
      <c r="V187" s="338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C187" s="338">
        <v>0</v>
      </c>
      <c r="AE187" s="144"/>
    </row>
    <row r="188" spans="1:31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271"/>
      <c r="T188" s="272"/>
      <c r="U188" s="271"/>
      <c r="V188" s="342"/>
      <c r="W188" s="271"/>
      <c r="X188" s="342"/>
      <c r="Y188" s="271"/>
      <c r="Z188" s="342"/>
      <c r="AA188" s="342"/>
      <c r="AB188" s="342"/>
      <c r="AC188" s="342"/>
      <c r="AE188" s="27"/>
    </row>
    <row r="189" spans="1:31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12">SUM(G184:G186)</f>
        <v>5381.658967623669</v>
      </c>
      <c r="H189" s="3"/>
      <c r="I189" s="178">
        <f t="shared" si="112"/>
        <v>5836.652431139988</v>
      </c>
      <c r="J189" s="181"/>
      <c r="K189" s="180"/>
      <c r="L189" s="178">
        <f t="shared" ref="L189:AC189" si="113">SUM(L184:L186)</f>
        <v>6656.9436187574665</v>
      </c>
      <c r="M189" s="181"/>
      <c r="N189" s="178">
        <f t="shared" ref="N189" si="114">SUM(N184:N186)</f>
        <v>6826.5169189769413</v>
      </c>
      <c r="O189" s="181"/>
      <c r="P189" s="179">
        <f t="shared" si="113"/>
        <v>7377.2878482527303</v>
      </c>
      <c r="Q189" s="180"/>
      <c r="R189" s="179">
        <f>SUM(R184:R186)</f>
        <v>8337.9596247768241</v>
      </c>
      <c r="S189" s="180"/>
      <c r="T189" s="179">
        <f>SUM(T184:T186)</f>
        <v>9536.0529500000011</v>
      </c>
      <c r="U189" s="273"/>
      <c r="V189" s="338">
        <f>SUM(V184:V186)</f>
        <v>9891.8758122428171</v>
      </c>
      <c r="W189" s="273"/>
      <c r="X189" s="338">
        <f t="shared" si="113"/>
        <v>10980.48119973933</v>
      </c>
      <c r="Y189" s="273"/>
      <c r="Z189" s="338">
        <f t="shared" si="113"/>
        <v>11929.138620042937</v>
      </c>
      <c r="AA189" s="338">
        <f t="shared" si="113"/>
        <v>12906.465711837271</v>
      </c>
      <c r="AB189" s="338">
        <f t="shared" si="113"/>
        <v>13922.864983394385</v>
      </c>
      <c r="AC189" s="338">
        <f t="shared" si="113"/>
        <v>14905.603444661814</v>
      </c>
    </row>
    <row r="190" spans="1:31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271"/>
      <c r="T190" s="270"/>
      <c r="U190" s="271"/>
      <c r="V190" s="368"/>
      <c r="W190" s="271"/>
      <c r="X190" s="342"/>
      <c r="Y190" s="271"/>
      <c r="Z190" s="342"/>
      <c r="AA190" s="342"/>
      <c r="AB190" s="342"/>
      <c r="AC190" s="342"/>
    </row>
    <row r="191" spans="1:31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14"/>
      <c r="T191" s="141">
        <f>SUM(T181+T189)</f>
        <v>43260.453030000004</v>
      </c>
      <c r="U191" s="273"/>
      <c r="V191" s="320">
        <f>SUM(V181+V189)</f>
        <v>46220.713374583378</v>
      </c>
      <c r="W191" s="273"/>
      <c r="X191" s="320">
        <f>SUM(X181+X189)</f>
        <v>50411.631885606024</v>
      </c>
      <c r="Y191" s="273"/>
      <c r="Z191" s="320">
        <f>SUM(Z181+Z189)</f>
        <v>54028.971974750108</v>
      </c>
      <c r="AA191" s="320">
        <f>SUM(AA181+AA189)</f>
        <v>58052.06474882568</v>
      </c>
      <c r="AB191" s="320">
        <f>SUM(AB181+AB189)</f>
        <v>62007.276299996563</v>
      </c>
      <c r="AC191" s="320">
        <f>SUM(AC181+AC189)</f>
        <v>66684.986576536408</v>
      </c>
    </row>
    <row r="192" spans="1:31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286"/>
      <c r="T192" s="285"/>
      <c r="U192" s="286"/>
      <c r="V192" s="285"/>
      <c r="W192" s="286"/>
      <c r="X192" s="285"/>
      <c r="Y192" s="286"/>
      <c r="Z192" s="285"/>
      <c r="AA192" s="285"/>
      <c r="AB192" s="285"/>
      <c r="AC192" s="285"/>
    </row>
    <row r="193" spans="1:29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290"/>
      <c r="T193" s="289">
        <f>SUM(T191-R191)</f>
        <v>1318.8821305611782</v>
      </c>
      <c r="U193" s="290"/>
      <c r="V193" s="289">
        <f>SUM(V191-T191)</f>
        <v>2960.2603445833738</v>
      </c>
      <c r="W193" s="290"/>
      <c r="X193" s="289">
        <f>SUM(X191-V191)</f>
        <v>4190.9185110226463</v>
      </c>
      <c r="Y193" s="290"/>
      <c r="Z193" s="289">
        <f>SUM(Z191-X191)</f>
        <v>3617.3400891440833</v>
      </c>
      <c r="AA193" s="289">
        <f>SUM(AA191-Z191)</f>
        <v>4023.0927740755724</v>
      </c>
      <c r="AB193" s="289">
        <f>SUM(AB191-AA191)</f>
        <v>3955.2115511708835</v>
      </c>
      <c r="AC193" s="289">
        <f>SUM(AC191-AB191)</f>
        <v>4677.7102765398449</v>
      </c>
    </row>
    <row r="194" spans="1:29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R194" s="11"/>
      <c r="S194" s="291"/>
      <c r="T194" s="11"/>
      <c r="U194" s="291"/>
      <c r="W194" s="291"/>
      <c r="Y194" s="291"/>
    </row>
    <row r="195" spans="1:29" x14ac:dyDescent="0.3">
      <c r="L195" s="10">
        <f>(L191-I191)/I191</f>
        <v>0.10687939403512148</v>
      </c>
      <c r="N195" s="10">
        <f>(N191-L191)/L191</f>
        <v>5.6589076620461323E-2</v>
      </c>
      <c r="P195" s="10">
        <f>(P191-N191)/N191</f>
        <v>4.631807782636152E-2</v>
      </c>
      <c r="R195" s="10">
        <f>(R191-P191)/P191</f>
        <v>0.10353056429678457</v>
      </c>
      <c r="T195" s="10">
        <f>(T191-R191)/R191</f>
        <v>3.1445701776964791E-2</v>
      </c>
      <c r="V195" s="10">
        <f>(V191-T191)/T191</f>
        <v>6.8428787431571964E-2</v>
      </c>
      <c r="X195" s="10">
        <f>(X191-V191)/V191</f>
        <v>9.0671869926767915E-2</v>
      </c>
      <c r="Z195" s="10">
        <f>(Z191-X191)/X191</f>
        <v>7.1756060136131769E-2</v>
      </c>
      <c r="AA195" s="10">
        <f>(AA191-Z191)/Z191</f>
        <v>7.4461767955824223E-2</v>
      </c>
      <c r="AB195" s="10">
        <f>(AB191-AA191)/AA191</f>
        <v>6.8132142556581371E-2</v>
      </c>
      <c r="AC195" s="10">
        <f>(AC191-AB191)/AB191</f>
        <v>7.543808655469203E-2</v>
      </c>
    </row>
    <row r="232" spans="20:22" x14ac:dyDescent="0.3">
      <c r="T232" s="354"/>
      <c r="V232" s="354"/>
    </row>
    <row r="233" spans="20:22" x14ac:dyDescent="0.3">
      <c r="T233" s="354"/>
      <c r="V233" s="354"/>
    </row>
    <row r="234" spans="20:22" x14ac:dyDescent="0.3">
      <c r="T234" s="354"/>
      <c r="V234" s="354"/>
    </row>
    <row r="236" spans="20:22" x14ac:dyDescent="0.3">
      <c r="T236" s="357"/>
      <c r="V236" s="357"/>
    </row>
  </sheetData>
  <pageMargins left="0.7" right="0.7" top="0.75" bottom="0.75" header="0.3" footer="0.3"/>
  <pageSetup paperSize="5" scale="60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36"/>
  <sheetViews>
    <sheetView zoomScale="85" zoomScaleNormal="85" workbookViewId="0">
      <pane xSplit="1" ySplit="9" topLeftCell="R79" activePane="bottomRight" state="frozen"/>
      <selection pane="topRight" activeCell="B1" sqref="B1"/>
      <selection pane="bottomLeft" activeCell="A10" sqref="A10"/>
      <selection pane="bottomRight" activeCell="W30" sqref="W30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8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customWidth="1" collapsed="1"/>
    <col min="19" max="19" width="7.6640625" style="2" customWidth="1"/>
    <col min="20" max="20" width="18.6640625" style="12" customWidth="1"/>
    <col min="21" max="21" width="7.6640625" style="2" customWidth="1"/>
    <col min="22" max="22" width="18.6640625" style="12" customWidth="1"/>
    <col min="23" max="23" width="7.6640625" style="2" customWidth="1"/>
    <col min="24" max="24" width="18.6640625" style="12" customWidth="1"/>
    <col min="25" max="25" width="7.6640625" style="2" customWidth="1"/>
    <col min="26" max="29" width="18.6640625" style="12" customWidth="1"/>
    <col min="30" max="16384" width="9.109375" style="12"/>
  </cols>
  <sheetData>
    <row r="1" spans="1:32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C1" s="298" t="s">
        <v>0</v>
      </c>
      <c r="AE1" s="300"/>
      <c r="AF1" s="12" t="s">
        <v>103</v>
      </c>
    </row>
    <row r="2" spans="1:32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 t="s">
        <v>145</v>
      </c>
      <c r="W2" s="4"/>
      <c r="X2" s="299" t="s">
        <v>145</v>
      </c>
      <c r="Y2" s="4"/>
      <c r="Z2" s="299" t="s">
        <v>145</v>
      </c>
      <c r="AA2" s="299" t="s">
        <v>145</v>
      </c>
      <c r="AB2" s="299" t="s">
        <v>145</v>
      </c>
      <c r="AC2" s="299" t="s">
        <v>145</v>
      </c>
    </row>
    <row r="3" spans="1:32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172</v>
      </c>
      <c r="W3" s="36"/>
      <c r="X3" s="264"/>
      <c r="Y3" s="36"/>
      <c r="Z3" s="264"/>
      <c r="AA3" s="264"/>
      <c r="AB3" s="264"/>
      <c r="AC3" s="264"/>
    </row>
    <row r="4" spans="1:32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  <c r="AC4" s="16" t="s">
        <v>3</v>
      </c>
    </row>
    <row r="5" spans="1:32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9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C7" si="0">Z5+1</f>
        <v>2021</v>
      </c>
      <c r="AB5" s="307">
        <f t="shared" si="0"/>
        <v>2022</v>
      </c>
      <c r="AC5" s="307">
        <f t="shared" si="0"/>
        <v>2023</v>
      </c>
    </row>
    <row r="6" spans="1:32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42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  <c r="AC6" s="308">
        <f t="shared" si="0"/>
        <v>2024</v>
      </c>
    </row>
    <row r="7" spans="1:32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46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  <c r="AC7" s="309">
        <f t="shared" si="0"/>
        <v>2024</v>
      </c>
    </row>
    <row r="8" spans="1:32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5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  <c r="AC8" s="310" t="s">
        <v>176</v>
      </c>
    </row>
    <row r="9" spans="1:32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54"/>
      <c r="W9" s="55"/>
      <c r="X9" s="311"/>
      <c r="Y9" s="55"/>
      <c r="Z9" s="311"/>
      <c r="AA9" s="311"/>
      <c r="AB9" s="311"/>
      <c r="AC9" s="311"/>
    </row>
    <row r="10" spans="1:32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120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  <c r="AC10" s="301" t="s">
        <v>177</v>
      </c>
    </row>
    <row r="11" spans="1:32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42"/>
      <c r="W11" s="43"/>
      <c r="X11" s="308"/>
      <c r="Y11" s="43"/>
      <c r="Z11" s="308"/>
      <c r="AA11" s="308"/>
      <c r="AB11" s="308"/>
      <c r="AC11" s="308"/>
    </row>
    <row r="12" spans="1:32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68"/>
      <c r="W12" s="47"/>
      <c r="X12" s="312"/>
      <c r="Y12" s="47"/>
      <c r="Z12" s="312"/>
      <c r="AA12" s="312"/>
      <c r="AB12" s="312"/>
      <c r="AC12" s="312"/>
    </row>
    <row r="13" spans="1:32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70">
        <v>2400000</v>
      </c>
      <c r="W13" s="73"/>
      <c r="X13" s="313">
        <f>SUM(V13:V19)</f>
        <v>2400000</v>
      </c>
      <c r="Y13" s="73"/>
      <c r="Z13" s="313">
        <f t="shared" ref="Z13" si="1">SUM(X13:X19)</f>
        <v>2703458</v>
      </c>
      <c r="AA13" s="313">
        <f>SUM(Z13:Z19)</f>
        <v>3003694</v>
      </c>
      <c r="AB13" s="313">
        <f>SUM(AA13:AA19)</f>
        <v>3339203</v>
      </c>
      <c r="AC13" s="313">
        <f>SUM(AB13:AB19)</f>
        <v>3674712</v>
      </c>
    </row>
    <row r="14" spans="1:32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153"/>
      <c r="W14" s="73"/>
      <c r="X14" s="313"/>
      <c r="Y14" s="73"/>
      <c r="Z14" s="313"/>
      <c r="AA14" s="313"/>
      <c r="AB14" s="313"/>
      <c r="AC14" s="313"/>
    </row>
    <row r="15" spans="1:32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153"/>
      <c r="W15" s="73"/>
      <c r="X15" s="77">
        <v>316035</v>
      </c>
      <c r="Y15" s="73"/>
      <c r="Z15" s="77">
        <v>305926</v>
      </c>
      <c r="AA15" s="77">
        <v>352619</v>
      </c>
      <c r="AB15" s="77">
        <f>AA15</f>
        <v>352619</v>
      </c>
      <c r="AC15" s="77">
        <f>AB15</f>
        <v>352619</v>
      </c>
    </row>
    <row r="16" spans="1:32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153"/>
      <c r="W16" s="73"/>
      <c r="X16" s="77">
        <v>-12577</v>
      </c>
      <c r="Y16" s="73"/>
      <c r="Z16" s="77">
        <v>-5690</v>
      </c>
      <c r="AA16" s="77">
        <v>-17110</v>
      </c>
      <c r="AB16" s="77">
        <f>AA16</f>
        <v>-17110</v>
      </c>
      <c r="AC16" s="77">
        <f>AB16</f>
        <v>-17110</v>
      </c>
    </row>
    <row r="17" spans="1:29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153"/>
      <c r="W17" s="73"/>
      <c r="X17" s="77"/>
      <c r="Y17" s="73"/>
      <c r="Z17" s="77"/>
      <c r="AA17" s="77"/>
      <c r="AB17" s="77"/>
      <c r="AC17" s="77"/>
    </row>
    <row r="18" spans="1:29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153"/>
      <c r="W18" s="73"/>
      <c r="X18" s="77">
        <f>V18</f>
        <v>0</v>
      </c>
      <c r="Y18" s="73"/>
      <c r="Z18" s="77">
        <f>X18</f>
        <v>0</v>
      </c>
      <c r="AA18" s="77">
        <f t="shared" ref="AA18:AC19" si="2">Z18</f>
        <v>0</v>
      </c>
      <c r="AB18" s="77">
        <f t="shared" si="2"/>
        <v>0</v>
      </c>
      <c r="AC18" s="77">
        <f t="shared" si="2"/>
        <v>0</v>
      </c>
    </row>
    <row r="19" spans="1:29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155"/>
      <c r="W19" s="84"/>
      <c r="X19" s="85">
        <f>V19</f>
        <v>0</v>
      </c>
      <c r="Y19" s="84"/>
      <c r="Z19" s="85">
        <f>X19</f>
        <v>0</v>
      </c>
      <c r="AA19" s="85">
        <f t="shared" si="2"/>
        <v>0</v>
      </c>
      <c r="AB19" s="85">
        <f t="shared" si="2"/>
        <v>0</v>
      </c>
      <c r="AC19" s="85">
        <f t="shared" si="2"/>
        <v>0</v>
      </c>
    </row>
    <row r="20" spans="1:29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87">
        <v>0.96493331984800101</v>
      </c>
      <c r="W20" s="73"/>
      <c r="X20" s="314">
        <f>SUM(V20)</f>
        <v>0.96493331984800101</v>
      </c>
      <c r="Y20" s="73"/>
      <c r="Z20" s="314">
        <f>SUM(X20)</f>
        <v>0.96493331984800101</v>
      </c>
      <c r="AA20" s="314">
        <f t="shared" ref="AA20:AA21" si="3">SUM(Z20)</f>
        <v>0.96493331984800101</v>
      </c>
      <c r="AB20" s="314">
        <f>SUM(AA20)</f>
        <v>0.96493331984800101</v>
      </c>
      <c r="AC20" s="314">
        <f>SUM(AB20)</f>
        <v>0.96493331984800101</v>
      </c>
    </row>
    <row r="21" spans="1:29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91">
        <v>0.56479999999999997</v>
      </c>
      <c r="W21" s="84"/>
      <c r="X21" s="315">
        <f>SUM(V21)</f>
        <v>0.56479999999999997</v>
      </c>
      <c r="Y21" s="84"/>
      <c r="Z21" s="315">
        <f>SUM(X21)</f>
        <v>0.56479999999999997</v>
      </c>
      <c r="AA21" s="315">
        <f t="shared" si="3"/>
        <v>0.56479999999999997</v>
      </c>
      <c r="AB21" s="315">
        <f>SUM(AA21)</f>
        <v>0.56479999999999997</v>
      </c>
      <c r="AC21" s="315">
        <f>SUM(AB21)</f>
        <v>0.56479999999999997</v>
      </c>
    </row>
    <row r="22" spans="1:29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4">SUM(G13:G19)*G20*G21</f>
        <v>749495.24554680008</v>
      </c>
      <c r="I22" s="69">
        <f t="shared" si="4"/>
        <v>822232.32062400004</v>
      </c>
      <c r="J22" s="70"/>
      <c r="K22" s="71"/>
      <c r="L22" s="69">
        <f t="shared" ref="L22:N22" si="5">SUM(L13:L19)*L20*L21</f>
        <v>962461.34900000005</v>
      </c>
      <c r="M22" s="72"/>
      <c r="N22" s="69">
        <f t="shared" si="5"/>
        <v>1154211.1569999997</v>
      </c>
      <c r="O22" s="70"/>
      <c r="P22" s="70">
        <f t="shared" ref="P22:AA22" si="6">SUM(P13:P19)*P20*P21</f>
        <v>1162234.5759999999</v>
      </c>
      <c r="Q22" s="73"/>
      <c r="R22" s="70">
        <f t="shared" ref="R22" si="7">SUM(R13:R19)*R20*R21</f>
        <v>1207497.787</v>
      </c>
      <c r="S22" s="73"/>
      <c r="T22" s="70">
        <f>SUM(T13:T19)*T20*T21</f>
        <v>1238307.8730000001</v>
      </c>
      <c r="U22" s="73"/>
      <c r="V22" s="70">
        <f>SUM(V13:V19)*V20*V21</f>
        <v>1307986.4137203621</v>
      </c>
      <c r="W22" s="73"/>
      <c r="X22" s="313">
        <f t="shared" si="6"/>
        <v>1473369.305859843</v>
      </c>
      <c r="Y22" s="73"/>
      <c r="Z22" s="313">
        <f t="shared" si="6"/>
        <v>1636996.2262389041</v>
      </c>
      <c r="AA22" s="313">
        <f t="shared" si="6"/>
        <v>1819846.7319392813</v>
      </c>
      <c r="AB22" s="313">
        <f>SUM(AB13:AB19)*AB20*AB21</f>
        <v>2002697.2376396582</v>
      </c>
      <c r="AC22" s="313">
        <f>SUM(AC13:AC19)*AC20*AC21</f>
        <v>2185547.7433400354</v>
      </c>
    </row>
    <row r="23" spans="1:29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70">
        <v>489.39157803826998</v>
      </c>
      <c r="W23" s="73"/>
      <c r="X23" s="313"/>
      <c r="Y23" s="73"/>
      <c r="Z23" s="313"/>
      <c r="AA23" s="313"/>
      <c r="AB23" s="313"/>
      <c r="AC23" s="313"/>
    </row>
    <row r="24" spans="1:29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8">SUM(I22)</f>
        <v>822232.32062400004</v>
      </c>
      <c r="J24" s="70"/>
      <c r="K24" s="71"/>
      <c r="L24" s="69">
        <f t="shared" ref="L24" si="9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70">
        <f>SUM(V22:V23)</f>
        <v>1308475.8052984003</v>
      </c>
      <c r="W24" s="73"/>
      <c r="X24" s="313">
        <f t="shared" ref="X24:AA24" si="10">SUM(X22)</f>
        <v>1473369.305859843</v>
      </c>
      <c r="Y24" s="73"/>
      <c r="Z24" s="313">
        <f t="shared" si="10"/>
        <v>1636996.2262389041</v>
      </c>
      <c r="AA24" s="313">
        <f t="shared" si="10"/>
        <v>1819846.7319392813</v>
      </c>
      <c r="AB24" s="313">
        <f>SUM(AB22)</f>
        <v>2002697.2376396582</v>
      </c>
      <c r="AC24" s="313">
        <f>SUM(AC22)</f>
        <v>2185547.7433400354</v>
      </c>
    </row>
    <row r="25" spans="1:29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70">
        <v>1064023.335</v>
      </c>
      <c r="Q25" s="73"/>
      <c r="R25" s="70">
        <v>1117051.1471780001</v>
      </c>
      <c r="S25" s="73"/>
      <c r="T25" s="70">
        <v>1153650.0430000001</v>
      </c>
      <c r="U25" s="73"/>
      <c r="V25" s="313"/>
      <c r="W25" s="73"/>
      <c r="X25" s="313"/>
      <c r="Y25" s="73"/>
      <c r="Z25" s="313"/>
      <c r="AA25" s="313"/>
      <c r="AB25" s="313"/>
      <c r="AC25" s="313"/>
    </row>
    <row r="26" spans="1:29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316">
        <f>SUM(T26)</f>
        <v>0.93137142914001647</v>
      </c>
      <c r="W26" s="81"/>
      <c r="X26" s="316">
        <f>SUM(V26)</f>
        <v>0.93137142914001647</v>
      </c>
      <c r="Y26" s="81"/>
      <c r="Z26" s="316">
        <f>SUM(X26)</f>
        <v>0.93137142914001647</v>
      </c>
      <c r="AA26" s="316">
        <f t="shared" ref="AA26" si="11">SUM(Z26)</f>
        <v>0.93137142914001647</v>
      </c>
      <c r="AB26" s="316">
        <f>SUM(AA26)</f>
        <v>0.93137142914001647</v>
      </c>
      <c r="AC26" s="316">
        <f>SUM(AB26)</f>
        <v>0.93137142914001647</v>
      </c>
    </row>
    <row r="27" spans="1:29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2">SUM(G24*G26)</f>
        <v>681556.79615745938</v>
      </c>
      <c r="I27" s="69">
        <f t="shared" si="12"/>
        <v>765508.78650503687</v>
      </c>
      <c r="J27" s="70"/>
      <c r="K27" s="71"/>
      <c r="L27" s="69">
        <f t="shared" ref="L27:AA27" si="13">SUM(L24*L26)</f>
        <v>898630</v>
      </c>
      <c r="M27" s="72"/>
      <c r="N27" s="69">
        <f t="shared" si="13"/>
        <v>1070854.5930000001</v>
      </c>
      <c r="O27" s="72"/>
      <c r="P27" s="70">
        <f>SUM(P24*P26)</f>
        <v>1064023.335</v>
      </c>
      <c r="R27" s="70">
        <f t="shared" ref="R27" si="14">SUM(R24*R26)</f>
        <v>1117051.1471780001</v>
      </c>
      <c r="T27" s="70">
        <f>SUM(T24*T26)</f>
        <v>1153650.0430000001</v>
      </c>
      <c r="U27" s="71"/>
      <c r="V27" s="313">
        <f>SUM(V24*V26)</f>
        <v>1218676.9807759051</v>
      </c>
      <c r="W27" s="71"/>
      <c r="X27" s="313">
        <f t="shared" si="13"/>
        <v>1372254.076049716</v>
      </c>
      <c r="Y27" s="71"/>
      <c r="Z27" s="313">
        <f t="shared" si="13"/>
        <v>1524651.5147289417</v>
      </c>
      <c r="AA27" s="313">
        <f t="shared" si="13"/>
        <v>1694953.2515420769</v>
      </c>
      <c r="AB27" s="313">
        <f>SUM(AB24*AB26)</f>
        <v>1865254.9883552117</v>
      </c>
      <c r="AC27" s="313">
        <f>SUM(AC24*AC26)</f>
        <v>2035556.7251683467</v>
      </c>
    </row>
    <row r="28" spans="1:29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313">
        <v>0</v>
      </c>
      <c r="W28" s="71"/>
      <c r="X28" s="313">
        <v>0</v>
      </c>
      <c r="Y28" s="71"/>
      <c r="Z28" s="313">
        <v>0</v>
      </c>
      <c r="AA28" s="313">
        <v>0</v>
      </c>
      <c r="AB28" s="313">
        <v>0</v>
      </c>
      <c r="AC28" s="313">
        <v>0</v>
      </c>
    </row>
    <row r="29" spans="1:29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5">SUM(G27:G28)</f>
        <v>681556.79615745938</v>
      </c>
      <c r="I29" s="99">
        <f t="shared" si="15"/>
        <v>765508.78650503687</v>
      </c>
      <c r="J29" s="100"/>
      <c r="K29" s="101"/>
      <c r="L29" s="99">
        <f t="shared" ref="L29:AA29" si="16">SUM(L27:L28)</f>
        <v>898630</v>
      </c>
      <c r="M29" s="102"/>
      <c r="N29" s="99">
        <f t="shared" si="16"/>
        <v>1070854.5930000001</v>
      </c>
      <c r="O29" s="102"/>
      <c r="P29" s="100">
        <f t="shared" si="16"/>
        <v>1064023.335</v>
      </c>
      <c r="Q29" s="101"/>
      <c r="R29" s="100">
        <f t="shared" ref="R29" si="17">SUM(R27:R28)</f>
        <v>1117051.1471780001</v>
      </c>
      <c r="S29" s="101"/>
      <c r="T29" s="100">
        <f>SUM(T27:T28)</f>
        <v>1153650.0430000001</v>
      </c>
      <c r="U29" s="101"/>
      <c r="V29" s="317">
        <f>SUM(V27:V28)</f>
        <v>1218676.9807759051</v>
      </c>
      <c r="W29" s="101"/>
      <c r="X29" s="317">
        <f t="shared" si="16"/>
        <v>1372254.076049716</v>
      </c>
      <c r="Y29" s="101"/>
      <c r="Z29" s="317">
        <f t="shared" si="16"/>
        <v>1524651.5147289417</v>
      </c>
      <c r="AA29" s="317">
        <f t="shared" si="16"/>
        <v>1694953.2515420769</v>
      </c>
      <c r="AB29" s="317">
        <f>SUM(AB27:AB28)</f>
        <v>1865254.9883552117</v>
      </c>
      <c r="AC29" s="317">
        <f>SUM(AC27:AC28)</f>
        <v>2035556.7251683467</v>
      </c>
    </row>
    <row r="30" spans="1:29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305">
        <v>0.09</v>
      </c>
      <c r="V30" s="318">
        <f>SUM(T30*(1+U30))</f>
        <v>1.2153347127470267E-2</v>
      </c>
      <c r="W30" s="305">
        <v>1.4999999999999999E-2</v>
      </c>
      <c r="X30" s="318">
        <f>SUM(V30*(1+W30))</f>
        <v>1.233564733438232E-2</v>
      </c>
      <c r="Y30" s="305">
        <v>0.02</v>
      </c>
      <c r="Z30" s="318">
        <f>SUM(X30*(1+Y30))</f>
        <v>1.2582360281069967E-2</v>
      </c>
      <c r="AA30" s="318">
        <f>SUM(Z30*(1+Y30))</f>
        <v>1.2834007486691366E-2</v>
      </c>
      <c r="AB30" s="318">
        <f>SUM(AA30*(1+Y30))</f>
        <v>1.3090687636425194E-2</v>
      </c>
      <c r="AC30" s="318">
        <f>SUM(AB30*(1+$Y$30))</f>
        <v>1.3352501389153698E-2</v>
      </c>
    </row>
    <row r="31" spans="1:29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319"/>
      <c r="W31" s="71"/>
      <c r="X31" s="319"/>
      <c r="Y31" s="71"/>
      <c r="Z31" s="319"/>
      <c r="AA31" s="319"/>
      <c r="AB31" s="319"/>
      <c r="AC31" s="319"/>
    </row>
    <row r="32" spans="1:29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8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AA32" si="19">SUM(N29*N30)</f>
        <v>12999.765589175515</v>
      </c>
      <c r="O32" s="113"/>
      <c r="P32" s="141">
        <f t="shared" si="19"/>
        <v>12677.752</v>
      </c>
      <c r="Q32" s="114"/>
      <c r="R32" s="141">
        <f t="shared" ref="R32" si="20">SUM(R29*R30)</f>
        <v>14080.649957033333</v>
      </c>
      <c r="S32" s="114"/>
      <c r="T32" s="141">
        <f>SUM(T29*T30)</f>
        <v>12863.036179999999</v>
      </c>
      <c r="U32" s="114"/>
      <c r="V32" s="320">
        <f>SUM(V29*V30)</f>
        <v>14811.004383626983</v>
      </c>
      <c r="W32" s="114"/>
      <c r="X32" s="320">
        <f>SUM(X29*X30)</f>
        <v>16927.642335317953</v>
      </c>
      <c r="Y32" s="370"/>
      <c r="Z32" s="320">
        <f t="shared" si="19"/>
        <v>19183.714661398597</v>
      </c>
      <c r="AA32" s="320">
        <f t="shared" si="19"/>
        <v>21753.042719882887</v>
      </c>
      <c r="AB32" s="320">
        <f>SUM(AB29*AB30)</f>
        <v>24417.470414841988</v>
      </c>
      <c r="AC32" s="320">
        <f>SUM(AC29*AC30)</f>
        <v>27179.774000511501</v>
      </c>
    </row>
    <row r="33" spans="1:29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116"/>
      <c r="W33" s="117"/>
      <c r="X33" s="116"/>
      <c r="Y33" s="117"/>
      <c r="Z33" s="116"/>
      <c r="AA33" s="116"/>
      <c r="AB33" s="116"/>
      <c r="AC33" s="116"/>
    </row>
    <row r="34" spans="1:29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120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  <c r="AC34" s="301" t="str">
        <f>$AC$10</f>
        <v>2024 Estimate</v>
      </c>
    </row>
    <row r="35" spans="1:29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65"/>
      <c r="W35" s="64"/>
      <c r="X35" s="321"/>
      <c r="Y35" s="64"/>
      <c r="Z35" s="321"/>
      <c r="AA35" s="321"/>
      <c r="AB35" s="321"/>
      <c r="AC35" s="321"/>
    </row>
    <row r="36" spans="1:29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65"/>
      <c r="W36" s="64"/>
      <c r="X36" s="321"/>
      <c r="Y36" s="64"/>
      <c r="Z36" s="321"/>
      <c r="AA36" s="321"/>
      <c r="AB36" s="321"/>
      <c r="AC36" s="321"/>
    </row>
    <row r="37" spans="1:29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70">
        <v>2481598.6882600002</v>
      </c>
      <c r="W37" s="73"/>
      <c r="X37" s="313">
        <f>SUM(V37:V42)</f>
        <v>2481598.6882600002</v>
      </c>
      <c r="Y37" s="73"/>
      <c r="Z37" s="313">
        <f>SUM(X37:X42)</f>
        <v>2785056.6882600002</v>
      </c>
      <c r="AA37" s="313">
        <f>SUM(Z37:Z42)</f>
        <v>3085292.6882600002</v>
      </c>
      <c r="AB37" s="313">
        <f>SUM(AA37:AA42)</f>
        <v>3420801.6882600002</v>
      </c>
      <c r="AC37" s="313">
        <f>SUM(AB37:AB42)</f>
        <v>3756310.6882600002</v>
      </c>
    </row>
    <row r="38" spans="1:29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124"/>
      <c r="W38" s="73"/>
      <c r="X38" s="322"/>
      <c r="Y38" s="73"/>
      <c r="Z38" s="322"/>
      <c r="AA38" s="322"/>
      <c r="AB38" s="322"/>
      <c r="AC38" s="322"/>
    </row>
    <row r="39" spans="1:29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153"/>
      <c r="W39" s="73"/>
      <c r="X39" s="344">
        <f t="shared" ref="X39:AA40" si="21">SUM(X15)</f>
        <v>316035</v>
      </c>
      <c r="Y39" s="73"/>
      <c r="Z39" s="344">
        <f t="shared" si="21"/>
        <v>305926</v>
      </c>
      <c r="AA39" s="344">
        <f t="shared" si="21"/>
        <v>352619</v>
      </c>
      <c r="AB39" s="344">
        <f>SUM(AB15)</f>
        <v>352619</v>
      </c>
      <c r="AC39" s="344">
        <f>SUM(AC15)</f>
        <v>352619</v>
      </c>
    </row>
    <row r="40" spans="1:29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126"/>
      <c r="W40" s="73"/>
      <c r="X40" s="344">
        <f t="shared" si="21"/>
        <v>-12577</v>
      </c>
      <c r="Y40" s="73"/>
      <c r="Z40" s="344">
        <f t="shared" si="21"/>
        <v>-5690</v>
      </c>
      <c r="AA40" s="344">
        <f t="shared" si="21"/>
        <v>-17110</v>
      </c>
      <c r="AB40" s="344">
        <f>SUM(AB16)</f>
        <v>-17110</v>
      </c>
      <c r="AC40" s="344">
        <f>SUM(AC16)</f>
        <v>-17110</v>
      </c>
    </row>
    <row r="41" spans="1:29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126"/>
      <c r="W41" s="73"/>
      <c r="X41" s="344">
        <f t="shared" ref="X41:AA42" si="22">SUM(X18)</f>
        <v>0</v>
      </c>
      <c r="Y41" s="73"/>
      <c r="Z41" s="344">
        <f t="shared" si="22"/>
        <v>0</v>
      </c>
      <c r="AA41" s="344">
        <f t="shared" si="22"/>
        <v>0</v>
      </c>
      <c r="AB41" s="344">
        <f>SUM(AB18)</f>
        <v>0</v>
      </c>
      <c r="AC41" s="344">
        <f>SUM(AC18)</f>
        <v>0</v>
      </c>
    </row>
    <row r="42" spans="1:29" x14ac:dyDescent="0.3">
      <c r="A42" s="56" t="s">
        <v>52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126"/>
      <c r="W42" s="73"/>
      <c r="X42" s="344">
        <f t="shared" si="22"/>
        <v>0</v>
      </c>
      <c r="Y42" s="73"/>
      <c r="Z42" s="344">
        <f t="shared" si="22"/>
        <v>0</v>
      </c>
      <c r="AA42" s="344">
        <f t="shared" si="22"/>
        <v>0</v>
      </c>
      <c r="AB42" s="344">
        <f>SUM(AB19)</f>
        <v>0</v>
      </c>
      <c r="AC42" s="344">
        <f>SUM(AC19)</f>
        <v>0</v>
      </c>
    </row>
    <row r="43" spans="1:29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83"/>
      <c r="W43" s="84"/>
      <c r="X43" s="323"/>
      <c r="Y43" s="84"/>
      <c r="Z43" s="323"/>
      <c r="AA43" s="323"/>
      <c r="AB43" s="323"/>
      <c r="AC43" s="323"/>
    </row>
    <row r="44" spans="1:29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87">
        <v>1</v>
      </c>
      <c r="W44" s="73"/>
      <c r="X44" s="314">
        <v>1</v>
      </c>
      <c r="Y44" s="73"/>
      <c r="Z44" s="314">
        <v>1</v>
      </c>
      <c r="AA44" s="314">
        <v>1</v>
      </c>
      <c r="AB44" s="314">
        <v>1</v>
      </c>
      <c r="AC44" s="314">
        <v>1</v>
      </c>
    </row>
    <row r="45" spans="1:29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91">
        <f>619029054/2481598688.26</f>
        <v>0.24944768746393839</v>
      </c>
      <c r="W45" s="84"/>
      <c r="X45" s="315">
        <f>SUM(V45)</f>
        <v>0.24944768746393839</v>
      </c>
      <c r="Y45" s="84"/>
      <c r="Z45" s="315">
        <f>SUM(X45)</f>
        <v>0.24944768746393839</v>
      </c>
      <c r="AA45" s="315">
        <f t="shared" ref="AA45" si="23">SUM(Z45)</f>
        <v>0.24944768746393839</v>
      </c>
      <c r="AB45" s="315">
        <f>SUM(AA45)</f>
        <v>0.24944768746393839</v>
      </c>
      <c r="AC45" s="315">
        <f>SUM(AB45)</f>
        <v>0.24944768746393839</v>
      </c>
    </row>
    <row r="46" spans="1:29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70">
        <f>SUM(V37:V43)*V44*V45</f>
        <v>619029.054</v>
      </c>
      <c r="W46" s="73"/>
      <c r="X46" s="313">
        <f>SUM(X37:X43)*X44*X45</f>
        <v>694725.95034243178</v>
      </c>
      <c r="Y46" s="73"/>
      <c r="Z46" s="313">
        <f>SUM(Z37:Z43)*Z44*Z45</f>
        <v>769619.12623585481</v>
      </c>
      <c r="AA46" s="313">
        <f>SUM(AA37:AA43)*AA44*AA45</f>
        <v>853311.07040919329</v>
      </c>
      <c r="AB46" s="313">
        <f>SUM(AB37:AB43)*AB44*AB45</f>
        <v>937003.01458253188</v>
      </c>
      <c r="AC46" s="313">
        <f>SUM(AC37:AC43)*AC44*AC45</f>
        <v>1020694.9587558703</v>
      </c>
    </row>
    <row r="47" spans="1:29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83">
        <f>589749.943-V46</f>
        <v>-29279.111000000034</v>
      </c>
      <c r="W47" s="84"/>
      <c r="X47" s="323">
        <f>SUM(V47)</f>
        <v>-29279.111000000034</v>
      </c>
      <c r="Y47" s="84"/>
      <c r="Z47" s="323">
        <f>SUM(X47)</f>
        <v>-29279.111000000034</v>
      </c>
      <c r="AA47" s="323">
        <f t="shared" ref="AA47" si="24">SUM(Z47)</f>
        <v>-29279.111000000034</v>
      </c>
      <c r="AB47" s="323">
        <f>SUM(AA47)</f>
        <v>-29279.111000000034</v>
      </c>
      <c r="AC47" s="323">
        <f>SUM(AB47)</f>
        <v>-29279.111000000034</v>
      </c>
    </row>
    <row r="48" spans="1:29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5">SUM(L46:L47)</f>
        <v>469394.93499999994</v>
      </c>
      <c r="M48" s="72"/>
      <c r="N48" s="69">
        <f t="shared" si="25"/>
        <v>504910.23699999996</v>
      </c>
      <c r="O48" s="70"/>
      <c r="P48" s="70">
        <f t="shared" si="25"/>
        <v>504754.00099999999</v>
      </c>
      <c r="Q48" s="73"/>
      <c r="R48" s="70">
        <f>SUM(R46:R47)</f>
        <v>549171.69446199993</v>
      </c>
      <c r="S48" s="73"/>
      <c r="T48" s="70">
        <f t="shared" si="25"/>
        <v>573846.04099999997</v>
      </c>
      <c r="U48" s="73"/>
      <c r="V48" s="70">
        <f>SUM(V46:V47)</f>
        <v>589749.94299999997</v>
      </c>
      <c r="W48" s="73"/>
      <c r="X48" s="313">
        <f t="shared" si="25"/>
        <v>665446.83934243175</v>
      </c>
      <c r="Y48" s="73"/>
      <c r="Z48" s="313">
        <f>SUM(Z46:Z47)</f>
        <v>740340.01523585478</v>
      </c>
      <c r="AA48" s="313">
        <f t="shared" si="25"/>
        <v>824031.95940919325</v>
      </c>
      <c r="AB48" s="313">
        <f>SUM(AB46:AB47)</f>
        <v>907723.90358253184</v>
      </c>
      <c r="AC48" s="313">
        <f>SUM(AC46:AC47)</f>
        <v>991415.84775587032</v>
      </c>
    </row>
    <row r="49" spans="1:29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134">
        <v>1</v>
      </c>
      <c r="W49" s="84"/>
      <c r="X49" s="324">
        <v>1</v>
      </c>
      <c r="Y49" s="84"/>
      <c r="Z49" s="324">
        <v>1</v>
      </c>
      <c r="AA49" s="324">
        <v>1</v>
      </c>
      <c r="AB49" s="324">
        <v>1</v>
      </c>
      <c r="AC49" s="324">
        <v>1</v>
      </c>
    </row>
    <row r="50" spans="1:29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6">SUM(G48*G49)</f>
        <v>426852.43202319462</v>
      </c>
      <c r="I50" s="69">
        <f t="shared" si="26"/>
        <v>468663.26434402453</v>
      </c>
      <c r="J50" s="70"/>
      <c r="K50" s="71"/>
      <c r="L50" s="69">
        <f t="shared" ref="L50:AA50" si="27">SUM(L48*L49)</f>
        <v>469394.93499999994</v>
      </c>
      <c r="M50" s="72"/>
      <c r="N50" s="69">
        <f t="shared" si="27"/>
        <v>504910.23699999996</v>
      </c>
      <c r="O50" s="70"/>
      <c r="P50" s="70">
        <f t="shared" si="27"/>
        <v>504754.00099999999</v>
      </c>
      <c r="Q50" s="73"/>
      <c r="R50" s="70">
        <f>SUM(R48*R49)</f>
        <v>549171.69446199993</v>
      </c>
      <c r="S50" s="73"/>
      <c r="T50" s="70">
        <f t="shared" si="27"/>
        <v>573846.04099999997</v>
      </c>
      <c r="U50" s="73"/>
      <c r="V50" s="70">
        <f>SUM(V48*V49)</f>
        <v>589749.94299999997</v>
      </c>
      <c r="W50" s="73"/>
      <c r="X50" s="313">
        <f t="shared" si="27"/>
        <v>665446.83934243175</v>
      </c>
      <c r="Y50" s="73"/>
      <c r="Z50" s="313">
        <f>SUM(Z48*Z49)</f>
        <v>740340.01523585478</v>
      </c>
      <c r="AA50" s="313">
        <f t="shared" si="27"/>
        <v>824031.95940919325</v>
      </c>
      <c r="AB50" s="313">
        <f>SUM(AB48*AB49)</f>
        <v>907723.90358253184</v>
      </c>
      <c r="AC50" s="313">
        <f>SUM(AC48*AC49)</f>
        <v>991415.84775587032</v>
      </c>
    </row>
    <row r="51" spans="1:29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305">
        <v>0.01</v>
      </c>
      <c r="V51" s="318">
        <f>SUM(T51*(1+U51))</f>
        <v>1.0914772876336704E-2</v>
      </c>
      <c r="W51" s="305">
        <f>$W$30</f>
        <v>1.4999999999999999E-2</v>
      </c>
      <c r="X51" s="318">
        <f>SUM(V51*(1+W51))</f>
        <v>1.1078494469481753E-2</v>
      </c>
      <c r="Y51" s="305">
        <f>$Y$30</f>
        <v>0.02</v>
      </c>
      <c r="Z51" s="318">
        <f>SUM(X51*(1+Y51))</f>
        <v>1.1300064358871388E-2</v>
      </c>
      <c r="AA51" s="318">
        <f>SUM(Z51*(1+Y51))</f>
        <v>1.1526065646048815E-2</v>
      </c>
      <c r="AB51" s="318">
        <f>SUM(AA51*(1+Y51))</f>
        <v>1.1756586958969792E-2</v>
      </c>
      <c r="AC51" s="318">
        <f>SUM(AB51*(1+$Y$51))</f>
        <v>1.1991718698149188E-2</v>
      </c>
    </row>
    <row r="52" spans="1:29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319"/>
      <c r="W52" s="71"/>
      <c r="X52" s="319"/>
      <c r="Y52" s="71"/>
      <c r="Z52" s="319"/>
      <c r="AA52" s="319"/>
      <c r="AB52" s="319"/>
      <c r="AC52" s="319"/>
    </row>
    <row r="53" spans="1:29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8">SUM(G50*G51)</f>
        <v>4690.254523070862</v>
      </c>
      <c r="I53" s="112">
        <f t="shared" si="28"/>
        <v>5359.0285675337436</v>
      </c>
      <c r="J53" s="141"/>
      <c r="K53" s="114"/>
      <c r="L53" s="112">
        <f t="shared" ref="L53:AA53" si="29">SUM(L50*L51)</f>
        <v>5440.7422465869995</v>
      </c>
      <c r="M53" s="113"/>
      <c r="N53" s="112">
        <f t="shared" si="29"/>
        <v>5717.717903841688</v>
      </c>
      <c r="O53" s="113"/>
      <c r="P53" s="141">
        <f t="shared" si="29"/>
        <v>5675.1669887565686</v>
      </c>
      <c r="Q53" s="114"/>
      <c r="R53" s="141">
        <f>SUM(R50*R51)</f>
        <v>6132.3038800000004</v>
      </c>
      <c r="S53" s="114"/>
      <c r="T53" s="141">
        <f>SUM(T50*T51)</f>
        <v>6201.3853499999996</v>
      </c>
      <c r="U53" s="114"/>
      <c r="V53" s="320">
        <f>SUM(V50*V51)</f>
        <v>6436.9866816775175</v>
      </c>
      <c r="W53" s="370"/>
      <c r="X53" s="320">
        <f>SUM(X50*X51)</f>
        <v>7372.1491293892432</v>
      </c>
      <c r="Y53" s="370"/>
      <c r="Z53" s="320">
        <f t="shared" si="29"/>
        <v>8365.889819612983</v>
      </c>
      <c r="AA53" s="320">
        <f t="shared" si="29"/>
        <v>9497.846458592594</v>
      </c>
      <c r="AB53" s="320">
        <f>SUM(AB50*AB51)</f>
        <v>10671.735007203546</v>
      </c>
      <c r="AC53" s="320">
        <f>SUM(AC50*AC51)</f>
        <v>11888.779959175499</v>
      </c>
    </row>
    <row r="54" spans="1:29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  <c r="AC54" s="144"/>
    </row>
    <row r="55" spans="1:29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120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  <c r="AC55" s="301" t="str">
        <f>$AC$10</f>
        <v>2024 Estimate</v>
      </c>
    </row>
    <row r="56" spans="1:29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4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  <c r="AC56" s="312" t="s">
        <v>57</v>
      </c>
    </row>
    <row r="57" spans="1:29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149">
        <v>4499000</v>
      </c>
      <c r="W57" s="152"/>
      <c r="X57" s="325">
        <f>+V57</f>
        <v>4499000</v>
      </c>
      <c r="Y57" s="152"/>
      <c r="Z57" s="325">
        <f>SUM(X57:X60)</f>
        <v>4893226</v>
      </c>
      <c r="AA57" s="325">
        <f>SUM(Z57:Z60)</f>
        <v>5268480</v>
      </c>
      <c r="AB57" s="325">
        <f>SUM(AA57:AA60)</f>
        <v>5690769</v>
      </c>
      <c r="AC57" s="325">
        <f>SUM(AB57:AB60)</f>
        <v>6113058</v>
      </c>
    </row>
    <row r="58" spans="1:29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70">
        <v>4049000</v>
      </c>
      <c r="W58" s="73"/>
      <c r="X58" s="313"/>
      <c r="Y58" s="73"/>
      <c r="Z58" s="313"/>
      <c r="AA58" s="313"/>
      <c r="AB58" s="313"/>
      <c r="AC58" s="313"/>
    </row>
    <row r="59" spans="1:29" x14ac:dyDescent="0.3">
      <c r="A59" s="369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70"/>
      <c r="W59" s="73"/>
      <c r="X59" s="322">
        <f>SUM(X15+X118)</f>
        <v>394226</v>
      </c>
      <c r="Y59" s="73"/>
      <c r="Z59" s="322">
        <f>SUM(Z15+Z118)</f>
        <v>375254</v>
      </c>
      <c r="AA59" s="322">
        <f>SUM(AA15+AA118)</f>
        <v>422289</v>
      </c>
      <c r="AB59" s="322">
        <f>SUM(AB15+AB118)</f>
        <v>422289</v>
      </c>
      <c r="AC59" s="322">
        <f>SUM(AC15+AC118)</f>
        <v>422289</v>
      </c>
    </row>
    <row r="60" spans="1:29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70"/>
      <c r="W60" s="73"/>
      <c r="X60" s="313">
        <f>SUM(X19+X119)</f>
        <v>0</v>
      </c>
      <c r="Y60" s="73"/>
      <c r="Z60" s="313">
        <f>SUM(Z19+Z119)</f>
        <v>0</v>
      </c>
      <c r="AA60" s="313">
        <f>SUM(AA19+AA119)</f>
        <v>0</v>
      </c>
      <c r="AB60" s="313">
        <f>SUM(AB19+AB119)</f>
        <v>0</v>
      </c>
      <c r="AC60" s="313">
        <f>SUM(AC19+AC119)</f>
        <v>0</v>
      </c>
    </row>
    <row r="61" spans="1:29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83"/>
      <c r="U61" s="84"/>
      <c r="V61" s="83"/>
      <c r="W61" s="84"/>
      <c r="X61" s="323">
        <f>SUM(X57:X60)*0.1*-1</f>
        <v>-489322.60000000003</v>
      </c>
      <c r="Y61" s="84"/>
      <c r="Z61" s="323">
        <f>SUM(Z57:Z60)*0.1*-1</f>
        <v>-526848</v>
      </c>
      <c r="AA61" s="323">
        <f>SUM(AA57:AA60)*0.1*-1</f>
        <v>-569076.9</v>
      </c>
      <c r="AB61" s="323">
        <f>SUM(AB57:AB60)*0.1*-1</f>
        <v>-611305.80000000005</v>
      </c>
      <c r="AC61" s="323">
        <f>SUM(AC57:AC60)*0.1*-1</f>
        <v>-653534.70000000007</v>
      </c>
    </row>
    <row r="62" spans="1:29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70">
        <f>SUM(V58:V61)</f>
        <v>4049000</v>
      </c>
      <c r="W62" s="73"/>
      <c r="X62" s="313">
        <f>SUM(X57:X61)</f>
        <v>4403903.4000000004</v>
      </c>
      <c r="Y62" s="73"/>
      <c r="Z62" s="313">
        <f>SUM(Z57:Z61)</f>
        <v>4741632</v>
      </c>
      <c r="AA62" s="313">
        <f>SUM(AA57:AA61)</f>
        <v>5121692.0999999996</v>
      </c>
      <c r="AB62" s="313">
        <f>SUM(AB57:AB61)</f>
        <v>5501752.2000000002</v>
      </c>
      <c r="AC62" s="313">
        <f>SUM(AC57:AC61)</f>
        <v>5881812.2999999998</v>
      </c>
    </row>
    <row r="63" spans="1:29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87">
        <v>1</v>
      </c>
      <c r="W63" s="73"/>
      <c r="X63" s="314">
        <v>1</v>
      </c>
      <c r="Y63" s="73"/>
      <c r="Z63" s="314">
        <v>1</v>
      </c>
      <c r="AA63" s="314">
        <v>1</v>
      </c>
      <c r="AB63" s="314">
        <v>1</v>
      </c>
      <c r="AC63" s="314">
        <v>1</v>
      </c>
    </row>
    <row r="64" spans="1:29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91">
        <f>489758686/4049000000</f>
        <v>0.12095793677451222</v>
      </c>
      <c r="W64" s="84"/>
      <c r="X64" s="315">
        <f>SUM(V64)</f>
        <v>0.12095793677451222</v>
      </c>
      <c r="Y64" s="84"/>
      <c r="Z64" s="315">
        <f t="shared" ref="Z64" si="30">SUM(X64)</f>
        <v>0.12095793677451222</v>
      </c>
      <c r="AA64" s="315">
        <f>SUM(Z64)</f>
        <v>0.12095793677451222</v>
      </c>
      <c r="AB64" s="315">
        <f>SUM(AA64)</f>
        <v>0.12095793677451222</v>
      </c>
      <c r="AC64" s="315">
        <f>SUM(AB64)</f>
        <v>0.12095793677451222</v>
      </c>
    </row>
    <row r="65" spans="1:29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31">SUM(G62*G64)</f>
        <v>350240.37700000004</v>
      </c>
      <c r="I65" s="69">
        <f t="shared" si="31"/>
        <v>370904.02</v>
      </c>
      <c r="J65" s="70"/>
      <c r="K65" s="71"/>
      <c r="L65" s="69">
        <f t="shared" ref="L65:Z65" si="32">SUM(L62*L64)</f>
        <v>379502.29200000002</v>
      </c>
      <c r="M65" s="72"/>
      <c r="N65" s="69">
        <f t="shared" si="32"/>
        <v>345023.42800000001</v>
      </c>
      <c r="O65" s="70"/>
      <c r="P65" s="70">
        <f t="shared" si="32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70">
        <f>SUM(V62*V64)</f>
        <v>489758.68599999999</v>
      </c>
      <c r="W65" s="73"/>
      <c r="X65" s="313">
        <f>SUM(X62*X64)</f>
        <v>532687.06901825941</v>
      </c>
      <c r="Y65" s="73"/>
      <c r="Z65" s="313">
        <f t="shared" si="32"/>
        <v>573538.02366400394</v>
      </c>
      <c r="AA65" s="313">
        <f>SUM(AA62*AA64)</f>
        <v>619509.30921031872</v>
      </c>
      <c r="AB65" s="313">
        <f>SUM(AB62*AB64)</f>
        <v>665480.59475663351</v>
      </c>
      <c r="AC65" s="313">
        <f>SUM(AC62*AC64)</f>
        <v>711451.8803029483</v>
      </c>
    </row>
    <row r="66" spans="1:29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70">
        <f>488836.762-V65</f>
        <v>-921.92399999999907</v>
      </c>
      <c r="W66" s="73"/>
      <c r="X66" s="313">
        <v>0</v>
      </c>
      <c r="Y66" s="73"/>
      <c r="Z66" s="313">
        <v>0</v>
      </c>
      <c r="AA66" s="313">
        <v>0</v>
      </c>
      <c r="AB66" s="313">
        <v>0</v>
      </c>
      <c r="AC66" s="313">
        <v>0</v>
      </c>
    </row>
    <row r="67" spans="1:29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157">
        <v>1</v>
      </c>
      <c r="W67" s="73"/>
      <c r="X67" s="326">
        <v>1</v>
      </c>
      <c r="Y67" s="73"/>
      <c r="Z67" s="326">
        <v>1</v>
      </c>
      <c r="AA67" s="326">
        <v>1</v>
      </c>
      <c r="AB67" s="326">
        <v>1</v>
      </c>
      <c r="AC67" s="326">
        <v>1</v>
      </c>
    </row>
    <row r="68" spans="1:29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33">SUM(G65:G66)*G67</f>
        <v>349938.54100000003</v>
      </c>
      <c r="I68" s="69">
        <f t="shared" si="33"/>
        <v>370623.68800000002</v>
      </c>
      <c r="J68" s="70"/>
      <c r="K68" s="71"/>
      <c r="L68" s="69">
        <f t="shared" ref="L68:N68" si="34">SUM(L65:L66)*L67</f>
        <v>379213.82400000002</v>
      </c>
      <c r="M68" s="72"/>
      <c r="N68" s="69">
        <f t="shared" si="34"/>
        <v>344746.50900000002</v>
      </c>
      <c r="O68" s="70"/>
      <c r="P68" s="70">
        <f t="shared" ref="P68:Z68" si="35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70">
        <f>SUM(V65:V66)*V67</f>
        <v>488836.76199999999</v>
      </c>
      <c r="W68" s="73"/>
      <c r="X68" s="313">
        <f>SUM(X65:X66)*X67</f>
        <v>532687.06901825941</v>
      </c>
      <c r="Y68" s="73"/>
      <c r="Z68" s="313">
        <f t="shared" si="35"/>
        <v>573538.02366400394</v>
      </c>
      <c r="AA68" s="313">
        <f>SUM(AA65:AA66)*AA67</f>
        <v>619509.30921031872</v>
      </c>
      <c r="AB68" s="313">
        <f>SUM(AB65:AB66)*AB67</f>
        <v>665480.59475663351</v>
      </c>
      <c r="AC68" s="313">
        <f>SUM(AC65:AC66)*AC67</f>
        <v>711451.8803029483</v>
      </c>
    </row>
    <row r="69" spans="1:29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327">
        <f>SUM(T69)</f>
        <v>6.4889987516961456E-2</v>
      </c>
      <c r="W69" s="164"/>
      <c r="X69" s="327">
        <f>SUM(V69)</f>
        <v>6.4889987516961456E-2</v>
      </c>
      <c r="Y69" s="164"/>
      <c r="Z69" s="327">
        <f t="shared" ref="Z69" si="36">SUM(X69)</f>
        <v>6.4889987516961456E-2</v>
      </c>
      <c r="AA69" s="327">
        <f>SUM(Z69)</f>
        <v>6.4889987516961456E-2</v>
      </c>
      <c r="AB69" s="327">
        <f>SUM(AA69)</f>
        <v>6.4889987516961456E-2</v>
      </c>
      <c r="AC69" s="327">
        <f>SUM(AB69)</f>
        <v>6.4889987516961456E-2</v>
      </c>
    </row>
    <row r="70" spans="1:29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7">SUM(G68*G69)</f>
        <v>22904.265934547748</v>
      </c>
      <c r="I70" s="69">
        <f t="shared" si="37"/>
        <v>24673.979228846489</v>
      </c>
      <c r="J70" s="153"/>
      <c r="K70" s="71"/>
      <c r="L70" s="69">
        <f t="shared" ref="L70:X70" si="38">SUM(L68*L69)</f>
        <v>24737.454518899576</v>
      </c>
      <c r="M70" s="72"/>
      <c r="N70" s="69">
        <f t="shared" si="38"/>
        <v>22376.198131038327</v>
      </c>
      <c r="O70" s="165"/>
      <c r="P70" s="131">
        <f t="shared" si="38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313">
        <f>SUM(V68*V69)</f>
        <v>31720.611384011856</v>
      </c>
      <c r="W70" s="166"/>
      <c r="X70" s="313">
        <f t="shared" si="38"/>
        <v>34566.057259041641</v>
      </c>
      <c r="Y70" s="166"/>
      <c r="Z70" s="313">
        <f>SUM(Z68*Z69)</f>
        <v>37216.875196059962</v>
      </c>
      <c r="AA70" s="313">
        <f>SUM(AA68*AA69)</f>
        <v>40199.951341298998</v>
      </c>
      <c r="AB70" s="313">
        <f>SUM(AB68*AB69)</f>
        <v>43183.027486538034</v>
      </c>
      <c r="AC70" s="313">
        <f>SUM(AC68*AC69)</f>
        <v>46166.10363177707</v>
      </c>
    </row>
    <row r="71" spans="1:29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313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  <c r="AC71" s="313">
        <v>0</v>
      </c>
    </row>
    <row r="72" spans="1:29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9">SUM(G70:G71)</f>
        <v>22904.265934547748</v>
      </c>
      <c r="I72" s="99">
        <f t="shared" si="39"/>
        <v>24673.979228846489</v>
      </c>
      <c r="J72" s="167"/>
      <c r="K72" s="101"/>
      <c r="L72" s="99">
        <f t="shared" ref="L72:Z72" si="40">SUM(L70:L71)</f>
        <v>24737.454518899576</v>
      </c>
      <c r="M72" s="102"/>
      <c r="N72" s="99">
        <f t="shared" si="40"/>
        <v>22376.198131038327</v>
      </c>
      <c r="O72" s="102"/>
      <c r="P72" s="100">
        <f t="shared" si="40"/>
        <v>27999.644464958154</v>
      </c>
      <c r="Q72" s="101"/>
      <c r="R72" s="100">
        <f t="shared" ref="R72" si="41">SUM(R70:R71)</f>
        <v>29277.027320712124</v>
      </c>
      <c r="S72" s="101"/>
      <c r="T72" s="100">
        <f>SUM(T70:T71)</f>
        <v>30670.574000000001</v>
      </c>
      <c r="U72" s="101"/>
      <c r="V72" s="317">
        <f>SUM(V70:V71)</f>
        <v>31720.611384011856</v>
      </c>
      <c r="W72" s="101"/>
      <c r="X72" s="317">
        <f t="shared" si="40"/>
        <v>34566.057259041641</v>
      </c>
      <c r="Y72" s="101"/>
      <c r="Z72" s="317">
        <f t="shared" si="40"/>
        <v>37216.875196059962</v>
      </c>
      <c r="AA72" s="317">
        <f>SUM(AA70:AA71)</f>
        <v>40199.951341298998</v>
      </c>
      <c r="AB72" s="317">
        <f>SUM(AB70:AB71)</f>
        <v>43183.027486538034</v>
      </c>
      <c r="AC72" s="317">
        <f>SUM(AC70:AC71)</f>
        <v>46166.10363177707</v>
      </c>
    </row>
    <row r="73" spans="1:29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305">
        <v>0.01</v>
      </c>
      <c r="V73" s="318">
        <f>SUM(T73*(1+U73))</f>
        <v>0.36775333601516552</v>
      </c>
      <c r="W73" s="305">
        <f>$W$30</f>
        <v>1.4999999999999999E-2</v>
      </c>
      <c r="X73" s="318">
        <f>SUM(V73*(1+W73))</f>
        <v>0.37326963605539298</v>
      </c>
      <c r="Y73" s="305">
        <f>$Y$30</f>
        <v>0.02</v>
      </c>
      <c r="Z73" s="318">
        <f>SUM(X73*(1+Y73))</f>
        <v>0.38073502877650084</v>
      </c>
      <c r="AA73" s="318">
        <f>SUM(Z73*(1+Y73))</f>
        <v>0.38834972935203088</v>
      </c>
      <c r="AB73" s="318">
        <f>SUM(AA73*(1+Y73))</f>
        <v>0.39611672393907149</v>
      </c>
      <c r="AC73" s="318">
        <f>SUM(AB73*(1+$Y$73))</f>
        <v>0.40403905841785293</v>
      </c>
    </row>
    <row r="74" spans="1:29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319"/>
      <c r="W74" s="71"/>
      <c r="X74" s="319"/>
      <c r="Y74" s="71"/>
      <c r="Z74" s="319"/>
      <c r="AA74" s="319"/>
      <c r="AB74" s="319"/>
      <c r="AC74" s="319"/>
    </row>
    <row r="75" spans="1:29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42">SUM(G72*G73)</f>
        <v>7219.74299186594</v>
      </c>
      <c r="I75" s="112">
        <f t="shared" si="42"/>
        <v>8163.043288322272</v>
      </c>
      <c r="J75" s="141"/>
      <c r="K75" s="114"/>
      <c r="L75" s="112">
        <f t="shared" ref="L75:N75" si="43">SUM(L72*L73)</f>
        <v>8456.9513856009962</v>
      </c>
      <c r="M75" s="113"/>
      <c r="N75" s="112">
        <f t="shared" si="43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141">
        <f>SUM(T72*T73)</f>
        <v>11167.5306</v>
      </c>
      <c r="U75" s="114"/>
      <c r="V75" s="320">
        <f>SUM(V72*V73)</f>
        <v>11665.360656910996</v>
      </c>
      <c r="W75" s="114"/>
      <c r="X75" s="320">
        <f>SUM(X72*X73)</f>
        <v>12902.459612952349</v>
      </c>
      <c r="Y75" s="370"/>
      <c r="Z75" s="320">
        <f>SUM(Z72*Z73)</f>
        <v>14169.76804874333</v>
      </c>
      <c r="AA75" s="320">
        <f>SUM(AA72*AA73)</f>
        <v>15611.640223358278</v>
      </c>
      <c r="AB75" s="320">
        <f>SUM(AB72*AB73)</f>
        <v>17105.519377738321</v>
      </c>
      <c r="AC75" s="320">
        <f>SUM(AC72*AC73)</f>
        <v>18652.909042204228</v>
      </c>
    </row>
    <row r="76" spans="1:29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  <c r="AC76" s="171"/>
    </row>
    <row r="77" spans="1:29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120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">
        <v>178</v>
      </c>
      <c r="AC77" s="301" t="s">
        <v>179</v>
      </c>
    </row>
    <row r="78" spans="1:29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65"/>
      <c r="W78" s="175"/>
      <c r="X78" s="321"/>
      <c r="Y78" s="175"/>
      <c r="Z78" s="321"/>
      <c r="AA78" s="321"/>
      <c r="AB78" s="321"/>
      <c r="AC78" s="321"/>
    </row>
    <row r="79" spans="1:29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46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  <c r="AC79" s="308" t="s">
        <v>75</v>
      </c>
    </row>
    <row r="80" spans="1:29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358">
        <f>SUM(T80)</f>
        <v>1432</v>
      </c>
      <c r="W80" s="73"/>
      <c r="X80" s="313">
        <f>SUM(V80)</f>
        <v>1432</v>
      </c>
      <c r="Y80" s="73"/>
      <c r="Z80" s="313">
        <f>SUM(X80)</f>
        <v>1432</v>
      </c>
      <c r="AA80" s="313">
        <f t="shared" ref="AA80" si="44">SUM(Z80)</f>
        <v>1432</v>
      </c>
      <c r="AB80" s="313">
        <f>SUM(AA80)</f>
        <v>1432</v>
      </c>
      <c r="AC80" s="313">
        <f>SUM(AB80)</f>
        <v>1432</v>
      </c>
    </row>
    <row r="81" spans="1:29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358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  <c r="AC81" s="313">
        <v>0</v>
      </c>
    </row>
    <row r="82" spans="1:29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358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  <c r="AC82" s="313">
        <f>SUM(AC74)</f>
        <v>0</v>
      </c>
    </row>
    <row r="83" spans="1:29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359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  <c r="AC83" s="314">
        <v>1</v>
      </c>
    </row>
    <row r="84" spans="1:29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360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  <c r="AC84" s="315">
        <v>1</v>
      </c>
    </row>
    <row r="85" spans="1:29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5">SUM((G80+G81+G82)*G83*G84)</f>
        <v>888.3152139</v>
      </c>
      <c r="I85" s="69">
        <f t="shared" si="45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6">SUM((P80+P81+P82)*P83*P84)</f>
        <v>1137.998</v>
      </c>
      <c r="Q85" s="73"/>
      <c r="R85" s="70">
        <f t="shared" ref="R85" si="47">SUM((R80+R81+R82)*R83*R84)</f>
        <v>1221</v>
      </c>
      <c r="S85" s="73"/>
      <c r="T85" s="70">
        <f t="shared" si="46"/>
        <v>1432</v>
      </c>
      <c r="U85" s="73"/>
      <c r="V85" s="358">
        <f>SUM((V80+V81+V82)*V83*V84)</f>
        <v>1432</v>
      </c>
      <c r="W85" s="73"/>
      <c r="X85" s="313">
        <f t="shared" si="46"/>
        <v>1432</v>
      </c>
      <c r="Y85" s="73"/>
      <c r="Z85" s="313">
        <f t="shared" si="46"/>
        <v>1432</v>
      </c>
      <c r="AA85" s="313">
        <f t="shared" si="46"/>
        <v>1432</v>
      </c>
      <c r="AB85" s="313">
        <f>SUM((AB80+AB81+AB82)*AB83*AB84)</f>
        <v>1432</v>
      </c>
      <c r="AC85" s="313">
        <f>SUM((AC80+AC81+AC82)*AC83*AC84)</f>
        <v>1432</v>
      </c>
    </row>
    <row r="86" spans="1:29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322"/>
      <c r="W86" s="73"/>
      <c r="X86" s="313"/>
      <c r="Y86" s="73"/>
      <c r="Z86" s="313"/>
      <c r="AA86" s="313"/>
      <c r="AB86" s="313"/>
      <c r="AC86" s="313"/>
    </row>
    <row r="87" spans="1:29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361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  <c r="AC87" s="326">
        <v>1</v>
      </c>
    </row>
    <row r="88" spans="1:29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8">SUM(G85:G86)*G87</f>
        <v>888.3152139</v>
      </c>
      <c r="I88" s="69">
        <f t="shared" si="48"/>
        <v>1002.3308361092717</v>
      </c>
      <c r="J88" s="70"/>
      <c r="K88" s="71"/>
      <c r="L88" s="69">
        <v>1190</v>
      </c>
      <c r="M88" s="72"/>
      <c r="N88" s="69">
        <f t="shared" ref="N88" si="49">SUM(N85:N86)*N87</f>
        <v>1131</v>
      </c>
      <c r="O88" s="70"/>
      <c r="P88" s="70">
        <f t="shared" ref="P88:AA88" si="50">SUM(P85:P86)*P87</f>
        <v>1137.998</v>
      </c>
      <c r="Q88" s="73"/>
      <c r="R88" s="70">
        <f t="shared" ref="R88" si="51">SUM(R85:R86)*R87</f>
        <v>1221</v>
      </c>
      <c r="S88" s="73"/>
      <c r="T88" s="70">
        <f t="shared" si="50"/>
        <v>1432</v>
      </c>
      <c r="U88" s="73"/>
      <c r="V88" s="358">
        <f t="shared" si="50"/>
        <v>1432</v>
      </c>
      <c r="W88" s="73"/>
      <c r="X88" s="313">
        <f t="shared" si="50"/>
        <v>1432</v>
      </c>
      <c r="Y88" s="73"/>
      <c r="Z88" s="313">
        <f t="shared" si="50"/>
        <v>1432</v>
      </c>
      <c r="AA88" s="313">
        <f t="shared" si="50"/>
        <v>1432</v>
      </c>
      <c r="AB88" s="313">
        <f>SUM(AB85:AB86)*AB87</f>
        <v>1432</v>
      </c>
      <c r="AC88" s="313">
        <f>SUM(AC85:AC86)*AC87</f>
        <v>1432</v>
      </c>
    </row>
    <row r="89" spans="1:29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362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  <c r="AC89" s="327">
        <v>1</v>
      </c>
    </row>
    <row r="90" spans="1:29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52">SUM(G88*G89)</f>
        <v>888.3152139</v>
      </c>
      <c r="I90" s="69">
        <f t="shared" si="52"/>
        <v>1002.3308361092717</v>
      </c>
      <c r="J90" s="70"/>
      <c r="K90" s="71"/>
      <c r="L90" s="69">
        <f t="shared" ref="L90:AA90" si="53">SUM(L88*L89)</f>
        <v>1190</v>
      </c>
      <c r="M90" s="72"/>
      <c r="N90" s="69">
        <f t="shared" si="53"/>
        <v>1131</v>
      </c>
      <c r="O90" s="70"/>
      <c r="P90" s="70">
        <f t="shared" si="53"/>
        <v>1137.998</v>
      </c>
      <c r="Q90" s="73"/>
      <c r="R90" s="70">
        <f t="shared" ref="R90" si="54">SUM(R88*R89)</f>
        <v>1221</v>
      </c>
      <c r="S90" s="73"/>
      <c r="T90" s="70">
        <f t="shared" si="53"/>
        <v>1432</v>
      </c>
      <c r="U90" s="73"/>
      <c r="V90" s="358">
        <f t="shared" si="53"/>
        <v>1432</v>
      </c>
      <c r="W90" s="73"/>
      <c r="X90" s="313">
        <f t="shared" si="53"/>
        <v>1432</v>
      </c>
      <c r="Y90" s="73"/>
      <c r="Z90" s="313">
        <f t="shared" si="53"/>
        <v>1432</v>
      </c>
      <c r="AA90" s="313">
        <f t="shared" si="53"/>
        <v>1432</v>
      </c>
      <c r="AB90" s="313">
        <f>SUM(AB88*AB89)</f>
        <v>1432</v>
      </c>
      <c r="AC90" s="313">
        <f>SUM(AC88*AC89)</f>
        <v>1432</v>
      </c>
    </row>
    <row r="91" spans="1:29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358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  <c r="AC91" s="313">
        <v>0</v>
      </c>
    </row>
    <row r="92" spans="1:29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5">SUM(G90:G91)</f>
        <v>888.3152139</v>
      </c>
      <c r="I92" s="99">
        <f t="shared" si="55"/>
        <v>1002.3308361092717</v>
      </c>
      <c r="J92" s="100"/>
      <c r="K92" s="101"/>
      <c r="L92" s="99">
        <f t="shared" ref="L92:AA92" si="56">SUM(L90:L91)</f>
        <v>1190</v>
      </c>
      <c r="M92" s="111"/>
      <c r="N92" s="99">
        <f t="shared" si="56"/>
        <v>1131</v>
      </c>
      <c r="O92" s="100"/>
      <c r="P92" s="100">
        <f t="shared" si="56"/>
        <v>1137.998</v>
      </c>
      <c r="Q92" s="177"/>
      <c r="R92" s="100">
        <f t="shared" ref="R92" si="57">SUM(R90:R91)</f>
        <v>1221</v>
      </c>
      <c r="S92" s="177"/>
      <c r="T92" s="100">
        <f t="shared" si="56"/>
        <v>1432</v>
      </c>
      <c r="U92" s="177"/>
      <c r="V92" s="363">
        <f t="shared" si="56"/>
        <v>1432</v>
      </c>
      <c r="W92" s="177"/>
      <c r="X92" s="317">
        <f t="shared" si="56"/>
        <v>1432</v>
      </c>
      <c r="Y92" s="177"/>
      <c r="Z92" s="317">
        <f t="shared" si="56"/>
        <v>1432</v>
      </c>
      <c r="AA92" s="317">
        <f t="shared" si="56"/>
        <v>1432</v>
      </c>
      <c r="AB92" s="317">
        <f>SUM(AB90:AB91)</f>
        <v>1432</v>
      </c>
      <c r="AC92" s="317">
        <f>SUM(AC90:AC91)</f>
        <v>1432</v>
      </c>
    </row>
    <row r="93" spans="1:29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305">
        <v>0.01</v>
      </c>
      <c r="V93" s="318">
        <f>SUM(T93*(1+U93))</f>
        <v>9.29019441340782E-3</v>
      </c>
      <c r="W93" s="305">
        <f>$W$30</f>
        <v>1.4999999999999999E-2</v>
      </c>
      <c r="X93" s="318">
        <f>SUM(V93*(1+W93))</f>
        <v>9.4295473296089356E-3</v>
      </c>
      <c r="Y93" s="305">
        <f>$Y$30</f>
        <v>0.02</v>
      </c>
      <c r="Z93" s="318">
        <f>SUM(X93*(1+Y93))</f>
        <v>9.6181382762011141E-3</v>
      </c>
      <c r="AA93" s="318">
        <f>SUM(Z93*(1+Y93))</f>
        <v>9.8105010417251365E-3</v>
      </c>
      <c r="AB93" s="318">
        <f>SUM(AA93*(1+Y93))</f>
        <v>1.0006711062559639E-2</v>
      </c>
      <c r="AC93" s="318">
        <f>SUM(AB93*(1+$Y$93))</f>
        <v>1.0206845283810833E-2</v>
      </c>
    </row>
    <row r="94" spans="1:29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319"/>
      <c r="W94" s="73"/>
      <c r="X94" s="319"/>
      <c r="Y94" s="73"/>
      <c r="Z94" s="319"/>
      <c r="AA94" s="319"/>
      <c r="AB94" s="319"/>
      <c r="AC94" s="319"/>
    </row>
    <row r="95" spans="1:29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8">SUM(G92*G93)</f>
        <v>8.2702146414089999</v>
      </c>
      <c r="I95" s="178">
        <f t="shared" si="58"/>
        <v>9.3172825078781703</v>
      </c>
      <c r="J95" s="179"/>
      <c r="K95" s="180"/>
      <c r="L95" s="178">
        <f t="shared" ref="L95:AA95" si="59">SUM(L92*L93)</f>
        <v>11.382350000000001</v>
      </c>
      <c r="M95" s="181"/>
      <c r="N95" s="182">
        <f t="shared" si="59"/>
        <v>10.468988399999999</v>
      </c>
      <c r="O95" s="183"/>
      <c r="P95" s="183">
        <f t="shared" si="59"/>
        <v>10.51116</v>
      </c>
      <c r="Q95" s="55"/>
      <c r="R95" s="183">
        <f t="shared" ref="R95" si="60">SUM(R92*R93)</f>
        <v>11.256590000000001</v>
      </c>
      <c r="S95" s="55"/>
      <c r="T95" s="183">
        <f>SUM(T92*T93)</f>
        <v>13.17184</v>
      </c>
      <c r="U95" s="55"/>
      <c r="V95" s="328">
        <f>SUM(V92*V93)</f>
        <v>13.303558399999998</v>
      </c>
      <c r="W95" s="371"/>
      <c r="X95" s="328">
        <f>SUM(X92*X93)</f>
        <v>13.503111775999995</v>
      </c>
      <c r="Y95" s="371"/>
      <c r="Z95" s="328">
        <f>SUM(Z92*Z93)</f>
        <v>13.773174011519995</v>
      </c>
      <c r="AA95" s="328">
        <f t="shared" si="59"/>
        <v>14.048637491750396</v>
      </c>
      <c r="AB95" s="328">
        <f>SUM(AB92*AB93)</f>
        <v>14.329610241585403</v>
      </c>
      <c r="AC95" s="328">
        <f>SUM(AC92*AC93)</f>
        <v>14.616202446417113</v>
      </c>
    </row>
    <row r="96" spans="1:29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  <c r="AC96" s="171"/>
    </row>
    <row r="97" spans="1:29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120" t="s">
        <v>74</v>
      </c>
      <c r="W97" s="174"/>
      <c r="X97" s="301" t="s">
        <v>136</v>
      </c>
      <c r="Y97" s="174"/>
      <c r="Z97" s="301" t="str">
        <f>Z77</f>
        <v>21/22 Estimate</v>
      </c>
      <c r="AA97" s="301" t="str">
        <f>AA77</f>
        <v>22/23 Estimate</v>
      </c>
      <c r="AB97" s="301" t="str">
        <f>AB77</f>
        <v>23/24 Estimate</v>
      </c>
      <c r="AC97" s="301" t="str">
        <f>AC77</f>
        <v>24/25 Estimate</v>
      </c>
    </row>
    <row r="98" spans="1:29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42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  <c r="AC98" s="308" t="s">
        <v>78</v>
      </c>
    </row>
    <row r="99" spans="1:29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42"/>
      <c r="W99" s="47"/>
      <c r="X99" s="308"/>
      <c r="Y99" s="47"/>
      <c r="Z99" s="308"/>
      <c r="AA99" s="308"/>
      <c r="AB99" s="308"/>
      <c r="AC99" s="308"/>
    </row>
    <row r="100" spans="1:29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46"/>
      <c r="W100" s="47"/>
      <c r="X100" s="308"/>
      <c r="Y100" s="47"/>
      <c r="Z100" s="308"/>
      <c r="AA100" s="308"/>
      <c r="AB100" s="308"/>
      <c r="AC100" s="308"/>
    </row>
    <row r="101" spans="1:29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197">
        <f>197600-V80</f>
        <v>196168</v>
      </c>
      <c r="W101" s="175"/>
      <c r="X101" s="329">
        <f>SUM(V101:V103)</f>
        <v>196168</v>
      </c>
      <c r="Y101" s="175"/>
      <c r="Z101" s="329">
        <f>SUM(X101:X103)</f>
        <v>196168</v>
      </c>
      <c r="AA101" s="329">
        <f t="shared" ref="AA101" si="61">SUM(Z101:Z103)</f>
        <v>196168</v>
      </c>
      <c r="AB101" s="329">
        <f>SUM(AA101:AA103)</f>
        <v>196168</v>
      </c>
      <c r="AC101" s="329">
        <f>SUM(AB101:AB103)</f>
        <v>196168</v>
      </c>
    </row>
    <row r="102" spans="1:29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70">
        <v>0</v>
      </c>
      <c r="W102" s="73"/>
      <c r="X102" s="313">
        <v>0</v>
      </c>
      <c r="Y102" s="73"/>
      <c r="Z102" s="313">
        <v>0</v>
      </c>
      <c r="AA102" s="313">
        <v>0</v>
      </c>
      <c r="AB102" s="313">
        <v>0</v>
      </c>
      <c r="AC102" s="313">
        <v>0</v>
      </c>
    </row>
    <row r="103" spans="1:29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70">
        <v>0</v>
      </c>
      <c r="W103" s="73"/>
      <c r="X103" s="313">
        <v>0</v>
      </c>
      <c r="Y103" s="73"/>
      <c r="Z103" s="313">
        <v>0</v>
      </c>
      <c r="AA103" s="313">
        <v>0</v>
      </c>
      <c r="AB103" s="313">
        <v>0</v>
      </c>
      <c r="AC103" s="313">
        <v>0</v>
      </c>
    </row>
    <row r="104" spans="1:29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204">
        <v>0</v>
      </c>
      <c r="W104" s="73"/>
      <c r="X104" s="330">
        <v>0</v>
      </c>
      <c r="Y104" s="73"/>
      <c r="Z104" s="330">
        <v>0</v>
      </c>
      <c r="AA104" s="330">
        <v>0</v>
      </c>
      <c r="AB104" s="330">
        <v>0</v>
      </c>
      <c r="AC104" s="330">
        <v>0</v>
      </c>
    </row>
    <row r="105" spans="1:29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208" t="s">
        <v>81</v>
      </c>
      <c r="W105" s="174"/>
      <c r="X105" s="331" t="s">
        <v>81</v>
      </c>
      <c r="Y105" s="174"/>
      <c r="Z105" s="331" t="s">
        <v>81</v>
      </c>
      <c r="AA105" s="331" t="s">
        <v>81</v>
      </c>
      <c r="AB105" s="331" t="s">
        <v>81</v>
      </c>
      <c r="AC105" s="331" t="s">
        <v>81</v>
      </c>
    </row>
    <row r="106" spans="1:29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212">
        <v>0</v>
      </c>
      <c r="W106" s="152"/>
      <c r="X106" s="332">
        <v>0</v>
      </c>
      <c r="Y106" s="152"/>
      <c r="Z106" s="332">
        <v>0</v>
      </c>
      <c r="AA106" s="332">
        <v>0</v>
      </c>
      <c r="AB106" s="332">
        <v>0</v>
      </c>
      <c r="AC106" s="332">
        <v>0</v>
      </c>
    </row>
    <row r="107" spans="1:29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216"/>
      <c r="W107" s="152"/>
      <c r="X107" s="333"/>
      <c r="Y107" s="152"/>
      <c r="Z107" s="333"/>
      <c r="AA107" s="333"/>
      <c r="AB107" s="333"/>
      <c r="AC107" s="333"/>
    </row>
    <row r="108" spans="1:29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305">
        <v>0.01</v>
      </c>
      <c r="V108" s="327">
        <f>SUM(T108*(1+U108))</f>
        <v>1.7356169227235908E-2</v>
      </c>
      <c r="W108" s="305">
        <f>$W$30</f>
        <v>1.4999999999999999E-2</v>
      </c>
      <c r="X108" s="318">
        <f>SUM(V108*(1+W108))</f>
        <v>1.7616511765644445E-2</v>
      </c>
      <c r="Y108" s="305">
        <f>$Y$30</f>
        <v>0.02</v>
      </c>
      <c r="Z108" s="318">
        <f>SUM(X108*(1+Y108))</f>
        <v>1.7968842000957334E-2</v>
      </c>
      <c r="AA108" s="318">
        <f>SUM(Z108*(1+Y108))</f>
        <v>1.832821884097648E-2</v>
      </c>
      <c r="AB108" s="318">
        <f>SUM(AA108*(1+Y108))</f>
        <v>1.869478321779601E-2</v>
      </c>
      <c r="AC108" s="318">
        <f>SUM(AB108*(1+$Y$108))</f>
        <v>1.906867888215193E-2</v>
      </c>
    </row>
    <row r="109" spans="1:29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334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  <c r="AC109" s="334">
        <v>1</v>
      </c>
    </row>
    <row r="110" spans="1:29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335"/>
      <c r="W110" s="55"/>
      <c r="X110" s="335"/>
      <c r="Y110" s="55"/>
      <c r="Z110" s="335"/>
      <c r="AA110" s="335"/>
      <c r="AB110" s="335"/>
      <c r="AC110" s="335"/>
    </row>
    <row r="111" spans="1:29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62">SUM(G101:G105)*G108*G109</f>
        <v>1918.901132</v>
      </c>
      <c r="I111" s="178">
        <f t="shared" si="62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63">SUM(N101:N105)*N108*N109</f>
        <v>2707.3523175999999</v>
      </c>
      <c r="O111" s="183"/>
      <c r="P111" s="179">
        <f t="shared" ref="P111" si="64">SUM(P101:P105)*P108*P109</f>
        <v>2514.9974500000003</v>
      </c>
      <c r="Q111" s="55"/>
      <c r="R111" s="179">
        <f t="shared" ref="R111" si="65">SUM(R101:R105)*R108*R109</f>
        <v>2956.1579400000001</v>
      </c>
      <c r="S111" s="55"/>
      <c r="T111" s="179">
        <f>SUM(T101:T105)*T108*T109</f>
        <v>3479.2761100000002</v>
      </c>
      <c r="U111" s="55"/>
      <c r="V111" s="336">
        <f>SUM(V101:V105)*V108*V109</f>
        <v>3404.7250049684135</v>
      </c>
      <c r="W111" s="55"/>
      <c r="X111" s="336">
        <f>SUM(X101:X105)*X108*X109</f>
        <v>3455.7958800429396</v>
      </c>
      <c r="Y111" s="372"/>
      <c r="Z111" s="336">
        <f t="shared" ref="Z111" si="66">SUM(Z101:Z105)*Z108*Z109</f>
        <v>3524.9117976437983</v>
      </c>
      <c r="AA111" s="336">
        <f>SUM(AA101:AA105)*AA108*AA109</f>
        <v>3595.4100335966741</v>
      </c>
      <c r="AB111" s="336">
        <f>SUM(AB101:AB105)*AB108*AB109</f>
        <v>3667.3182342686077</v>
      </c>
      <c r="AC111" s="336">
        <f>SUM(AC101:AC105)*AC108*AC109</f>
        <v>3740.6645989539797</v>
      </c>
    </row>
    <row r="112" spans="1:29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  <c r="AC112" s="171"/>
    </row>
    <row r="113" spans="1:29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144"/>
      <c r="Y113" s="145"/>
      <c r="Z113" s="144"/>
      <c r="AA113" s="144"/>
      <c r="AB113" s="144"/>
      <c r="AC113" s="144"/>
    </row>
    <row r="114" spans="1:29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120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  <c r="AC114" s="301" t="str">
        <f>$AB$10</f>
        <v>2023 Estimate</v>
      </c>
    </row>
    <row r="115" spans="1:29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65"/>
      <c r="W115" s="64"/>
      <c r="X115" s="321"/>
      <c r="Y115" s="64"/>
      <c r="Z115" s="321"/>
      <c r="AA115" s="321"/>
      <c r="AB115" s="321"/>
      <c r="AC115" s="321"/>
    </row>
    <row r="116" spans="1:29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63"/>
      <c r="W116" s="175"/>
      <c r="X116" s="321"/>
      <c r="Y116" s="175"/>
      <c r="Z116" s="321"/>
      <c r="AA116" s="321"/>
      <c r="AB116" s="321"/>
      <c r="AC116" s="321"/>
    </row>
    <row r="117" spans="1:29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70">
        <v>700000</v>
      </c>
      <c r="W117" s="73"/>
      <c r="X117" s="313">
        <f>SUM(V117:V119)</f>
        <v>700000</v>
      </c>
      <c r="Y117" s="73"/>
      <c r="Z117" s="313">
        <f>SUM(X117:X119)</f>
        <v>778191</v>
      </c>
      <c r="AA117" s="313">
        <f>SUM(Z117:Z119)</f>
        <v>847519</v>
      </c>
      <c r="AB117" s="313">
        <f>SUM(AA117:AA119)</f>
        <v>917189</v>
      </c>
      <c r="AC117" s="313">
        <f>SUM(AB117:AB119)</f>
        <v>986859</v>
      </c>
    </row>
    <row r="118" spans="1:29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70"/>
      <c r="W118" s="73"/>
      <c r="X118" s="154">
        <v>78191</v>
      </c>
      <c r="Y118" s="73"/>
      <c r="Z118" s="154">
        <v>69328</v>
      </c>
      <c r="AA118" s="154">
        <v>69670</v>
      </c>
      <c r="AB118" s="154">
        <f>AA118</f>
        <v>69670</v>
      </c>
      <c r="AC118" s="154">
        <f>AB118</f>
        <v>69670</v>
      </c>
    </row>
    <row r="119" spans="1:29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70"/>
      <c r="W119" s="73"/>
      <c r="X119" s="154">
        <f>V119</f>
        <v>0</v>
      </c>
      <c r="Y119" s="73"/>
      <c r="Z119" s="154">
        <f>X119</f>
        <v>0</v>
      </c>
      <c r="AA119" s="154">
        <f>Z119</f>
        <v>0</v>
      </c>
      <c r="AB119" s="154">
        <f>AA119</f>
        <v>0</v>
      </c>
      <c r="AC119" s="154">
        <f>AB119</f>
        <v>0</v>
      </c>
    </row>
    <row r="120" spans="1:29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87">
        <v>0.91990911480638227</v>
      </c>
      <c r="W120" s="73"/>
      <c r="X120" s="314">
        <f>SUM(V120)</f>
        <v>0.91990911480638227</v>
      </c>
      <c r="Y120" s="73"/>
      <c r="Z120" s="314">
        <f t="shared" ref="Z120:Z121" si="67">SUM(X120)</f>
        <v>0.91990911480638227</v>
      </c>
      <c r="AA120" s="314">
        <f t="shared" ref="AA120:AC121" si="68">SUM(Z120)</f>
        <v>0.91990911480638227</v>
      </c>
      <c r="AB120" s="314">
        <f t="shared" si="68"/>
        <v>0.91990911480638227</v>
      </c>
      <c r="AC120" s="314">
        <f t="shared" si="68"/>
        <v>0.91990911480638227</v>
      </c>
    </row>
    <row r="121" spans="1:29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91">
        <v>0.50019043891570614</v>
      </c>
      <c r="W121" s="84"/>
      <c r="X121" s="315">
        <f>SUM(V121)</f>
        <v>0.50019043891570614</v>
      </c>
      <c r="Y121" s="84"/>
      <c r="Z121" s="315">
        <f t="shared" si="67"/>
        <v>0.50019043891570614</v>
      </c>
      <c r="AA121" s="315">
        <f t="shared" si="68"/>
        <v>0.50019043891570614</v>
      </c>
      <c r="AB121" s="315">
        <f t="shared" si="68"/>
        <v>0.50019043891570614</v>
      </c>
      <c r="AC121" s="315">
        <f t="shared" si="68"/>
        <v>0.50019043891570614</v>
      </c>
    </row>
    <row r="122" spans="1:29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9">SUM(G117+G118+G119)*G120*G121</f>
        <v>188890.26799999998</v>
      </c>
      <c r="I122" s="69">
        <f t="shared" si="69"/>
        <v>199575.79679677499</v>
      </c>
      <c r="J122" s="70"/>
      <c r="K122" s="71"/>
      <c r="L122" s="69">
        <f t="shared" ref="L122:N122" si="70">SUM(L117+L118+L119)*L120*L121</f>
        <v>234774.02500000002</v>
      </c>
      <c r="M122" s="72"/>
      <c r="N122" s="69">
        <f t="shared" si="70"/>
        <v>230552.66500000001</v>
      </c>
      <c r="O122" s="70"/>
      <c r="P122" s="70">
        <f t="shared" ref="P122:Z122" si="71">SUM(P117+P118+P119)*P120*P121</f>
        <v>229911.818</v>
      </c>
      <c r="Q122" s="73"/>
      <c r="R122" s="70">
        <f t="shared" ref="R122" si="72">SUM(R117+R118+R119)*R120*R121</f>
        <v>246152.10861059991</v>
      </c>
      <c r="S122" s="73"/>
      <c r="T122" s="70">
        <f>SUM(T117+T118+T119)*T120*T121</f>
        <v>306718.19200000004</v>
      </c>
      <c r="U122" s="73"/>
      <c r="V122" s="70">
        <f>SUM(V117+V118+V119)*V120*V121</f>
        <v>322090.82072829414</v>
      </c>
      <c r="W122" s="73"/>
      <c r="X122" s="313">
        <f>SUM(X117+X118+X119)*X120*X121</f>
        <v>358068.82553338853</v>
      </c>
      <c r="Y122" s="73"/>
      <c r="Z122" s="313">
        <f t="shared" si="71"/>
        <v>389968.70041831874</v>
      </c>
      <c r="AA122" s="313">
        <f>SUM(AA117+AA118+AA119)*AA120*AA121</f>
        <v>422025.93967566191</v>
      </c>
      <c r="AB122" s="313">
        <f>SUM(AB117+AB118+AB119)*AB120*AB121</f>
        <v>454083.1789330052</v>
      </c>
      <c r="AC122" s="313">
        <f>SUM(AC117+AC118+AC119)*AC120*AC121</f>
        <v>486140.41819034837</v>
      </c>
    </row>
    <row r="123" spans="1:29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70"/>
      <c r="W123" s="73"/>
      <c r="X123" s="313"/>
      <c r="Y123" s="73"/>
      <c r="Z123" s="313"/>
      <c r="AA123" s="313"/>
      <c r="AB123" s="313"/>
      <c r="AC123" s="313"/>
    </row>
    <row r="124" spans="1:29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73">SUM(G122)</f>
        <v>188890.26799999998</v>
      </c>
      <c r="I124" s="69">
        <f t="shared" si="73"/>
        <v>199575.79679677499</v>
      </c>
      <c r="J124" s="70"/>
      <c r="K124" s="71"/>
      <c r="L124" s="69">
        <f t="shared" ref="L124:AA124" si="74">SUM(L122)</f>
        <v>234774.02500000002</v>
      </c>
      <c r="M124" s="72"/>
      <c r="N124" s="69">
        <f t="shared" si="74"/>
        <v>230552.66500000001</v>
      </c>
      <c r="O124" s="70"/>
      <c r="P124" s="70">
        <f t="shared" si="74"/>
        <v>229911.818</v>
      </c>
      <c r="Q124" s="73"/>
      <c r="R124" s="70">
        <f t="shared" ref="R124" si="75">SUM(R122)</f>
        <v>246152.10861059991</v>
      </c>
      <c r="S124" s="73"/>
      <c r="T124" s="70">
        <f t="shared" si="74"/>
        <v>306718.19200000004</v>
      </c>
      <c r="U124" s="73"/>
      <c r="V124" s="70">
        <f t="shared" si="74"/>
        <v>322090.82072829414</v>
      </c>
      <c r="W124" s="73"/>
      <c r="X124" s="313">
        <f t="shared" si="74"/>
        <v>358068.82553338853</v>
      </c>
      <c r="Y124" s="73"/>
      <c r="Z124" s="313">
        <f t="shared" si="74"/>
        <v>389968.70041831874</v>
      </c>
      <c r="AA124" s="313">
        <f t="shared" si="74"/>
        <v>422025.93967566191</v>
      </c>
      <c r="AB124" s="313">
        <f>SUM(AB122)</f>
        <v>454083.1789330052</v>
      </c>
      <c r="AC124" s="313">
        <f>SUM(AC122)</f>
        <v>486140.41819034837</v>
      </c>
    </row>
    <row r="125" spans="1:29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70">
        <v>293289.11</v>
      </c>
      <c r="U125" s="73"/>
      <c r="V125" s="72"/>
      <c r="W125" s="73"/>
      <c r="X125" s="313"/>
      <c r="Y125" s="73"/>
      <c r="Z125" s="313"/>
      <c r="AA125" s="313"/>
      <c r="AB125" s="313"/>
      <c r="AC125" s="313"/>
    </row>
    <row r="126" spans="1:29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337">
        <f>SUM(T126)</f>
        <v>0.95621687154441737</v>
      </c>
      <c r="W126" s="230"/>
      <c r="X126" s="337">
        <f>SUM(V126)</f>
        <v>0.95621687154441737</v>
      </c>
      <c r="Y126" s="230"/>
      <c r="Z126" s="337">
        <f>SUM(X126)</f>
        <v>0.95621687154441737</v>
      </c>
      <c r="AA126" s="337">
        <f t="shared" ref="AA126" si="76">SUM(Z126)</f>
        <v>0.95621687154441737</v>
      </c>
      <c r="AB126" s="337">
        <f>SUM(AA126)</f>
        <v>0.95621687154441737</v>
      </c>
      <c r="AC126" s="337">
        <f>SUM(AB126)</f>
        <v>0.95621687154441737</v>
      </c>
    </row>
    <row r="127" spans="1:29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7">SUM(G124*G126)</f>
        <v>173804.16659564062</v>
      </c>
      <c r="I127" s="69">
        <f t="shared" si="77"/>
        <v>189501.07105461584</v>
      </c>
      <c r="J127" s="70"/>
      <c r="K127" s="71"/>
      <c r="L127" s="69">
        <f t="shared" ref="L127:AA127" si="78">SUM(L124*L126)</f>
        <v>223370.065</v>
      </c>
      <c r="M127" s="72"/>
      <c r="N127" s="69">
        <f t="shared" si="78"/>
        <v>216345.522</v>
      </c>
      <c r="O127" s="231"/>
      <c r="P127" s="70">
        <f t="shared" si="78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313">
        <f>SUM(V124*V126)</f>
        <v>307988.67694998323</v>
      </c>
      <c r="W127" s="232"/>
      <c r="X127" s="313">
        <f>SUM(X124*X126)</f>
        <v>342391.45214912057</v>
      </c>
      <c r="Y127" s="232"/>
      <c r="Z127" s="313">
        <f t="shared" si="78"/>
        <v>372894.65071424685</v>
      </c>
      <c r="AA127" s="313">
        <f t="shared" si="78"/>
        <v>403548.32374725444</v>
      </c>
      <c r="AB127" s="313">
        <f>SUM(AB124*AB126)</f>
        <v>434201.9967802621</v>
      </c>
      <c r="AC127" s="313">
        <f>SUM(AC124*AC126)</f>
        <v>464855.66981326969</v>
      </c>
    </row>
    <row r="128" spans="1:29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305">
        <v>0.09</v>
      </c>
      <c r="V128" s="318">
        <f>SUM(T128*(1+U128))</f>
        <v>1.2480966641754958E-2</v>
      </c>
      <c r="W128" s="305">
        <f>$W$30</f>
        <v>1.4999999999999999E-2</v>
      </c>
      <c r="X128" s="318">
        <f>SUM(V128*(1+W128))</f>
        <v>1.2668181141381281E-2</v>
      </c>
      <c r="Y128" s="305">
        <f>$Y$30</f>
        <v>0.02</v>
      </c>
      <c r="Z128" s="318">
        <f>SUM(X128*(1+Y128))</f>
        <v>1.2921544764208906E-2</v>
      </c>
      <c r="AA128" s="318">
        <f>SUM(Z128*(1+Y128))</f>
        <v>1.3179975659493085E-2</v>
      </c>
      <c r="AB128" s="318">
        <f>SUM(AA128*(1+Y128))</f>
        <v>1.3443575172682947E-2</v>
      </c>
      <c r="AC128" s="318">
        <f>SUM(AB128*(1+$Y$128))</f>
        <v>1.3712446676136606E-2</v>
      </c>
    </row>
    <row r="129" spans="1:29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319"/>
      <c r="W129" s="71"/>
      <c r="X129" s="319"/>
      <c r="Y129" s="71"/>
      <c r="Z129" s="319"/>
      <c r="AA129" s="319"/>
      <c r="AB129" s="319"/>
      <c r="AC129" s="319"/>
    </row>
    <row r="130" spans="1:29" ht="15" thickBot="1" x14ac:dyDescent="0.35">
      <c r="C130" s="112">
        <v>1843</v>
      </c>
      <c r="E130" s="112">
        <f>SUM(E127*E128)</f>
        <v>1939.7429074619999</v>
      </c>
      <c r="G130" s="112">
        <f t="shared" ref="G130" si="79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80">SUM(R127*R128)</f>
        <v>3018.7944147768244</v>
      </c>
      <c r="S130" s="114"/>
      <c r="T130" s="141">
        <f>SUM(T127*T128)</f>
        <v>3358.2858700000002</v>
      </c>
      <c r="U130" s="114"/>
      <c r="V130" s="320">
        <f t="shared" ref="V130" si="81">SUM(V127*V128)</f>
        <v>3843.9964030509846</v>
      </c>
      <c r="W130" s="114"/>
      <c r="X130" s="320">
        <f>SUM(X127*X128)</f>
        <v>4337.4769370856402</v>
      </c>
      <c r="Y130" s="370"/>
      <c r="Z130" s="320">
        <f>SUM(Z127*Z128)</f>
        <v>4818.3749215381849</v>
      </c>
      <c r="AA130" s="320">
        <f>SUM(AA127*AA128)</f>
        <v>5318.7570844180491</v>
      </c>
      <c r="AB130" s="320">
        <f>SUM(AB127*AB128)</f>
        <v>5837.2271838444922</v>
      </c>
      <c r="AC130" s="320">
        <f>SUM(AC127*AC128)</f>
        <v>6374.3085844142261</v>
      </c>
    </row>
    <row r="131" spans="1:29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238"/>
      <c r="W131" s="239"/>
      <c r="X131" s="238"/>
      <c r="Y131" s="239"/>
      <c r="Z131" s="238"/>
      <c r="AA131" s="238"/>
      <c r="AB131" s="238"/>
      <c r="AC131" s="238"/>
    </row>
    <row r="132" spans="1:29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120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  <c r="AC132" s="301" t="str">
        <f>$AC$10</f>
        <v>2024 Estimate</v>
      </c>
    </row>
    <row r="133" spans="1:29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65"/>
      <c r="W133" s="64"/>
      <c r="X133" s="321"/>
      <c r="Y133" s="64"/>
      <c r="Z133" s="321"/>
      <c r="AA133" s="321"/>
      <c r="AB133" s="321"/>
      <c r="AC133" s="321"/>
    </row>
    <row r="134" spans="1:29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65"/>
      <c r="W134" s="64"/>
      <c r="X134" s="321"/>
      <c r="Y134" s="64"/>
      <c r="Z134" s="321"/>
      <c r="AA134" s="321"/>
      <c r="AB134" s="321"/>
      <c r="AC134" s="321"/>
    </row>
    <row r="135" spans="1:29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70">
        <v>742683.92599999998</v>
      </c>
      <c r="W135" s="73"/>
      <c r="X135" s="313">
        <f>SUM(V135:V137)</f>
        <v>742683.92599999998</v>
      </c>
      <c r="Y135" s="73"/>
      <c r="Z135" s="313">
        <f>SUM(X135:X137)</f>
        <v>820874.92599999998</v>
      </c>
      <c r="AA135" s="313">
        <f>SUM(Z135:Z137)</f>
        <v>890202.92599999998</v>
      </c>
      <c r="AB135" s="313">
        <f>SUM(AA135:AA137)</f>
        <v>959872.92599999998</v>
      </c>
      <c r="AC135" s="313">
        <f>SUM(AB135:AB137)</f>
        <v>1029542.926</v>
      </c>
    </row>
    <row r="136" spans="1:29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70"/>
      <c r="W136" s="73"/>
      <c r="X136" s="313">
        <f t="shared" ref="X136:AA137" si="82">SUM(X118)</f>
        <v>78191</v>
      </c>
      <c r="Y136" s="73"/>
      <c r="Z136" s="313">
        <f t="shared" si="82"/>
        <v>69328</v>
      </c>
      <c r="AA136" s="313">
        <f t="shared" si="82"/>
        <v>69670</v>
      </c>
      <c r="AB136" s="313">
        <f>SUM(AB118)</f>
        <v>69670</v>
      </c>
      <c r="AC136" s="313">
        <f>SUM(AC118)</f>
        <v>69670</v>
      </c>
    </row>
    <row r="137" spans="1:29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70"/>
      <c r="W137" s="73"/>
      <c r="X137" s="313">
        <f t="shared" si="82"/>
        <v>0</v>
      </c>
      <c r="Y137" s="73"/>
      <c r="Z137" s="313">
        <f t="shared" si="82"/>
        <v>0</v>
      </c>
      <c r="AA137" s="313">
        <f t="shared" si="82"/>
        <v>0</v>
      </c>
      <c r="AB137" s="313">
        <f>SUM(AB119)</f>
        <v>0</v>
      </c>
      <c r="AC137" s="313">
        <f>SUM(AC119)</f>
        <v>0</v>
      </c>
    </row>
    <row r="138" spans="1:29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87">
        <v>1</v>
      </c>
      <c r="W138" s="73"/>
      <c r="X138" s="314">
        <v>1</v>
      </c>
      <c r="Y138" s="73"/>
      <c r="Z138" s="314">
        <v>1</v>
      </c>
      <c r="AA138" s="314">
        <v>1</v>
      </c>
      <c r="AB138" s="314">
        <v>1</v>
      </c>
      <c r="AC138" s="314">
        <v>1</v>
      </c>
    </row>
    <row r="139" spans="1:29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91">
        <v>0.18293040999999999</v>
      </c>
      <c r="W139" s="84"/>
      <c r="X139" s="315">
        <f>SUM(V139)</f>
        <v>0.18293040999999999</v>
      </c>
      <c r="Y139" s="84"/>
      <c r="Z139" s="315">
        <f>SUM(X139)</f>
        <v>0.18293040999999999</v>
      </c>
      <c r="AA139" s="315">
        <f t="shared" ref="AA139:AC139" si="83">SUM(Z139)</f>
        <v>0.18293040999999999</v>
      </c>
      <c r="AB139" s="315">
        <f t="shared" si="83"/>
        <v>0.18293040999999999</v>
      </c>
      <c r="AC139" s="315">
        <f t="shared" si="83"/>
        <v>0.18293040999999999</v>
      </c>
    </row>
    <row r="140" spans="1:29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84">SUM((G135+G136+G137)*G138*G139)</f>
        <v>79213.073000000004</v>
      </c>
      <c r="I140" s="99">
        <f t="shared" si="84"/>
        <v>85831.54</v>
      </c>
      <c r="J140" s="100"/>
      <c r="K140" s="101"/>
      <c r="L140" s="99">
        <f t="shared" ref="L140:T140" si="85">SUM((L135+L136+L137)*L138*L139)</f>
        <v>92701.07758538505</v>
      </c>
      <c r="M140" s="102"/>
      <c r="N140" s="99">
        <f t="shared" si="85"/>
        <v>96666.592999999993</v>
      </c>
      <c r="O140" s="100"/>
      <c r="P140" s="100">
        <f t="shared" si="85"/>
        <v>103095.598</v>
      </c>
      <c r="Q140" s="177"/>
      <c r="R140" s="100">
        <f t="shared" ref="R140" si="86">SUM((R135+R136+R137)*R138*R139)</f>
        <v>115955.848</v>
      </c>
      <c r="S140" s="177"/>
      <c r="T140" s="100">
        <f t="shared" si="85"/>
        <v>134625.429</v>
      </c>
      <c r="U140" s="177"/>
      <c r="V140" s="100">
        <f>SUM((V135+V136+V137)*V138*V139)</f>
        <v>135859.47508358964</v>
      </c>
      <c r="W140" s="177"/>
      <c r="X140" s="317">
        <f>SUM((X135+X136+X137)*X138*X139)</f>
        <v>150162.98677189965</v>
      </c>
      <c r="Y140" s="177"/>
      <c r="Z140" s="317">
        <f>SUM((Z135+Z136+Z137)*Z138*Z139)</f>
        <v>162845.18623637964</v>
      </c>
      <c r="AA140" s="317">
        <f>SUM((AA135+AA136+AA137)*AA138*AA139)</f>
        <v>175589.94790107963</v>
      </c>
      <c r="AB140" s="317">
        <f>SUM((AB135+AB136+AB137)*AB138*AB139)</f>
        <v>188334.70956577963</v>
      </c>
      <c r="AC140" s="317">
        <f>SUM((AC135+AC136+AC137)*AC138*AC139)</f>
        <v>201079.47123047966</v>
      </c>
    </row>
    <row r="141" spans="1:29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83">
        <v>-100</v>
      </c>
      <c r="W141" s="84"/>
      <c r="X141" s="323"/>
      <c r="Y141" s="84"/>
      <c r="Z141" s="323"/>
      <c r="AA141" s="323"/>
      <c r="AB141" s="323"/>
      <c r="AC141" s="323"/>
    </row>
    <row r="142" spans="1:29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7">SUM(G140)</f>
        <v>79213.073000000004</v>
      </c>
      <c r="I142" s="69">
        <f t="shared" si="87"/>
        <v>85831.54</v>
      </c>
      <c r="J142" s="70"/>
      <c r="K142" s="71"/>
      <c r="L142" s="69">
        <f t="shared" ref="L142:AA142" si="88">SUM(L140)</f>
        <v>92701.07758538505</v>
      </c>
      <c r="M142" s="72"/>
      <c r="N142" s="69">
        <f t="shared" si="88"/>
        <v>96666.592999999993</v>
      </c>
      <c r="O142" s="70"/>
      <c r="P142" s="70">
        <f t="shared" si="88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70">
        <f>SUM(V140:V141)</f>
        <v>135759.47508358964</v>
      </c>
      <c r="W142" s="73"/>
      <c r="X142" s="313">
        <f>SUM(X140)</f>
        <v>150162.98677189965</v>
      </c>
      <c r="Y142" s="73"/>
      <c r="Z142" s="313">
        <f t="shared" si="88"/>
        <v>162845.18623637964</v>
      </c>
      <c r="AA142" s="313">
        <f t="shared" si="88"/>
        <v>175589.94790107963</v>
      </c>
      <c r="AB142" s="313">
        <f>SUM(AB140)</f>
        <v>188334.70956577963</v>
      </c>
      <c r="AC142" s="313">
        <f>SUM(AC140)</f>
        <v>201079.47123047966</v>
      </c>
    </row>
    <row r="143" spans="1:29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134">
        <v>1</v>
      </c>
      <c r="W143" s="84"/>
      <c r="X143" s="324">
        <v>1</v>
      </c>
      <c r="Y143" s="84"/>
      <c r="Z143" s="324">
        <v>1</v>
      </c>
      <c r="AA143" s="324">
        <v>1</v>
      </c>
      <c r="AB143" s="324">
        <v>1</v>
      </c>
      <c r="AC143" s="324">
        <v>1</v>
      </c>
    </row>
    <row r="144" spans="1:29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9">SUM(G142*G143)</f>
        <v>77458.071382651833</v>
      </c>
      <c r="I144" s="69">
        <f t="shared" si="89"/>
        <v>85831.54</v>
      </c>
      <c r="J144" s="70"/>
      <c r="K144" s="71"/>
      <c r="L144" s="69">
        <f t="shared" ref="L144:AA144" si="90">SUM(L142*L143)</f>
        <v>92701.07758538505</v>
      </c>
      <c r="M144" s="72"/>
      <c r="N144" s="69">
        <f t="shared" si="90"/>
        <v>96666.592999999993</v>
      </c>
      <c r="O144" s="70"/>
      <c r="P144" s="70">
        <f t="shared" si="90"/>
        <v>103095.598</v>
      </c>
      <c r="Q144" s="73"/>
      <c r="R144" s="70">
        <f t="shared" ref="R144" si="91">SUM(R142*R143)</f>
        <v>115955.848</v>
      </c>
      <c r="S144" s="73"/>
      <c r="T144" s="70">
        <f t="shared" si="90"/>
        <v>134525.429</v>
      </c>
      <c r="U144" s="73"/>
      <c r="V144" s="70">
        <f>SUM(V142*V143)</f>
        <v>135759.47508358964</v>
      </c>
      <c r="W144" s="73"/>
      <c r="X144" s="313">
        <f t="shared" si="90"/>
        <v>150162.98677189965</v>
      </c>
      <c r="Y144" s="73"/>
      <c r="Z144" s="313">
        <f t="shared" si="90"/>
        <v>162845.18623637964</v>
      </c>
      <c r="AA144" s="313">
        <f t="shared" si="90"/>
        <v>175589.94790107963</v>
      </c>
      <c r="AB144" s="313">
        <f>SUM(AB142*AB143)</f>
        <v>188334.70956577963</v>
      </c>
      <c r="AC144" s="313">
        <f>SUM(AC142*AC143)</f>
        <v>201079.47123047966</v>
      </c>
    </row>
    <row r="145" spans="1:29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305">
        <v>0.01</v>
      </c>
      <c r="V145" s="318">
        <f>SUM(T145*(1+U145))</f>
        <v>1.3256725806836119E-2</v>
      </c>
      <c r="W145" s="305">
        <f>$W$30</f>
        <v>1.4999999999999999E-2</v>
      </c>
      <c r="X145" s="318">
        <f>SUM(V145*(1+W145))</f>
        <v>1.345557669393866E-2</v>
      </c>
      <c r="Y145" s="305">
        <f>$Y$30</f>
        <v>0.02</v>
      </c>
      <c r="Z145" s="318">
        <f>SUM(X145*(1+Y145))</f>
        <v>1.3724688227817434E-2</v>
      </c>
      <c r="AA145" s="318">
        <f>SUM(Z145*(1+Y145))</f>
        <v>1.3999181992373783E-2</v>
      </c>
      <c r="AB145" s="318">
        <f>SUM(AA145*(1+Y145))</f>
        <v>1.427916563222126E-2</v>
      </c>
      <c r="AC145" s="318">
        <f>SUM(AB145*(1+$Y$145))</f>
        <v>1.4564748944865685E-2</v>
      </c>
    </row>
    <row r="146" spans="1:29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317"/>
      <c r="W146" s="101"/>
      <c r="X146" s="317"/>
      <c r="Y146" s="101"/>
      <c r="Z146" s="317"/>
      <c r="AA146" s="317"/>
      <c r="AB146" s="317"/>
      <c r="AC146" s="317"/>
    </row>
    <row r="147" spans="1:29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92">SUM(G144*G145)</f>
        <v>1112.580366038414</v>
      </c>
      <c r="I147" s="178">
        <f t="shared" si="92"/>
        <v>1255.1733400000001</v>
      </c>
      <c r="J147" s="179"/>
      <c r="K147" s="180"/>
      <c r="L147" s="178">
        <f t="shared" ref="L147:P147" si="93">SUM(L144*L145)</f>
        <v>1336.7211187574665</v>
      </c>
      <c r="M147" s="181"/>
      <c r="N147" s="178">
        <f t="shared" si="93"/>
        <v>1396.8021189769413</v>
      </c>
      <c r="O147" s="181"/>
      <c r="P147" s="179">
        <f t="shared" si="93"/>
        <v>1470.0476900000001</v>
      </c>
      <c r="Q147" s="180"/>
      <c r="R147" s="179">
        <f t="shared" ref="R147" si="94">SUM(R144*R145)</f>
        <v>1640.8960900000002</v>
      </c>
      <c r="S147" s="180"/>
      <c r="T147" s="179">
        <f>SUM(T144*T145)</f>
        <v>1765.7096300000001</v>
      </c>
      <c r="U147" s="180"/>
      <c r="V147" s="338">
        <f>SUM(V144*V145)</f>
        <v>1799.726136863148</v>
      </c>
      <c r="W147" s="180"/>
      <c r="X147" s="338">
        <f>SUM(X144*X145)</f>
        <v>2020.5295851001924</v>
      </c>
      <c r="Y147" s="373"/>
      <c r="Z147" s="338">
        <f>SUM(Z144*Z145)</f>
        <v>2234.999410495177</v>
      </c>
      <c r="AA147" s="338">
        <f>SUM(AA144*AA145)</f>
        <v>2458.1156366986447</v>
      </c>
      <c r="AB147" s="338">
        <f>SUM(AB144*AB145)</f>
        <v>2689.2625121860528</v>
      </c>
      <c r="AC147" s="338">
        <f>SUM(AC144*AC145)</f>
        <v>2928.6720164382782</v>
      </c>
    </row>
    <row r="148" spans="1:29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  <c r="AC148" s="144"/>
    </row>
    <row r="149" spans="1:29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187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">
        <v>178</v>
      </c>
      <c r="AC149" s="301" t="s">
        <v>179</v>
      </c>
    </row>
    <row r="150" spans="1:29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65"/>
      <c r="W150" s="64"/>
      <c r="X150" s="321"/>
      <c r="Y150" s="64"/>
      <c r="Z150" s="321"/>
      <c r="AA150" s="321"/>
      <c r="AB150" s="321"/>
      <c r="AC150" s="321"/>
    </row>
    <row r="151" spans="1:29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65"/>
      <c r="W151" s="64"/>
      <c r="X151" s="321"/>
      <c r="Y151" s="64"/>
      <c r="Z151" s="321"/>
      <c r="AA151" s="321"/>
      <c r="AB151" s="321"/>
      <c r="AC151" s="321"/>
    </row>
    <row r="152" spans="1:29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70">
        <v>324700</v>
      </c>
      <c r="W152" s="73"/>
      <c r="X152" s="313">
        <f>SUM(V152:V154)</f>
        <v>324700</v>
      </c>
      <c r="Y152" s="73"/>
      <c r="Z152" s="313">
        <f>SUM(X152:X154)</f>
        <v>346823</v>
      </c>
      <c r="AA152" s="313">
        <f t="shared" ref="AA152" si="95">SUM(Z152:Z154)</f>
        <v>367077</v>
      </c>
      <c r="AB152" s="313">
        <f>SUM(AA152:AA154)</f>
        <v>387452</v>
      </c>
      <c r="AC152" s="313">
        <f>SUM(AB152:AB154)</f>
        <v>407827</v>
      </c>
    </row>
    <row r="153" spans="1:29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70">
        <v>0</v>
      </c>
      <c r="W153" s="73"/>
      <c r="X153" s="154">
        <v>22123</v>
      </c>
      <c r="Y153" s="73"/>
      <c r="Z153" s="154">
        <v>20254</v>
      </c>
      <c r="AA153" s="154">
        <v>20375</v>
      </c>
      <c r="AB153" s="154">
        <f>AA153</f>
        <v>20375</v>
      </c>
      <c r="AC153" s="154">
        <f>AB153</f>
        <v>20375</v>
      </c>
    </row>
    <row r="154" spans="1:29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70">
        <v>0</v>
      </c>
      <c r="W154" s="73"/>
      <c r="X154" s="154">
        <v>0</v>
      </c>
      <c r="Y154" s="73"/>
      <c r="Z154" s="154">
        <v>0</v>
      </c>
      <c r="AA154" s="154">
        <v>0</v>
      </c>
      <c r="AB154" s="154">
        <f>AA154</f>
        <v>0</v>
      </c>
      <c r="AC154" s="154">
        <f>AB154</f>
        <v>0</v>
      </c>
    </row>
    <row r="155" spans="1:29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87">
        <v>1</v>
      </c>
      <c r="W155" s="73"/>
      <c r="X155" s="314">
        <v>1</v>
      </c>
      <c r="Y155" s="73"/>
      <c r="Z155" s="314">
        <v>1</v>
      </c>
      <c r="AA155" s="314">
        <v>1</v>
      </c>
      <c r="AB155" s="314">
        <v>1</v>
      </c>
      <c r="AC155" s="314">
        <v>1</v>
      </c>
    </row>
    <row r="156" spans="1:29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91">
        <v>1</v>
      </c>
      <c r="W156" s="84"/>
      <c r="X156" s="315">
        <v>1</v>
      </c>
      <c r="Y156" s="84"/>
      <c r="Z156" s="315">
        <v>1</v>
      </c>
      <c r="AA156" s="315">
        <v>1</v>
      </c>
      <c r="AB156" s="315">
        <v>1</v>
      </c>
      <c r="AC156" s="315">
        <v>1</v>
      </c>
    </row>
    <row r="157" spans="1:29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6">SUM((G152+G153+G154)*G155*G156)</f>
        <v>160600</v>
      </c>
      <c r="I157" s="99">
        <f t="shared" si="96"/>
        <v>168937</v>
      </c>
      <c r="J157" s="100"/>
      <c r="K157" s="101"/>
      <c r="L157" s="99">
        <f t="shared" ref="L157:AA157" si="97">SUM((L152+L153+L154)*L155*L156)</f>
        <v>184700</v>
      </c>
      <c r="M157" s="102"/>
      <c r="N157" s="99">
        <f t="shared" si="97"/>
        <v>209500</v>
      </c>
      <c r="O157" s="100"/>
      <c r="P157" s="100">
        <f t="shared" ref="P157" si="98">SUM((P152+P153+P154)*P155*P156)</f>
        <v>243796.47</v>
      </c>
      <c r="Q157" s="177"/>
      <c r="R157" s="100">
        <f t="shared" ref="R157" si="99">SUM((R152+R153+R154)*R155*R156)</f>
        <v>282611.34999999998</v>
      </c>
      <c r="S157" s="177"/>
      <c r="T157" s="100">
        <f t="shared" si="97"/>
        <v>340600</v>
      </c>
      <c r="U157" s="177"/>
      <c r="V157" s="100">
        <f>SUM((V152+V153+V154)*V155*V156)</f>
        <v>324700</v>
      </c>
      <c r="W157" s="177"/>
      <c r="X157" s="317">
        <f>SUM((X152+X153+X154)*X155*X156)</f>
        <v>346823</v>
      </c>
      <c r="Y157" s="177"/>
      <c r="Z157" s="317">
        <f t="shared" si="97"/>
        <v>367077</v>
      </c>
      <c r="AA157" s="317">
        <f t="shared" si="97"/>
        <v>387452</v>
      </c>
      <c r="AB157" s="317">
        <f>SUM((AB152+AB153+AB154)*AB155*AB156)</f>
        <v>407827</v>
      </c>
      <c r="AC157" s="317">
        <f>SUM((AC152+AC153+AC154)*AC155*AC156)</f>
        <v>428202</v>
      </c>
    </row>
    <row r="158" spans="1:29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70"/>
      <c r="W158" s="73"/>
      <c r="X158" s="313"/>
      <c r="Y158" s="73"/>
      <c r="Z158" s="313"/>
      <c r="AA158" s="313"/>
      <c r="AB158" s="313"/>
      <c r="AC158" s="313"/>
    </row>
    <row r="159" spans="1:29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245">
        <v>1</v>
      </c>
      <c r="W159" s="73"/>
      <c r="X159" s="339">
        <v>1</v>
      </c>
      <c r="Y159" s="73"/>
      <c r="Z159" s="339">
        <v>1</v>
      </c>
      <c r="AA159" s="339">
        <v>1</v>
      </c>
      <c r="AB159" s="339">
        <v>1</v>
      </c>
      <c r="AC159" s="339">
        <v>1</v>
      </c>
    </row>
    <row r="160" spans="1:29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100">SUM(G157*G159)</f>
        <v>160600</v>
      </c>
      <c r="I160" s="69">
        <f t="shared" si="100"/>
        <v>168937</v>
      </c>
      <c r="J160" s="70"/>
      <c r="K160" s="71"/>
      <c r="L160" s="69">
        <f t="shared" ref="L160:AA160" si="101">SUM(L157*L159)</f>
        <v>184700</v>
      </c>
      <c r="M160" s="72"/>
      <c r="N160" s="69">
        <f t="shared" si="101"/>
        <v>209500</v>
      </c>
      <c r="O160" s="70"/>
      <c r="P160" s="70">
        <f t="shared" ref="P160" si="102">SUM(P157*P159)</f>
        <v>243796.47</v>
      </c>
      <c r="Q160" s="73"/>
      <c r="R160" s="70">
        <f t="shared" ref="R160" si="103">SUM(R157*R159)</f>
        <v>282611.34999999998</v>
      </c>
      <c r="S160" s="73"/>
      <c r="T160" s="70">
        <f t="shared" si="101"/>
        <v>340600</v>
      </c>
      <c r="U160" s="73"/>
      <c r="V160" s="70">
        <f t="shared" si="101"/>
        <v>324700</v>
      </c>
      <c r="W160" s="73"/>
      <c r="X160" s="313">
        <f>SUM(X157*X159)</f>
        <v>346823</v>
      </c>
      <c r="Y160" s="73"/>
      <c r="Z160" s="313">
        <f t="shared" si="101"/>
        <v>367077</v>
      </c>
      <c r="AA160" s="313">
        <f t="shared" si="101"/>
        <v>387452</v>
      </c>
      <c r="AB160" s="313">
        <f>SUM(AB157*AB159)</f>
        <v>407827</v>
      </c>
      <c r="AC160" s="313">
        <f>SUM(AC157*AC159)</f>
        <v>428202</v>
      </c>
    </row>
    <row r="161" spans="1:31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247">
        <v>1</v>
      </c>
      <c r="W161" s="84"/>
      <c r="X161" s="340">
        <v>1</v>
      </c>
      <c r="Y161" s="84"/>
      <c r="Z161" s="340">
        <v>1</v>
      </c>
      <c r="AA161" s="340">
        <v>1</v>
      </c>
      <c r="AB161" s="340">
        <v>1</v>
      </c>
      <c r="AC161" s="340">
        <v>1</v>
      </c>
    </row>
    <row r="162" spans="1:31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104">SUM(G160*G161)</f>
        <v>160600</v>
      </c>
      <c r="I162" s="69">
        <f t="shared" si="104"/>
        <v>168937</v>
      </c>
      <c r="J162" s="70"/>
      <c r="K162" s="71"/>
      <c r="L162" s="69">
        <f t="shared" ref="L162:AA162" si="105">SUM(L160*L161)</f>
        <v>184700</v>
      </c>
      <c r="M162" s="72"/>
      <c r="N162" s="69">
        <f t="shared" si="105"/>
        <v>209500</v>
      </c>
      <c r="O162" s="70"/>
      <c r="P162" s="70">
        <f t="shared" ref="P162" si="106">SUM(P160*P161)</f>
        <v>243796.47</v>
      </c>
      <c r="Q162" s="73"/>
      <c r="R162" s="70">
        <f t="shared" ref="R162" si="107">SUM(R160*R161)</f>
        <v>282611.34999999998</v>
      </c>
      <c r="S162" s="73"/>
      <c r="T162" s="70">
        <f t="shared" si="105"/>
        <v>340600</v>
      </c>
      <c r="U162" s="73"/>
      <c r="V162" s="70">
        <f>SUM(V160*V161)</f>
        <v>324700</v>
      </c>
      <c r="W162" s="73"/>
      <c r="X162" s="313">
        <f t="shared" si="105"/>
        <v>346823</v>
      </c>
      <c r="Y162" s="73"/>
      <c r="Z162" s="313">
        <f t="shared" si="105"/>
        <v>367077</v>
      </c>
      <c r="AA162" s="313">
        <f t="shared" si="105"/>
        <v>387452</v>
      </c>
      <c r="AB162" s="313">
        <f>SUM(AB160*AB161)</f>
        <v>407827</v>
      </c>
      <c r="AC162" s="313">
        <f>SUM(AC160*AC161)</f>
        <v>428202</v>
      </c>
    </row>
    <row r="163" spans="1:31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305">
        <v>0.01</v>
      </c>
      <c r="V163" s="318">
        <f>SUM(T163*(1+U163))</f>
        <v>1.3083317746623606E-2</v>
      </c>
      <c r="W163" s="305">
        <f>$W$30</f>
        <v>1.4999999999999999E-2</v>
      </c>
      <c r="X163" s="318">
        <f>SUM(V163*(1+W163))</f>
        <v>1.3279567512822959E-2</v>
      </c>
      <c r="Y163" s="305">
        <f>$Y$30</f>
        <v>0.02</v>
      </c>
      <c r="Z163" s="318">
        <f>SUM(X163*(1+Y163))</f>
        <v>1.3545158863079419E-2</v>
      </c>
      <c r="AA163" s="318">
        <f>SUM(Z163*(1+Y163))</f>
        <v>1.3816062040341007E-2</v>
      </c>
      <c r="AB163" s="318">
        <f>SUM(AA163*(1+Y163))</f>
        <v>1.4092383281147827E-2</v>
      </c>
      <c r="AC163" s="318">
        <f>SUM(AB163*(1+$Y$163))</f>
        <v>1.4374230946770783E-2</v>
      </c>
    </row>
    <row r="164" spans="1:31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319"/>
      <c r="W164" s="73"/>
      <c r="X164" s="319"/>
      <c r="Y164" s="73"/>
      <c r="Z164" s="319"/>
      <c r="AA164" s="319"/>
      <c r="AB164" s="319"/>
      <c r="AC164" s="319"/>
    </row>
    <row r="165" spans="1:31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8">SUM(G162*G163)</f>
        <v>2030.6547399999999</v>
      </c>
      <c r="I165" s="112">
        <f t="shared" si="108"/>
        <v>2137.1771711399883</v>
      </c>
      <c r="J165" s="141"/>
      <c r="K165" s="114"/>
      <c r="L165" s="248">
        <f t="shared" ref="L165:Z165" si="109">SUM(L162*L163)</f>
        <v>2378.8604999999998</v>
      </c>
      <c r="M165" s="113"/>
      <c r="N165" s="112">
        <f t="shared" si="109"/>
        <v>2651</v>
      </c>
      <c r="O165" s="141"/>
      <c r="P165" s="141">
        <f t="shared" si="109"/>
        <v>3184.1441200000004</v>
      </c>
      <c r="Q165" s="249"/>
      <c r="R165" s="141">
        <f t="shared" ref="R165" si="110">SUM(R162*R163)</f>
        <v>3678.2691199999999</v>
      </c>
      <c r="S165" s="249"/>
      <c r="T165" s="141">
        <f>SUM(T162*T163)</f>
        <v>4412.0574500000002</v>
      </c>
      <c r="U165" s="249"/>
      <c r="V165" s="320">
        <f>SUM(V162*V163)</f>
        <v>4248.1532723286846</v>
      </c>
      <c r="W165" s="249"/>
      <c r="X165" s="320">
        <f>SUM(X162*X163)</f>
        <v>4605.6594434997969</v>
      </c>
      <c r="Y165" s="374"/>
      <c r="Z165" s="320">
        <f t="shared" si="109"/>
        <v>4972.1162799826034</v>
      </c>
      <c r="AA165" s="320">
        <f>SUM(AA162*AA163)</f>
        <v>5353.060869654204</v>
      </c>
      <c r="AB165" s="320">
        <f>SUM(AB162*AB163)</f>
        <v>5747.2543964006745</v>
      </c>
      <c r="AC165" s="320">
        <f>SUM(AC162*AC163)</f>
        <v>6155.0744398691431</v>
      </c>
    </row>
    <row r="166" spans="1:31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  <c r="AC166" s="144"/>
    </row>
    <row r="167" spans="1:31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  <c r="AC167" s="257"/>
    </row>
    <row r="168" spans="1:31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  <c r="AC168" s="257"/>
    </row>
    <row r="169" spans="1:31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  <c r="AC169" s="257"/>
    </row>
    <row r="170" spans="1:31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  <c r="AC170" s="265"/>
    </row>
    <row r="171" spans="1:31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  <c r="AC171" s="341" t="s">
        <v>103</v>
      </c>
    </row>
    <row r="172" spans="1:31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  <c r="AC172" s="301">
        <f>AB172+1</f>
        <v>2024</v>
      </c>
    </row>
    <row r="173" spans="1:31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C173" s="321"/>
      <c r="AE173" s="11"/>
    </row>
    <row r="174" spans="1:31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14811.004383626983</v>
      </c>
      <c r="W174" s="355"/>
      <c r="X174" s="342">
        <f>SUM(X32)</f>
        <v>16927.642335317953</v>
      </c>
      <c r="Y174" s="355"/>
      <c r="Z174" s="342">
        <f>SUM(Z32)</f>
        <v>19183.714661398597</v>
      </c>
      <c r="AA174" s="342">
        <f>SUM(AA32)</f>
        <v>21753.042719882887</v>
      </c>
      <c r="AB174" s="342">
        <f>SUM(AB32)</f>
        <v>24417.470414841988</v>
      </c>
      <c r="AC174" s="342">
        <f>SUM(AC32)</f>
        <v>27179.774000511501</v>
      </c>
      <c r="AE174" s="145"/>
    </row>
    <row r="175" spans="1:31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342"/>
      <c r="W175" s="271"/>
      <c r="X175" s="342"/>
      <c r="Y175" s="271"/>
      <c r="Z175" s="342"/>
      <c r="AA175" s="342"/>
      <c r="AB175" s="342"/>
      <c r="AC175" s="342"/>
      <c r="AE175" s="144"/>
    </row>
    <row r="176" spans="1:31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342">
        <f>SUM(V53)</f>
        <v>6436.9866816775175</v>
      </c>
      <c r="W176" s="273"/>
      <c r="X176" s="342">
        <f>SUM(X53)</f>
        <v>7372.1491293892432</v>
      </c>
      <c r="Y176" s="273"/>
      <c r="Z176" s="342">
        <f>SUM(Z53)</f>
        <v>8365.889819612983</v>
      </c>
      <c r="AA176" s="342">
        <f>SUM(AA53)</f>
        <v>9497.846458592594</v>
      </c>
      <c r="AB176" s="342">
        <f>SUM(AB53)</f>
        <v>10671.735007203546</v>
      </c>
      <c r="AC176" s="342">
        <f>SUM(AC53)</f>
        <v>11888.779959175499</v>
      </c>
      <c r="AE176" s="145"/>
    </row>
    <row r="177" spans="1:31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342">
        <f>SUM(V75)</f>
        <v>11665.360656910996</v>
      </c>
      <c r="W177" s="273"/>
      <c r="X177" s="342">
        <f>SUM(X75)</f>
        <v>12902.459612952349</v>
      </c>
      <c r="Y177" s="273"/>
      <c r="Z177" s="342">
        <f>SUM(Z75)</f>
        <v>14169.76804874333</v>
      </c>
      <c r="AA177" s="342">
        <f>SUM(AA75)</f>
        <v>15611.640223358278</v>
      </c>
      <c r="AB177" s="342">
        <f>SUM(AB75)</f>
        <v>17105.519377738321</v>
      </c>
      <c r="AC177" s="342">
        <f>SUM(AC75)</f>
        <v>18652.909042204228</v>
      </c>
      <c r="AE177" s="145"/>
    </row>
    <row r="178" spans="1:31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343">
        <f>SUM(V95)</f>
        <v>13.303558399999998</v>
      </c>
      <c r="W178" s="273"/>
      <c r="X178" s="343">
        <f>SUM(X95)</f>
        <v>13.503111775999995</v>
      </c>
      <c r="Y178" s="273"/>
      <c r="Z178" s="343">
        <f>SUM(Z95)</f>
        <v>13.773174011519995</v>
      </c>
      <c r="AA178" s="343">
        <f>SUM(AA95)</f>
        <v>14.048637491750396</v>
      </c>
      <c r="AB178" s="343">
        <f>SUM(AB95)</f>
        <v>14.329610241585403</v>
      </c>
      <c r="AC178" s="343">
        <f>SUM(AC95)</f>
        <v>14.616202446417113</v>
      </c>
      <c r="AE178" s="145"/>
    </row>
    <row r="179" spans="1:31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55"/>
      <c r="T179" s="179">
        <f>SUM(T111)</f>
        <v>3479.2761100000002</v>
      </c>
      <c r="U179" s="273"/>
      <c r="V179" s="338">
        <f>SUM(V111)</f>
        <v>3404.7250049684135</v>
      </c>
      <c r="W179" s="273"/>
      <c r="X179" s="338">
        <f>SUM(X111)</f>
        <v>3455.7958800429396</v>
      </c>
      <c r="Y179" s="273"/>
      <c r="Z179" s="338">
        <f>SUM(Z111)</f>
        <v>3524.9117976437983</v>
      </c>
      <c r="AA179" s="338">
        <f>SUM(AA111)</f>
        <v>3595.4100335966741</v>
      </c>
      <c r="AB179" s="338">
        <f>SUM(AB111)</f>
        <v>3667.3182342686077</v>
      </c>
      <c r="AC179" s="338">
        <f>SUM(AC111)</f>
        <v>3740.6645989539797</v>
      </c>
      <c r="AE179" s="145"/>
    </row>
    <row r="180" spans="1:31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271"/>
      <c r="T180" s="272"/>
      <c r="U180" s="271"/>
      <c r="V180" s="342"/>
      <c r="W180" s="271"/>
      <c r="X180" s="342"/>
      <c r="Y180" s="271"/>
      <c r="Z180" s="342"/>
      <c r="AA180" s="342"/>
      <c r="AB180" s="342"/>
      <c r="AC180" s="342"/>
      <c r="AE180" s="144"/>
    </row>
    <row r="181" spans="1:31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11">SUM(G174:G179)</f>
        <v>22467.722571320119</v>
      </c>
      <c r="H181" s="3"/>
      <c r="I181" s="178">
        <f t="shared" si="111"/>
        <v>25222.541358363891</v>
      </c>
      <c r="J181" s="181"/>
      <c r="K181" s="180"/>
      <c r="L181" s="178">
        <f t="shared" ref="L181:AA181" si="112">SUM(L174:L179)</f>
        <v>27721.837982187997</v>
      </c>
      <c r="M181" s="181"/>
      <c r="N181" s="178">
        <f t="shared" ref="N181" si="113">SUM(N174:N179)</f>
        <v>29497.728188102526</v>
      </c>
      <c r="O181" s="280"/>
      <c r="P181" s="179">
        <f t="shared" si="112"/>
        <v>30629.426470680279</v>
      </c>
      <c r="Q181" s="281"/>
      <c r="R181" s="179">
        <f>SUM(R174:R179)</f>
        <v>33603.611274662006</v>
      </c>
      <c r="S181" s="281"/>
      <c r="T181" s="179">
        <f>SUM(T174:T179)</f>
        <v>33724.400079999999</v>
      </c>
      <c r="U181" s="273"/>
      <c r="V181" s="338">
        <f t="shared" si="112"/>
        <v>36331.380285583917</v>
      </c>
      <c r="W181" s="273"/>
      <c r="X181" s="338">
        <f t="shared" si="112"/>
        <v>40671.550069478486</v>
      </c>
      <c r="Y181" s="273"/>
      <c r="Z181" s="338">
        <f t="shared" si="112"/>
        <v>45258.057501410229</v>
      </c>
      <c r="AA181" s="338">
        <f t="shared" si="112"/>
        <v>50471.988072922184</v>
      </c>
      <c r="AB181" s="338">
        <f>SUM(AB174:AB179)</f>
        <v>55876.372644294046</v>
      </c>
      <c r="AC181" s="338">
        <f>SUM(AC174:AC179)</f>
        <v>61476.743803291625</v>
      </c>
      <c r="AE181" s="144"/>
    </row>
    <row r="182" spans="1:31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271"/>
      <c r="T182" s="272"/>
      <c r="U182" s="271"/>
      <c r="V182" s="342"/>
      <c r="W182" s="271"/>
      <c r="X182" s="342"/>
      <c r="Y182" s="271"/>
      <c r="Z182" s="342"/>
      <c r="AA182" s="342"/>
      <c r="AB182" s="342"/>
      <c r="AC182" s="342"/>
      <c r="AE182" s="144"/>
    </row>
    <row r="183" spans="1:31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271"/>
      <c r="T183" s="272"/>
      <c r="U183" s="271"/>
      <c r="V183" s="342"/>
      <c r="W183" s="271"/>
      <c r="X183" s="342"/>
      <c r="Y183" s="271"/>
      <c r="Z183" s="342"/>
      <c r="AA183" s="342"/>
      <c r="AB183" s="342"/>
      <c r="AC183" s="342"/>
      <c r="AE183" s="144"/>
    </row>
    <row r="184" spans="1:31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273"/>
      <c r="T184" s="276">
        <f>SUM(T130)</f>
        <v>3358.2858700000002</v>
      </c>
      <c r="U184" s="273"/>
      <c r="V184" s="342">
        <f>SUM(V130)</f>
        <v>3843.9964030509846</v>
      </c>
      <c r="W184" s="355"/>
      <c r="X184" s="342">
        <f>SUM(X130)</f>
        <v>4337.4769370856402</v>
      </c>
      <c r="Y184" s="355"/>
      <c r="Z184" s="342">
        <f>SUM(Z130)</f>
        <v>4818.3749215381849</v>
      </c>
      <c r="AA184" s="342">
        <f>SUM(AA130)</f>
        <v>5318.7570844180491</v>
      </c>
      <c r="AB184" s="342">
        <f>SUM(AB130)</f>
        <v>5837.2271838444922</v>
      </c>
      <c r="AC184" s="342">
        <f>SUM(AC130)</f>
        <v>6374.3085844142261</v>
      </c>
      <c r="AE184" s="145"/>
    </row>
    <row r="185" spans="1:31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273"/>
      <c r="T185" s="276">
        <f>SUM(T147)</f>
        <v>1765.7096300000001</v>
      </c>
      <c r="U185" s="273"/>
      <c r="V185" s="342">
        <f>SUM(V147)</f>
        <v>1799.726136863148</v>
      </c>
      <c r="W185" s="273"/>
      <c r="X185" s="342">
        <f>SUM(X147)</f>
        <v>2020.5295851001924</v>
      </c>
      <c r="Y185" s="273"/>
      <c r="Z185" s="342">
        <f>SUM(Z147)</f>
        <v>2234.999410495177</v>
      </c>
      <c r="AA185" s="342">
        <f>SUM(AA147)</f>
        <v>2458.1156366986447</v>
      </c>
      <c r="AB185" s="342">
        <f>SUM(AB147)</f>
        <v>2689.2625121860528</v>
      </c>
      <c r="AC185" s="342">
        <f>SUM(AC147)</f>
        <v>2928.6720164382782</v>
      </c>
      <c r="AE185" s="145"/>
    </row>
    <row r="186" spans="1:31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342">
        <f>SUM(V165)</f>
        <v>4248.1532723286846</v>
      </c>
      <c r="W186" s="273"/>
      <c r="X186" s="342">
        <f>SUM(X165)</f>
        <v>4605.6594434997969</v>
      </c>
      <c r="Y186" s="273"/>
      <c r="Z186" s="342">
        <f>SUM(Z165)</f>
        <v>4972.1162799826034</v>
      </c>
      <c r="AA186" s="342">
        <f>SUM(AA165)</f>
        <v>5353.060869654204</v>
      </c>
      <c r="AB186" s="342">
        <f>SUM(AB165)</f>
        <v>5747.2543964006745</v>
      </c>
      <c r="AC186" s="342">
        <f>SUM(AC165)</f>
        <v>6155.0744398691431</v>
      </c>
      <c r="AE186" s="145"/>
    </row>
    <row r="187" spans="1:31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80"/>
      <c r="T187" s="179">
        <v>0</v>
      </c>
      <c r="U187" s="273"/>
      <c r="V187" s="338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C187" s="338">
        <v>0</v>
      </c>
      <c r="AE187" s="144"/>
    </row>
    <row r="188" spans="1:31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271"/>
      <c r="T188" s="272"/>
      <c r="U188" s="271"/>
      <c r="V188" s="342"/>
      <c r="W188" s="271"/>
      <c r="X188" s="342"/>
      <c r="Y188" s="271"/>
      <c r="Z188" s="342"/>
      <c r="AA188" s="342"/>
      <c r="AB188" s="342"/>
      <c r="AC188" s="342"/>
      <c r="AE188" s="27"/>
    </row>
    <row r="189" spans="1:31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14">SUM(G184:G186)</f>
        <v>5381.658967623669</v>
      </c>
      <c r="H189" s="3"/>
      <c r="I189" s="178">
        <f t="shared" si="114"/>
        <v>5836.652431139988</v>
      </c>
      <c r="J189" s="181"/>
      <c r="K189" s="180"/>
      <c r="L189" s="178">
        <f t="shared" ref="L189:AB189" si="115">SUM(L184:L186)</f>
        <v>6656.9436187574665</v>
      </c>
      <c r="M189" s="181"/>
      <c r="N189" s="178">
        <f t="shared" ref="N189" si="116">SUM(N184:N186)</f>
        <v>6826.5169189769413</v>
      </c>
      <c r="O189" s="181"/>
      <c r="P189" s="179">
        <f t="shared" si="115"/>
        <v>7377.2878482527303</v>
      </c>
      <c r="Q189" s="180"/>
      <c r="R189" s="179">
        <f>SUM(R184:R186)</f>
        <v>8337.9596247768241</v>
      </c>
      <c r="S189" s="180"/>
      <c r="T189" s="179">
        <f>SUM(T184:T186)</f>
        <v>9536.0529500000011</v>
      </c>
      <c r="U189" s="273"/>
      <c r="V189" s="338">
        <f>SUM(V184:V186)</f>
        <v>9891.8758122428171</v>
      </c>
      <c r="W189" s="273"/>
      <c r="X189" s="338">
        <f t="shared" si="115"/>
        <v>10963.66596568563</v>
      </c>
      <c r="Y189" s="273"/>
      <c r="Z189" s="338">
        <f t="shared" si="115"/>
        <v>12025.490612015965</v>
      </c>
      <c r="AA189" s="338">
        <f t="shared" si="115"/>
        <v>13129.933590770897</v>
      </c>
      <c r="AB189" s="338">
        <f t="shared" si="115"/>
        <v>14273.74409243122</v>
      </c>
      <c r="AC189" s="338">
        <f t="shared" ref="AC189" si="117">SUM(AC184:AC186)</f>
        <v>15458.055040721647</v>
      </c>
    </row>
    <row r="190" spans="1:31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271"/>
      <c r="T190" s="270"/>
      <c r="U190" s="271"/>
      <c r="V190" s="368"/>
      <c r="W190" s="271"/>
      <c r="X190" s="342"/>
      <c r="Y190" s="271"/>
      <c r="Z190" s="342"/>
      <c r="AA190" s="342"/>
      <c r="AB190" s="342"/>
      <c r="AC190" s="342"/>
    </row>
    <row r="191" spans="1:31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14"/>
      <c r="T191" s="141">
        <f>SUM(T181+T189)</f>
        <v>43260.453030000004</v>
      </c>
      <c r="U191" s="273"/>
      <c r="V191" s="320">
        <f>SUM(V181+V189)</f>
        <v>46223.256097826736</v>
      </c>
      <c r="W191" s="273"/>
      <c r="X191" s="320">
        <f>SUM(X181+X189)</f>
        <v>51635.216035164114</v>
      </c>
      <c r="Y191" s="273"/>
      <c r="Z191" s="320">
        <f>SUM(Z181+Z189)</f>
        <v>57283.548113426194</v>
      </c>
      <c r="AA191" s="320">
        <f>SUM(AA181+AA189)</f>
        <v>63601.92166369308</v>
      </c>
      <c r="AB191" s="320">
        <f>SUM(AB181+AB189)</f>
        <v>70150.116736725264</v>
      </c>
      <c r="AC191" s="320">
        <f>SUM(AC181+AC189)</f>
        <v>76934.798844013276</v>
      </c>
    </row>
    <row r="192" spans="1:31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286"/>
      <c r="T192" s="285"/>
      <c r="U192" s="286"/>
      <c r="V192" s="285"/>
      <c r="W192" s="286"/>
      <c r="X192" s="285"/>
      <c r="Y192" s="286"/>
      <c r="Z192" s="285"/>
      <c r="AA192" s="285"/>
      <c r="AB192" s="285"/>
      <c r="AC192" s="285"/>
    </row>
    <row r="193" spans="1:29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290"/>
      <c r="T193" s="289">
        <f>SUM(T191-R191)</f>
        <v>1318.8821305611782</v>
      </c>
      <c r="U193" s="290"/>
      <c r="V193" s="289">
        <f>SUM(V191-T191)</f>
        <v>2962.8030678267314</v>
      </c>
      <c r="W193" s="290"/>
      <c r="X193" s="289">
        <f>SUM(X191-V191)</f>
        <v>5411.9599373373785</v>
      </c>
      <c r="Y193" s="290"/>
      <c r="Z193" s="289">
        <f>SUM(Z191-X191)</f>
        <v>5648.3320782620794</v>
      </c>
      <c r="AA193" s="289">
        <f>SUM(AA191-Z191)</f>
        <v>6318.373550266886</v>
      </c>
      <c r="AB193" s="289">
        <f>SUM(AB191-AA191)</f>
        <v>6548.1950730321842</v>
      </c>
      <c r="AC193" s="289">
        <f>SUM(AC191-AB191)</f>
        <v>6784.682107288012</v>
      </c>
    </row>
    <row r="194" spans="1:29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R194" s="11"/>
      <c r="S194" s="291"/>
      <c r="T194" s="11"/>
      <c r="U194" s="291"/>
      <c r="W194" s="291"/>
      <c r="Y194" s="291"/>
    </row>
    <row r="195" spans="1:29" x14ac:dyDescent="0.3">
      <c r="V195" s="10"/>
      <c r="X195" s="10"/>
      <c r="Z195" s="10"/>
      <c r="AA195" s="10"/>
      <c r="AB195" s="10"/>
      <c r="AC195" s="10"/>
    </row>
    <row r="232" spans="20:22" x14ac:dyDescent="0.3">
      <c r="T232" s="354"/>
      <c r="V232" s="354"/>
    </row>
    <row r="233" spans="20:22" x14ac:dyDescent="0.3">
      <c r="T233" s="354"/>
      <c r="V233" s="354"/>
    </row>
    <row r="234" spans="20:22" x14ac:dyDescent="0.3">
      <c r="T234" s="354"/>
      <c r="V234" s="354"/>
    </row>
    <row r="236" spans="20:22" x14ac:dyDescent="0.3">
      <c r="T236" s="357"/>
      <c r="V236" s="357"/>
    </row>
  </sheetData>
  <pageMargins left="0.7" right="0.7" top="0.75" bottom="0.75" header="0.3" footer="0.3"/>
  <pageSetup paperSize="5" scale="75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zoomScaleNormal="100" workbookViewId="0">
      <selection activeCell="C7" sqref="C7"/>
    </sheetView>
  </sheetViews>
  <sheetFormatPr defaultRowHeight="14.4" x14ac:dyDescent="0.3"/>
  <cols>
    <col min="1" max="1" width="4" customWidth="1"/>
    <col min="2" max="2" width="13.44140625" customWidth="1"/>
    <col min="4" max="4" width="9" customWidth="1"/>
    <col min="6" max="6" width="9.109375" hidden="1" customWidth="1"/>
    <col min="8" max="8" width="9.109375" hidden="1" customWidth="1"/>
    <col min="10" max="10" width="9.109375" hidden="1" customWidth="1"/>
    <col min="12" max="12" width="9.109375" hidden="1" customWidth="1"/>
    <col min="14" max="14" width="0.88671875" customWidth="1"/>
    <col min="16" max="16" width="4" customWidth="1"/>
    <col min="23" max="23" width="9.109375" style="375"/>
    <col min="24" max="24" width="0.88671875" customWidth="1"/>
  </cols>
  <sheetData>
    <row r="1" spans="1:31" x14ac:dyDescent="0.3">
      <c r="A1" s="345" t="s">
        <v>155</v>
      </c>
    </row>
    <row r="2" spans="1:31" x14ac:dyDescent="0.3">
      <c r="Y2" s="383"/>
      <c r="Z2" s="383"/>
      <c r="AA2" s="383"/>
      <c r="AB2" s="385"/>
      <c r="AC2" s="383"/>
      <c r="AD2" s="383"/>
      <c r="AE2" s="386"/>
    </row>
    <row r="3" spans="1:31" ht="15" customHeight="1" x14ac:dyDescent="0.3">
      <c r="C3" s="634" t="s">
        <v>173</v>
      </c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367"/>
      <c r="O3" s="367"/>
      <c r="R3" s="634" t="s">
        <v>166</v>
      </c>
      <c r="S3" s="634"/>
      <c r="T3" s="634"/>
      <c r="U3" s="634"/>
      <c r="V3" s="634"/>
      <c r="W3" s="376"/>
      <c r="X3" s="367"/>
      <c r="Y3" s="383"/>
      <c r="Z3" s="383"/>
      <c r="AA3" s="635" t="s">
        <v>174</v>
      </c>
      <c r="AB3" s="635"/>
      <c r="AC3" s="635"/>
      <c r="AD3" s="635"/>
      <c r="AE3" s="635"/>
    </row>
    <row r="4" spans="1:31" x14ac:dyDescent="0.3">
      <c r="Y4" s="383"/>
      <c r="Z4" s="383"/>
      <c r="AA4" s="383"/>
      <c r="AB4" s="383"/>
      <c r="AC4" s="383"/>
      <c r="AD4" s="383"/>
      <c r="AE4" s="383"/>
    </row>
    <row r="5" spans="1:31" x14ac:dyDescent="0.3">
      <c r="C5" s="356">
        <v>2019</v>
      </c>
      <c r="D5" s="356"/>
      <c r="E5" s="356">
        <f>C5+1</f>
        <v>2020</v>
      </c>
      <c r="F5" s="356"/>
      <c r="G5" s="356">
        <f>E5+1</f>
        <v>2021</v>
      </c>
      <c r="H5" s="356"/>
      <c r="I5" s="356">
        <f>G5+1</f>
        <v>2022</v>
      </c>
      <c r="J5" s="347"/>
      <c r="K5" s="356">
        <f>I5+1</f>
        <v>2023</v>
      </c>
      <c r="L5" s="347"/>
      <c r="M5" s="367">
        <f>K5+1</f>
        <v>2024</v>
      </c>
      <c r="R5" s="356">
        <v>2019</v>
      </c>
      <c r="S5" s="356">
        <f>R5+1</f>
        <v>2020</v>
      </c>
      <c r="T5" s="356">
        <f>S5+1</f>
        <v>2021</v>
      </c>
      <c r="U5" s="356">
        <f>T5+1</f>
        <v>2022</v>
      </c>
      <c r="V5" s="367">
        <v>2023</v>
      </c>
      <c r="W5" s="376"/>
      <c r="Y5" s="383"/>
      <c r="Z5" s="383"/>
      <c r="AA5" s="387">
        <v>2019</v>
      </c>
      <c r="AB5" s="387">
        <f>AA5+1</f>
        <v>2020</v>
      </c>
      <c r="AC5" s="387">
        <f>AB5+1</f>
        <v>2021</v>
      </c>
      <c r="AD5" s="387">
        <f>AC5+1</f>
        <v>2022</v>
      </c>
      <c r="AE5" s="387">
        <f>AD5+1</f>
        <v>2023</v>
      </c>
    </row>
    <row r="6" spans="1:31" x14ac:dyDescent="0.3">
      <c r="A6" t="s">
        <v>157</v>
      </c>
      <c r="P6" t="s">
        <v>157</v>
      </c>
      <c r="Y6" s="383" t="s">
        <v>157</v>
      </c>
      <c r="Z6" s="383"/>
      <c r="AA6" s="383"/>
      <c r="AB6" s="383"/>
      <c r="AC6" s="383"/>
      <c r="AD6" s="383"/>
      <c r="AE6" s="383"/>
    </row>
    <row r="7" spans="1:31" x14ac:dyDescent="0.3">
      <c r="B7" t="s">
        <v>158</v>
      </c>
      <c r="C7" s="348">
        <f>'Revision 06.01.19 '!V174</f>
        <v>14811.004383626983</v>
      </c>
      <c r="D7" s="1">
        <f>(C7-R7)/R7</f>
        <v>-2.8688568818805566E-2</v>
      </c>
      <c r="E7" s="348">
        <f>'Revision 06.01.19 '!X174</f>
        <v>16927.642335317953</v>
      </c>
      <c r="F7" s="1">
        <f>(E7-S7)/S7</f>
        <v>1.6864464717592509E-2</v>
      </c>
      <c r="G7" s="348">
        <f>'Revision 06.01.19 '!Z174</f>
        <v>19183.714661398597</v>
      </c>
      <c r="H7" s="1">
        <f>(G7-T7)/T7</f>
        <v>5.6801528144199344E-2</v>
      </c>
      <c r="I7" s="348">
        <f>'Revision 06.01.19 '!AA174</f>
        <v>21753.042719882887</v>
      </c>
      <c r="J7" s="1">
        <f>(I7-U7)/U7</f>
        <v>9.098474511308402E-2</v>
      </c>
      <c r="K7" s="348">
        <f>'Revision 06.01.19 '!AB174</f>
        <v>24417.470414841988</v>
      </c>
      <c r="L7" s="1" t="e">
        <f>(K7-W7)/W7</f>
        <v>#DIV/0!</v>
      </c>
      <c r="M7" s="348">
        <f>'Revision 06.01.19 '!AC174</f>
        <v>27179.774000511501</v>
      </c>
      <c r="Q7" t="s">
        <v>158</v>
      </c>
      <c r="R7" s="348">
        <f>'Revision 05.01.19'!$V$174</f>
        <v>15248.460903641982</v>
      </c>
      <c r="S7" s="348">
        <f>'Revision 05.01.19'!$X$174</f>
        <v>16646.901256421781</v>
      </c>
      <c r="T7" s="348">
        <f>'Revision 05.01.19'!$Z$174</f>
        <v>18152.618207400057</v>
      </c>
      <c r="U7" s="348">
        <f>'Revision 05.01.19'!$AA$174</f>
        <v>19938.906402974604</v>
      </c>
      <c r="V7" s="348">
        <f>'Revision 05.01.19'!$AB$174</f>
        <v>21789.38507908917</v>
      </c>
      <c r="W7" s="377"/>
      <c r="Y7" s="383"/>
      <c r="Z7" s="383" t="s">
        <v>158</v>
      </c>
      <c r="AA7" s="386">
        <f>'Revision 01.10.19'!V174</f>
        <v>16176.634829065673</v>
      </c>
      <c r="AB7" s="386">
        <f>'Revision 01.10.19'!X174</f>
        <v>17660.198256227395</v>
      </c>
      <c r="AC7" s="386">
        <f>'Revision 01.10.19'!Z174</f>
        <v>19257.568208895344</v>
      </c>
      <c r="AD7" s="386">
        <f>'Revision 01.10.19'!AA174</f>
        <v>21152.58777984617</v>
      </c>
      <c r="AE7" s="386">
        <f>'Revision 01.10.19'!AB174</f>
        <v>23115.70510635147</v>
      </c>
    </row>
    <row r="8" spans="1:31" x14ac:dyDescent="0.3">
      <c r="B8" t="s">
        <v>159</v>
      </c>
      <c r="C8" s="348">
        <f>'Revision 06.01.19 '!V176</f>
        <v>6436.9866816775175</v>
      </c>
      <c r="D8" s="1">
        <f>(C8-R8)/R8</f>
        <v>-5.5026924765589423E-2</v>
      </c>
      <c r="E8" s="348">
        <f>'Revision 06.01.19 '!X176</f>
        <v>7372.1491293892432</v>
      </c>
      <c r="F8" s="1">
        <f>(E8-S8)/S8</f>
        <v>-8.4287975989780321E-3</v>
      </c>
      <c r="G8" s="348">
        <f>'Revision 06.01.19 '!Z176</f>
        <v>8365.889819612983</v>
      </c>
      <c r="H8" s="1">
        <f>(G8-T8)/T8</f>
        <v>3.210023526545093E-2</v>
      </c>
      <c r="I8" s="348">
        <f>'Revision 06.01.19 '!AA176</f>
        <v>9497.846458592594</v>
      </c>
      <c r="J8" s="1">
        <f>(I8-U8)/U8</f>
        <v>6.6992881256008552E-2</v>
      </c>
      <c r="K8" s="348">
        <f>'Revision 06.01.19 '!AB176</f>
        <v>10671.735007203546</v>
      </c>
      <c r="L8" s="1" t="e">
        <f t="shared" ref="L8:L11" si="0">(K8-W8)/W8</f>
        <v>#DIV/0!</v>
      </c>
      <c r="M8" s="348">
        <f>'Revision 06.01.19 '!AC176</f>
        <v>11888.779959175499</v>
      </c>
      <c r="Q8" t="s">
        <v>159</v>
      </c>
      <c r="R8" s="348">
        <f>'Revision 05.01.19'!$V$176</f>
        <v>6811.8201993011862</v>
      </c>
      <c r="S8" s="348">
        <f>'Revision 05.01.19'!$X$176</f>
        <v>7434.8156859921783</v>
      </c>
      <c r="T8" s="348">
        <f>'Revision 05.01.19'!$Z$176</f>
        <v>8105.695099915677</v>
      </c>
      <c r="U8" s="348">
        <f>'Revision 05.01.19'!$AA$176</f>
        <v>8901.5087405383838</v>
      </c>
      <c r="V8" s="348">
        <f>'Revision 05.01.19'!$AB$176</f>
        <v>9725.9126487460308</v>
      </c>
      <c r="W8" s="377"/>
      <c r="Y8" s="383"/>
      <c r="Z8" s="383" t="s">
        <v>159</v>
      </c>
      <c r="AA8" s="386">
        <f>'Revision 01.10.19'!V176</f>
        <v>6811.8201993011862</v>
      </c>
      <c r="AB8" s="386">
        <f>'Revision 01.10.19'!X176</f>
        <v>7434.8156859921783</v>
      </c>
      <c r="AC8" s="386">
        <f>'Revision 01.10.19'!Z176</f>
        <v>8105.695099915677</v>
      </c>
      <c r="AD8" s="386">
        <f>'Revision 01.10.19'!AA176</f>
        <v>8901.5087405383838</v>
      </c>
      <c r="AE8" s="386">
        <f>'Revision 01.10.19'!AB176</f>
        <v>9725.9126487460308</v>
      </c>
    </row>
    <row r="9" spans="1:31" x14ac:dyDescent="0.3">
      <c r="B9" t="s">
        <v>160</v>
      </c>
      <c r="C9" s="348">
        <f>'Revision 06.01.19 '!V177</f>
        <v>11665.360656910996</v>
      </c>
      <c r="D9" s="1">
        <f>(C9-R9)/R9</f>
        <v>-3.0211170907480735E-2</v>
      </c>
      <c r="E9" s="348">
        <f>'Revision 06.01.19 '!X177</f>
        <v>12902.459612952349</v>
      </c>
      <c r="F9" s="1">
        <f>(E9-S9)/S9</f>
        <v>-6.7282932410406672E-4</v>
      </c>
      <c r="G9" s="348">
        <f>'Revision 06.01.19 '!Z177</f>
        <v>14169.76804874333</v>
      </c>
      <c r="H9" s="1">
        <f>(G9-T9)/T9</f>
        <v>2.4382051106964935E-2</v>
      </c>
      <c r="I9" s="348">
        <f>'Revision 06.01.19 '!AA177</f>
        <v>15611.640223358278</v>
      </c>
      <c r="J9" s="1">
        <f>(I9-U9)/U9</f>
        <v>4.6411849328688824E-2</v>
      </c>
      <c r="K9" s="348">
        <f>'Revision 06.01.19 '!AB177</f>
        <v>17105.519377738321</v>
      </c>
      <c r="L9" s="1" t="e">
        <f t="shared" si="0"/>
        <v>#DIV/0!</v>
      </c>
      <c r="M9" s="348">
        <f>'Revision 06.01.19 '!AC177</f>
        <v>18652.909042204228</v>
      </c>
      <c r="Q9" t="s">
        <v>160</v>
      </c>
      <c r="R9" s="348">
        <f>'Revision 05.01.19'!$V$177</f>
        <v>12028.763692634888</v>
      </c>
      <c r="S9" s="348">
        <f>'Revision 05.01.19'!$X$177</f>
        <v>12911.146611000037</v>
      </c>
      <c r="T9" s="348">
        <f>'Revision 05.01.19'!$Z$177</f>
        <v>13832.503247622539</v>
      </c>
      <c r="U9" s="348">
        <f>'Revision 05.01.19'!$AA$177</f>
        <v>14919.212003738023</v>
      </c>
      <c r="V9" s="348">
        <f>'Revision 05.01.19'!$AB$177</f>
        <v>16043.856108799073</v>
      </c>
      <c r="W9" s="377"/>
      <c r="Y9" s="383"/>
      <c r="Z9" s="383" t="s">
        <v>160</v>
      </c>
      <c r="AA9" s="386">
        <f>'Revision 01.10.19'!V177</f>
        <v>12028.763692634888</v>
      </c>
      <c r="AB9" s="386">
        <f>'Revision 01.10.19'!X177</f>
        <v>12911.146611000037</v>
      </c>
      <c r="AC9" s="386">
        <f>'Revision 01.10.19'!Z177</f>
        <v>13832.503247622539</v>
      </c>
      <c r="AD9" s="386">
        <f>'Revision 01.10.19'!AA177</f>
        <v>14919.212003738023</v>
      </c>
      <c r="AE9" s="386">
        <f>'Revision 01.10.19'!AB177</f>
        <v>16043.856108799073</v>
      </c>
    </row>
    <row r="10" spans="1:31" x14ac:dyDescent="0.3">
      <c r="B10" t="s">
        <v>161</v>
      </c>
      <c r="C10" s="348">
        <f>'Revision 06.01.19 '!V178+'Revision 06.01.19 '!V179</f>
        <v>3418.0285633684134</v>
      </c>
      <c r="D10" s="1">
        <f>(C10-R10)/R10</f>
        <v>-3.0998673465020436E-2</v>
      </c>
      <c r="E10" s="348">
        <f>'Revision 06.01.19 '!X178+'Revision 06.01.19 '!X179</f>
        <v>3469.2989918189396</v>
      </c>
      <c r="F10" s="1">
        <f>(E10-S10)/S10</f>
        <v>-3.0998673465020332E-2</v>
      </c>
      <c r="G10" s="348">
        <f>'Revision 06.01.19 '!Z178+'Revision 06.01.19 '!Z179</f>
        <v>3538.6849716553183</v>
      </c>
      <c r="H10" s="1">
        <f>(G10-T10)/T10</f>
        <v>-3.0998673465020329E-2</v>
      </c>
      <c r="I10" s="348">
        <f>'Revision 06.01.19 '!AA178+'Revision 06.01.19 '!AA179</f>
        <v>3609.4586710884246</v>
      </c>
      <c r="J10" s="1">
        <f>(I10-U10)/U10</f>
        <v>-3.0998673465020443E-2</v>
      </c>
      <c r="K10" s="348">
        <f>'Revision 06.01.19 '!AB178+'Revision 06.01.19 '!AB179</f>
        <v>3681.647844510193</v>
      </c>
      <c r="L10" s="1" t="e">
        <f t="shared" si="0"/>
        <v>#DIV/0!</v>
      </c>
      <c r="M10" s="348">
        <f>'Revision 06.01.19 '!AC178+'Revision 06.01.19 '!AC179</f>
        <v>3755.2808014003967</v>
      </c>
      <c r="Q10" t="s">
        <v>161</v>
      </c>
      <c r="R10" s="348">
        <f>'Revision 05.01.19'!$V$178+'Revision 05.01.19'!$V$179</f>
        <v>3527.3724294999997</v>
      </c>
      <c r="S10" s="348">
        <f>'Revision 05.01.19'!$X$178+'Revision 05.01.19'!$X$179</f>
        <v>3580.2830159424993</v>
      </c>
      <c r="T10" s="348">
        <f>'Revision 05.01.19'!$Z$178+'Revision 05.01.19'!$Z$179</f>
        <v>3651.8886762613492</v>
      </c>
      <c r="U10" s="348">
        <f>'Revision 05.01.19'!$AA$178+'Revision 05.01.19'!$AA$179</f>
        <v>3724.9264497865765</v>
      </c>
      <c r="V10" s="348">
        <f>'Revision 05.01.19'!$AB$178+'Revision 05.01.19'!$AB$179</f>
        <v>3799.4249787823078</v>
      </c>
      <c r="W10" s="377"/>
      <c r="Y10" s="383"/>
      <c r="Z10" s="383" t="s">
        <v>161</v>
      </c>
      <c r="AA10" s="388">
        <f>'Revision 01.10.19'!V178+'Revision 01.10.19'!V179</f>
        <v>3527.3724294999997</v>
      </c>
      <c r="AB10" s="388">
        <f>'Revision 01.10.19'!X178+'Revision 01.10.19'!X179</f>
        <v>3580.2830159424993</v>
      </c>
      <c r="AC10" s="388">
        <f>'Revision 01.10.19'!Z178+'Revision 01.10.19'!Z179</f>
        <v>3651.8886762613492</v>
      </c>
      <c r="AD10" s="388">
        <f>'Revision 01.10.19'!AA178+'Revision 01.10.19'!AA179</f>
        <v>3724.9264497865765</v>
      </c>
      <c r="AE10" s="388">
        <f>'Revision 01.10.19'!AB178+'Revision 01.10.19'!AB179</f>
        <v>3799.4249787823078</v>
      </c>
    </row>
    <row r="11" spans="1:31" x14ac:dyDescent="0.3">
      <c r="A11" t="s">
        <v>162</v>
      </c>
      <c r="C11" s="349">
        <f>SUM(C7:C10)</f>
        <v>36331.380285583909</v>
      </c>
      <c r="D11" s="1">
        <f>(C11-R11)/R11</f>
        <v>-3.416159842669541E-2</v>
      </c>
      <c r="E11" s="349">
        <f>SUM(E7:E10)</f>
        <v>40671.550069478486</v>
      </c>
      <c r="F11" s="1">
        <f>(E11-S11)/S11</f>
        <v>2.42533568240224E-3</v>
      </c>
      <c r="G11" s="349">
        <f>SUM(G7:G10)</f>
        <v>45258.057501410229</v>
      </c>
      <c r="H11" s="1">
        <f>(G11-T11)/T11</f>
        <v>3.4642399508702161E-2</v>
      </c>
      <c r="I11" s="349">
        <f>SUM(I7:I10)</f>
        <v>50471.988072922184</v>
      </c>
      <c r="J11" s="1">
        <f>(I11-U11)/U11</f>
        <v>6.2913816169285305E-2</v>
      </c>
      <c r="K11" s="349">
        <f>SUM(K7:K10)</f>
        <v>55876.372644294053</v>
      </c>
      <c r="L11" s="1" t="e">
        <f t="shared" si="0"/>
        <v>#DIV/0!</v>
      </c>
      <c r="M11" s="349">
        <f>SUM(M7:M10)</f>
        <v>61476.743803291625</v>
      </c>
      <c r="P11" t="s">
        <v>162</v>
      </c>
      <c r="R11" s="349">
        <f>SUM(R7:R10)</f>
        <v>37616.417225078054</v>
      </c>
      <c r="S11" s="349">
        <f>SUM(S7:S10)</f>
        <v>40573.14656935649</v>
      </c>
      <c r="T11" s="349">
        <f>SUM(T7:T10)</f>
        <v>43742.705231199616</v>
      </c>
      <c r="U11" s="349">
        <f>SUM(U7:U10)</f>
        <v>47484.553597037586</v>
      </c>
      <c r="V11" s="349">
        <f>SUM(V7:V10)</f>
        <v>51358.578815416578</v>
      </c>
      <c r="W11" s="377"/>
      <c r="Y11" s="383" t="s">
        <v>162</v>
      </c>
      <c r="Z11" s="383"/>
      <c r="AA11" s="389">
        <f>SUM(AA7:AA10)</f>
        <v>38544.591150501743</v>
      </c>
      <c r="AB11" s="389">
        <f>SUM(AB7:AB10)</f>
        <v>41586.443569162111</v>
      </c>
      <c r="AC11" s="389">
        <f>SUM(AC7:AC10)</f>
        <v>44847.65523269491</v>
      </c>
      <c r="AD11" s="389">
        <f>SUM(AD7:AD10)</f>
        <v>48698.234973909151</v>
      </c>
      <c r="AE11" s="389">
        <f>SUM(AE7:AE10)</f>
        <v>52684.898842678878</v>
      </c>
    </row>
    <row r="12" spans="1:31" x14ac:dyDescent="0.3">
      <c r="E12" s="10">
        <f>(E11-S11)/S11</f>
        <v>2.42533568240224E-3</v>
      </c>
      <c r="G12" s="10">
        <f>(G11-T11)/T11</f>
        <v>3.4642399508702161E-2</v>
      </c>
      <c r="I12" s="10">
        <f>(I11-U11)/U11</f>
        <v>6.2913816169285305E-2</v>
      </c>
      <c r="K12" s="10">
        <f>(K11-V11)/V11</f>
        <v>8.7965709586990057E-2</v>
      </c>
      <c r="M12" s="10"/>
      <c r="Y12" s="383"/>
      <c r="Z12" s="383"/>
      <c r="AA12" s="383"/>
      <c r="AB12" s="383"/>
      <c r="AC12" s="383"/>
      <c r="AD12" s="383"/>
      <c r="AE12" s="383"/>
    </row>
    <row r="13" spans="1:31" x14ac:dyDescent="0.3">
      <c r="A13" t="s">
        <v>163</v>
      </c>
      <c r="P13" t="s">
        <v>163</v>
      </c>
      <c r="Y13" s="383" t="s">
        <v>163</v>
      </c>
      <c r="Z13" s="383"/>
      <c r="AA13" s="383"/>
      <c r="AB13" s="383"/>
      <c r="AC13" s="383"/>
      <c r="AD13" s="383"/>
      <c r="AE13" s="383"/>
    </row>
    <row r="14" spans="1:31" x14ac:dyDescent="0.3">
      <c r="B14" t="s">
        <v>158</v>
      </c>
      <c r="C14" s="348">
        <f>'Revision 06.01.19 '!V184</f>
        <v>3843.9964030509846</v>
      </c>
      <c r="D14" s="1">
        <f>(C14-R14)/R14</f>
        <v>-6.8598472188809044E-3</v>
      </c>
      <c r="E14" s="348">
        <f>'Revision 06.01.19 '!X184</f>
        <v>4337.4769370856402</v>
      </c>
      <c r="F14" s="1">
        <f>(E14-S14)/S14</f>
        <v>3.4543993404639574E-2</v>
      </c>
      <c r="G14" s="348">
        <f>'Revision 06.01.19 '!Z184</f>
        <v>4818.3749215381849</v>
      </c>
      <c r="H14" s="1">
        <f>(G14-T14)/T14</f>
        <v>7.1776987275789503E-2</v>
      </c>
      <c r="I14" s="348">
        <f>'Revision 06.01.19 '!AA184</f>
        <v>5318.7570844180491</v>
      </c>
      <c r="J14" s="1">
        <f>(I14-U14)/U14</f>
        <v>0.10550695833561302</v>
      </c>
      <c r="K14" s="348">
        <f>'Revision 06.01.19 '!AB184</f>
        <v>5837.2271838444922</v>
      </c>
      <c r="L14" s="1" t="e">
        <f>(K14-W14)/W14</f>
        <v>#DIV/0!</v>
      </c>
      <c r="M14" s="348">
        <f>'Revision 06.01.19 '!AC184</f>
        <v>6374.3085844142261</v>
      </c>
      <c r="Q14" t="s">
        <v>158</v>
      </c>
      <c r="R14" s="348">
        <f>'Revision 05.01.19'!$V$184</f>
        <v>3870.5477694024657</v>
      </c>
      <c r="S14" s="348">
        <f>'Revision 05.01.19'!$X$184</f>
        <v>4192.6461945916781</v>
      </c>
      <c r="T14" s="348">
        <f>'Revision 05.01.19'!$Z$184</f>
        <v>4495.687982427562</v>
      </c>
      <c r="U14" s="348">
        <f>'Revision 05.01.19'!$AA$184</f>
        <v>4811.1475412381487</v>
      </c>
      <c r="V14" s="348">
        <f>'Revision 05.01.19'!$AB$184</f>
        <v>5137.4272072081876</v>
      </c>
      <c r="W14" s="377"/>
      <c r="Y14" s="383"/>
      <c r="Z14" s="383" t="s">
        <v>158</v>
      </c>
      <c r="AA14" s="390">
        <f>'Revision 01.10.19'!V184</f>
        <v>4097.5034710674299</v>
      </c>
      <c r="AB14" s="390">
        <f>'Revision 01.10.19'!X184</f>
        <v>4438.488647809455</v>
      </c>
      <c r="AC14" s="390">
        <f>'Revision 01.10.19'!Z184</f>
        <v>4759.2997710701065</v>
      </c>
      <c r="AD14" s="390">
        <f>'Revision 01.10.19'!AA184</f>
        <v>5093.2568009835568</v>
      </c>
      <c r="AE14" s="390">
        <f>'Revision 01.10.19'!AB184</f>
        <v>5438.6683921851172</v>
      </c>
    </row>
    <row r="15" spans="1:31" x14ac:dyDescent="0.3">
      <c r="B15" t="s">
        <v>159</v>
      </c>
      <c r="C15" s="348">
        <f>'Revision 06.01.19 '!V185</f>
        <v>1799.726136863148</v>
      </c>
      <c r="D15" s="1">
        <f>(C15-R15)/R15</f>
        <v>-4.2327533568216294E-2</v>
      </c>
      <c r="E15" s="348">
        <f>'Revision 06.01.19 '!X185</f>
        <v>2020.5295851001924</v>
      </c>
      <c r="F15" s="1">
        <f>(E15-S15)/S15</f>
        <v>-2.8811883361500182E-3</v>
      </c>
      <c r="G15" s="348">
        <f>'Revision 06.01.19 '!Z185</f>
        <v>2234.999410495177</v>
      </c>
      <c r="H15" s="1">
        <f>(G15-T15)/T15</f>
        <v>3.2044002220964145E-2</v>
      </c>
      <c r="I15" s="348">
        <f>'Revision 06.01.19 '!AA185</f>
        <v>2458.1156366986447</v>
      </c>
      <c r="J15" s="1">
        <f>(I15-U15)/U15</f>
        <v>6.3894054906705466E-2</v>
      </c>
      <c r="K15" s="348">
        <f>'Revision 06.01.19 '!AB185</f>
        <v>2689.2625121860528</v>
      </c>
      <c r="L15" s="1" t="e">
        <f t="shared" ref="L15:L17" si="1">(K15-W15)/W15</f>
        <v>#DIV/0!</v>
      </c>
      <c r="M15" s="348">
        <f>'Revision 06.01.19 '!AC185</f>
        <v>2928.6720164382782</v>
      </c>
      <c r="Q15" t="s">
        <v>159</v>
      </c>
      <c r="R15" s="348">
        <f>'Revision 05.01.19'!$V$185</f>
        <v>1879.2710451087662</v>
      </c>
      <c r="S15" s="348">
        <f>'Revision 05.01.19'!$X$185</f>
        <v>2026.3679327527882</v>
      </c>
      <c r="T15" s="348">
        <f>'Revision 05.01.19'!$Z$185</f>
        <v>2165.6047665462388</v>
      </c>
      <c r="U15" s="348">
        <f>'Revision 05.01.19'!$AA$185</f>
        <v>2310.4891181238913</v>
      </c>
      <c r="V15" s="348">
        <f>'Revision 05.01.19'!$AB$185</f>
        <v>2460.3026018580322</v>
      </c>
      <c r="W15" s="377"/>
      <c r="Y15" s="383"/>
      <c r="Z15" s="383" t="s">
        <v>159</v>
      </c>
      <c r="AA15" s="390">
        <f>'Revision 01.10.19'!V185</f>
        <v>1879.2710451087662</v>
      </c>
      <c r="AB15" s="390">
        <f>'Revision 01.10.19'!X185</f>
        <v>2026.3679327527882</v>
      </c>
      <c r="AC15" s="390">
        <f>'Revision 01.10.19'!Z185</f>
        <v>2165.6047665462388</v>
      </c>
      <c r="AD15" s="390">
        <f>'Revision 01.10.19'!AA185</f>
        <v>2310.4891181238913</v>
      </c>
      <c r="AE15" s="390">
        <f>'Revision 01.10.19'!AB185</f>
        <v>2460.3026018580322</v>
      </c>
    </row>
    <row r="16" spans="1:31" x14ac:dyDescent="0.3">
      <c r="B16" t="s">
        <v>161</v>
      </c>
      <c r="C16" s="348">
        <f>'Revision 06.01.19 '!V186</f>
        <v>4248.1532723286846</v>
      </c>
      <c r="D16" s="1">
        <f>(C16-R16)/R16</f>
        <v>-0.10440433372316248</v>
      </c>
      <c r="E16" s="348">
        <f>'Revision 06.01.19 '!X186</f>
        <v>4605.6594434997969</v>
      </c>
      <c r="F16" s="1">
        <f>(E16-S16)/S16</f>
        <v>-9.839994800805868E-2</v>
      </c>
      <c r="G16" s="348">
        <f>'Revision 06.01.19 '!Z186</f>
        <v>4972.1162799826034</v>
      </c>
      <c r="H16" s="1">
        <f>(G16-T16)/T16</f>
        <v>-9.3478115916617574E-2</v>
      </c>
      <c r="I16" s="348">
        <f>'Revision 06.01.19 '!AA186</f>
        <v>5353.060869654204</v>
      </c>
      <c r="J16" s="1">
        <f>(I16-U16)/U16</f>
        <v>-8.8999868329477247E-2</v>
      </c>
      <c r="K16" s="348">
        <f>'Revision 06.01.19 '!AB186</f>
        <v>5747.2543964006745</v>
      </c>
      <c r="L16" s="1" t="e">
        <f t="shared" si="1"/>
        <v>#DIV/0!</v>
      </c>
      <c r="M16" s="348">
        <f>'Revision 06.01.19 '!AC186</f>
        <v>6155.0744398691431</v>
      </c>
      <c r="Q16" t="s">
        <v>161</v>
      </c>
      <c r="R16" s="348">
        <f>'Revision 05.01.19'!$V$186</f>
        <v>4743.3830156738813</v>
      </c>
      <c r="S16" s="348">
        <f>'Revision 05.01.19'!$X$186</f>
        <v>5108.3176329951712</v>
      </c>
      <c r="T16" s="348">
        <f>'Revision 05.01.19'!$Z$186</f>
        <v>5484.8276332678861</v>
      </c>
      <c r="U16" s="348">
        <f>'Revision 05.01.19'!$AA$186</f>
        <v>5876.0264500051917</v>
      </c>
      <c r="V16" s="348">
        <f>'Revision 05.01.19'!$AB$186</f>
        <v>6280.6792883586822</v>
      </c>
      <c r="W16" s="377"/>
      <c r="Y16" s="383"/>
      <c r="Z16" s="383" t="s">
        <v>161</v>
      </c>
      <c r="AA16" s="388">
        <f>'Revision 01.10.19'!V186</f>
        <v>4743.3830156738813</v>
      </c>
      <c r="AB16" s="388">
        <f>'Revision 01.10.19'!X186</f>
        <v>5108.3176329951712</v>
      </c>
      <c r="AC16" s="388">
        <f>'Revision 01.10.19'!Z186</f>
        <v>5484.8276332678861</v>
      </c>
      <c r="AD16" s="388">
        <f>'Revision 01.10.19'!AA186</f>
        <v>5876.0264500051917</v>
      </c>
      <c r="AE16" s="388">
        <f>'Revision 01.10.19'!AB186</f>
        <v>6280.6792883586822</v>
      </c>
    </row>
    <row r="17" spans="1:31" x14ac:dyDescent="0.3">
      <c r="A17" t="s">
        <v>164</v>
      </c>
      <c r="C17" s="349">
        <f>SUM(C13:C16)</f>
        <v>9891.8758122428171</v>
      </c>
      <c r="D17" s="1">
        <f>(C17-R17)/R17</f>
        <v>-5.7306247194493141E-2</v>
      </c>
      <c r="E17" s="349">
        <f>SUM(E13:E16)</f>
        <v>10963.66596568563</v>
      </c>
      <c r="F17" s="1">
        <f>(E17-S17)/S17</f>
        <v>-3.2105159657043809E-2</v>
      </c>
      <c r="G17" s="349">
        <f>SUM(G13:G16)</f>
        <v>12025.490612015965</v>
      </c>
      <c r="H17" s="1">
        <f>(G17-T17)/T17</f>
        <v>-9.9315473936919911E-3</v>
      </c>
      <c r="I17" s="349">
        <f>SUM(I13:I16)</f>
        <v>13129.933590770897</v>
      </c>
      <c r="J17" s="1">
        <f>(I17-U17)/U17</f>
        <v>1.017648174834896E-2</v>
      </c>
      <c r="K17" s="349">
        <f>SUM(K13:K16)</f>
        <v>14273.74409243122</v>
      </c>
      <c r="L17" s="1" t="e">
        <f t="shared" si="1"/>
        <v>#DIV/0!</v>
      </c>
      <c r="M17" s="349">
        <f>SUM(M13:M16)</f>
        <v>15458.055040721647</v>
      </c>
      <c r="P17" t="s">
        <v>164</v>
      </c>
      <c r="R17" s="349">
        <f>SUM(R13:R16)</f>
        <v>10493.201830185113</v>
      </c>
      <c r="S17" s="349">
        <f>SUM(S13:S16)</f>
        <v>11327.331760339637</v>
      </c>
      <c r="T17" s="349">
        <f>SUM(T13:T16)</f>
        <v>12146.120382241686</v>
      </c>
      <c r="U17" s="349">
        <f>SUM(U13:U16)</f>
        <v>12997.663109367233</v>
      </c>
      <c r="V17" s="349">
        <f>SUM(V13:V16)</f>
        <v>13878.409097424901</v>
      </c>
      <c r="W17" s="377"/>
      <c r="Y17" s="383" t="s">
        <v>164</v>
      </c>
      <c r="Z17" s="383"/>
      <c r="AA17" s="389">
        <f>SUM(AA13:AA16)</f>
        <v>10720.157531850076</v>
      </c>
      <c r="AB17" s="389">
        <f>SUM(AB13:AB16)</f>
        <v>11573.174213557413</v>
      </c>
      <c r="AC17" s="389">
        <f>SUM(AC13:AC16)</f>
        <v>12409.732170884232</v>
      </c>
      <c r="AD17" s="389">
        <f>SUM(AD13:AD16)</f>
        <v>13279.772369112641</v>
      </c>
      <c r="AE17" s="389">
        <f>SUM(AE13:AE16)</f>
        <v>14179.650282401832</v>
      </c>
    </row>
    <row r="18" spans="1:31" x14ac:dyDescent="0.3">
      <c r="E18" s="10">
        <f>(E17-S17)/S17</f>
        <v>-3.2105159657043809E-2</v>
      </c>
      <c r="G18" s="10">
        <f>(G17-T17)/T17</f>
        <v>-9.9315473936919911E-3</v>
      </c>
      <c r="I18" s="10">
        <f>(I17-U17)/U17</f>
        <v>1.017648174834896E-2</v>
      </c>
      <c r="K18" s="10">
        <f>(K17-V17)/V17</f>
        <v>2.848561331713962E-2</v>
      </c>
      <c r="M18" s="10"/>
      <c r="Y18" s="383"/>
      <c r="Z18" s="383"/>
      <c r="AA18" s="383"/>
      <c r="AB18" s="383"/>
      <c r="AC18" s="383"/>
      <c r="AD18" s="383"/>
      <c r="AE18" s="383"/>
    </row>
    <row r="19" spans="1:31" x14ac:dyDescent="0.3">
      <c r="E19" s="10"/>
      <c r="G19" s="10"/>
      <c r="I19" s="10"/>
      <c r="K19" s="10"/>
      <c r="M19" s="10"/>
      <c r="Y19" s="383"/>
      <c r="Z19" s="383"/>
      <c r="AA19" s="383"/>
      <c r="AB19" s="383"/>
      <c r="AC19" s="383"/>
      <c r="AD19" s="383"/>
      <c r="AE19" s="383"/>
    </row>
    <row r="20" spans="1:31" x14ac:dyDescent="0.3">
      <c r="A20" s="345" t="s">
        <v>165</v>
      </c>
      <c r="B20" s="345"/>
      <c r="C20" s="350">
        <f>C11+C17</f>
        <v>46223.256097826728</v>
      </c>
      <c r="D20" s="351">
        <f>(C20-R20)/R20</f>
        <v>-3.9209683935962726E-2</v>
      </c>
      <c r="E20" s="350">
        <f>E11+E17</f>
        <v>51635.216035164114</v>
      </c>
      <c r="F20" s="352">
        <f>(E20-S20)/S20</f>
        <v>-5.1109797649058382E-3</v>
      </c>
      <c r="G20" s="350">
        <f>G11+G17</f>
        <v>57283.548113426194</v>
      </c>
      <c r="H20" s="352">
        <f>(G20-T20)/T20</f>
        <v>2.4955301613091323E-2</v>
      </c>
      <c r="I20" s="350">
        <f>I11+I17</f>
        <v>63601.92166369308</v>
      </c>
      <c r="J20" s="352">
        <f>(I20-U20)/U20</f>
        <v>5.1580532711491982E-2</v>
      </c>
      <c r="K20" s="350">
        <f>K11+K17</f>
        <v>70150.116736725278</v>
      </c>
      <c r="L20" s="1" t="e">
        <f>(K20-W20)/W20</f>
        <v>#DIV/0!</v>
      </c>
      <c r="M20" s="350">
        <f>M11+M17</f>
        <v>76934.798844013276</v>
      </c>
      <c r="N20" s="345"/>
      <c r="O20" s="345"/>
      <c r="P20" s="345" t="s">
        <v>165</v>
      </c>
      <c r="Q20" s="345"/>
      <c r="R20" s="350">
        <f>R11+R17</f>
        <v>48109.619055263167</v>
      </c>
      <c r="S20" s="350">
        <f>S11+S17</f>
        <v>51900.478329696125</v>
      </c>
      <c r="T20" s="350">
        <f>T11+T17</f>
        <v>55888.825613441302</v>
      </c>
      <c r="U20" s="350">
        <f>U11+U17</f>
        <v>60482.216706404819</v>
      </c>
      <c r="V20" s="350">
        <f>V11+V17</f>
        <v>65236.987912841476</v>
      </c>
      <c r="W20" s="378"/>
      <c r="X20" s="345"/>
      <c r="Y20" s="380" t="s">
        <v>165</v>
      </c>
      <c r="Z20" s="380"/>
      <c r="AA20" s="391">
        <f>AA11+AA17</f>
        <v>49264.748682351819</v>
      </c>
      <c r="AB20" s="391">
        <f>AB11+AB17</f>
        <v>53159.617782719521</v>
      </c>
      <c r="AC20" s="391">
        <f>AC11+AC17</f>
        <v>57257.387403579138</v>
      </c>
      <c r="AD20" s="391">
        <f>AD11+AD17</f>
        <v>61978.007343021789</v>
      </c>
      <c r="AE20" s="391">
        <f>AE11+AE17</f>
        <v>66864.54912508071</v>
      </c>
    </row>
    <row r="21" spans="1:31" x14ac:dyDescent="0.3">
      <c r="A21" s="364" t="s">
        <v>180</v>
      </c>
      <c r="B21" s="345"/>
      <c r="C21" s="366">
        <f>C20-R20</f>
        <v>-1886.3629574364386</v>
      </c>
      <c r="D21" s="365"/>
      <c r="E21" s="366">
        <f>E20-S20</f>
        <v>-265.26229453201086</v>
      </c>
      <c r="F21" s="365"/>
      <c r="G21" s="366">
        <f>G20-T20</f>
        <v>1394.7224999848913</v>
      </c>
      <c r="H21" s="365"/>
      <c r="I21" s="366">
        <f>I20-U20</f>
        <v>3119.7049572882606</v>
      </c>
      <c r="J21" s="365"/>
      <c r="K21" s="366">
        <f>K20-V20</f>
        <v>4913.1288238838024</v>
      </c>
      <c r="L21" s="1"/>
      <c r="M21" s="366">
        <f>M20-W20</f>
        <v>76934.798844013276</v>
      </c>
      <c r="N21" s="345"/>
      <c r="O21" s="345"/>
      <c r="P21" s="345"/>
      <c r="Q21" s="345"/>
      <c r="R21" s="350"/>
      <c r="S21" s="350"/>
      <c r="T21" s="350"/>
      <c r="U21" s="350"/>
      <c r="V21" s="350"/>
      <c r="W21" s="378"/>
      <c r="X21" s="345"/>
    </row>
    <row r="22" spans="1:31" x14ac:dyDescent="0.3">
      <c r="C22" s="10">
        <f>(C20-R20)/R20</f>
        <v>-3.9209683935962726E-2</v>
      </c>
      <c r="E22" s="10">
        <f>(E20-S20)/S20</f>
        <v>-5.1109797649058382E-3</v>
      </c>
      <c r="G22" s="10">
        <f>(G20-T20)/T20</f>
        <v>2.4955301613091323E-2</v>
      </c>
      <c r="I22" s="10">
        <f>(I20-U20)/U20</f>
        <v>5.1580532711491982E-2</v>
      </c>
      <c r="K22" s="10">
        <f>(K20-V20)/V20</f>
        <v>7.5312012112635954E-2</v>
      </c>
      <c r="M22" s="10"/>
    </row>
    <row r="24" spans="1:31" x14ac:dyDescent="0.3">
      <c r="A24" s="379" t="s">
        <v>175</v>
      </c>
      <c r="B24" s="380"/>
      <c r="C24" s="381">
        <f>C20-AA20</f>
        <v>-3041.4925845250909</v>
      </c>
      <c r="D24" s="382"/>
      <c r="E24" s="381">
        <f>E20-AB20</f>
        <v>-1524.4017475554065</v>
      </c>
      <c r="F24" s="382"/>
      <c r="G24" s="381">
        <f>G20-AC20</f>
        <v>26.160709847055841</v>
      </c>
      <c r="H24" s="382"/>
      <c r="I24" s="381">
        <f>I20-AD20</f>
        <v>1623.9143206712906</v>
      </c>
      <c r="J24" s="382"/>
      <c r="K24" s="381">
        <f>K20-AE20</f>
        <v>3285.5676116445684</v>
      </c>
      <c r="L24" s="2"/>
      <c r="M24" s="381"/>
      <c r="N24" s="345"/>
      <c r="O24" s="345"/>
      <c r="P24" s="345"/>
      <c r="Q24" s="345"/>
      <c r="R24" s="350"/>
      <c r="S24" s="350"/>
      <c r="T24" s="350"/>
      <c r="U24" s="350"/>
      <c r="V24" s="350"/>
      <c r="W24" s="378"/>
      <c r="X24" s="345"/>
    </row>
    <row r="25" spans="1:31" x14ac:dyDescent="0.3">
      <c r="A25" s="383"/>
      <c r="B25" s="383"/>
      <c r="C25" s="384">
        <f>(C20-AA20)/AA20</f>
        <v>-6.1737706288444931E-2</v>
      </c>
      <c r="D25" s="383"/>
      <c r="E25" s="384">
        <f>(E20-AB20)/AB20</f>
        <v>-2.8675935063832238E-2</v>
      </c>
      <c r="F25" s="383"/>
      <c r="G25" s="384">
        <f>(G20-AC20)/AC20</f>
        <v>4.5689667365822814E-4</v>
      </c>
      <c r="H25" s="383"/>
      <c r="I25" s="384">
        <f>(I20-AD20)/AD20</f>
        <v>2.6201460651737618E-2</v>
      </c>
      <c r="J25" s="383"/>
      <c r="K25" s="384">
        <f>(K20-AE20)/AE20</f>
        <v>4.9137661954444571E-2</v>
      </c>
      <c r="L25" s="383"/>
      <c r="M25" s="384"/>
    </row>
    <row r="26" spans="1:31" x14ac:dyDescent="0.3">
      <c r="E26" s="10"/>
      <c r="F26" s="10"/>
      <c r="G26" s="10"/>
      <c r="H26" s="10"/>
      <c r="I26" s="10"/>
      <c r="J26" s="10"/>
      <c r="K26" s="10"/>
      <c r="M26" s="10"/>
      <c r="R26" s="348"/>
    </row>
    <row r="27" spans="1:31" x14ac:dyDescent="0.3">
      <c r="C27" t="s">
        <v>183</v>
      </c>
      <c r="D27" s="395">
        <v>43586</v>
      </c>
      <c r="E27" t="s">
        <v>184</v>
      </c>
      <c r="G27" s="395">
        <v>43466</v>
      </c>
      <c r="I27" t="s">
        <v>184</v>
      </c>
    </row>
    <row r="28" spans="1:31" x14ac:dyDescent="0.3">
      <c r="B28" t="s">
        <v>181</v>
      </c>
      <c r="C28" s="348">
        <f>SUM(C8:C10)</f>
        <v>21520.37590195693</v>
      </c>
      <c r="D28" s="348">
        <f>SUM(R8:R10)</f>
        <v>22367.956321436075</v>
      </c>
      <c r="E28" s="348">
        <f>+C28-D28</f>
        <v>-847.58041947914535</v>
      </c>
      <c r="G28" s="348">
        <f>SUM(AA8:AA10)</f>
        <v>22367.956321436075</v>
      </c>
      <c r="I28" s="348">
        <f>+C28-G28</f>
        <v>-847.58041947914535</v>
      </c>
    </row>
    <row r="29" spans="1:31" x14ac:dyDescent="0.3">
      <c r="B29" t="s">
        <v>182</v>
      </c>
      <c r="C29" s="393">
        <f>SUM(C15:C16)</f>
        <v>6047.8794091918326</v>
      </c>
      <c r="D29" s="393">
        <f>SUM(R15:R16)</f>
        <v>6622.6540607826473</v>
      </c>
      <c r="E29" s="393">
        <f>+C29-D29</f>
        <v>-574.77465159081476</v>
      </c>
      <c r="F29" s="394"/>
      <c r="G29" s="393">
        <f>SUM(AA15:AA16)</f>
        <v>6622.6540607826473</v>
      </c>
      <c r="H29" s="394"/>
      <c r="I29" s="393">
        <f>+C29-G29</f>
        <v>-574.77465159081476</v>
      </c>
    </row>
    <row r="30" spans="1:31" x14ac:dyDescent="0.3">
      <c r="C30" s="348">
        <f>SUM(C28:C29)</f>
        <v>27568.255311148761</v>
      </c>
      <c r="D30" s="348">
        <f t="shared" ref="D30:I30" si="2">SUM(D28:D29)</f>
        <v>28990.610382218721</v>
      </c>
      <c r="E30" s="348">
        <f t="shared" si="2"/>
        <v>-1422.3550710699601</v>
      </c>
      <c r="F30" s="348">
        <f t="shared" si="2"/>
        <v>0</v>
      </c>
      <c r="G30" s="348">
        <f t="shared" si="2"/>
        <v>28990.610382218721</v>
      </c>
      <c r="H30" s="348">
        <f t="shared" si="2"/>
        <v>0</v>
      </c>
      <c r="I30" s="348">
        <f t="shared" si="2"/>
        <v>-1422.3550710699601</v>
      </c>
    </row>
    <row r="32" spans="1:31" x14ac:dyDescent="0.3">
      <c r="B32" t="s">
        <v>185</v>
      </c>
      <c r="C32" s="348">
        <f>+C7</f>
        <v>14811.004383626983</v>
      </c>
      <c r="D32" s="348">
        <f>+R7</f>
        <v>15248.460903641982</v>
      </c>
      <c r="E32" s="348">
        <f>+C32-D32</f>
        <v>-437.45652001499911</v>
      </c>
      <c r="G32" s="348">
        <f>+AA7</f>
        <v>16176.634829065673</v>
      </c>
      <c r="I32" s="348">
        <f>+C32-G32</f>
        <v>-1365.63044543869</v>
      </c>
      <c r="M32" s="348">
        <f>+D32-G32</f>
        <v>-928.17392542369089</v>
      </c>
    </row>
    <row r="33" spans="2:13" x14ac:dyDescent="0.3">
      <c r="B33" t="s">
        <v>186</v>
      </c>
      <c r="C33" s="393">
        <f>+C14</f>
        <v>3843.9964030509846</v>
      </c>
      <c r="D33" s="393">
        <f>+R14</f>
        <v>3870.5477694024657</v>
      </c>
      <c r="E33" s="393">
        <f>+C33-D33</f>
        <v>-26.551366351481192</v>
      </c>
      <c r="F33" s="394"/>
      <c r="G33" s="393">
        <f>+AA14</f>
        <v>4097.5034710674299</v>
      </c>
      <c r="H33" s="394"/>
      <c r="I33" s="393">
        <f>+C33-G33</f>
        <v>-253.50706801644537</v>
      </c>
      <c r="M33" s="393">
        <f>+D33-G33</f>
        <v>-226.95570166496418</v>
      </c>
    </row>
    <row r="34" spans="2:13" x14ac:dyDescent="0.3">
      <c r="C34" s="348">
        <f>SUM(C32:C33)</f>
        <v>18655.000786677967</v>
      </c>
      <c r="D34" s="348">
        <f t="shared" ref="D34:I34" si="3">SUM(D32:D33)</f>
        <v>19119.008673044449</v>
      </c>
      <c r="E34" s="348">
        <f t="shared" si="3"/>
        <v>-464.00788636648031</v>
      </c>
      <c r="F34" s="348">
        <f t="shared" si="3"/>
        <v>0</v>
      </c>
      <c r="G34" s="348">
        <f t="shared" si="3"/>
        <v>20274.138300133105</v>
      </c>
      <c r="H34" s="348">
        <f t="shared" si="3"/>
        <v>0</v>
      </c>
      <c r="I34" s="348">
        <f t="shared" si="3"/>
        <v>-1619.1375134551354</v>
      </c>
      <c r="M34" s="348">
        <f>SUM(M32:M33)</f>
        <v>-1155.1296270886551</v>
      </c>
    </row>
    <row r="36" spans="2:13" x14ac:dyDescent="0.3">
      <c r="E36" s="348">
        <f>+E30+E34</f>
        <v>-1886.3629574364404</v>
      </c>
      <c r="I36" s="348">
        <f>+I30+I34</f>
        <v>-3041.4925845250955</v>
      </c>
    </row>
  </sheetData>
  <mergeCells count="3">
    <mergeCell ref="C3:M3"/>
    <mergeCell ref="AA3:AE3"/>
    <mergeCell ref="R3:V3"/>
  </mergeCells>
  <pageMargins left="0.7" right="0.7" top="0.75" bottom="0.75" header="0.3" footer="0.3"/>
  <pageSetup scale="5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95"/>
  <sheetViews>
    <sheetView zoomScaleNormal="100" workbookViewId="0">
      <pane xSplit="1" ySplit="9" topLeftCell="R53" activePane="bottomRight" state="frozen"/>
      <selection pane="topRight" activeCell="B1" sqref="B1"/>
      <selection pane="bottomLeft" activeCell="A10" sqref="A10"/>
      <selection pane="bottomRight" activeCell="X61" sqref="X61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12.44140625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customWidth="1" collapsed="1"/>
    <col min="19" max="19" width="7.6640625" style="2" customWidth="1"/>
    <col min="20" max="20" width="18.6640625" style="12" customWidth="1"/>
    <col min="21" max="21" width="7.6640625" style="2" customWidth="1"/>
    <col min="22" max="22" width="18.6640625" style="12" customWidth="1"/>
    <col min="23" max="23" width="7.6640625" style="2" customWidth="1"/>
    <col min="24" max="24" width="18.6640625" style="12" customWidth="1"/>
    <col min="25" max="25" width="7.6640625" style="2" customWidth="1"/>
    <col min="26" max="28" width="18.6640625" style="12" customWidth="1"/>
    <col min="29" max="16384" width="9.109375" style="12"/>
  </cols>
  <sheetData>
    <row r="1" spans="1:31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D1" s="300"/>
      <c r="AE1" s="12" t="s">
        <v>103</v>
      </c>
    </row>
    <row r="2" spans="1:31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 t="s">
        <v>145</v>
      </c>
      <c r="W2" s="4"/>
      <c r="X2" s="299" t="s">
        <v>145</v>
      </c>
      <c r="Y2" s="4"/>
      <c r="Z2" s="299" t="s">
        <v>145</v>
      </c>
      <c r="AA2" s="299" t="s">
        <v>145</v>
      </c>
      <c r="AB2" s="299" t="s">
        <v>145</v>
      </c>
    </row>
    <row r="3" spans="1:31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154</v>
      </c>
      <c r="W3" s="36"/>
      <c r="X3" s="264" t="s">
        <v>154</v>
      </c>
      <c r="Y3" s="36"/>
      <c r="Z3" s="264" t="s">
        <v>154</v>
      </c>
      <c r="AA3" s="264" t="s">
        <v>154</v>
      </c>
      <c r="AB3" s="264" t="s">
        <v>154</v>
      </c>
    </row>
    <row r="4" spans="1:31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</row>
    <row r="5" spans="1:31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07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B7" si="0">Z5+1</f>
        <v>2021</v>
      </c>
      <c r="AB5" s="307">
        <f t="shared" si="0"/>
        <v>2022</v>
      </c>
    </row>
    <row r="6" spans="1:31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308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</row>
    <row r="7" spans="1:31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309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</row>
    <row r="8" spans="1:31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31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</row>
    <row r="9" spans="1:31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311"/>
      <c r="W9" s="55"/>
      <c r="X9" s="311"/>
      <c r="Y9" s="55"/>
      <c r="Z9" s="311"/>
      <c r="AA9" s="311"/>
      <c r="AB9" s="311"/>
    </row>
    <row r="10" spans="1:31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301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</row>
    <row r="11" spans="1:31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308"/>
      <c r="W11" s="43"/>
      <c r="X11" s="308"/>
      <c r="Y11" s="43"/>
      <c r="Z11" s="308"/>
      <c r="AA11" s="308"/>
      <c r="AB11" s="308"/>
    </row>
    <row r="12" spans="1:31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312"/>
      <c r="W12" s="47"/>
      <c r="X12" s="312"/>
      <c r="Y12" s="47"/>
      <c r="Z12" s="312"/>
      <c r="AA12" s="312"/>
      <c r="AB12" s="312"/>
    </row>
    <row r="13" spans="1:31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313">
        <f>SUM(T13:T19)</f>
        <v>2300000</v>
      </c>
      <c r="W13" s="73"/>
      <c r="X13" s="313">
        <f>SUM(V13:V19)</f>
        <v>2502110</v>
      </c>
      <c r="Y13" s="73"/>
      <c r="Z13" s="313">
        <f t="shared" ref="Z13" si="1">SUM(X13:X19)</f>
        <v>2691211</v>
      </c>
      <c r="AA13" s="313">
        <f>SUM(Z13:Z19)</f>
        <v>2877090</v>
      </c>
      <c r="AB13" s="313">
        <f>SUM(AA13:AA19)</f>
        <v>3098242</v>
      </c>
    </row>
    <row r="14" spans="1:31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313"/>
      <c r="W14" s="73"/>
      <c r="X14" s="313"/>
      <c r="Y14" s="73"/>
      <c r="Z14" s="313"/>
      <c r="AA14" s="313"/>
      <c r="AB14" s="313"/>
    </row>
    <row r="15" spans="1:31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77">
        <v>340135</v>
      </c>
      <c r="W15" s="73"/>
      <c r="X15" s="77">
        <v>316035</v>
      </c>
      <c r="Y15" s="73"/>
      <c r="Z15" s="77">
        <v>305926</v>
      </c>
      <c r="AA15" s="77">
        <v>352619</v>
      </c>
      <c r="AB15" s="77">
        <f>AA15</f>
        <v>352619</v>
      </c>
    </row>
    <row r="16" spans="1:31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77">
        <v>-23668</v>
      </c>
      <c r="W16" s="73"/>
      <c r="X16" s="77">
        <v>-12577</v>
      </c>
      <c r="Y16" s="73"/>
      <c r="Z16" s="77">
        <v>-5690</v>
      </c>
      <c r="AA16" s="77">
        <v>-17110</v>
      </c>
      <c r="AB16" s="77">
        <f>AA16</f>
        <v>-17110</v>
      </c>
    </row>
    <row r="17" spans="1:28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77"/>
      <c r="W17" s="73"/>
      <c r="X17" s="77"/>
      <c r="Y17" s="73"/>
      <c r="Z17" s="77"/>
      <c r="AA17" s="77"/>
      <c r="AB17" s="77"/>
    </row>
    <row r="18" spans="1:28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77">
        <f>-2695-5005</f>
        <v>-7700</v>
      </c>
      <c r="W18" s="73"/>
      <c r="X18" s="77">
        <f>V18</f>
        <v>-7700</v>
      </c>
      <c r="Y18" s="73"/>
      <c r="Z18" s="77">
        <f>X18</f>
        <v>-7700</v>
      </c>
      <c r="AA18" s="77">
        <f>Z18</f>
        <v>-7700</v>
      </c>
      <c r="AB18" s="77">
        <f t="shared" ref="AB18:AB19" si="2">AA18</f>
        <v>-7700</v>
      </c>
    </row>
    <row r="19" spans="1:28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85">
        <v>-106657</v>
      </c>
      <c r="W19" s="84"/>
      <c r="X19" s="85">
        <f>V19</f>
        <v>-106657</v>
      </c>
      <c r="Y19" s="84"/>
      <c r="Z19" s="85">
        <f>X19</f>
        <v>-106657</v>
      </c>
      <c r="AA19" s="85">
        <f>Z19</f>
        <v>-106657</v>
      </c>
      <c r="AB19" s="85">
        <f t="shared" si="2"/>
        <v>-106657</v>
      </c>
    </row>
    <row r="20" spans="1:28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314">
        <f>SUM(T20)</f>
        <v>0.97048102260446989</v>
      </c>
      <c r="W20" s="73"/>
      <c r="X20" s="314">
        <f>SUM(V20)</f>
        <v>0.97048102260446989</v>
      </c>
      <c r="Y20" s="73"/>
      <c r="Z20" s="314">
        <f>SUM(X20)</f>
        <v>0.97048102260446989</v>
      </c>
      <c r="AA20" s="314">
        <f t="shared" ref="AA20:AA21" si="3">SUM(Z20)</f>
        <v>0.97048102260446989</v>
      </c>
      <c r="AB20" s="314">
        <f>SUM(AA20)</f>
        <v>0.97048102260446989</v>
      </c>
    </row>
    <row r="21" spans="1:28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315">
        <f>SUM(T21)</f>
        <v>0.55477100000000001</v>
      </c>
      <c r="W21" s="84"/>
      <c r="X21" s="315">
        <f>SUM(V21)</f>
        <v>0.55477100000000001</v>
      </c>
      <c r="Y21" s="84"/>
      <c r="Z21" s="315">
        <f>SUM(X21)</f>
        <v>0.55477100000000001</v>
      </c>
      <c r="AA21" s="315">
        <f t="shared" si="3"/>
        <v>0.55477100000000001</v>
      </c>
      <c r="AB21" s="315">
        <f>SUM(AA21)</f>
        <v>0.55477100000000001</v>
      </c>
    </row>
    <row r="22" spans="1:28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4">SUM(G13:G19)*G20*G21</f>
        <v>749495.24554680008</v>
      </c>
      <c r="I22" s="69">
        <f t="shared" si="4"/>
        <v>822232.32062400004</v>
      </c>
      <c r="J22" s="70"/>
      <c r="K22" s="71"/>
      <c r="L22" s="69">
        <f t="shared" ref="L22:N22" si="5">SUM(L13:L19)*L20*L21</f>
        <v>962461.34900000005</v>
      </c>
      <c r="M22" s="72"/>
      <c r="N22" s="69">
        <f t="shared" si="5"/>
        <v>1154211.1569999997</v>
      </c>
      <c r="O22" s="70"/>
      <c r="P22" s="70">
        <f t="shared" ref="P22:AA22" si="6">SUM(P13:P19)*P20*P21</f>
        <v>1162234.5759999999</v>
      </c>
      <c r="Q22" s="73"/>
      <c r="R22" s="70">
        <f t="shared" ref="R22" si="7">SUM(R13:R19)*R20*R21</f>
        <v>1207497.787</v>
      </c>
      <c r="S22" s="73"/>
      <c r="T22" s="70">
        <f>SUM(T13:T19)*T20*T21</f>
        <v>1238307.8730000001</v>
      </c>
      <c r="U22" s="73"/>
      <c r="V22" s="313">
        <f>SUM(V13:V19)*V20*V21</f>
        <v>1347122.8313530567</v>
      </c>
      <c r="W22" s="73"/>
      <c r="X22" s="313">
        <f t="shared" si="6"/>
        <v>1448933.8126974797</v>
      </c>
      <c r="Y22" s="73"/>
      <c r="Z22" s="313">
        <f t="shared" si="6"/>
        <v>1549010.0862302477</v>
      </c>
      <c r="AA22" s="313">
        <f t="shared" si="6"/>
        <v>1668077.1569822896</v>
      </c>
      <c r="AB22" s="313">
        <f>SUM(AB13:AB19)*AB20*AB21</f>
        <v>1787144.2277343313</v>
      </c>
    </row>
    <row r="23" spans="1:28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313"/>
      <c r="W23" s="73"/>
      <c r="X23" s="313"/>
      <c r="Y23" s="73"/>
      <c r="Z23" s="313"/>
      <c r="AA23" s="313"/>
      <c r="AB23" s="313"/>
    </row>
    <row r="24" spans="1:28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8">SUM(I22)</f>
        <v>822232.32062400004</v>
      </c>
      <c r="J24" s="70"/>
      <c r="K24" s="71"/>
      <c r="L24" s="69">
        <f t="shared" ref="L24" si="9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313">
        <f>SUM(V22)</f>
        <v>1347122.8313530567</v>
      </c>
      <c r="W24" s="73"/>
      <c r="X24" s="313">
        <f t="shared" ref="X24:Z24" si="10">SUM(X22)</f>
        <v>1448933.8126974797</v>
      </c>
      <c r="Y24" s="73"/>
      <c r="Z24" s="313">
        <f t="shared" si="10"/>
        <v>1549010.0862302477</v>
      </c>
      <c r="AA24" s="313">
        <f t="shared" ref="AA24" si="11">SUM(AA22)</f>
        <v>1668077.1569822896</v>
      </c>
      <c r="AB24" s="313">
        <f>SUM(AB22)</f>
        <v>1787144.2277343313</v>
      </c>
    </row>
    <row r="25" spans="1:28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70">
        <v>1064023.335</v>
      </c>
      <c r="Q25" s="73"/>
      <c r="R25" s="70">
        <v>1117051.1471780001</v>
      </c>
      <c r="S25" s="73"/>
      <c r="T25" s="70">
        <v>1153650.0430000001</v>
      </c>
      <c r="U25" s="73"/>
      <c r="V25" s="313"/>
      <c r="W25" s="73"/>
      <c r="X25" s="313"/>
      <c r="Y25" s="73"/>
      <c r="Z25" s="313"/>
      <c r="AA25" s="313"/>
      <c r="AB25" s="313"/>
    </row>
    <row r="26" spans="1:28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316">
        <f>SUM(T26)</f>
        <v>0.93137142914001647</v>
      </c>
      <c r="W26" s="81"/>
      <c r="X26" s="316">
        <f>SUM(V26)</f>
        <v>0.93137142914001647</v>
      </c>
      <c r="Y26" s="81"/>
      <c r="Z26" s="316">
        <f>SUM(X26)</f>
        <v>0.93137142914001647</v>
      </c>
      <c r="AA26" s="316">
        <f t="shared" ref="AA26" si="12">SUM(Z26)</f>
        <v>0.93137142914001647</v>
      </c>
      <c r="AB26" s="316">
        <f>SUM(AA26)</f>
        <v>0.93137142914001647</v>
      </c>
    </row>
    <row r="27" spans="1:28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3">SUM(G24*G26)</f>
        <v>681556.79615745938</v>
      </c>
      <c r="I27" s="69">
        <f t="shared" si="13"/>
        <v>765508.78650503687</v>
      </c>
      <c r="J27" s="70"/>
      <c r="K27" s="71"/>
      <c r="L27" s="69">
        <f t="shared" ref="L27:AA27" si="14">SUM(L24*L26)</f>
        <v>898630</v>
      </c>
      <c r="M27" s="72"/>
      <c r="N27" s="69">
        <f t="shared" si="14"/>
        <v>1070854.5930000001</v>
      </c>
      <c r="O27" s="72"/>
      <c r="P27" s="70">
        <f>SUM(P24*P26)</f>
        <v>1064023.335</v>
      </c>
      <c r="R27" s="70">
        <f t="shared" ref="R27" si="15">SUM(R24*R26)</f>
        <v>1117051.1471780001</v>
      </c>
      <c r="T27" s="70">
        <f>SUM(T24*T26)</f>
        <v>1153650.0430000001</v>
      </c>
      <c r="U27" s="71"/>
      <c r="V27" s="313">
        <f>SUM(V24*V26)</f>
        <v>1254671.7166644419</v>
      </c>
      <c r="W27" s="71"/>
      <c r="X27" s="313">
        <f t="shared" si="14"/>
        <v>1349495.5558613446</v>
      </c>
      <c r="Y27" s="71"/>
      <c r="Z27" s="313">
        <f t="shared" si="14"/>
        <v>1442703.737764566</v>
      </c>
      <c r="AA27" s="313">
        <f t="shared" si="14"/>
        <v>1553599.4056144108</v>
      </c>
      <c r="AB27" s="313">
        <f>SUM(AB24*AB26)</f>
        <v>1664495.0734642551</v>
      </c>
    </row>
    <row r="28" spans="1:28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313">
        <v>0</v>
      </c>
      <c r="W28" s="71"/>
      <c r="X28" s="313">
        <v>0</v>
      </c>
      <c r="Y28" s="71"/>
      <c r="Z28" s="313">
        <v>0</v>
      </c>
      <c r="AA28" s="313">
        <v>0</v>
      </c>
      <c r="AB28" s="313">
        <v>0</v>
      </c>
    </row>
    <row r="29" spans="1:28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6">SUM(G27:G28)</f>
        <v>681556.79615745938</v>
      </c>
      <c r="I29" s="99">
        <f t="shared" si="16"/>
        <v>765508.78650503687</v>
      </c>
      <c r="J29" s="100"/>
      <c r="K29" s="101"/>
      <c r="L29" s="99">
        <f t="shared" ref="L29:AA29" si="17">SUM(L27:L28)</f>
        <v>898630</v>
      </c>
      <c r="M29" s="102"/>
      <c r="N29" s="99">
        <f t="shared" si="17"/>
        <v>1070854.5930000001</v>
      </c>
      <c r="O29" s="102"/>
      <c r="P29" s="100">
        <f t="shared" si="17"/>
        <v>1064023.335</v>
      </c>
      <c r="Q29" s="101"/>
      <c r="R29" s="100">
        <f t="shared" ref="R29" si="18">SUM(R27:R28)</f>
        <v>1117051.1471780001</v>
      </c>
      <c r="S29" s="101"/>
      <c r="T29" s="100">
        <f>SUM(T27:T28)</f>
        <v>1153650.0430000001</v>
      </c>
      <c r="U29" s="101"/>
      <c r="V29" s="317">
        <f>SUM(V27:V28)</f>
        <v>1254671.7166644419</v>
      </c>
      <c r="W29" s="101"/>
      <c r="X29" s="317">
        <f t="shared" si="17"/>
        <v>1349495.5558613446</v>
      </c>
      <c r="Y29" s="101"/>
      <c r="Z29" s="317">
        <f t="shared" si="17"/>
        <v>1442703.737764566</v>
      </c>
      <c r="AA29" s="317">
        <f t="shared" si="17"/>
        <v>1553599.4056144108</v>
      </c>
      <c r="AB29" s="317">
        <f>SUM(AB27:AB28)</f>
        <v>1664495.0734642551</v>
      </c>
    </row>
    <row r="30" spans="1:28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305">
        <v>0.09</v>
      </c>
      <c r="V30" s="318">
        <f>SUM(T30*(1+U30))</f>
        <v>1.2153347127470267E-2</v>
      </c>
      <c r="W30" s="305">
        <v>1.4999999999999999E-2</v>
      </c>
      <c r="X30" s="318">
        <f>SUM(V30*(1+W30))</f>
        <v>1.233564733438232E-2</v>
      </c>
      <c r="Y30" s="305">
        <v>0.02</v>
      </c>
      <c r="Z30" s="318">
        <f>SUM(X30*(1+Y30))</f>
        <v>1.2582360281069967E-2</v>
      </c>
      <c r="AA30" s="318">
        <f>SUM(Z30*(1+Y30))</f>
        <v>1.2834007486691366E-2</v>
      </c>
      <c r="AB30" s="318">
        <f>SUM(AA30*(1+Y30))</f>
        <v>1.3090687636425194E-2</v>
      </c>
    </row>
    <row r="31" spans="1:28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319"/>
      <c r="W31" s="71"/>
      <c r="X31" s="319"/>
      <c r="Y31" s="71"/>
      <c r="Z31" s="319"/>
      <c r="AA31" s="319"/>
      <c r="AB31" s="319"/>
    </row>
    <row r="32" spans="1:28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9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AA32" si="20">SUM(N29*N30)</f>
        <v>12999.765589175515</v>
      </c>
      <c r="O32" s="113"/>
      <c r="P32" s="141">
        <f t="shared" si="20"/>
        <v>12677.752</v>
      </c>
      <c r="Q32" s="114"/>
      <c r="R32" s="141">
        <f t="shared" ref="R32" si="21">SUM(R29*R30)</f>
        <v>14080.649957033333</v>
      </c>
      <c r="S32" s="114"/>
      <c r="T32" s="141">
        <f>SUM(T29*T30)</f>
        <v>12863.036179999999</v>
      </c>
      <c r="U32" s="114"/>
      <c r="V32" s="392">
        <f>SUM(V29*V30)</f>
        <v>15248.460903641982</v>
      </c>
      <c r="W32" s="114"/>
      <c r="X32" s="320">
        <f>SUM(X29*X30)</f>
        <v>16646.901256421781</v>
      </c>
      <c r="Y32" s="114"/>
      <c r="Z32" s="320">
        <f t="shared" si="20"/>
        <v>18152.618207400057</v>
      </c>
      <c r="AA32" s="320">
        <f t="shared" si="20"/>
        <v>19938.906402974604</v>
      </c>
      <c r="AB32" s="320">
        <f>SUM(AB29*AB30)</f>
        <v>21789.38507908917</v>
      </c>
    </row>
    <row r="33" spans="1:28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116"/>
      <c r="W33" s="117"/>
      <c r="X33" s="116"/>
      <c r="Y33" s="117"/>
      <c r="Z33" s="116"/>
      <c r="AA33" s="116"/>
      <c r="AB33" s="116"/>
    </row>
    <row r="34" spans="1:28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301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</row>
    <row r="35" spans="1:28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321"/>
      <c r="W35" s="64"/>
      <c r="X35" s="321"/>
      <c r="Y35" s="64"/>
      <c r="Z35" s="321"/>
      <c r="AA35" s="321"/>
      <c r="AB35" s="321"/>
    </row>
    <row r="36" spans="1:28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321"/>
      <c r="W36" s="64"/>
      <c r="X36" s="321"/>
      <c r="Y36" s="64"/>
      <c r="Z36" s="321"/>
      <c r="AA36" s="321"/>
      <c r="AB36" s="321"/>
    </row>
    <row r="37" spans="1:28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313">
        <f>SUM(T37:T42)</f>
        <v>2425722.202</v>
      </c>
      <c r="W37" s="73"/>
      <c r="X37" s="313">
        <f>SUM(V37:V42)</f>
        <v>2627832.202</v>
      </c>
      <c r="Y37" s="73"/>
      <c r="Z37" s="313">
        <f>SUM(X37:X42)</f>
        <v>2816933.202</v>
      </c>
      <c r="AA37" s="313">
        <f>SUM(Z37:Z42)</f>
        <v>3002812.202</v>
      </c>
      <c r="AB37" s="313">
        <f>SUM(AA37:AA42)</f>
        <v>3223964.202</v>
      </c>
    </row>
    <row r="38" spans="1:28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322"/>
      <c r="W38" s="73"/>
      <c r="X38" s="322"/>
      <c r="Y38" s="73"/>
      <c r="Z38" s="322"/>
      <c r="AA38" s="322"/>
      <c r="AB38" s="322"/>
    </row>
    <row r="39" spans="1:28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344">
        <f t="shared" ref="V39:AA40" si="22">SUM(V15)</f>
        <v>340135</v>
      </c>
      <c r="W39" s="73"/>
      <c r="X39" s="344">
        <f t="shared" si="22"/>
        <v>316035</v>
      </c>
      <c r="Y39" s="73"/>
      <c r="Z39" s="344">
        <f t="shared" si="22"/>
        <v>305926</v>
      </c>
      <c r="AA39" s="344">
        <f t="shared" si="22"/>
        <v>352619</v>
      </c>
      <c r="AB39" s="344">
        <f>SUM(AB15)</f>
        <v>352619</v>
      </c>
    </row>
    <row r="40" spans="1:28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344">
        <f t="shared" si="22"/>
        <v>-23668</v>
      </c>
      <c r="W40" s="73"/>
      <c r="X40" s="344">
        <f t="shared" si="22"/>
        <v>-12577</v>
      </c>
      <c r="Y40" s="73"/>
      <c r="Z40" s="344">
        <f t="shared" si="22"/>
        <v>-5690</v>
      </c>
      <c r="AA40" s="344">
        <f t="shared" si="22"/>
        <v>-17110</v>
      </c>
      <c r="AB40" s="344">
        <f>SUM(AB16)</f>
        <v>-17110</v>
      </c>
    </row>
    <row r="41" spans="1:28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344">
        <f t="shared" ref="V41:AA42" si="23">SUM(V18)</f>
        <v>-7700</v>
      </c>
      <c r="W41" s="73"/>
      <c r="X41" s="344">
        <f t="shared" si="23"/>
        <v>-7700</v>
      </c>
      <c r="Y41" s="73"/>
      <c r="Z41" s="344">
        <f t="shared" si="23"/>
        <v>-7700</v>
      </c>
      <c r="AA41" s="344">
        <f t="shared" si="23"/>
        <v>-7700</v>
      </c>
      <c r="AB41" s="344">
        <f>SUM(AB18)</f>
        <v>-7700</v>
      </c>
    </row>
    <row r="42" spans="1:28" x14ac:dyDescent="0.3">
      <c r="A42" s="56" t="s">
        <v>52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344">
        <f t="shared" si="23"/>
        <v>-106657</v>
      </c>
      <c r="W42" s="73"/>
      <c r="X42" s="344">
        <f t="shared" si="23"/>
        <v>-106657</v>
      </c>
      <c r="Y42" s="73"/>
      <c r="Z42" s="344">
        <f t="shared" si="23"/>
        <v>-106657</v>
      </c>
      <c r="AA42" s="344">
        <f t="shared" si="23"/>
        <v>-106657</v>
      </c>
      <c r="AB42" s="344">
        <f>SUM(AB19)</f>
        <v>-106657</v>
      </c>
    </row>
    <row r="43" spans="1:28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323"/>
      <c r="W43" s="84"/>
      <c r="X43" s="323"/>
      <c r="Y43" s="84"/>
      <c r="Z43" s="323"/>
      <c r="AA43" s="323"/>
      <c r="AB43" s="323"/>
    </row>
    <row r="44" spans="1:28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314">
        <v>1</v>
      </c>
      <c r="W44" s="73"/>
      <c r="X44" s="314">
        <v>1</v>
      </c>
      <c r="Y44" s="73"/>
      <c r="Z44" s="314">
        <v>1</v>
      </c>
      <c r="AA44" s="314">
        <v>1</v>
      </c>
      <c r="AB44" s="314">
        <v>1</v>
      </c>
    </row>
    <row r="45" spans="1:28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315">
        <f>SUM(T45)</f>
        <v>0.24860597825372915</v>
      </c>
      <c r="W45" s="84"/>
      <c r="X45" s="315">
        <f>SUM(V45)</f>
        <v>0.24860597825372915</v>
      </c>
      <c r="Y45" s="84"/>
      <c r="Z45" s="315">
        <f>SUM(X45)</f>
        <v>0.24860597825372915</v>
      </c>
      <c r="AA45" s="315">
        <f t="shared" ref="AA45" si="24">SUM(Z45)</f>
        <v>0.24860597825372915</v>
      </c>
      <c r="AB45" s="315">
        <f>SUM(AA45)</f>
        <v>0.24860597825372915</v>
      </c>
    </row>
    <row r="46" spans="1:28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313">
        <f>SUM(V37:V43)*V44*V45</f>
        <v>653294.7952648612</v>
      </c>
      <c r="W46" s="73"/>
      <c r="X46" s="313">
        <f>SUM(X37:X43)*X44*X45</f>
        <v>700306.43435861962</v>
      </c>
      <c r="Y46" s="73"/>
      <c r="Z46" s="313">
        <f>SUM(Z37:Z43)*Z44*Z45</f>
        <v>746517.06499044457</v>
      </c>
      <c r="AA46" s="313">
        <f>SUM(AA37:AA43)*AA44*AA45</f>
        <v>801496.77429321327</v>
      </c>
      <c r="AB46" s="313">
        <f>SUM(AB37:AB43)*AB44*AB45</f>
        <v>856476.48359598196</v>
      </c>
    </row>
    <row r="47" spans="1:28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323">
        <f>SUM(T47)</f>
        <v>-29203</v>
      </c>
      <c r="W47" s="84"/>
      <c r="X47" s="323">
        <f>SUM(V47)</f>
        <v>-29203</v>
      </c>
      <c r="Y47" s="84"/>
      <c r="Z47" s="323">
        <f>SUM(X47)</f>
        <v>-29203</v>
      </c>
      <c r="AA47" s="323">
        <f t="shared" ref="AA47" si="25">SUM(Z47)</f>
        <v>-29203</v>
      </c>
      <c r="AB47" s="323">
        <f>SUM(AA47)</f>
        <v>-29203</v>
      </c>
    </row>
    <row r="48" spans="1:28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6">SUM(L46:L47)</f>
        <v>469394.93499999994</v>
      </c>
      <c r="M48" s="72"/>
      <c r="N48" s="69">
        <f t="shared" si="26"/>
        <v>504910.23699999996</v>
      </c>
      <c r="O48" s="70"/>
      <c r="P48" s="70">
        <f t="shared" si="26"/>
        <v>504754.00099999999</v>
      </c>
      <c r="Q48" s="73"/>
      <c r="R48" s="70">
        <f>SUM(R46:R47)</f>
        <v>549171.69446199993</v>
      </c>
      <c r="S48" s="73"/>
      <c r="T48" s="70">
        <f t="shared" si="26"/>
        <v>573846.04099999997</v>
      </c>
      <c r="U48" s="73"/>
      <c r="V48" s="313">
        <f>SUM(V46:V47)</f>
        <v>624091.7952648612</v>
      </c>
      <c r="W48" s="73"/>
      <c r="X48" s="313">
        <f t="shared" si="26"/>
        <v>671103.43435861962</v>
      </c>
      <c r="Y48" s="73"/>
      <c r="Z48" s="313">
        <f t="shared" si="26"/>
        <v>717314.06499044457</v>
      </c>
      <c r="AA48" s="313">
        <f t="shared" si="26"/>
        <v>772293.77429321327</v>
      </c>
      <c r="AB48" s="313">
        <f>SUM(AB46:AB47)</f>
        <v>827273.48359598196</v>
      </c>
    </row>
    <row r="49" spans="1:28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324">
        <v>1</v>
      </c>
      <c r="W49" s="84"/>
      <c r="X49" s="324">
        <v>1</v>
      </c>
      <c r="Y49" s="84"/>
      <c r="Z49" s="324">
        <v>1</v>
      </c>
      <c r="AA49" s="324">
        <v>1</v>
      </c>
      <c r="AB49" s="324">
        <v>1</v>
      </c>
    </row>
    <row r="50" spans="1:28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7">SUM(G48*G49)</f>
        <v>426852.43202319462</v>
      </c>
      <c r="I50" s="69">
        <f t="shared" si="27"/>
        <v>468663.26434402453</v>
      </c>
      <c r="J50" s="70"/>
      <c r="K50" s="71"/>
      <c r="L50" s="69">
        <f t="shared" ref="L50:AA50" si="28">SUM(L48*L49)</f>
        <v>469394.93499999994</v>
      </c>
      <c r="M50" s="72"/>
      <c r="N50" s="69">
        <f t="shared" si="28"/>
        <v>504910.23699999996</v>
      </c>
      <c r="O50" s="70"/>
      <c r="P50" s="70">
        <f t="shared" si="28"/>
        <v>504754.00099999999</v>
      </c>
      <c r="Q50" s="73"/>
      <c r="R50" s="70">
        <f>SUM(R48*R49)</f>
        <v>549171.69446199993</v>
      </c>
      <c r="S50" s="73"/>
      <c r="T50" s="70">
        <f t="shared" si="28"/>
        <v>573846.04099999997</v>
      </c>
      <c r="U50" s="73"/>
      <c r="V50" s="313">
        <f>SUM(V48*V49)</f>
        <v>624091.7952648612</v>
      </c>
      <c r="W50" s="73"/>
      <c r="X50" s="313">
        <f t="shared" si="28"/>
        <v>671103.43435861962</v>
      </c>
      <c r="Y50" s="73"/>
      <c r="Z50" s="313">
        <f t="shared" si="28"/>
        <v>717314.06499044457</v>
      </c>
      <c r="AA50" s="313">
        <f t="shared" si="28"/>
        <v>772293.77429321327</v>
      </c>
      <c r="AB50" s="313">
        <f>SUM(AB48*AB49)</f>
        <v>827273.48359598196</v>
      </c>
    </row>
    <row r="51" spans="1:28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305">
        <v>0.01</v>
      </c>
      <c r="V51" s="318">
        <f>SUM(T51*(1+U51))</f>
        <v>1.0914772876336704E-2</v>
      </c>
      <c r="W51" s="305">
        <f>$W$30</f>
        <v>1.4999999999999999E-2</v>
      </c>
      <c r="X51" s="318">
        <f>SUM(V51*(1+W51))</f>
        <v>1.1078494469481753E-2</v>
      </c>
      <c r="Y51" s="305">
        <f>$Y$30</f>
        <v>0.02</v>
      </c>
      <c r="Z51" s="318">
        <f>SUM(X51*(1+Y51))</f>
        <v>1.1300064358871388E-2</v>
      </c>
      <c r="AA51" s="318">
        <f>SUM(Z51*(1+Y51))</f>
        <v>1.1526065646048815E-2</v>
      </c>
      <c r="AB51" s="318">
        <f>SUM(AA51*(1+Y51))</f>
        <v>1.1756586958969792E-2</v>
      </c>
    </row>
    <row r="52" spans="1:28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319"/>
      <c r="W52" s="71"/>
      <c r="X52" s="319"/>
      <c r="Y52" s="71"/>
      <c r="Z52" s="319"/>
      <c r="AA52" s="319"/>
      <c r="AB52" s="319"/>
    </row>
    <row r="53" spans="1:28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9">SUM(G50*G51)</f>
        <v>4690.254523070862</v>
      </c>
      <c r="I53" s="112">
        <f t="shared" si="29"/>
        <v>5359.0285675337436</v>
      </c>
      <c r="J53" s="141"/>
      <c r="K53" s="114"/>
      <c r="L53" s="112">
        <f t="shared" ref="L53:AA53" si="30">SUM(L50*L51)</f>
        <v>5440.7422465869995</v>
      </c>
      <c r="M53" s="113"/>
      <c r="N53" s="112">
        <f t="shared" si="30"/>
        <v>5717.717903841688</v>
      </c>
      <c r="O53" s="113"/>
      <c r="P53" s="141">
        <f t="shared" si="30"/>
        <v>5675.1669887565686</v>
      </c>
      <c r="Q53" s="114"/>
      <c r="R53" s="141">
        <f>SUM(R50*R51)</f>
        <v>6132.3038800000004</v>
      </c>
      <c r="S53" s="114"/>
      <c r="T53" s="141">
        <f>SUM(T50*T51)</f>
        <v>6201.3853499999996</v>
      </c>
      <c r="U53" s="114"/>
      <c r="V53" s="320">
        <f>SUM(V50*V51)</f>
        <v>6811.8201993011862</v>
      </c>
      <c r="W53" s="114"/>
      <c r="X53" s="320">
        <f>SUM(X50*X51)</f>
        <v>7434.8156859921783</v>
      </c>
      <c r="Y53" s="114"/>
      <c r="Z53" s="320">
        <f t="shared" si="30"/>
        <v>8105.695099915677</v>
      </c>
      <c r="AA53" s="320">
        <f t="shared" si="30"/>
        <v>8901.5087405383838</v>
      </c>
      <c r="AB53" s="320">
        <f>SUM(AB50*AB51)</f>
        <v>9725.9126487460308</v>
      </c>
    </row>
    <row r="54" spans="1:28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</row>
    <row r="55" spans="1:28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301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</row>
    <row r="56" spans="1:28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31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</row>
    <row r="57" spans="1:28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325">
        <f>T57</f>
        <v>4198000</v>
      </c>
      <c r="W57" s="152"/>
      <c r="X57" s="325">
        <f>SUM(V57:V60)</f>
        <v>4469918</v>
      </c>
      <c r="Y57" s="152"/>
      <c r="Z57" s="325">
        <f>SUM(X57:X60)</f>
        <v>4726910</v>
      </c>
      <c r="AA57" s="325">
        <f>SUM(Z57:Z60)</f>
        <v>4964930</v>
      </c>
      <c r="AB57" s="325">
        <f>SUM(AA57:AA60)</f>
        <v>5249985</v>
      </c>
    </row>
    <row r="58" spans="1:28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313"/>
      <c r="W58" s="73"/>
      <c r="X58" s="313"/>
      <c r="Y58" s="73"/>
      <c r="Z58" s="313"/>
      <c r="AA58" s="313"/>
      <c r="AB58" s="313"/>
    </row>
    <row r="59" spans="1:28" x14ac:dyDescent="0.3">
      <c r="A59" s="56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322">
        <f>SUM(V15+V118)</f>
        <v>409152</v>
      </c>
      <c r="W59" s="73"/>
      <c r="X59" s="322">
        <f>SUM(X15+X118)</f>
        <v>394226</v>
      </c>
      <c r="Y59" s="73"/>
      <c r="Z59" s="322">
        <f>SUM(Z15+Z118)</f>
        <v>375254</v>
      </c>
      <c r="AA59" s="322">
        <f>SUM(AA15+AA118)</f>
        <v>422289</v>
      </c>
      <c r="AB59" s="322">
        <f>SUM(AB15+AB118)</f>
        <v>422289</v>
      </c>
    </row>
    <row r="60" spans="1:28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313">
        <f>SUM(V19+V119)</f>
        <v>-137234</v>
      </c>
      <c r="W60" s="73"/>
      <c r="X60" s="313">
        <f>SUM(X19+X119)</f>
        <v>-137234</v>
      </c>
      <c r="Y60" s="73"/>
      <c r="Z60" s="313">
        <f>SUM(Z19+Z119)</f>
        <v>-137234</v>
      </c>
      <c r="AA60" s="313">
        <f>SUM(AA19+AA119)</f>
        <v>-137234</v>
      </c>
      <c r="AB60" s="313">
        <f>SUM(AB19+AB119)</f>
        <v>-137234</v>
      </c>
    </row>
    <row r="61" spans="1:28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70"/>
      <c r="U61" s="84"/>
      <c r="V61" s="323">
        <f>SUM(V57:V60)*0.1*-1</f>
        <v>-446991.80000000005</v>
      </c>
      <c r="W61" s="84"/>
      <c r="X61" s="323">
        <f>SUM(X57:X60)*0.1*-1</f>
        <v>-472691</v>
      </c>
      <c r="Y61" s="84"/>
      <c r="Z61" s="323">
        <f>SUM(Z57:Z60)*0.1*-1</f>
        <v>-496493</v>
      </c>
      <c r="AA61" s="323">
        <f>SUM(AA57:AA60)*0.1*-1</f>
        <v>-524998.5</v>
      </c>
      <c r="AB61" s="323">
        <f>SUM(AB57:AB60)*0.1*-1</f>
        <v>-553504</v>
      </c>
    </row>
    <row r="62" spans="1:28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313">
        <f>SUM(V57:V61)</f>
        <v>4022926.2</v>
      </c>
      <c r="W62" s="73"/>
      <c r="X62" s="313">
        <f>SUM(X57:X61)</f>
        <v>4254219</v>
      </c>
      <c r="Y62" s="73"/>
      <c r="Z62" s="313">
        <f>SUM(Z57:Z61)</f>
        <v>4468437</v>
      </c>
      <c r="AA62" s="313">
        <f>SUM(AA57:AA61)</f>
        <v>4724986.5</v>
      </c>
      <c r="AB62" s="313">
        <f>SUM(AB57:AB61)</f>
        <v>4981536</v>
      </c>
    </row>
    <row r="63" spans="1:28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314">
        <v>1</v>
      </c>
      <c r="W63" s="73"/>
      <c r="X63" s="314">
        <v>1</v>
      </c>
      <c r="Y63" s="73"/>
      <c r="Z63" s="314">
        <v>1</v>
      </c>
      <c r="AA63" s="314">
        <v>1</v>
      </c>
      <c r="AB63" s="314">
        <v>1</v>
      </c>
    </row>
    <row r="64" spans="1:28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315">
        <f>SUM(T64)</f>
        <v>0.12529813763896241</v>
      </c>
      <c r="W64" s="84"/>
      <c r="X64" s="315">
        <f>SUM(V64)</f>
        <v>0.12529813763896241</v>
      </c>
      <c r="Y64" s="84"/>
      <c r="Z64" s="315">
        <f t="shared" ref="Z64" si="31">SUM(X64)</f>
        <v>0.12529813763896241</v>
      </c>
      <c r="AA64" s="315">
        <f>SUM(Z64)</f>
        <v>0.12529813763896241</v>
      </c>
      <c r="AB64" s="315">
        <f>SUM(AA64)</f>
        <v>0.12529813763896241</v>
      </c>
    </row>
    <row r="65" spans="1:28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32">SUM(G62*G64)</f>
        <v>350240.37700000004</v>
      </c>
      <c r="I65" s="69">
        <f t="shared" si="32"/>
        <v>370904.02</v>
      </c>
      <c r="J65" s="70"/>
      <c r="K65" s="71"/>
      <c r="L65" s="69">
        <f t="shared" ref="L65:Z65" si="33">SUM(L62*L64)</f>
        <v>379502.29200000002</v>
      </c>
      <c r="M65" s="72"/>
      <c r="N65" s="69">
        <f t="shared" si="33"/>
        <v>345023.42800000001</v>
      </c>
      <c r="O65" s="70"/>
      <c r="P65" s="70">
        <f t="shared" si="33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313">
        <f>SUM(V62*V64)</f>
        <v>504065.16071898805</v>
      </c>
      <c r="W65" s="73"/>
      <c r="X65" s="313">
        <f t="shared" si="33"/>
        <v>533045.71780828899</v>
      </c>
      <c r="Y65" s="73"/>
      <c r="Z65" s="313">
        <f t="shared" si="33"/>
        <v>559886.83425703226</v>
      </c>
      <c r="AA65" s="313">
        <f>SUM(AA62*AA64)</f>
        <v>592032.00881923933</v>
      </c>
      <c r="AB65" s="313">
        <f>SUM(AB62*AB64)</f>
        <v>624177.18338144629</v>
      </c>
    </row>
    <row r="66" spans="1:28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313">
        <v>0</v>
      </c>
      <c r="W66" s="73"/>
      <c r="X66" s="313">
        <v>0</v>
      </c>
      <c r="Y66" s="73"/>
      <c r="Z66" s="313">
        <v>0</v>
      </c>
      <c r="AA66" s="313">
        <v>0</v>
      </c>
      <c r="AB66" s="313">
        <v>0</v>
      </c>
    </row>
    <row r="67" spans="1:28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326">
        <v>1</v>
      </c>
      <c r="W67" s="73"/>
      <c r="X67" s="326">
        <v>1</v>
      </c>
      <c r="Y67" s="73"/>
      <c r="Z67" s="326">
        <v>1</v>
      </c>
      <c r="AA67" s="326">
        <v>1</v>
      </c>
      <c r="AB67" s="326">
        <v>1</v>
      </c>
    </row>
    <row r="68" spans="1:28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34">SUM(G65:G66)*G67</f>
        <v>349938.54100000003</v>
      </c>
      <c r="I68" s="69">
        <f t="shared" si="34"/>
        <v>370623.68800000002</v>
      </c>
      <c r="J68" s="70"/>
      <c r="K68" s="71"/>
      <c r="L68" s="69">
        <f t="shared" ref="L68:N68" si="35">SUM(L65:L66)*L67</f>
        <v>379213.82400000002</v>
      </c>
      <c r="M68" s="72"/>
      <c r="N68" s="69">
        <f t="shared" si="35"/>
        <v>344746.50900000002</v>
      </c>
      <c r="O68" s="70"/>
      <c r="P68" s="70">
        <f t="shared" ref="P68:Z68" si="36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313">
        <f>SUM(V65:V66)*V67</f>
        <v>504065.16071898805</v>
      </c>
      <c r="W68" s="73"/>
      <c r="X68" s="313">
        <f t="shared" si="36"/>
        <v>533045.71780828899</v>
      </c>
      <c r="Y68" s="73"/>
      <c r="Z68" s="313">
        <f t="shared" si="36"/>
        <v>559886.83425703226</v>
      </c>
      <c r="AA68" s="313">
        <f>SUM(AA65:AA66)*AA67</f>
        <v>592032.00881923933</v>
      </c>
      <c r="AB68" s="313">
        <f>SUM(AB65:AB66)*AB67</f>
        <v>624177.18338144629</v>
      </c>
    </row>
    <row r="69" spans="1:28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327">
        <f>SUM(T69)</f>
        <v>6.4889987516961456E-2</v>
      </c>
      <c r="W69" s="164"/>
      <c r="X69" s="327">
        <f>SUM(V69)</f>
        <v>6.4889987516961456E-2</v>
      </c>
      <c r="Y69" s="164"/>
      <c r="Z69" s="327">
        <f t="shared" ref="Z69" si="37">SUM(X69)</f>
        <v>6.4889987516961456E-2</v>
      </c>
      <c r="AA69" s="327">
        <f>SUM(Z69)</f>
        <v>6.4889987516961456E-2</v>
      </c>
      <c r="AB69" s="327">
        <f>SUM(AA69)</f>
        <v>6.4889987516961456E-2</v>
      </c>
    </row>
    <row r="70" spans="1:28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8">SUM(G68*G69)</f>
        <v>22904.265934547748</v>
      </c>
      <c r="I70" s="69">
        <f t="shared" si="38"/>
        <v>24673.979228846489</v>
      </c>
      <c r="J70" s="153"/>
      <c r="K70" s="71"/>
      <c r="L70" s="69">
        <f t="shared" ref="L70:Z70" si="39">SUM(L68*L69)</f>
        <v>24737.454518899576</v>
      </c>
      <c r="M70" s="72"/>
      <c r="N70" s="69">
        <f t="shared" si="39"/>
        <v>22376.198131038327</v>
      </c>
      <c r="O70" s="165"/>
      <c r="P70" s="131">
        <f t="shared" si="39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313">
        <f>SUM(V68*V69)</f>
        <v>32708.781986790305</v>
      </c>
      <c r="W70" s="166"/>
      <c r="X70" s="313">
        <f t="shared" si="39"/>
        <v>34589.329974549633</v>
      </c>
      <c r="Y70" s="166"/>
      <c r="Z70" s="313">
        <f t="shared" si="39"/>
        <v>36331.049685849888</v>
      </c>
      <c r="AA70" s="313">
        <f>SUM(AA68*AA69)</f>
        <v>38416.949661922052</v>
      </c>
      <c r="AB70" s="313">
        <f>SUM(AB68*AB69)</f>
        <v>40502.849637994208</v>
      </c>
    </row>
    <row r="71" spans="1:28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313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</row>
    <row r="72" spans="1:28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40">SUM(G70:G71)</f>
        <v>22904.265934547748</v>
      </c>
      <c r="I72" s="99">
        <f t="shared" si="40"/>
        <v>24673.979228846489</v>
      </c>
      <c r="J72" s="167"/>
      <c r="K72" s="101"/>
      <c r="L72" s="99">
        <f t="shared" ref="L72:Z72" si="41">SUM(L70:L71)</f>
        <v>24737.454518899576</v>
      </c>
      <c r="M72" s="102"/>
      <c r="N72" s="99">
        <f t="shared" si="41"/>
        <v>22376.198131038327</v>
      </c>
      <c r="O72" s="102"/>
      <c r="P72" s="100">
        <f t="shared" si="41"/>
        <v>27999.644464958154</v>
      </c>
      <c r="Q72" s="101"/>
      <c r="R72" s="100">
        <f t="shared" ref="R72" si="42">SUM(R70:R71)</f>
        <v>29277.027320712124</v>
      </c>
      <c r="S72" s="101"/>
      <c r="T72" s="100">
        <f>SUM(T70:T71)</f>
        <v>30670.574000000001</v>
      </c>
      <c r="U72" s="101"/>
      <c r="V72" s="317">
        <f>SUM(V70:V71)</f>
        <v>32708.781986790305</v>
      </c>
      <c r="W72" s="101"/>
      <c r="X72" s="317">
        <f t="shared" si="41"/>
        <v>34589.329974549633</v>
      </c>
      <c r="Y72" s="101"/>
      <c r="Z72" s="317">
        <f t="shared" si="41"/>
        <v>36331.049685849888</v>
      </c>
      <c r="AA72" s="317">
        <f>SUM(AA70:AA71)</f>
        <v>38416.949661922052</v>
      </c>
      <c r="AB72" s="317">
        <f>SUM(AB70:AB71)</f>
        <v>40502.849637994208</v>
      </c>
    </row>
    <row r="73" spans="1:28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305">
        <v>0.01</v>
      </c>
      <c r="V73" s="318">
        <f>SUM(T73*(1+U73))</f>
        <v>0.36775333601516552</v>
      </c>
      <c r="W73" s="305">
        <f>$W$30</f>
        <v>1.4999999999999999E-2</v>
      </c>
      <c r="X73" s="318">
        <f>SUM(V73*(1+W73))</f>
        <v>0.37326963605539298</v>
      </c>
      <c r="Y73" s="305">
        <f>$Y$30</f>
        <v>0.02</v>
      </c>
      <c r="Z73" s="318">
        <f>SUM(X73*(1+Y73))</f>
        <v>0.38073502877650084</v>
      </c>
      <c r="AA73" s="318">
        <f>SUM(Z73*(1+Y73))</f>
        <v>0.38834972935203088</v>
      </c>
      <c r="AB73" s="318">
        <f>SUM(AA73*(1+Y73))</f>
        <v>0.39611672393907149</v>
      </c>
    </row>
    <row r="74" spans="1:28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319"/>
      <c r="W74" s="71"/>
      <c r="X74" s="319"/>
      <c r="Y74" s="71"/>
      <c r="Z74" s="319"/>
      <c r="AA74" s="319"/>
      <c r="AB74" s="319"/>
    </row>
    <row r="75" spans="1:28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43">SUM(G72*G73)</f>
        <v>7219.74299186594</v>
      </c>
      <c r="I75" s="112">
        <f t="shared" si="43"/>
        <v>8163.043288322272</v>
      </c>
      <c r="J75" s="141"/>
      <c r="K75" s="114"/>
      <c r="L75" s="112">
        <f t="shared" ref="L75:Z75" si="44">SUM(L72*L73)</f>
        <v>8456.9513856009962</v>
      </c>
      <c r="M75" s="113"/>
      <c r="N75" s="112">
        <f t="shared" si="44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141">
        <f>SUM(T72*T73)</f>
        <v>11167.5306</v>
      </c>
      <c r="U75" s="114"/>
      <c r="V75" s="320">
        <f>SUM(V72*V73)</f>
        <v>12028.763692634888</v>
      </c>
      <c r="W75" s="114"/>
      <c r="X75" s="320">
        <f t="shared" si="44"/>
        <v>12911.146611000037</v>
      </c>
      <c r="Y75" s="114"/>
      <c r="Z75" s="320">
        <f t="shared" si="44"/>
        <v>13832.503247622539</v>
      </c>
      <c r="AA75" s="320">
        <f>SUM(AA72*AA73)</f>
        <v>14919.212003738023</v>
      </c>
      <c r="AB75" s="320">
        <f>SUM(AB72*AB73)</f>
        <v>16043.856108799073</v>
      </c>
    </row>
    <row r="76" spans="1:28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</row>
    <row r="77" spans="1:28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301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tr">
        <f>$AB$10</f>
        <v>2023 Estimate</v>
      </c>
    </row>
    <row r="78" spans="1:28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321"/>
      <c r="W78" s="175"/>
      <c r="X78" s="321"/>
      <c r="Y78" s="175"/>
      <c r="Z78" s="321"/>
      <c r="AA78" s="321"/>
      <c r="AB78" s="321"/>
    </row>
    <row r="79" spans="1:28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308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</row>
    <row r="80" spans="1:28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313">
        <f>SUM(T80)</f>
        <v>1432</v>
      </c>
      <c r="W80" s="73"/>
      <c r="X80" s="313">
        <f>SUM(V80)</f>
        <v>1432</v>
      </c>
      <c r="Y80" s="73"/>
      <c r="Z80" s="313">
        <f>SUM(X80)</f>
        <v>1432</v>
      </c>
      <c r="AA80" s="313">
        <f t="shared" ref="AA80" si="45">SUM(Z80)</f>
        <v>1432</v>
      </c>
      <c r="AB80" s="313">
        <f>SUM(AA80)</f>
        <v>1432</v>
      </c>
    </row>
    <row r="81" spans="1:28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313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</row>
    <row r="82" spans="1:28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313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</row>
    <row r="83" spans="1:28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314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</row>
    <row r="84" spans="1:28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315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</row>
    <row r="85" spans="1:28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6">SUM((G80+G81+G82)*G83*G84)</f>
        <v>888.3152139</v>
      </c>
      <c r="I85" s="69">
        <f t="shared" si="46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7">SUM((P80+P81+P82)*P83*P84)</f>
        <v>1137.998</v>
      </c>
      <c r="Q85" s="73"/>
      <c r="R85" s="70">
        <f t="shared" ref="R85" si="48">SUM((R80+R81+R82)*R83*R84)</f>
        <v>1221</v>
      </c>
      <c r="S85" s="73"/>
      <c r="T85" s="70">
        <f t="shared" si="47"/>
        <v>1432</v>
      </c>
      <c r="U85" s="73"/>
      <c r="V85" s="313">
        <f t="shared" si="47"/>
        <v>1432</v>
      </c>
      <c r="W85" s="73"/>
      <c r="X85" s="313">
        <f t="shared" si="47"/>
        <v>1432</v>
      </c>
      <c r="Y85" s="73"/>
      <c r="Z85" s="313">
        <f t="shared" si="47"/>
        <v>1432</v>
      </c>
      <c r="AA85" s="313">
        <f t="shared" si="47"/>
        <v>1432</v>
      </c>
      <c r="AB85" s="313">
        <f>SUM((AB80+AB81+AB82)*AB83*AB84)</f>
        <v>1432</v>
      </c>
    </row>
    <row r="86" spans="1:28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313"/>
      <c r="W86" s="73"/>
      <c r="X86" s="313"/>
      <c r="Y86" s="73"/>
      <c r="Z86" s="313"/>
      <c r="AA86" s="313"/>
      <c r="AB86" s="313"/>
    </row>
    <row r="87" spans="1:28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326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</row>
    <row r="88" spans="1:28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9">SUM(G85:G86)*G87</f>
        <v>888.3152139</v>
      </c>
      <c r="I88" s="69">
        <f t="shared" si="49"/>
        <v>1002.3308361092717</v>
      </c>
      <c r="J88" s="70"/>
      <c r="K88" s="71"/>
      <c r="L88" s="69">
        <v>1190</v>
      </c>
      <c r="M88" s="72"/>
      <c r="N88" s="69">
        <f t="shared" ref="N88" si="50">SUM(N85:N86)*N87</f>
        <v>1131</v>
      </c>
      <c r="O88" s="70"/>
      <c r="P88" s="70">
        <f t="shared" ref="P88:AA88" si="51">SUM(P85:P86)*P87</f>
        <v>1137.998</v>
      </c>
      <c r="Q88" s="73"/>
      <c r="R88" s="70">
        <f t="shared" ref="R88" si="52">SUM(R85:R86)*R87</f>
        <v>1221</v>
      </c>
      <c r="S88" s="73"/>
      <c r="T88" s="70">
        <f t="shared" si="51"/>
        <v>1432</v>
      </c>
      <c r="U88" s="73"/>
      <c r="V88" s="313">
        <f t="shared" si="51"/>
        <v>1432</v>
      </c>
      <c r="W88" s="73"/>
      <c r="X88" s="313">
        <f t="shared" si="51"/>
        <v>1432</v>
      </c>
      <c r="Y88" s="73"/>
      <c r="Z88" s="313">
        <f t="shared" si="51"/>
        <v>1432</v>
      </c>
      <c r="AA88" s="313">
        <f t="shared" si="51"/>
        <v>1432</v>
      </c>
      <c r="AB88" s="313">
        <f>SUM(AB85:AB86)*AB87</f>
        <v>1432</v>
      </c>
    </row>
    <row r="89" spans="1:28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327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</row>
    <row r="90" spans="1:28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53">SUM(G88*G89)</f>
        <v>888.3152139</v>
      </c>
      <c r="I90" s="69">
        <f t="shared" si="53"/>
        <v>1002.3308361092717</v>
      </c>
      <c r="J90" s="70"/>
      <c r="K90" s="71"/>
      <c r="L90" s="69">
        <f t="shared" ref="L90:AA90" si="54">SUM(L88*L89)</f>
        <v>1190</v>
      </c>
      <c r="M90" s="72"/>
      <c r="N90" s="69">
        <f t="shared" si="54"/>
        <v>1131</v>
      </c>
      <c r="O90" s="70"/>
      <c r="P90" s="70">
        <f t="shared" si="54"/>
        <v>1137.998</v>
      </c>
      <c r="Q90" s="73"/>
      <c r="R90" s="70">
        <f t="shared" ref="R90" si="55">SUM(R88*R89)</f>
        <v>1221</v>
      </c>
      <c r="S90" s="73"/>
      <c r="T90" s="70">
        <f t="shared" si="54"/>
        <v>1432</v>
      </c>
      <c r="U90" s="73"/>
      <c r="V90" s="313">
        <f t="shared" si="54"/>
        <v>1432</v>
      </c>
      <c r="W90" s="73"/>
      <c r="X90" s="313">
        <f t="shared" si="54"/>
        <v>1432</v>
      </c>
      <c r="Y90" s="73"/>
      <c r="Z90" s="313">
        <f t="shared" si="54"/>
        <v>1432</v>
      </c>
      <c r="AA90" s="313">
        <f t="shared" si="54"/>
        <v>1432</v>
      </c>
      <c r="AB90" s="313">
        <f>SUM(AB88*AB89)</f>
        <v>1432</v>
      </c>
    </row>
    <row r="91" spans="1:28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313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</row>
    <row r="92" spans="1:28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6">SUM(G90:G91)</f>
        <v>888.3152139</v>
      </c>
      <c r="I92" s="99">
        <f t="shared" si="56"/>
        <v>1002.3308361092717</v>
      </c>
      <c r="J92" s="100"/>
      <c r="K92" s="101"/>
      <c r="L92" s="99">
        <f t="shared" ref="L92:AA92" si="57">SUM(L90:L91)</f>
        <v>1190</v>
      </c>
      <c r="M92" s="111"/>
      <c r="N92" s="99">
        <f t="shared" si="57"/>
        <v>1131</v>
      </c>
      <c r="O92" s="100"/>
      <c r="P92" s="100">
        <f t="shared" si="57"/>
        <v>1137.998</v>
      </c>
      <c r="Q92" s="177"/>
      <c r="R92" s="100">
        <f t="shared" ref="R92" si="58">SUM(R90:R91)</f>
        <v>1221</v>
      </c>
      <c r="S92" s="177"/>
      <c r="T92" s="100">
        <f t="shared" si="57"/>
        <v>1432</v>
      </c>
      <c r="U92" s="177"/>
      <c r="V92" s="317">
        <f t="shared" si="57"/>
        <v>1432</v>
      </c>
      <c r="W92" s="177"/>
      <c r="X92" s="317">
        <f t="shared" si="57"/>
        <v>1432</v>
      </c>
      <c r="Y92" s="177"/>
      <c r="Z92" s="317">
        <f t="shared" si="57"/>
        <v>1432</v>
      </c>
      <c r="AA92" s="317">
        <f t="shared" si="57"/>
        <v>1432</v>
      </c>
      <c r="AB92" s="317">
        <f>SUM(AB90:AB91)</f>
        <v>1432</v>
      </c>
    </row>
    <row r="93" spans="1:28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305">
        <v>0.01</v>
      </c>
      <c r="V93" s="318">
        <f>SUM(T93*(1+U93))</f>
        <v>9.29019441340782E-3</v>
      </c>
      <c r="W93" s="305">
        <f>$W$30</f>
        <v>1.4999999999999999E-2</v>
      </c>
      <c r="X93" s="318">
        <f>SUM(V93*(1+W93))</f>
        <v>9.4295473296089356E-3</v>
      </c>
      <c r="Y93" s="305">
        <f>$Y$30</f>
        <v>0.02</v>
      </c>
      <c r="Z93" s="318">
        <f>SUM(X93*(1+Y93))</f>
        <v>9.6181382762011141E-3</v>
      </c>
      <c r="AA93" s="318">
        <f>SUM(Z93*(1+Y93))</f>
        <v>9.8105010417251365E-3</v>
      </c>
      <c r="AB93" s="318">
        <f>SUM(AA93*(1+Y93))</f>
        <v>1.0006711062559639E-2</v>
      </c>
    </row>
    <row r="94" spans="1:28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319"/>
      <c r="W94" s="73"/>
      <c r="X94" s="319"/>
      <c r="Y94" s="73"/>
      <c r="Z94" s="319"/>
      <c r="AA94" s="319"/>
      <c r="AB94" s="319"/>
    </row>
    <row r="95" spans="1:28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9">SUM(G92*G93)</f>
        <v>8.2702146414089999</v>
      </c>
      <c r="I95" s="178">
        <f t="shared" si="59"/>
        <v>9.3172825078781703</v>
      </c>
      <c r="J95" s="179"/>
      <c r="K95" s="180"/>
      <c r="L95" s="178">
        <f t="shared" ref="L95:AA95" si="60">SUM(L92*L93)</f>
        <v>11.382350000000001</v>
      </c>
      <c r="M95" s="181"/>
      <c r="N95" s="182">
        <f t="shared" si="60"/>
        <v>10.468988399999999</v>
      </c>
      <c r="O95" s="183"/>
      <c r="P95" s="183">
        <f t="shared" si="60"/>
        <v>10.51116</v>
      </c>
      <c r="Q95" s="55"/>
      <c r="R95" s="183">
        <f t="shared" ref="R95" si="61">SUM(R92*R93)</f>
        <v>11.256590000000001</v>
      </c>
      <c r="S95" s="55"/>
      <c r="T95" s="183">
        <f>SUM(T92*T93)</f>
        <v>13.17184</v>
      </c>
      <c r="U95" s="55"/>
      <c r="V95" s="328">
        <f t="shared" si="60"/>
        <v>13.303558399999998</v>
      </c>
      <c r="W95" s="55"/>
      <c r="X95" s="328">
        <f t="shared" si="60"/>
        <v>13.503111775999995</v>
      </c>
      <c r="Y95" s="55"/>
      <c r="Z95" s="328">
        <f t="shared" si="60"/>
        <v>13.773174011519995</v>
      </c>
      <c r="AA95" s="328">
        <f t="shared" si="60"/>
        <v>14.048637491750396</v>
      </c>
      <c r="AB95" s="328">
        <f>SUM(AB92*AB93)</f>
        <v>14.329610241585403</v>
      </c>
    </row>
    <row r="96" spans="1:28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</row>
    <row r="97" spans="1:28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301" t="s">
        <v>74</v>
      </c>
      <c r="W97" s="174"/>
      <c r="X97" s="301" t="s">
        <v>136</v>
      </c>
      <c r="Y97" s="174"/>
      <c r="Z97" s="301" t="s">
        <v>137</v>
      </c>
      <c r="AA97" s="301" t="s">
        <v>138</v>
      </c>
      <c r="AB97" s="301" t="str">
        <f>$AB$10</f>
        <v>2023 Estimate</v>
      </c>
    </row>
    <row r="98" spans="1:28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308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</row>
    <row r="99" spans="1:28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308"/>
      <c r="W99" s="47"/>
      <c r="X99" s="308"/>
      <c r="Y99" s="47"/>
      <c r="Z99" s="308"/>
      <c r="AA99" s="308"/>
      <c r="AB99" s="308"/>
    </row>
    <row r="100" spans="1:28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308"/>
      <c r="W100" s="47"/>
      <c r="X100" s="308"/>
      <c r="Y100" s="47"/>
      <c r="Z100" s="308"/>
      <c r="AA100" s="308"/>
      <c r="AB100" s="308"/>
    </row>
    <row r="101" spans="1:28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329">
        <f>SUM(T101:T103)</f>
        <v>202468</v>
      </c>
      <c r="W101" s="175"/>
      <c r="X101" s="329">
        <f>SUM(V101:V103)</f>
        <v>202468</v>
      </c>
      <c r="Y101" s="175"/>
      <c r="Z101" s="329">
        <f>SUM(X101:X103)</f>
        <v>202468</v>
      </c>
      <c r="AA101" s="329">
        <f t="shared" ref="AA101" si="62">SUM(Z101:Z103)</f>
        <v>202468</v>
      </c>
      <c r="AB101" s="329">
        <f>SUM(AA101:AA103)</f>
        <v>202468</v>
      </c>
    </row>
    <row r="102" spans="1:28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313">
        <v>0</v>
      </c>
      <c r="W102" s="73"/>
      <c r="X102" s="313">
        <v>0</v>
      </c>
      <c r="Y102" s="73"/>
      <c r="Z102" s="313">
        <v>0</v>
      </c>
      <c r="AA102" s="313">
        <v>0</v>
      </c>
      <c r="AB102" s="313">
        <v>0</v>
      </c>
    </row>
    <row r="103" spans="1:28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313">
        <v>0</v>
      </c>
      <c r="W103" s="73"/>
      <c r="X103" s="313">
        <v>0</v>
      </c>
      <c r="Y103" s="73"/>
      <c r="Z103" s="313">
        <v>0</v>
      </c>
      <c r="AA103" s="313">
        <v>0</v>
      </c>
      <c r="AB103" s="313">
        <v>0</v>
      </c>
    </row>
    <row r="104" spans="1:28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330">
        <v>0</v>
      </c>
      <c r="W104" s="73"/>
      <c r="X104" s="330">
        <v>0</v>
      </c>
      <c r="Y104" s="73"/>
      <c r="Z104" s="330">
        <v>0</v>
      </c>
      <c r="AA104" s="330">
        <v>0</v>
      </c>
      <c r="AB104" s="330">
        <v>0</v>
      </c>
    </row>
    <row r="105" spans="1:28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331" t="s">
        <v>81</v>
      </c>
      <c r="W105" s="174"/>
      <c r="X105" s="331" t="s">
        <v>81</v>
      </c>
      <c r="Y105" s="174"/>
      <c r="Z105" s="331" t="s">
        <v>81</v>
      </c>
      <c r="AA105" s="331" t="s">
        <v>81</v>
      </c>
      <c r="AB105" s="331" t="s">
        <v>81</v>
      </c>
    </row>
    <row r="106" spans="1:28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332">
        <v>0</v>
      </c>
      <c r="W106" s="152"/>
      <c r="X106" s="332">
        <v>0</v>
      </c>
      <c r="Y106" s="152"/>
      <c r="Z106" s="332">
        <v>0</v>
      </c>
      <c r="AA106" s="332">
        <v>0</v>
      </c>
      <c r="AB106" s="332">
        <v>0</v>
      </c>
    </row>
    <row r="107" spans="1:28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333"/>
      <c r="W107" s="152"/>
      <c r="X107" s="333"/>
      <c r="Y107" s="152"/>
      <c r="Z107" s="333"/>
      <c r="AA107" s="333"/>
      <c r="AB107" s="333"/>
    </row>
    <row r="108" spans="1:28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305">
        <v>0.01</v>
      </c>
      <c r="V108" s="318">
        <f>SUM(T108*(1+U108))</f>
        <v>1.7356169227235908E-2</v>
      </c>
      <c r="W108" s="305">
        <f>$W$30</f>
        <v>1.4999999999999999E-2</v>
      </c>
      <c r="X108" s="318">
        <f>SUM(V108*(1+W108))</f>
        <v>1.7616511765644445E-2</v>
      </c>
      <c r="Y108" s="305">
        <f>$Y$30</f>
        <v>0.02</v>
      </c>
      <c r="Z108" s="318">
        <f>SUM(X108*(1+Y108))</f>
        <v>1.7968842000957334E-2</v>
      </c>
      <c r="AA108" s="318">
        <f>SUM(Z108*(1+Y108))</f>
        <v>1.832821884097648E-2</v>
      </c>
      <c r="AB108" s="318">
        <f>SUM(AA108*(1+Y108))</f>
        <v>1.869478321779601E-2</v>
      </c>
    </row>
    <row r="109" spans="1:28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334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</row>
    <row r="110" spans="1:28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335"/>
      <c r="W110" s="55"/>
      <c r="X110" s="335"/>
      <c r="Y110" s="55"/>
      <c r="Z110" s="335"/>
      <c r="AA110" s="335"/>
      <c r="AB110" s="335"/>
    </row>
    <row r="111" spans="1:28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63">SUM(G101:G105)*G108*G109</f>
        <v>1918.901132</v>
      </c>
      <c r="I111" s="178">
        <f t="shared" si="63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64">SUM(N101:N105)*N108*N109</f>
        <v>2707.3523175999999</v>
      </c>
      <c r="O111" s="183"/>
      <c r="P111" s="179">
        <f t="shared" ref="P111" si="65">SUM(P101:P105)*P108*P109</f>
        <v>2514.9974500000003</v>
      </c>
      <c r="Q111" s="55"/>
      <c r="R111" s="179">
        <f t="shared" ref="R111" si="66">SUM(R101:R105)*R108*R109</f>
        <v>2956.1579400000001</v>
      </c>
      <c r="S111" s="55"/>
      <c r="T111" s="179">
        <f>SUM(T101:T105)*T108*T109</f>
        <v>3479.2761100000002</v>
      </c>
      <c r="U111" s="55"/>
      <c r="V111" s="336">
        <f t="shared" ref="V111:Z111" si="67">SUM(V101:V105)*V108*V109</f>
        <v>3514.0688710999998</v>
      </c>
      <c r="W111" s="55"/>
      <c r="X111" s="336">
        <f t="shared" si="67"/>
        <v>3566.7799041664994</v>
      </c>
      <c r="Y111" s="55"/>
      <c r="Z111" s="336">
        <f t="shared" si="67"/>
        <v>3638.1155022498292</v>
      </c>
      <c r="AA111" s="336">
        <f>SUM(AA101:AA105)*AA108*AA109</f>
        <v>3710.8778122948261</v>
      </c>
      <c r="AB111" s="336">
        <f>SUM(AB101:AB105)*AB108*AB109</f>
        <v>3785.0953685407226</v>
      </c>
    </row>
    <row r="112" spans="1:28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</row>
    <row r="113" spans="1:28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144"/>
      <c r="Y113" s="145"/>
      <c r="Z113" s="144"/>
      <c r="AA113" s="144"/>
      <c r="AB113" s="144"/>
    </row>
    <row r="114" spans="1:28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301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</row>
    <row r="115" spans="1:28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321"/>
      <c r="W115" s="64"/>
      <c r="X115" s="321"/>
      <c r="Y115" s="64"/>
      <c r="Z115" s="321"/>
      <c r="AA115" s="321"/>
      <c r="AB115" s="321"/>
    </row>
    <row r="116" spans="1:28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321"/>
      <c r="W116" s="175"/>
      <c r="X116" s="321"/>
      <c r="Y116" s="175"/>
      <c r="Z116" s="321"/>
      <c r="AA116" s="321"/>
      <c r="AB116" s="321"/>
    </row>
    <row r="117" spans="1:28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313">
        <f>SUM(T117:T119)</f>
        <v>670000</v>
      </c>
      <c r="W117" s="73"/>
      <c r="X117" s="313">
        <f>SUM(V117:V119)</f>
        <v>708440</v>
      </c>
      <c r="Y117" s="73"/>
      <c r="Z117" s="313">
        <f>SUM(X117:X119)</f>
        <v>756054</v>
      </c>
      <c r="AA117" s="313">
        <f>SUM(Z117:Z119)</f>
        <v>794805</v>
      </c>
      <c r="AB117" s="313">
        <f>SUM(AA117:AA119)</f>
        <v>833898</v>
      </c>
    </row>
    <row r="118" spans="1:28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154">
        <v>69017</v>
      </c>
      <c r="W118" s="73"/>
      <c r="X118" s="154">
        <v>78191</v>
      </c>
      <c r="Y118" s="73"/>
      <c r="Z118" s="154">
        <v>69328</v>
      </c>
      <c r="AA118" s="154">
        <v>69670</v>
      </c>
      <c r="AB118" s="154">
        <f>AA118</f>
        <v>69670</v>
      </c>
    </row>
    <row r="119" spans="1:28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154">
        <v>-30577</v>
      </c>
      <c r="W119" s="73"/>
      <c r="X119" s="154">
        <f>V119</f>
        <v>-30577</v>
      </c>
      <c r="Y119" s="73"/>
      <c r="Z119" s="154">
        <f>X119</f>
        <v>-30577</v>
      </c>
      <c r="AA119" s="154">
        <f>Z119</f>
        <v>-30577</v>
      </c>
      <c r="AB119" s="154">
        <f>AA119</f>
        <v>-30577</v>
      </c>
    </row>
    <row r="120" spans="1:28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314">
        <f>SUM(T120)</f>
        <v>0.93017775946727188</v>
      </c>
      <c r="W120" s="73"/>
      <c r="X120" s="314">
        <f>SUM(V120)</f>
        <v>0.93017775946727188</v>
      </c>
      <c r="Y120" s="73"/>
      <c r="Z120" s="314">
        <f t="shared" ref="Z120:Z121" si="68">SUM(X120)</f>
        <v>0.93017775946727188</v>
      </c>
      <c r="AA120" s="314">
        <f>SUM(Z120)</f>
        <v>0.93017775946727188</v>
      </c>
      <c r="AB120" s="314">
        <f>SUM(AA120)</f>
        <v>0.93017775946727188</v>
      </c>
    </row>
    <row r="121" spans="1:28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315">
        <f>SUM(T121)</f>
        <v>0.49215146417910449</v>
      </c>
      <c r="W121" s="84"/>
      <c r="X121" s="315">
        <f>SUM(V121)</f>
        <v>0.49215146417910449</v>
      </c>
      <c r="Y121" s="84"/>
      <c r="Z121" s="315">
        <f t="shared" si="68"/>
        <v>0.49215146417910449</v>
      </c>
      <c r="AA121" s="315">
        <f>SUM(Z121)</f>
        <v>0.49215146417910449</v>
      </c>
      <c r="AB121" s="315">
        <f>SUM(AA121)</f>
        <v>0.49215146417910449</v>
      </c>
    </row>
    <row r="122" spans="1:28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9">SUM(G117+G118+G119)*G120*G121</f>
        <v>188890.26799999998</v>
      </c>
      <c r="I122" s="69">
        <f t="shared" si="69"/>
        <v>199575.79679677499</v>
      </c>
      <c r="J122" s="70"/>
      <c r="K122" s="71"/>
      <c r="L122" s="69">
        <f t="shared" ref="L122:N122" si="70">SUM(L117+L118+L119)*L120*L121</f>
        <v>234774.02500000002</v>
      </c>
      <c r="M122" s="72"/>
      <c r="N122" s="69">
        <f t="shared" si="70"/>
        <v>230552.66500000001</v>
      </c>
      <c r="O122" s="70"/>
      <c r="P122" s="70">
        <f t="shared" ref="P122:Z122" si="71">SUM(P117+P118+P119)*P120*P121</f>
        <v>229911.818</v>
      </c>
      <c r="Q122" s="73"/>
      <c r="R122" s="70">
        <f t="shared" ref="R122" si="72">SUM(R117+R118+R119)*R120*R121</f>
        <v>246152.10861059991</v>
      </c>
      <c r="S122" s="73"/>
      <c r="T122" s="70">
        <f>SUM(T117+T118+T119)*T120*T121</f>
        <v>306718.19200000004</v>
      </c>
      <c r="U122" s="73"/>
      <c r="V122" s="313">
        <f>SUM(V117+V118+V119)*V120*V121</f>
        <v>324315.57603056717</v>
      </c>
      <c r="W122" s="73"/>
      <c r="X122" s="313">
        <f>SUM(X117+X118+X119)*X120*X121</f>
        <v>346112.71034980298</v>
      </c>
      <c r="Y122" s="73"/>
      <c r="Z122" s="313">
        <f t="shared" si="71"/>
        <v>363852.46655605972</v>
      </c>
      <c r="AA122" s="313">
        <f>SUM(AA117+AA118+AA119)*AA120*AA121</f>
        <v>381748.78637674032</v>
      </c>
      <c r="AB122" s="313">
        <f>SUM(AB117+AB118+AB119)*AB120*AB121</f>
        <v>399645.10619742092</v>
      </c>
    </row>
    <row r="123" spans="1:28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313"/>
      <c r="W123" s="73"/>
      <c r="X123" s="313"/>
      <c r="Y123" s="73"/>
      <c r="Z123" s="313"/>
      <c r="AA123" s="313"/>
      <c r="AB123" s="313"/>
    </row>
    <row r="124" spans="1:28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73">SUM(G122)</f>
        <v>188890.26799999998</v>
      </c>
      <c r="I124" s="69">
        <f t="shared" si="73"/>
        <v>199575.79679677499</v>
      </c>
      <c r="J124" s="70"/>
      <c r="K124" s="71"/>
      <c r="L124" s="69">
        <f t="shared" ref="L124:AA124" si="74">SUM(L122)</f>
        <v>234774.02500000002</v>
      </c>
      <c r="M124" s="72"/>
      <c r="N124" s="69">
        <f t="shared" si="74"/>
        <v>230552.66500000001</v>
      </c>
      <c r="O124" s="70"/>
      <c r="P124" s="70">
        <f t="shared" si="74"/>
        <v>229911.818</v>
      </c>
      <c r="Q124" s="73"/>
      <c r="R124" s="70">
        <f t="shared" ref="R124" si="75">SUM(R122)</f>
        <v>246152.10861059991</v>
      </c>
      <c r="S124" s="73"/>
      <c r="T124" s="70">
        <f t="shared" si="74"/>
        <v>306718.19200000004</v>
      </c>
      <c r="U124" s="73"/>
      <c r="V124" s="313">
        <f t="shared" si="74"/>
        <v>324315.57603056717</v>
      </c>
      <c r="W124" s="73"/>
      <c r="X124" s="313">
        <f t="shared" si="74"/>
        <v>346112.71034980298</v>
      </c>
      <c r="Y124" s="73"/>
      <c r="Z124" s="313">
        <f t="shared" si="74"/>
        <v>363852.46655605972</v>
      </c>
      <c r="AA124" s="313">
        <f t="shared" si="74"/>
        <v>381748.78637674032</v>
      </c>
      <c r="AB124" s="313">
        <f>SUM(AB122)</f>
        <v>399645.10619742092</v>
      </c>
    </row>
    <row r="125" spans="1:28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70">
        <v>293289.11</v>
      </c>
      <c r="U125" s="73"/>
      <c r="V125" s="313"/>
      <c r="W125" s="73"/>
      <c r="X125" s="313"/>
      <c r="Y125" s="73"/>
      <c r="Z125" s="313"/>
      <c r="AA125" s="313"/>
      <c r="AB125" s="313"/>
    </row>
    <row r="126" spans="1:28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337">
        <f>SUM(T126)</f>
        <v>0.95621687154441737</v>
      </c>
      <c r="W126" s="230"/>
      <c r="X126" s="337">
        <f>SUM(V126)</f>
        <v>0.95621687154441737</v>
      </c>
      <c r="Y126" s="230"/>
      <c r="Z126" s="337">
        <f>SUM(X126)</f>
        <v>0.95621687154441737</v>
      </c>
      <c r="AA126" s="337">
        <f t="shared" ref="AA126" si="76">SUM(Z126)</f>
        <v>0.95621687154441737</v>
      </c>
      <c r="AB126" s="337">
        <f>SUM(AA126)</f>
        <v>0.95621687154441737</v>
      </c>
    </row>
    <row r="127" spans="1:28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7">SUM(G124*G126)</f>
        <v>173804.16659564062</v>
      </c>
      <c r="I127" s="69">
        <f t="shared" si="77"/>
        <v>189501.07105461584</v>
      </c>
      <c r="J127" s="70"/>
      <c r="K127" s="71"/>
      <c r="L127" s="69">
        <f t="shared" ref="L127:AA127" si="78">SUM(L124*L126)</f>
        <v>223370.065</v>
      </c>
      <c r="M127" s="72"/>
      <c r="N127" s="69">
        <f t="shared" si="78"/>
        <v>216345.522</v>
      </c>
      <c r="O127" s="231"/>
      <c r="P127" s="70">
        <f t="shared" si="78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313">
        <f>SUM(V124*V126)</f>
        <v>310116.02550507459</v>
      </c>
      <c r="W127" s="232"/>
      <c r="X127" s="313">
        <f>SUM(X124*X126)</f>
        <v>330958.8130924477</v>
      </c>
      <c r="Y127" s="232"/>
      <c r="Z127" s="313">
        <f t="shared" si="78"/>
        <v>347921.8672739552</v>
      </c>
      <c r="AA127" s="313">
        <f t="shared" si="78"/>
        <v>365034.63022504473</v>
      </c>
      <c r="AB127" s="313">
        <f>SUM(AB124*AB126)</f>
        <v>382147.39317613427</v>
      </c>
    </row>
    <row r="128" spans="1:28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305">
        <v>0.09</v>
      </c>
      <c r="V128" s="318">
        <f>SUM(T128*(1+U128))</f>
        <v>1.2480966641754958E-2</v>
      </c>
      <c r="W128" s="305">
        <f>$W$30</f>
        <v>1.4999999999999999E-2</v>
      </c>
      <c r="X128" s="318">
        <f>SUM(V128*(1+W128))</f>
        <v>1.2668181141381281E-2</v>
      </c>
      <c r="Y128" s="305">
        <f>$Y$30</f>
        <v>0.02</v>
      </c>
      <c r="Z128" s="318">
        <f>SUM(X128*(1+Y128))</f>
        <v>1.2921544764208906E-2</v>
      </c>
      <c r="AA128" s="318">
        <f>SUM(Z128*(1+Y128))</f>
        <v>1.3179975659493085E-2</v>
      </c>
      <c r="AB128" s="318">
        <f>SUM(AA128*(1+Y128))</f>
        <v>1.3443575172682947E-2</v>
      </c>
    </row>
    <row r="129" spans="1:28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319"/>
      <c r="W129" s="71"/>
      <c r="X129" s="319"/>
      <c r="Y129" s="71"/>
      <c r="Z129" s="319"/>
      <c r="AA129" s="319"/>
      <c r="AB129" s="319"/>
    </row>
    <row r="130" spans="1:28" ht="15" thickBot="1" x14ac:dyDescent="0.35">
      <c r="C130" s="112">
        <v>1843</v>
      </c>
      <c r="E130" s="112">
        <f>SUM(E127*E128)</f>
        <v>1939.7429074619999</v>
      </c>
      <c r="G130" s="112">
        <f t="shared" ref="G130" si="79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80">SUM(R127*R128)</f>
        <v>3018.7944147768244</v>
      </c>
      <c r="S130" s="114"/>
      <c r="T130" s="141">
        <f>SUM(T127*T128)</f>
        <v>3358.2858700000002</v>
      </c>
      <c r="U130" s="114"/>
      <c r="V130" s="320">
        <f t="shared" ref="V130" si="81">SUM(V127*V128)</f>
        <v>3870.5477694024657</v>
      </c>
      <c r="W130" s="114"/>
      <c r="X130" s="320">
        <f>SUM(X127*X128)</f>
        <v>4192.6461945916781</v>
      </c>
      <c r="Y130" s="114"/>
      <c r="Z130" s="320">
        <f>SUM(Z127*Z128)</f>
        <v>4495.687982427562</v>
      </c>
      <c r="AA130" s="320">
        <f>SUM(AA127*AA128)</f>
        <v>4811.1475412381487</v>
      </c>
      <c r="AB130" s="320">
        <f>SUM(AB127*AB128)</f>
        <v>5137.4272072081876</v>
      </c>
    </row>
    <row r="131" spans="1:28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238"/>
      <c r="W131" s="239"/>
      <c r="X131" s="238"/>
      <c r="Y131" s="239"/>
      <c r="Z131" s="238"/>
      <c r="AA131" s="238"/>
      <c r="AB131" s="238"/>
    </row>
    <row r="132" spans="1:28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301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</row>
    <row r="133" spans="1:28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321"/>
      <c r="W133" s="64"/>
      <c r="X133" s="321"/>
      <c r="Y133" s="64"/>
      <c r="Z133" s="321"/>
      <c r="AA133" s="321"/>
      <c r="AB133" s="321"/>
    </row>
    <row r="134" spans="1:28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321"/>
      <c r="W134" s="64"/>
      <c r="X134" s="321"/>
      <c r="Y134" s="64"/>
      <c r="Z134" s="321"/>
      <c r="AA134" s="321"/>
      <c r="AB134" s="321"/>
    </row>
    <row r="135" spans="1:28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313">
        <f>SUM(T135:T137)</f>
        <v>725360.09499999997</v>
      </c>
      <c r="W135" s="73"/>
      <c r="X135" s="313">
        <f>SUM(V135:V137)</f>
        <v>763800.09499999997</v>
      </c>
      <c r="Y135" s="73"/>
      <c r="Z135" s="313">
        <f>SUM(X135:X137)</f>
        <v>811414.09499999997</v>
      </c>
      <c r="AA135" s="313">
        <f>SUM(Z135:Z137)</f>
        <v>850165.09499999997</v>
      </c>
      <c r="AB135" s="313">
        <f>SUM(AA135:AA137)</f>
        <v>889258.09499999997</v>
      </c>
    </row>
    <row r="136" spans="1:28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313">
        <f t="shared" ref="V136:AA137" si="82">SUM(V118)</f>
        <v>69017</v>
      </c>
      <c r="W136" s="73"/>
      <c r="X136" s="313">
        <f t="shared" si="82"/>
        <v>78191</v>
      </c>
      <c r="Y136" s="73"/>
      <c r="Z136" s="313">
        <f t="shared" si="82"/>
        <v>69328</v>
      </c>
      <c r="AA136" s="313">
        <f t="shared" si="82"/>
        <v>69670</v>
      </c>
      <c r="AB136" s="313">
        <f>SUM(AB118)</f>
        <v>69670</v>
      </c>
    </row>
    <row r="137" spans="1:28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313">
        <f t="shared" si="82"/>
        <v>-30577</v>
      </c>
      <c r="W137" s="73"/>
      <c r="X137" s="313">
        <f t="shared" si="82"/>
        <v>-30577</v>
      </c>
      <c r="Y137" s="73"/>
      <c r="Z137" s="313">
        <f t="shared" si="82"/>
        <v>-30577</v>
      </c>
      <c r="AA137" s="313">
        <f t="shared" si="82"/>
        <v>-30577</v>
      </c>
      <c r="AB137" s="313">
        <f>SUM(AB119)</f>
        <v>-30577</v>
      </c>
    </row>
    <row r="138" spans="1:28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314">
        <v>1</v>
      </c>
      <c r="W138" s="73"/>
      <c r="X138" s="314">
        <v>1</v>
      </c>
      <c r="Y138" s="73"/>
      <c r="Z138" s="314">
        <v>1</v>
      </c>
      <c r="AA138" s="314">
        <v>1</v>
      </c>
      <c r="AB138" s="314">
        <v>1</v>
      </c>
    </row>
    <row r="139" spans="1:28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315">
        <f>SUM(T139)</f>
        <v>0.18559806353835884</v>
      </c>
      <c r="W139" s="84"/>
      <c r="X139" s="315">
        <f>SUM(V139)</f>
        <v>0.18559806353835884</v>
      </c>
      <c r="Y139" s="84"/>
      <c r="Z139" s="315">
        <f>SUM(X139)</f>
        <v>0.18559806353835884</v>
      </c>
      <c r="AA139" s="315">
        <f t="shared" ref="AA139:AB139" si="83">SUM(Z139)</f>
        <v>0.18559806353835884</v>
      </c>
      <c r="AB139" s="315">
        <f t="shared" si="83"/>
        <v>0.18559806353835884</v>
      </c>
    </row>
    <row r="140" spans="1:28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84">SUM((G135+G136+G137)*G138*G139)</f>
        <v>79213.073000000004</v>
      </c>
      <c r="I140" s="99">
        <f t="shared" si="84"/>
        <v>85831.54</v>
      </c>
      <c r="J140" s="100"/>
      <c r="K140" s="101"/>
      <c r="L140" s="99">
        <f t="shared" ref="L140:Z140" si="85">SUM((L135+L136+L137)*L138*L139)</f>
        <v>92701.07758538505</v>
      </c>
      <c r="M140" s="102"/>
      <c r="N140" s="99">
        <f t="shared" si="85"/>
        <v>96666.592999999993</v>
      </c>
      <c r="O140" s="100"/>
      <c r="P140" s="100">
        <f t="shared" si="85"/>
        <v>103095.598</v>
      </c>
      <c r="Q140" s="177"/>
      <c r="R140" s="100">
        <f t="shared" ref="R140" si="86">SUM((R135+R136+R137)*R138*R139)</f>
        <v>115955.848</v>
      </c>
      <c r="S140" s="177"/>
      <c r="T140" s="100">
        <f t="shared" si="85"/>
        <v>134625.429</v>
      </c>
      <c r="U140" s="177"/>
      <c r="V140" s="317">
        <f t="shared" si="85"/>
        <v>141759.8185624145</v>
      </c>
      <c r="W140" s="177"/>
      <c r="X140" s="317">
        <f t="shared" si="85"/>
        <v>150596.88475972993</v>
      </c>
      <c r="Y140" s="177"/>
      <c r="Z140" s="317">
        <f t="shared" si="85"/>
        <v>157788.99531990488</v>
      </c>
      <c r="AA140" s="317">
        <f>SUM((AA135+AA136+AA137)*AA138*AA139)</f>
        <v>165044.58041780992</v>
      </c>
      <c r="AB140" s="317">
        <f>SUM((AB135+AB136+AB137)*AB138*AB139)</f>
        <v>172300.16551571499</v>
      </c>
    </row>
    <row r="141" spans="1:28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323"/>
      <c r="W141" s="84"/>
      <c r="X141" s="323"/>
      <c r="Y141" s="84"/>
      <c r="Z141" s="323"/>
      <c r="AA141" s="323"/>
      <c r="AB141" s="323"/>
    </row>
    <row r="142" spans="1:28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7">SUM(G140)</f>
        <v>79213.073000000004</v>
      </c>
      <c r="I142" s="69">
        <f t="shared" si="87"/>
        <v>85831.54</v>
      </c>
      <c r="J142" s="70"/>
      <c r="K142" s="71"/>
      <c r="L142" s="69">
        <f t="shared" ref="L142:AA142" si="88">SUM(L140)</f>
        <v>92701.07758538505</v>
      </c>
      <c r="M142" s="72"/>
      <c r="N142" s="69">
        <f t="shared" si="88"/>
        <v>96666.592999999993</v>
      </c>
      <c r="O142" s="70"/>
      <c r="P142" s="70">
        <f t="shared" si="88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313">
        <f t="shared" si="88"/>
        <v>141759.8185624145</v>
      </c>
      <c r="W142" s="73"/>
      <c r="X142" s="313">
        <f t="shared" si="88"/>
        <v>150596.88475972993</v>
      </c>
      <c r="Y142" s="73"/>
      <c r="Z142" s="313">
        <f t="shared" si="88"/>
        <v>157788.99531990488</v>
      </c>
      <c r="AA142" s="313">
        <f t="shared" si="88"/>
        <v>165044.58041780992</v>
      </c>
      <c r="AB142" s="313">
        <f>SUM(AB140)</f>
        <v>172300.16551571499</v>
      </c>
    </row>
    <row r="143" spans="1:28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324">
        <v>1</v>
      </c>
      <c r="W143" s="84"/>
      <c r="X143" s="324">
        <v>1</v>
      </c>
      <c r="Y143" s="84"/>
      <c r="Z143" s="324">
        <v>1</v>
      </c>
      <c r="AA143" s="324">
        <v>1</v>
      </c>
      <c r="AB143" s="324">
        <v>1</v>
      </c>
    </row>
    <row r="144" spans="1:28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9">SUM(G142*G143)</f>
        <v>77458.071382651833</v>
      </c>
      <c r="I144" s="69">
        <f t="shared" si="89"/>
        <v>85831.54</v>
      </c>
      <c r="J144" s="70"/>
      <c r="K144" s="71"/>
      <c r="L144" s="69">
        <f t="shared" ref="L144:AA144" si="90">SUM(L142*L143)</f>
        <v>92701.07758538505</v>
      </c>
      <c r="M144" s="72"/>
      <c r="N144" s="69">
        <f t="shared" si="90"/>
        <v>96666.592999999993</v>
      </c>
      <c r="O144" s="70"/>
      <c r="P144" s="70">
        <f t="shared" si="90"/>
        <v>103095.598</v>
      </c>
      <c r="Q144" s="73"/>
      <c r="R144" s="70">
        <f t="shared" ref="R144" si="91">SUM(R142*R143)</f>
        <v>115955.848</v>
      </c>
      <c r="S144" s="73"/>
      <c r="T144" s="70">
        <f t="shared" si="90"/>
        <v>134525.429</v>
      </c>
      <c r="U144" s="73"/>
      <c r="V144" s="313">
        <f t="shared" si="90"/>
        <v>141759.8185624145</v>
      </c>
      <c r="W144" s="73"/>
      <c r="X144" s="313">
        <f t="shared" si="90"/>
        <v>150596.88475972993</v>
      </c>
      <c r="Y144" s="73"/>
      <c r="Z144" s="313">
        <f t="shared" si="90"/>
        <v>157788.99531990488</v>
      </c>
      <c r="AA144" s="313">
        <f t="shared" si="90"/>
        <v>165044.58041780992</v>
      </c>
      <c r="AB144" s="313">
        <f>SUM(AB142*AB143)</f>
        <v>172300.16551571499</v>
      </c>
    </row>
    <row r="145" spans="1:28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305">
        <v>0.01</v>
      </c>
      <c r="V145" s="318">
        <f>SUM(T145*(1+U145))</f>
        <v>1.3256725806836119E-2</v>
      </c>
      <c r="W145" s="305">
        <f>$W$30</f>
        <v>1.4999999999999999E-2</v>
      </c>
      <c r="X145" s="318">
        <f>SUM(V145*(1+W145))</f>
        <v>1.345557669393866E-2</v>
      </c>
      <c r="Y145" s="305">
        <f>$Y$30</f>
        <v>0.02</v>
      </c>
      <c r="Z145" s="318">
        <f>SUM(X145*(1+Y145))</f>
        <v>1.3724688227817434E-2</v>
      </c>
      <c r="AA145" s="318">
        <f>SUM(Z145*(1+Y145))</f>
        <v>1.3999181992373783E-2</v>
      </c>
      <c r="AB145" s="318">
        <f>SUM(AA145*(1+Y145))</f>
        <v>1.427916563222126E-2</v>
      </c>
    </row>
    <row r="146" spans="1:28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317"/>
      <c r="W146" s="101"/>
      <c r="X146" s="317"/>
      <c r="Y146" s="101"/>
      <c r="Z146" s="317"/>
      <c r="AA146" s="317"/>
      <c r="AB146" s="317"/>
    </row>
    <row r="147" spans="1:28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92">SUM(G144*G145)</f>
        <v>1112.580366038414</v>
      </c>
      <c r="I147" s="178">
        <f t="shared" si="92"/>
        <v>1255.1733400000001</v>
      </c>
      <c r="J147" s="179"/>
      <c r="K147" s="180"/>
      <c r="L147" s="178">
        <f t="shared" ref="L147:P147" si="93">SUM(L144*L145)</f>
        <v>1336.7211187574665</v>
      </c>
      <c r="M147" s="181"/>
      <c r="N147" s="178">
        <f t="shared" si="93"/>
        <v>1396.8021189769413</v>
      </c>
      <c r="O147" s="181"/>
      <c r="P147" s="179">
        <f t="shared" si="93"/>
        <v>1470.0476900000001</v>
      </c>
      <c r="Q147" s="180"/>
      <c r="R147" s="179">
        <f t="shared" ref="R147" si="94">SUM(R144*R145)</f>
        <v>1640.8960900000002</v>
      </c>
      <c r="S147" s="180"/>
      <c r="T147" s="179">
        <f>SUM(T144*T145)</f>
        <v>1765.7096300000001</v>
      </c>
      <c r="U147" s="180"/>
      <c r="V147" s="338">
        <f>SUM(V144*V145)</f>
        <v>1879.2710451087662</v>
      </c>
      <c r="W147" s="180"/>
      <c r="X147" s="338">
        <f>SUM(X144*X145)</f>
        <v>2026.3679327527882</v>
      </c>
      <c r="Y147" s="180"/>
      <c r="Z147" s="338">
        <f>SUM(Z144*Z145)</f>
        <v>2165.6047665462388</v>
      </c>
      <c r="AA147" s="338">
        <f>SUM(AA144*AA145)</f>
        <v>2310.4891181238913</v>
      </c>
      <c r="AB147" s="338">
        <f>SUM(AB144*AB145)</f>
        <v>2460.3026018580322</v>
      </c>
    </row>
    <row r="148" spans="1:28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</row>
    <row r="149" spans="1:28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301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tr">
        <f>$AB$10</f>
        <v>2023 Estimate</v>
      </c>
    </row>
    <row r="150" spans="1:28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321"/>
      <c r="W150" s="64"/>
      <c r="X150" s="321"/>
      <c r="Y150" s="64"/>
      <c r="Z150" s="321"/>
      <c r="AA150" s="321"/>
      <c r="AB150" s="321"/>
    </row>
    <row r="151" spans="1:28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321"/>
      <c r="W151" s="64"/>
      <c r="X151" s="321"/>
      <c r="Y151" s="64"/>
      <c r="Z151" s="321"/>
      <c r="AA151" s="321"/>
      <c r="AB151" s="321"/>
    </row>
    <row r="152" spans="1:28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313">
        <f>SUM(T152:T154)</f>
        <v>340600</v>
      </c>
      <c r="W152" s="73"/>
      <c r="X152" s="313">
        <f>SUM(V152:V154)</f>
        <v>362552</v>
      </c>
      <c r="Y152" s="73"/>
      <c r="Z152" s="313">
        <f>SUM(X152:X154)</f>
        <v>384675</v>
      </c>
      <c r="AA152" s="313">
        <f t="shared" ref="AA152" si="95">SUM(Z152:Z154)</f>
        <v>404929</v>
      </c>
      <c r="AB152" s="313">
        <f>SUM(AA152:AA154)</f>
        <v>425304</v>
      </c>
    </row>
    <row r="153" spans="1:28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154">
        <v>21952</v>
      </c>
      <c r="W153" s="73"/>
      <c r="X153" s="154">
        <v>22123</v>
      </c>
      <c r="Y153" s="73"/>
      <c r="Z153" s="154">
        <v>20254</v>
      </c>
      <c r="AA153" s="154">
        <v>20375</v>
      </c>
      <c r="AB153" s="154">
        <f>AA153</f>
        <v>20375</v>
      </c>
    </row>
    <row r="154" spans="1:28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154">
        <v>0</v>
      </c>
      <c r="W154" s="73"/>
      <c r="X154" s="154">
        <v>0</v>
      </c>
      <c r="Y154" s="73"/>
      <c r="Z154" s="154">
        <v>0</v>
      </c>
      <c r="AA154" s="154">
        <v>0</v>
      </c>
      <c r="AB154" s="154">
        <f>AA154</f>
        <v>0</v>
      </c>
    </row>
    <row r="155" spans="1:28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314">
        <v>1</v>
      </c>
      <c r="W155" s="73"/>
      <c r="X155" s="314">
        <v>1</v>
      </c>
      <c r="Y155" s="73"/>
      <c r="Z155" s="314">
        <v>1</v>
      </c>
      <c r="AA155" s="314">
        <v>1</v>
      </c>
      <c r="AB155" s="314">
        <v>1</v>
      </c>
    </row>
    <row r="156" spans="1:28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315">
        <v>1</v>
      </c>
      <c r="W156" s="84"/>
      <c r="X156" s="315">
        <v>1</v>
      </c>
      <c r="Y156" s="84"/>
      <c r="Z156" s="315">
        <v>1</v>
      </c>
      <c r="AA156" s="315">
        <v>1</v>
      </c>
      <c r="AB156" s="315">
        <v>1</v>
      </c>
    </row>
    <row r="157" spans="1:28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6">SUM((G152+G153+G154)*G155*G156)</f>
        <v>160600</v>
      </c>
      <c r="I157" s="99">
        <f t="shared" si="96"/>
        <v>168937</v>
      </c>
      <c r="J157" s="100"/>
      <c r="K157" s="101"/>
      <c r="L157" s="99">
        <f t="shared" ref="L157:AA157" si="97">SUM((L152+L153+L154)*L155*L156)</f>
        <v>184700</v>
      </c>
      <c r="M157" s="102"/>
      <c r="N157" s="99">
        <f t="shared" si="97"/>
        <v>209500</v>
      </c>
      <c r="O157" s="100"/>
      <c r="P157" s="100">
        <f t="shared" ref="P157" si="98">SUM((P152+P153+P154)*P155*P156)</f>
        <v>243796.47</v>
      </c>
      <c r="Q157" s="177"/>
      <c r="R157" s="100">
        <f t="shared" ref="R157" si="99">SUM((R152+R153+R154)*R155*R156)</f>
        <v>282611.34999999998</v>
      </c>
      <c r="S157" s="177"/>
      <c r="T157" s="100">
        <f t="shared" si="97"/>
        <v>340600</v>
      </c>
      <c r="U157" s="177"/>
      <c r="V157" s="317">
        <f>SUM((V152+V153+V154)*V155*V156)</f>
        <v>362552</v>
      </c>
      <c r="W157" s="177"/>
      <c r="X157" s="317">
        <f>SUM((X152+X153+X154)*X155*X156)</f>
        <v>384675</v>
      </c>
      <c r="Y157" s="177"/>
      <c r="Z157" s="317">
        <f t="shared" si="97"/>
        <v>404929</v>
      </c>
      <c r="AA157" s="317">
        <f t="shared" si="97"/>
        <v>425304</v>
      </c>
      <c r="AB157" s="317">
        <f>SUM((AB152+AB153+AB154)*AB155*AB156)</f>
        <v>445679</v>
      </c>
    </row>
    <row r="158" spans="1:28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313"/>
      <c r="W158" s="73"/>
      <c r="X158" s="313"/>
      <c r="Y158" s="73"/>
      <c r="Z158" s="313"/>
      <c r="AA158" s="313"/>
      <c r="AB158" s="313"/>
    </row>
    <row r="159" spans="1:28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339">
        <v>1</v>
      </c>
      <c r="W159" s="73"/>
      <c r="X159" s="339">
        <v>1</v>
      </c>
      <c r="Y159" s="73"/>
      <c r="Z159" s="339">
        <v>1</v>
      </c>
      <c r="AA159" s="339">
        <v>1</v>
      </c>
      <c r="AB159" s="339">
        <v>1</v>
      </c>
    </row>
    <row r="160" spans="1:28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100">SUM(G157*G159)</f>
        <v>160600</v>
      </c>
      <c r="I160" s="69">
        <f t="shared" si="100"/>
        <v>168937</v>
      </c>
      <c r="J160" s="70"/>
      <c r="K160" s="71"/>
      <c r="L160" s="69">
        <f t="shared" ref="L160:AA160" si="101">SUM(L157*L159)</f>
        <v>184700</v>
      </c>
      <c r="M160" s="72"/>
      <c r="N160" s="69">
        <f t="shared" si="101"/>
        <v>209500</v>
      </c>
      <c r="O160" s="70"/>
      <c r="P160" s="70">
        <f t="shared" ref="P160" si="102">SUM(P157*P159)</f>
        <v>243796.47</v>
      </c>
      <c r="Q160" s="73"/>
      <c r="R160" s="70">
        <f t="shared" ref="R160" si="103">SUM(R157*R159)</f>
        <v>282611.34999999998</v>
      </c>
      <c r="S160" s="73"/>
      <c r="T160" s="70">
        <f t="shared" si="101"/>
        <v>340600</v>
      </c>
      <c r="U160" s="73"/>
      <c r="V160" s="313">
        <f t="shared" si="101"/>
        <v>362552</v>
      </c>
      <c r="W160" s="73"/>
      <c r="X160" s="313">
        <f t="shared" si="101"/>
        <v>384675</v>
      </c>
      <c r="Y160" s="73"/>
      <c r="Z160" s="313">
        <f t="shared" si="101"/>
        <v>404929</v>
      </c>
      <c r="AA160" s="313">
        <f t="shared" si="101"/>
        <v>425304</v>
      </c>
      <c r="AB160" s="313">
        <f>SUM(AB157*AB159)</f>
        <v>445679</v>
      </c>
    </row>
    <row r="161" spans="1:30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340">
        <v>1</v>
      </c>
      <c r="W161" s="84"/>
      <c r="X161" s="340">
        <v>1</v>
      </c>
      <c r="Y161" s="84"/>
      <c r="Z161" s="340">
        <v>1</v>
      </c>
      <c r="AA161" s="340">
        <v>1</v>
      </c>
      <c r="AB161" s="340">
        <v>1</v>
      </c>
    </row>
    <row r="162" spans="1:30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104">SUM(G160*G161)</f>
        <v>160600</v>
      </c>
      <c r="I162" s="69">
        <f t="shared" si="104"/>
        <v>168937</v>
      </c>
      <c r="J162" s="70"/>
      <c r="K162" s="71"/>
      <c r="L162" s="69">
        <f t="shared" ref="L162:AA162" si="105">SUM(L160*L161)</f>
        <v>184700</v>
      </c>
      <c r="M162" s="72"/>
      <c r="N162" s="69">
        <f t="shared" si="105"/>
        <v>209500</v>
      </c>
      <c r="O162" s="70"/>
      <c r="P162" s="70">
        <f t="shared" ref="P162" si="106">SUM(P160*P161)</f>
        <v>243796.47</v>
      </c>
      <c r="Q162" s="73"/>
      <c r="R162" s="70">
        <f t="shared" ref="R162" si="107">SUM(R160*R161)</f>
        <v>282611.34999999998</v>
      </c>
      <c r="S162" s="73"/>
      <c r="T162" s="70">
        <f t="shared" si="105"/>
        <v>340600</v>
      </c>
      <c r="U162" s="73"/>
      <c r="V162" s="313">
        <f>SUM(V160*V161)</f>
        <v>362552</v>
      </c>
      <c r="W162" s="73"/>
      <c r="X162" s="313">
        <f t="shared" si="105"/>
        <v>384675</v>
      </c>
      <c r="Y162" s="73"/>
      <c r="Z162" s="313">
        <f t="shared" si="105"/>
        <v>404929</v>
      </c>
      <c r="AA162" s="313">
        <f t="shared" si="105"/>
        <v>425304</v>
      </c>
      <c r="AB162" s="313">
        <f>SUM(AB160*AB161)</f>
        <v>445679</v>
      </c>
    </row>
    <row r="163" spans="1:30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305">
        <v>0.01</v>
      </c>
      <c r="V163" s="318">
        <f>SUM(T163*(1+U163))</f>
        <v>1.3083317746623606E-2</v>
      </c>
      <c r="W163" s="305">
        <f>$W$30</f>
        <v>1.4999999999999999E-2</v>
      </c>
      <c r="X163" s="318">
        <f>SUM(V163*(1+W163))</f>
        <v>1.3279567512822959E-2</v>
      </c>
      <c r="Y163" s="305">
        <f>$Y$30</f>
        <v>0.02</v>
      </c>
      <c r="Z163" s="318">
        <f>SUM(X163*(1+Y163))</f>
        <v>1.3545158863079419E-2</v>
      </c>
      <c r="AA163" s="318">
        <f>SUM(Z163*(1+Y163))</f>
        <v>1.3816062040341007E-2</v>
      </c>
      <c r="AB163" s="318">
        <f>SUM(AA163*(1+Y163))</f>
        <v>1.4092383281147827E-2</v>
      </c>
    </row>
    <row r="164" spans="1:30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319"/>
      <c r="W164" s="73"/>
      <c r="X164" s="319"/>
      <c r="Y164" s="73"/>
      <c r="Z164" s="319"/>
      <c r="AA164" s="319"/>
      <c r="AB164" s="319"/>
    </row>
    <row r="165" spans="1:30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8">SUM(G162*G163)</f>
        <v>2030.6547399999999</v>
      </c>
      <c r="I165" s="112">
        <f t="shared" si="108"/>
        <v>2137.1771711399883</v>
      </c>
      <c r="J165" s="141"/>
      <c r="K165" s="114"/>
      <c r="L165" s="248">
        <f t="shared" ref="L165:Z165" si="109">SUM(L162*L163)</f>
        <v>2378.8604999999998</v>
      </c>
      <c r="M165" s="113"/>
      <c r="N165" s="112">
        <f t="shared" si="109"/>
        <v>2651</v>
      </c>
      <c r="O165" s="141"/>
      <c r="P165" s="141">
        <f t="shared" si="109"/>
        <v>3184.1441200000004</v>
      </c>
      <c r="Q165" s="249"/>
      <c r="R165" s="141">
        <f t="shared" ref="R165" si="110">SUM(R162*R163)</f>
        <v>3678.2691199999999</v>
      </c>
      <c r="S165" s="249"/>
      <c r="T165" s="141">
        <f>SUM(T162*T163)</f>
        <v>4412.0574500000002</v>
      </c>
      <c r="U165" s="249"/>
      <c r="V165" s="320">
        <f t="shared" si="109"/>
        <v>4743.3830156738813</v>
      </c>
      <c r="W165" s="249"/>
      <c r="X165" s="320">
        <f t="shared" si="109"/>
        <v>5108.3176329951712</v>
      </c>
      <c r="Y165" s="249"/>
      <c r="Z165" s="320">
        <f t="shared" si="109"/>
        <v>5484.8276332678861</v>
      </c>
      <c r="AA165" s="320">
        <f>SUM(AA162*AA163)</f>
        <v>5876.0264500051917</v>
      </c>
      <c r="AB165" s="320">
        <f>SUM(AB162*AB163)</f>
        <v>6280.6792883586822</v>
      </c>
    </row>
    <row r="166" spans="1:30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</row>
    <row r="167" spans="1:30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</row>
    <row r="168" spans="1:30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</row>
    <row r="169" spans="1:30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</row>
    <row r="170" spans="1:30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</row>
    <row r="171" spans="1:30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</row>
    <row r="172" spans="1:30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</row>
    <row r="173" spans="1:30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D173" s="11"/>
    </row>
    <row r="174" spans="1:30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15248.460903641982</v>
      </c>
      <c r="W174" s="355"/>
      <c r="X174" s="342">
        <f>SUM(X32)</f>
        <v>16646.901256421781</v>
      </c>
      <c r="Y174" s="355"/>
      <c r="Z174" s="342">
        <f>SUM(Z32)</f>
        <v>18152.618207400057</v>
      </c>
      <c r="AA174" s="342">
        <f>SUM(AA32)</f>
        <v>19938.906402974604</v>
      </c>
      <c r="AB174" s="342">
        <f>SUM(AB32)</f>
        <v>21789.38507908917</v>
      </c>
      <c r="AD174" s="145"/>
    </row>
    <row r="175" spans="1:30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342"/>
      <c r="W175" s="271"/>
      <c r="X175" s="342"/>
      <c r="Y175" s="271"/>
      <c r="Z175" s="342"/>
      <c r="AA175" s="342"/>
      <c r="AB175" s="342"/>
      <c r="AD175" s="144"/>
    </row>
    <row r="176" spans="1:30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342">
        <f>SUM(V53)</f>
        <v>6811.8201993011862</v>
      </c>
      <c r="W176" s="273"/>
      <c r="X176" s="342">
        <f>SUM(X53)</f>
        <v>7434.8156859921783</v>
      </c>
      <c r="Y176" s="273"/>
      <c r="Z176" s="342">
        <f>SUM(Z53)</f>
        <v>8105.695099915677</v>
      </c>
      <c r="AA176" s="342">
        <f>SUM(AA53)</f>
        <v>8901.5087405383838</v>
      </c>
      <c r="AB176" s="342">
        <f>SUM(AB53)</f>
        <v>9725.9126487460308</v>
      </c>
      <c r="AD176" s="145"/>
    </row>
    <row r="177" spans="1:30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342">
        <f>SUM(V75)</f>
        <v>12028.763692634888</v>
      </c>
      <c r="W177" s="273"/>
      <c r="X177" s="342">
        <f>SUM(X75)</f>
        <v>12911.146611000037</v>
      </c>
      <c r="Y177" s="273"/>
      <c r="Z177" s="342">
        <f>SUM(Z75)</f>
        <v>13832.503247622539</v>
      </c>
      <c r="AA177" s="342">
        <f>SUM(AA75)</f>
        <v>14919.212003738023</v>
      </c>
      <c r="AB177" s="342">
        <f>SUM(AB75)</f>
        <v>16043.856108799073</v>
      </c>
      <c r="AD177" s="145"/>
    </row>
    <row r="178" spans="1:30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343">
        <f>SUM(V95)</f>
        <v>13.303558399999998</v>
      </c>
      <c r="W178" s="273"/>
      <c r="X178" s="343">
        <f>SUM(X95)</f>
        <v>13.503111775999995</v>
      </c>
      <c r="Y178" s="273"/>
      <c r="Z178" s="343">
        <f>SUM(Z95)</f>
        <v>13.773174011519995</v>
      </c>
      <c r="AA178" s="343">
        <f>SUM(AA95)</f>
        <v>14.048637491750396</v>
      </c>
      <c r="AB178" s="343">
        <f>SUM(AB95)</f>
        <v>14.329610241585403</v>
      </c>
      <c r="AD178" s="145"/>
    </row>
    <row r="179" spans="1:30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55"/>
      <c r="T179" s="179">
        <f>SUM(T111)</f>
        <v>3479.2761100000002</v>
      </c>
      <c r="U179" s="273"/>
      <c r="V179" s="338">
        <f>SUM(V111)</f>
        <v>3514.0688710999998</v>
      </c>
      <c r="W179" s="273"/>
      <c r="X179" s="338">
        <f>SUM(X111)</f>
        <v>3566.7799041664994</v>
      </c>
      <c r="Y179" s="273"/>
      <c r="Z179" s="338">
        <f>SUM(Z111)</f>
        <v>3638.1155022498292</v>
      </c>
      <c r="AA179" s="338">
        <f>SUM(AA111)</f>
        <v>3710.8778122948261</v>
      </c>
      <c r="AB179" s="338">
        <f>SUM(AB111)</f>
        <v>3785.0953685407226</v>
      </c>
      <c r="AD179" s="145"/>
    </row>
    <row r="180" spans="1:30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271"/>
      <c r="T180" s="272"/>
      <c r="U180" s="271"/>
      <c r="V180" s="342"/>
      <c r="W180" s="271"/>
      <c r="X180" s="342"/>
      <c r="Y180" s="271"/>
      <c r="Z180" s="342"/>
      <c r="AA180" s="342"/>
      <c r="AB180" s="342"/>
      <c r="AD180" s="144"/>
    </row>
    <row r="181" spans="1:30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11">SUM(G174:G179)</f>
        <v>22467.722571320119</v>
      </c>
      <c r="H181" s="3"/>
      <c r="I181" s="178">
        <f t="shared" si="111"/>
        <v>25222.541358363891</v>
      </c>
      <c r="J181" s="181"/>
      <c r="K181" s="180"/>
      <c r="L181" s="178">
        <f t="shared" ref="L181:AA181" si="112">SUM(L174:L179)</f>
        <v>27721.837982187997</v>
      </c>
      <c r="M181" s="181"/>
      <c r="N181" s="178">
        <f t="shared" ref="N181" si="113">SUM(N174:N179)</f>
        <v>29497.728188102526</v>
      </c>
      <c r="O181" s="280"/>
      <c r="P181" s="179">
        <f t="shared" si="112"/>
        <v>30629.426470680279</v>
      </c>
      <c r="Q181" s="281"/>
      <c r="R181" s="179">
        <f>SUM(R174:R179)</f>
        <v>33603.611274662006</v>
      </c>
      <c r="S181" s="281"/>
      <c r="T181" s="179">
        <f>SUM(T174:T179)</f>
        <v>33724.400079999999</v>
      </c>
      <c r="U181" s="273"/>
      <c r="V181" s="338">
        <f t="shared" si="112"/>
        <v>37616.417225078054</v>
      </c>
      <c r="W181" s="273"/>
      <c r="X181" s="338">
        <f t="shared" si="112"/>
        <v>40573.14656935649</v>
      </c>
      <c r="Y181" s="273"/>
      <c r="Z181" s="338">
        <f t="shared" si="112"/>
        <v>43742.705231199616</v>
      </c>
      <c r="AA181" s="338">
        <f t="shared" si="112"/>
        <v>47484.553597037593</v>
      </c>
      <c r="AB181" s="338">
        <f>SUM(AB174:AB179)</f>
        <v>51358.578815416578</v>
      </c>
      <c r="AD181" s="144"/>
    </row>
    <row r="182" spans="1:30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271"/>
      <c r="T182" s="272"/>
      <c r="U182" s="271"/>
      <c r="V182" s="342"/>
      <c r="W182" s="271"/>
      <c r="X182" s="342"/>
      <c r="Y182" s="271"/>
      <c r="Z182" s="342"/>
      <c r="AA182" s="342"/>
      <c r="AB182" s="342"/>
      <c r="AD182" s="144"/>
    </row>
    <row r="183" spans="1:30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271"/>
      <c r="T183" s="272"/>
      <c r="U183" s="271"/>
      <c r="V183" s="342"/>
      <c r="W183" s="271"/>
      <c r="X183" s="342"/>
      <c r="Y183" s="271"/>
      <c r="Z183" s="342"/>
      <c r="AA183" s="342"/>
      <c r="AB183" s="342"/>
      <c r="AD183" s="144"/>
    </row>
    <row r="184" spans="1:30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273"/>
      <c r="T184" s="276">
        <f>SUM(T130)</f>
        <v>3358.2858700000002</v>
      </c>
      <c r="U184" s="273"/>
      <c r="V184" s="342">
        <f>SUM(V130)</f>
        <v>3870.5477694024657</v>
      </c>
      <c r="W184" s="355"/>
      <c r="X184" s="342">
        <f>SUM(X130)</f>
        <v>4192.6461945916781</v>
      </c>
      <c r="Y184" s="355"/>
      <c r="Z184" s="342">
        <f>SUM(Z130)</f>
        <v>4495.687982427562</v>
      </c>
      <c r="AA184" s="342">
        <f>SUM(AA130)</f>
        <v>4811.1475412381487</v>
      </c>
      <c r="AB184" s="342">
        <f>SUM(AB130)</f>
        <v>5137.4272072081876</v>
      </c>
      <c r="AD184" s="145"/>
    </row>
    <row r="185" spans="1:30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273"/>
      <c r="T185" s="276">
        <f>SUM(T147)</f>
        <v>1765.7096300000001</v>
      </c>
      <c r="U185" s="273"/>
      <c r="V185" s="342">
        <f>SUM(V147)</f>
        <v>1879.2710451087662</v>
      </c>
      <c r="W185" s="273"/>
      <c r="X185" s="342">
        <f>SUM(X147)</f>
        <v>2026.3679327527882</v>
      </c>
      <c r="Y185" s="273"/>
      <c r="Z185" s="342">
        <f>SUM(Z147)</f>
        <v>2165.6047665462388</v>
      </c>
      <c r="AA185" s="342">
        <f>SUM(AA147)</f>
        <v>2310.4891181238913</v>
      </c>
      <c r="AB185" s="342">
        <f>SUM(AB147)</f>
        <v>2460.3026018580322</v>
      </c>
      <c r="AD185" s="145"/>
    </row>
    <row r="186" spans="1:30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342">
        <f>SUM(V165)</f>
        <v>4743.3830156738813</v>
      </c>
      <c r="W186" s="273"/>
      <c r="X186" s="342">
        <f>SUM(X165)</f>
        <v>5108.3176329951712</v>
      </c>
      <c r="Y186" s="273"/>
      <c r="Z186" s="342">
        <f>SUM(Z165)</f>
        <v>5484.8276332678861</v>
      </c>
      <c r="AA186" s="342">
        <f>SUM(AA165)</f>
        <v>5876.0264500051917</v>
      </c>
      <c r="AB186" s="342">
        <f>SUM(AB165)</f>
        <v>6280.6792883586822</v>
      </c>
      <c r="AD186" s="145"/>
    </row>
    <row r="187" spans="1:30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80"/>
      <c r="T187" s="179">
        <v>0</v>
      </c>
      <c r="U187" s="273"/>
      <c r="V187" s="338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D187" s="144"/>
    </row>
    <row r="188" spans="1:30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271"/>
      <c r="T188" s="272"/>
      <c r="U188" s="271"/>
      <c r="V188" s="342"/>
      <c r="W188" s="271"/>
      <c r="X188" s="342"/>
      <c r="Y188" s="271"/>
      <c r="Z188" s="342"/>
      <c r="AA188" s="342"/>
      <c r="AB188" s="342"/>
      <c r="AD188" s="27"/>
    </row>
    <row r="189" spans="1:30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14">SUM(G184:G186)</f>
        <v>5381.658967623669</v>
      </c>
      <c r="H189" s="3"/>
      <c r="I189" s="178">
        <f t="shared" si="114"/>
        <v>5836.652431139988</v>
      </c>
      <c r="J189" s="181"/>
      <c r="K189" s="180"/>
      <c r="L189" s="178">
        <f t="shared" ref="L189:AA189" si="115">SUM(L184:L186)</f>
        <v>6656.9436187574665</v>
      </c>
      <c r="M189" s="181"/>
      <c r="N189" s="178">
        <f t="shared" ref="N189" si="116">SUM(N184:N186)</f>
        <v>6826.5169189769413</v>
      </c>
      <c r="O189" s="181"/>
      <c r="P189" s="179">
        <f t="shared" si="115"/>
        <v>7377.2878482527303</v>
      </c>
      <c r="Q189" s="180"/>
      <c r="R189" s="179">
        <f>SUM(R184:R186)</f>
        <v>8337.9596247768241</v>
      </c>
      <c r="S189" s="180"/>
      <c r="T189" s="179">
        <f>SUM(T184:T186)</f>
        <v>9536.0529500000011</v>
      </c>
      <c r="U189" s="273"/>
      <c r="V189" s="338">
        <f t="shared" si="115"/>
        <v>10493.201830185113</v>
      </c>
      <c r="W189" s="273"/>
      <c r="X189" s="338">
        <f t="shared" si="115"/>
        <v>11327.331760339637</v>
      </c>
      <c r="Y189" s="273"/>
      <c r="Z189" s="338">
        <f t="shared" si="115"/>
        <v>12146.120382241686</v>
      </c>
      <c r="AA189" s="338">
        <f t="shared" si="115"/>
        <v>12997.663109367233</v>
      </c>
      <c r="AB189" s="338">
        <f t="shared" ref="AB189" si="117">SUM(AB184:AB186)</f>
        <v>13878.409097424901</v>
      </c>
    </row>
    <row r="190" spans="1:30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271"/>
      <c r="T190" s="270"/>
      <c r="U190" s="271"/>
      <c r="V190" s="342"/>
      <c r="W190" s="271"/>
      <c r="X190" s="342"/>
      <c r="Y190" s="271"/>
      <c r="Z190" s="342"/>
      <c r="AA190" s="342"/>
      <c r="AB190" s="342"/>
    </row>
    <row r="191" spans="1:30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14"/>
      <c r="T191" s="141">
        <f>SUM(T181+T189)</f>
        <v>43260.453030000004</v>
      </c>
      <c r="U191" s="273"/>
      <c r="V191" s="320">
        <f>SUM(V181+V189)</f>
        <v>48109.619055263167</v>
      </c>
      <c r="W191" s="273"/>
      <c r="X191" s="320">
        <f>SUM(X181+X189)</f>
        <v>51900.478329696125</v>
      </c>
      <c r="Y191" s="273"/>
      <c r="Z191" s="320">
        <f>SUM(Z181+Z189)</f>
        <v>55888.825613441302</v>
      </c>
      <c r="AA191" s="320">
        <f>SUM(AA181+AA189)</f>
        <v>60482.216706404826</v>
      </c>
      <c r="AB191" s="320">
        <f>SUM(AB181+AB189)</f>
        <v>65236.987912841476</v>
      </c>
    </row>
    <row r="192" spans="1:30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286"/>
      <c r="T192" s="285"/>
      <c r="U192" s="286"/>
      <c r="V192" s="285" t="s">
        <v>142</v>
      </c>
      <c r="W192" s="286"/>
      <c r="X192" s="285" t="s">
        <v>143</v>
      </c>
      <c r="Y192" s="286"/>
      <c r="Z192" s="285" t="s">
        <v>116</v>
      </c>
      <c r="AA192" s="285" t="s">
        <v>116</v>
      </c>
      <c r="AB192" s="285" t="s">
        <v>116</v>
      </c>
    </row>
    <row r="193" spans="1:28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290"/>
      <c r="T193" s="289">
        <f>SUM(T191-R191)</f>
        <v>1318.8821305611782</v>
      </c>
      <c r="U193" s="290"/>
      <c r="V193" s="289">
        <f>SUM(V191-T191)</f>
        <v>4849.1660252631627</v>
      </c>
      <c r="W193" s="290"/>
      <c r="X193" s="289">
        <f>SUM(X191-V191)</f>
        <v>3790.859274432958</v>
      </c>
      <c r="Y193" s="290"/>
      <c r="Z193" s="289">
        <f>SUM(Z191-X191)</f>
        <v>3988.3472837451773</v>
      </c>
      <c r="AA193" s="289">
        <f>SUM(AA191-Z191)</f>
        <v>4593.391092963524</v>
      </c>
      <c r="AB193" s="289">
        <f>SUM(AB191-AA191)</f>
        <v>4754.7712064366497</v>
      </c>
    </row>
    <row r="194" spans="1:28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R194" s="11"/>
      <c r="S194" s="291"/>
      <c r="T194" s="11"/>
      <c r="U194" s="291"/>
      <c r="W194" s="291"/>
      <c r="Y194" s="291"/>
    </row>
    <row r="195" spans="1:28" x14ac:dyDescent="0.3">
      <c r="V195" s="10"/>
      <c r="X195" s="10"/>
      <c r="Z195" s="10"/>
      <c r="AA195" s="10"/>
      <c r="AB195" s="10"/>
    </row>
  </sheetData>
  <pageMargins left="0.7" right="0.7" top="0.75" bottom="0.75" header="0.3" footer="0.3"/>
  <pageSetup paperSize="5" scale="75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N25" sqref="N25"/>
    </sheetView>
  </sheetViews>
  <sheetFormatPr defaultRowHeight="14.4" x14ac:dyDescent="0.3"/>
  <cols>
    <col min="1" max="1" width="4" customWidth="1"/>
    <col min="4" max="4" width="9" customWidth="1"/>
    <col min="6" max="6" width="9.109375" hidden="1" customWidth="1"/>
    <col min="8" max="8" width="9.109375" hidden="1" customWidth="1"/>
    <col min="10" max="10" width="9.109375" hidden="1" customWidth="1"/>
    <col min="12" max="12" width="9.109375" hidden="1" customWidth="1"/>
    <col min="14" max="14" width="4" customWidth="1"/>
  </cols>
  <sheetData>
    <row r="1" spans="1:20" x14ac:dyDescent="0.3">
      <c r="A1" s="345" t="s">
        <v>155</v>
      </c>
    </row>
    <row r="3" spans="1:20" x14ac:dyDescent="0.3">
      <c r="C3" s="634" t="s">
        <v>166</v>
      </c>
      <c r="D3" s="634"/>
      <c r="E3" s="634"/>
      <c r="F3" s="634"/>
      <c r="G3" s="634"/>
      <c r="H3" s="634"/>
      <c r="I3" s="634"/>
      <c r="J3" s="346"/>
      <c r="K3" s="346"/>
      <c r="L3" s="346"/>
      <c r="M3" s="346"/>
      <c r="P3" s="634" t="s">
        <v>156</v>
      </c>
      <c r="Q3" s="634"/>
      <c r="R3" s="634"/>
      <c r="S3" s="634"/>
      <c r="T3" s="346"/>
    </row>
    <row r="5" spans="1:20" x14ac:dyDescent="0.3">
      <c r="C5" s="346">
        <v>2019</v>
      </c>
      <c r="D5" s="346"/>
      <c r="E5" s="346">
        <f>C5+1</f>
        <v>2020</v>
      </c>
      <c r="F5" s="346"/>
      <c r="G5" s="346">
        <f>E5+1</f>
        <v>2021</v>
      </c>
      <c r="H5" s="346"/>
      <c r="I5" s="346">
        <f>G5+1</f>
        <v>2022</v>
      </c>
      <c r="J5" s="347"/>
      <c r="K5" s="346">
        <f>I5+1</f>
        <v>2023</v>
      </c>
      <c r="L5" s="347"/>
      <c r="P5" s="346">
        <v>2019</v>
      </c>
      <c r="Q5" s="346">
        <f>P5+1</f>
        <v>2020</v>
      </c>
      <c r="R5" s="346">
        <f>Q5+1</f>
        <v>2021</v>
      </c>
      <c r="S5" s="346">
        <f>R5+1</f>
        <v>2022</v>
      </c>
      <c r="T5" s="346">
        <f>S5+1</f>
        <v>2023</v>
      </c>
    </row>
    <row r="6" spans="1:20" x14ac:dyDescent="0.3">
      <c r="A6" t="s">
        <v>157</v>
      </c>
      <c r="N6" t="s">
        <v>157</v>
      </c>
    </row>
    <row r="7" spans="1:20" x14ac:dyDescent="0.3">
      <c r="B7" t="s">
        <v>158</v>
      </c>
      <c r="C7" s="348">
        <f>'Revision 05.01.19'!V174</f>
        <v>15248.460903641982</v>
      </c>
      <c r="D7" s="1">
        <f>(C7-P7)/P7</f>
        <v>-5.7377441923580852E-2</v>
      </c>
      <c r="E7" s="348">
        <f>'Revision 05.01.19'!X174</f>
        <v>16646.901256421781</v>
      </c>
      <c r="F7" s="1">
        <f>(E7-Q7)/Q7</f>
        <v>-5.7377441923581018E-2</v>
      </c>
      <c r="G7" s="348">
        <f>'Revision 05.01.19'!Z174</f>
        <v>18152.618207400057</v>
      </c>
      <c r="H7" s="1">
        <f>(G7-R7)/R7</f>
        <v>-5.7377441923580692E-2</v>
      </c>
      <c r="I7" s="348">
        <f>'Revision 05.01.19'!AA174</f>
        <v>19938.906402974604</v>
      </c>
      <c r="J7" s="1">
        <f>(I7-S7)/S7</f>
        <v>-5.7377441923580658E-2</v>
      </c>
      <c r="K7" s="348">
        <f>'Revision 05.01.19'!AB174</f>
        <v>21789.38507908917</v>
      </c>
      <c r="L7" s="1">
        <f>(K7-T7)/T7</f>
        <v>-5.7377441923580727E-2</v>
      </c>
      <c r="O7" t="s">
        <v>158</v>
      </c>
      <c r="P7" s="348">
        <v>16176.634829065673</v>
      </c>
      <c r="Q7" s="348">
        <v>17660.198256227395</v>
      </c>
      <c r="R7" s="348">
        <v>19257.568208895344</v>
      </c>
      <c r="S7" s="348">
        <v>21152.58777984617</v>
      </c>
      <c r="T7" s="348">
        <f>'Revision 01.10.19'!AB174</f>
        <v>23115.70510635147</v>
      </c>
    </row>
    <row r="8" spans="1:20" x14ac:dyDescent="0.3">
      <c r="B8" t="s">
        <v>159</v>
      </c>
      <c r="C8" s="348">
        <f>'Revision 05.01.19'!V176</f>
        <v>6811.8201993011862</v>
      </c>
      <c r="D8" s="1">
        <f>(C8-P8)/P8</f>
        <v>0</v>
      </c>
      <c r="E8" s="348">
        <f>'Revision 05.01.19'!X176</f>
        <v>7434.8156859921783</v>
      </c>
      <c r="F8" s="1">
        <f>(E8-Q8)/Q8</f>
        <v>0</v>
      </c>
      <c r="G8" s="348">
        <f>'Revision 05.01.19'!Z176</f>
        <v>8105.695099915677</v>
      </c>
      <c r="H8" s="1">
        <f>(G8-R8)/R8</f>
        <v>0</v>
      </c>
      <c r="I8" s="348">
        <f>'Revision 05.01.19'!AA176</f>
        <v>8901.5087405383838</v>
      </c>
      <c r="J8" s="1">
        <f>(I8-S8)/S8</f>
        <v>0</v>
      </c>
      <c r="K8" s="348">
        <f>'Revision 05.01.19'!AB176</f>
        <v>9725.9126487460308</v>
      </c>
      <c r="L8" s="1">
        <f t="shared" ref="L8:L11" si="0">(K8-T8)/T8</f>
        <v>0</v>
      </c>
      <c r="O8" t="s">
        <v>159</v>
      </c>
      <c r="P8" s="348">
        <v>6811.8201993011862</v>
      </c>
      <c r="Q8" s="348">
        <v>7434.8156859921783</v>
      </c>
      <c r="R8" s="348">
        <v>8105.695099915677</v>
      </c>
      <c r="S8" s="348">
        <v>8901.5087405383838</v>
      </c>
      <c r="T8" s="348">
        <f>'Revision 01.10.19'!AB176</f>
        <v>9725.9126487460308</v>
      </c>
    </row>
    <row r="9" spans="1:20" x14ac:dyDescent="0.3">
      <c r="B9" t="s">
        <v>160</v>
      </c>
      <c r="C9" s="348">
        <f>'Revision 05.01.19'!V177</f>
        <v>12028.763692634888</v>
      </c>
      <c r="D9" s="1">
        <f>(C9-P9)/P9</f>
        <v>0</v>
      </c>
      <c r="E9" s="348">
        <f>'Revision 05.01.19'!X177</f>
        <v>12911.146611000037</v>
      </c>
      <c r="F9" s="1">
        <f>(E9-Q9)/Q9</f>
        <v>0</v>
      </c>
      <c r="G9" s="348">
        <f>'Revision 05.01.19'!Z177</f>
        <v>13832.503247622539</v>
      </c>
      <c r="H9" s="1">
        <f>(G9-R9)/R9</f>
        <v>0</v>
      </c>
      <c r="I9" s="348">
        <f>'Revision 05.01.19'!AA177</f>
        <v>14919.212003738023</v>
      </c>
      <c r="J9" s="1">
        <f>(I9-S9)/S9</f>
        <v>0</v>
      </c>
      <c r="K9" s="348">
        <f>'Revision 05.01.19'!AB177</f>
        <v>16043.856108799073</v>
      </c>
      <c r="L9" s="1">
        <f t="shared" si="0"/>
        <v>0</v>
      </c>
      <c r="O9" t="s">
        <v>160</v>
      </c>
      <c r="P9" s="348">
        <v>12028.763692634888</v>
      </c>
      <c r="Q9" s="348">
        <v>12911.146611000037</v>
      </c>
      <c r="R9" s="348">
        <v>13832.503247622539</v>
      </c>
      <c r="S9" s="348">
        <v>14919.212003738023</v>
      </c>
      <c r="T9" s="348">
        <f>'Revision 01.10.19'!AB177</f>
        <v>16043.856108799073</v>
      </c>
    </row>
    <row r="10" spans="1:20" x14ac:dyDescent="0.3">
      <c r="B10" t="s">
        <v>161</v>
      </c>
      <c r="C10" s="348">
        <f>'Revision 05.01.19'!V178+'Revision 05.01.19'!V179</f>
        <v>3527.3724294999997</v>
      </c>
      <c r="D10" s="1">
        <f>(C10-P10)/P10</f>
        <v>0</v>
      </c>
      <c r="E10" s="348">
        <f>'Revision 05.01.19'!X178+'Revision 05.01.19'!X179</f>
        <v>3580.2830159424993</v>
      </c>
      <c r="F10" s="1">
        <f>(E10-Q10)/Q10</f>
        <v>0</v>
      </c>
      <c r="G10" s="348">
        <f>'Revision 05.01.19'!Z178+'Revision 05.01.19'!Z179</f>
        <v>3651.8886762613492</v>
      </c>
      <c r="H10" s="1">
        <f>(G10-R10)/R10</f>
        <v>0</v>
      </c>
      <c r="I10" s="348">
        <f>'Revision 05.01.19'!AA178+'Revision 05.01.19'!AA179</f>
        <v>3724.9264497865765</v>
      </c>
      <c r="J10" s="1">
        <f>(I10-S10)/S10</f>
        <v>0</v>
      </c>
      <c r="K10" s="348">
        <f>'Revision 05.01.19'!AB178+'Revision 05.01.19'!AB179</f>
        <v>3799.4249787823078</v>
      </c>
      <c r="L10" s="1">
        <f t="shared" si="0"/>
        <v>0</v>
      </c>
      <c r="O10" t="s">
        <v>161</v>
      </c>
      <c r="P10" s="348">
        <v>3527.3724294999997</v>
      </c>
      <c r="Q10" s="348">
        <v>3580.2830159424993</v>
      </c>
      <c r="R10" s="348">
        <v>3651.8886762613492</v>
      </c>
      <c r="S10" s="348">
        <v>3724.9264497865765</v>
      </c>
      <c r="T10" s="348">
        <f>'Revision 01.10.19'!AB178+'Revision 01.10.19'!AB179</f>
        <v>3799.4249787823078</v>
      </c>
    </row>
    <row r="11" spans="1:20" x14ac:dyDescent="0.3">
      <c r="A11" t="s">
        <v>162</v>
      </c>
      <c r="C11" s="349">
        <f>SUM(C7:C10)</f>
        <v>37616.417225078054</v>
      </c>
      <c r="D11" s="1">
        <f>(C11-P11)/P11</f>
        <v>-2.4080523303503944E-2</v>
      </c>
      <c r="E11" s="349">
        <f>SUM(E7:E10)</f>
        <v>40573.14656935649</v>
      </c>
      <c r="F11" s="1">
        <f>(E11-Q11)/Q11</f>
        <v>-2.4366041258623489E-2</v>
      </c>
      <c r="G11" s="349">
        <f>SUM(G7:G10)</f>
        <v>43742.705231199616</v>
      </c>
      <c r="H11" s="1">
        <f>(G11-R11)/R11</f>
        <v>-2.463785443770004E-2</v>
      </c>
      <c r="I11" s="349">
        <f>SUM(I7:I10)</f>
        <v>47484.553597037586</v>
      </c>
      <c r="J11" s="1">
        <f>(I11-S11)/S11</f>
        <v>-2.4922492109248202E-2</v>
      </c>
      <c r="K11" s="349">
        <f>SUM(K7:K10)</f>
        <v>51358.578815416578</v>
      </c>
      <c r="L11" s="1">
        <f t="shared" si="0"/>
        <v>-2.5174576707887253E-2</v>
      </c>
      <c r="N11" t="s">
        <v>162</v>
      </c>
      <c r="P11" s="349">
        <f>SUM(P7:P10)</f>
        <v>38544.591150501743</v>
      </c>
      <c r="Q11" s="349">
        <f>SUM(Q7:Q10)</f>
        <v>41586.443569162111</v>
      </c>
      <c r="R11" s="349">
        <f>SUM(R7:R10)</f>
        <v>44847.65523269491</v>
      </c>
      <c r="S11" s="349">
        <f>SUM(S7:S10)</f>
        <v>48698.234973909151</v>
      </c>
      <c r="T11" s="349">
        <f>SUM(T7:T10)</f>
        <v>52684.898842678878</v>
      </c>
    </row>
    <row r="12" spans="1:20" x14ac:dyDescent="0.3">
      <c r="E12" s="10">
        <f>(E11-Q11)/Q11</f>
        <v>-2.4366041258623489E-2</v>
      </c>
      <c r="G12" s="10">
        <f>(G11-R11)/R11</f>
        <v>-2.463785443770004E-2</v>
      </c>
      <c r="I12" s="10">
        <f>(I11-S11)/S11</f>
        <v>-2.4922492109248202E-2</v>
      </c>
      <c r="K12" s="10">
        <f>(K11-T11)/T11</f>
        <v>-2.5174576707887253E-2</v>
      </c>
    </row>
    <row r="13" spans="1:20" x14ac:dyDescent="0.3">
      <c r="A13" t="s">
        <v>163</v>
      </c>
      <c r="N13" t="s">
        <v>163</v>
      </c>
    </row>
    <row r="14" spans="1:20" x14ac:dyDescent="0.3">
      <c r="B14" t="s">
        <v>158</v>
      </c>
      <c r="C14" s="348">
        <f>'Revision 05.01.19'!V184</f>
        <v>3870.5477694024657</v>
      </c>
      <c r="D14" s="1">
        <f>(C14-P14)/P14</f>
        <v>-5.5388775938203301E-2</v>
      </c>
      <c r="E14" s="348">
        <f>'Revision 05.01.19'!X184</f>
        <v>4192.6461945916781</v>
      </c>
      <c r="F14" s="1">
        <f>(E14-Q14)/Q14</f>
        <v>-5.5388775938203315E-2</v>
      </c>
      <c r="G14" s="348">
        <f>'Revision 05.01.19'!Z184</f>
        <v>4495.687982427562</v>
      </c>
      <c r="H14" s="1">
        <f>(G14-R14)/R14</f>
        <v>-5.5388775938203329E-2</v>
      </c>
      <c r="I14" s="348">
        <f>'Revision 05.01.19'!AA184</f>
        <v>4811.1475412381487</v>
      </c>
      <c r="J14" s="1">
        <f>(I14-S14)/S14</f>
        <v>-5.5388775938203245E-2</v>
      </c>
      <c r="K14" s="348">
        <f>'Revision 05.01.19'!AB184</f>
        <v>5137.4272072081876</v>
      </c>
      <c r="L14" s="1">
        <f>(K14-T14)/T14</f>
        <v>-5.5388775938203259E-2</v>
      </c>
      <c r="O14" t="s">
        <v>158</v>
      </c>
      <c r="P14" s="348">
        <v>4097.5034710674299</v>
      </c>
      <c r="Q14" s="348">
        <v>4438.488647809455</v>
      </c>
      <c r="R14" s="348">
        <v>4759.2997710701065</v>
      </c>
      <c r="S14" s="348">
        <v>5093.2568009835568</v>
      </c>
      <c r="T14" s="348">
        <f>'Revision 01.10.19'!AB184</f>
        <v>5438.6683921851172</v>
      </c>
    </row>
    <row r="15" spans="1:20" x14ac:dyDescent="0.3">
      <c r="B15" t="s">
        <v>159</v>
      </c>
      <c r="C15" s="348">
        <f>'Revision 05.01.19'!V185</f>
        <v>1879.2710451087662</v>
      </c>
      <c r="D15" s="1">
        <f>(C15-P15)/P15</f>
        <v>0</v>
      </c>
      <c r="E15" s="348">
        <f>'Revision 05.01.19'!X185</f>
        <v>2026.3679327527882</v>
      </c>
      <c r="F15" s="1">
        <f>(E15-Q15)/Q15</f>
        <v>0</v>
      </c>
      <c r="G15" s="348">
        <f>'Revision 05.01.19'!Z185</f>
        <v>2165.6047665462388</v>
      </c>
      <c r="H15" s="1">
        <f>(G15-R15)/R15</f>
        <v>0</v>
      </c>
      <c r="I15" s="348">
        <f>'Revision 05.01.19'!AA185</f>
        <v>2310.4891181238913</v>
      </c>
      <c r="J15" s="1">
        <f>(I15-S15)/S15</f>
        <v>0</v>
      </c>
      <c r="K15" s="348">
        <f>'Revision 05.01.19'!AB185</f>
        <v>2460.3026018580322</v>
      </c>
      <c r="L15" s="1">
        <f t="shared" ref="L15:L17" si="1">(K15-T15)/T15</f>
        <v>0</v>
      </c>
      <c r="O15" t="s">
        <v>159</v>
      </c>
      <c r="P15" s="348">
        <v>1879.2710451087662</v>
      </c>
      <c r="Q15" s="348">
        <v>2026.3679327527882</v>
      </c>
      <c r="R15" s="348">
        <v>2165.6047665462388</v>
      </c>
      <c r="S15" s="348">
        <v>2310.4891181238913</v>
      </c>
      <c r="T15" s="348">
        <f>'Revision 01.10.19'!AB185</f>
        <v>2460.3026018580322</v>
      </c>
    </row>
    <row r="16" spans="1:20" x14ac:dyDescent="0.3">
      <c r="B16" t="s">
        <v>161</v>
      </c>
      <c r="C16" s="348">
        <f>'Revision 05.01.19'!V186</f>
        <v>4743.3830156738813</v>
      </c>
      <c r="D16" s="1">
        <f>(C16-P16)/P16</f>
        <v>0</v>
      </c>
      <c r="E16" s="348">
        <f>'Revision 05.01.19'!X186</f>
        <v>5108.3176329951712</v>
      </c>
      <c r="F16" s="1">
        <f>(E16-Q16)/Q16</f>
        <v>0</v>
      </c>
      <c r="G16" s="348">
        <f>'Revision 05.01.19'!Z186</f>
        <v>5484.8276332678861</v>
      </c>
      <c r="H16" s="1">
        <f>(G16-R16)/R16</f>
        <v>0</v>
      </c>
      <c r="I16" s="348">
        <f>'Revision 05.01.19'!AA186</f>
        <v>5876.0264500051917</v>
      </c>
      <c r="J16" s="1">
        <f>(I16-S16)/S16</f>
        <v>0</v>
      </c>
      <c r="K16" s="348">
        <f>'Revision 05.01.19'!AB186</f>
        <v>6280.6792883586822</v>
      </c>
      <c r="L16" s="1">
        <f t="shared" si="1"/>
        <v>0</v>
      </c>
      <c r="O16" t="s">
        <v>161</v>
      </c>
      <c r="P16" s="348">
        <v>4743.3830156738813</v>
      </c>
      <c r="Q16" s="348">
        <v>5108.3176329951712</v>
      </c>
      <c r="R16" s="348">
        <v>5484.8276332678861</v>
      </c>
      <c r="S16" s="348">
        <v>5876.0264500051917</v>
      </c>
      <c r="T16" s="348">
        <f>'Revision 01.10.19'!AB186</f>
        <v>6280.6792883586822</v>
      </c>
    </row>
    <row r="17" spans="1:20" x14ac:dyDescent="0.3">
      <c r="A17" t="s">
        <v>164</v>
      </c>
      <c r="C17" s="349">
        <f>SUM(C13:C16)</f>
        <v>10493.201830185113</v>
      </c>
      <c r="D17" s="1">
        <f>(C17-P17)/P17</f>
        <v>-2.1170929717279578E-2</v>
      </c>
      <c r="E17" s="349">
        <f>SUM(E13:E16)</f>
        <v>11327.331760339637</v>
      </c>
      <c r="F17" s="1">
        <f>(E17-Q17)/Q17</f>
        <v>-2.1242439514112164E-2</v>
      </c>
      <c r="G17" s="349">
        <f>SUM(G13:G16)</f>
        <v>12146.120382241686</v>
      </c>
      <c r="H17" s="1">
        <f>(G17-R17)/R17</f>
        <v>-2.124234310721327E-2</v>
      </c>
      <c r="I17" s="349">
        <f>SUM(I13:I16)</f>
        <v>12997.663109367233</v>
      </c>
      <c r="J17" s="1">
        <f>(I17-S17)/S17</f>
        <v>-2.1243531282325638E-2</v>
      </c>
      <c r="K17" s="349">
        <f>SUM(K13:K16)</f>
        <v>13878.409097424901</v>
      </c>
      <c r="L17" s="1">
        <f t="shared" si="1"/>
        <v>-2.1244613158816532E-2</v>
      </c>
      <c r="N17" t="s">
        <v>164</v>
      </c>
      <c r="P17" s="349">
        <f>SUM(P13:P16)</f>
        <v>10720.157531850076</v>
      </c>
      <c r="Q17" s="349">
        <f>SUM(Q13:Q16)</f>
        <v>11573.174213557413</v>
      </c>
      <c r="R17" s="349">
        <f>SUM(R13:R16)</f>
        <v>12409.732170884232</v>
      </c>
      <c r="S17" s="349">
        <f>SUM(S13:S16)</f>
        <v>13279.772369112641</v>
      </c>
      <c r="T17" s="349">
        <f>SUM(T13:T16)</f>
        <v>14179.650282401832</v>
      </c>
    </row>
    <row r="18" spans="1:20" x14ac:dyDescent="0.3">
      <c r="E18" s="10">
        <f>(E17-Q17)/Q17</f>
        <v>-2.1242439514112164E-2</v>
      </c>
      <c r="G18" s="10">
        <f>(G17-R17)/R17</f>
        <v>-2.124234310721327E-2</v>
      </c>
      <c r="I18" s="10">
        <f>(I17-S17)/S17</f>
        <v>-2.1243531282325638E-2</v>
      </c>
      <c r="K18" s="10">
        <f>(K17-T17)/T17</f>
        <v>-2.1244613158816532E-2</v>
      </c>
    </row>
    <row r="19" spans="1:20" x14ac:dyDescent="0.3">
      <c r="E19" s="10"/>
      <c r="G19" s="10"/>
      <c r="I19" s="10"/>
      <c r="K19" s="10"/>
    </row>
    <row r="20" spans="1:20" x14ac:dyDescent="0.3">
      <c r="A20" s="345" t="s">
        <v>165</v>
      </c>
      <c r="B20" s="345"/>
      <c r="C20" s="350">
        <f>C11+C17</f>
        <v>48109.619055263167</v>
      </c>
      <c r="D20" s="351">
        <f>(C20-P20)/P20</f>
        <v>-2.3447386985300019E-2</v>
      </c>
      <c r="E20" s="350">
        <f>E11+E17</f>
        <v>51900.478329696125</v>
      </c>
      <c r="F20" s="352">
        <f>(E20-Q20)/Q20</f>
        <v>-2.3686014037382738E-2</v>
      </c>
      <c r="G20" s="350">
        <f>G11+G17</f>
        <v>55888.825613441302</v>
      </c>
      <c r="H20" s="352">
        <f>(G20-R20)/R20</f>
        <v>-2.3901925187251684E-2</v>
      </c>
      <c r="I20" s="350">
        <f>I11+I17</f>
        <v>60482.216706404819</v>
      </c>
      <c r="J20" s="352">
        <f>(I20-S20)/S20</f>
        <v>-2.4134216325129784E-2</v>
      </c>
      <c r="K20" s="350">
        <f>K11+K17</f>
        <v>65236.987912841476</v>
      </c>
      <c r="L20" s="1">
        <f>(K20-T20)/T20</f>
        <v>-2.4341167831620662E-2</v>
      </c>
      <c r="M20" s="345"/>
      <c r="N20" s="345" t="s">
        <v>165</v>
      </c>
      <c r="O20" s="345"/>
      <c r="P20" s="350">
        <f>P11+P17</f>
        <v>49264.748682351819</v>
      </c>
      <c r="Q20" s="350">
        <f>Q11+Q17</f>
        <v>53159.617782719521</v>
      </c>
      <c r="R20" s="350">
        <f>R11+R17</f>
        <v>57257.387403579138</v>
      </c>
      <c r="S20" s="350">
        <f>S11+S17</f>
        <v>61978.007343021789</v>
      </c>
      <c r="T20" s="350">
        <f>T11+T17</f>
        <v>66864.54912508071</v>
      </c>
    </row>
    <row r="21" spans="1:20" x14ac:dyDescent="0.3">
      <c r="C21" s="10">
        <f>(C20-P20)/P20</f>
        <v>-2.3447386985300019E-2</v>
      </c>
      <c r="E21" s="10">
        <f>(E20-Q20)/Q20</f>
        <v>-2.3686014037382738E-2</v>
      </c>
      <c r="G21" s="10">
        <f>(G20-R20)/R20</f>
        <v>-2.3901925187251684E-2</v>
      </c>
      <c r="I21" s="10">
        <f>(I20-S20)/S20</f>
        <v>-2.4134216325129784E-2</v>
      </c>
      <c r="K21" s="10">
        <f>(K20-T20)/T20</f>
        <v>-2.4341167831620662E-2</v>
      </c>
    </row>
    <row r="23" spans="1:20" x14ac:dyDescent="0.3">
      <c r="C23">
        <v>48110</v>
      </c>
      <c r="E23">
        <v>51772.644639228907</v>
      </c>
      <c r="F23">
        <v>-2.6090728288521926E-2</v>
      </c>
      <c r="G23">
        <v>55751.168407496902</v>
      </c>
      <c r="H23">
        <v>-2.6306107637529268E-2</v>
      </c>
      <c r="I23">
        <v>60333.24572929545</v>
      </c>
      <c r="J23">
        <v>-2.6537826629747657E-2</v>
      </c>
      <c r="K23">
        <v>65076.305676602962</v>
      </c>
    </row>
    <row r="24" spans="1:20" x14ac:dyDescent="0.3">
      <c r="E24" s="348">
        <f>+E20-E23</f>
        <v>127.83369046721782</v>
      </c>
      <c r="F24" s="348">
        <f t="shared" ref="F24:K24" si="2">+F20-F23</f>
        <v>2.4047142511391881E-3</v>
      </c>
      <c r="G24" s="348">
        <f t="shared" si="2"/>
        <v>137.65720594440063</v>
      </c>
      <c r="H24" s="348">
        <f t="shared" si="2"/>
        <v>2.4041824502775838E-3</v>
      </c>
      <c r="I24" s="348">
        <f t="shared" si="2"/>
        <v>148.97097710936941</v>
      </c>
      <c r="J24" s="348">
        <f t="shared" si="2"/>
        <v>2.4036103046178731E-3</v>
      </c>
      <c r="K24" s="348">
        <f t="shared" si="2"/>
        <v>160.68223623851372</v>
      </c>
    </row>
    <row r="25" spans="1:20" x14ac:dyDescent="0.3">
      <c r="E25" s="10">
        <f>(+E20-$C$23)/$C$23</f>
        <v>7.878774329029567E-2</v>
      </c>
      <c r="F25" s="10">
        <f t="shared" ref="F25" si="3">(+F23-$C$23)/$C$23</f>
        <v>-1.0000005423140363</v>
      </c>
      <c r="G25" s="10">
        <f>(+G20-E20 )/E20</f>
        <v>7.6846060231070101E-2</v>
      </c>
      <c r="H25" s="10">
        <f t="shared" ref="H25:J25" si="4">(+H23-F23 )/F23</f>
        <v>8.255014832303233E-3</v>
      </c>
      <c r="I25" s="10">
        <f>(+I20-G20 )/G20</f>
        <v>8.2188005250530854E-2</v>
      </c>
      <c r="J25" s="10">
        <f t="shared" si="4"/>
        <v>8.808562460521932E-3</v>
      </c>
      <c r="K25" s="10">
        <f>(+K20-I20 )/I20</f>
        <v>7.8614367418400957E-2</v>
      </c>
    </row>
  </sheetData>
  <mergeCells count="2">
    <mergeCell ref="C3:I3"/>
    <mergeCell ref="P3:S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02"/>
  <sheetViews>
    <sheetView zoomScale="85" zoomScaleNormal="85" workbookViewId="0">
      <pane xSplit="1" ySplit="9" topLeftCell="R10" activePane="bottomRight" state="frozen"/>
      <selection pane="topRight" activeCell="B1" sqref="B1"/>
      <selection pane="bottomLeft" activeCell="A10" sqref="A10"/>
      <selection pane="bottomRight" activeCell="V32" sqref="V32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5.3320312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12.44140625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customWidth="1" collapsed="1"/>
    <col min="19" max="19" width="7.6640625" style="2" customWidth="1"/>
    <col min="20" max="20" width="18.6640625" style="12" customWidth="1"/>
    <col min="21" max="21" width="7.6640625" style="2" customWidth="1"/>
    <col min="22" max="22" width="18.6640625" style="12" customWidth="1"/>
    <col min="23" max="23" width="7.6640625" style="2" customWidth="1"/>
    <col min="24" max="24" width="18.6640625" style="12" customWidth="1"/>
    <col min="25" max="25" width="7.6640625" style="2" customWidth="1"/>
    <col min="26" max="28" width="18.6640625" style="12" customWidth="1"/>
    <col min="29" max="16384" width="9.109375" style="12"/>
  </cols>
  <sheetData>
    <row r="1" spans="1:31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D1" s="300"/>
      <c r="AE1" s="12" t="s">
        <v>103</v>
      </c>
    </row>
    <row r="2" spans="1:31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 t="s">
        <v>145</v>
      </c>
      <c r="W2" s="4"/>
      <c r="X2" s="299" t="s">
        <v>145</v>
      </c>
      <c r="Y2" s="4"/>
      <c r="Z2" s="299" t="s">
        <v>145</v>
      </c>
      <c r="AA2" s="299" t="s">
        <v>145</v>
      </c>
      <c r="AB2" s="299" t="s">
        <v>145</v>
      </c>
    </row>
    <row r="3" spans="1:31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146</v>
      </c>
      <c r="U3" s="36"/>
      <c r="V3" s="264" t="s">
        <v>146</v>
      </c>
      <c r="W3" s="36"/>
      <c r="X3" s="264" t="s">
        <v>146</v>
      </c>
      <c r="Y3" s="36"/>
      <c r="Z3" s="264" t="s">
        <v>146</v>
      </c>
      <c r="AA3" s="264" t="s">
        <v>146</v>
      </c>
      <c r="AB3" s="264" t="s">
        <v>146</v>
      </c>
    </row>
    <row r="4" spans="1:31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</row>
    <row r="5" spans="1:31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07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B7" si="0">Z5+1</f>
        <v>2021</v>
      </c>
      <c r="AB5" s="307">
        <f t="shared" si="0"/>
        <v>2022</v>
      </c>
    </row>
    <row r="6" spans="1:31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308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</row>
    <row r="7" spans="1:31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309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</row>
    <row r="8" spans="1:31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31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</row>
    <row r="9" spans="1:31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311"/>
      <c r="W9" s="55"/>
      <c r="X9" s="311"/>
      <c r="Y9" s="55"/>
      <c r="Z9" s="311"/>
      <c r="AA9" s="311"/>
      <c r="AB9" s="311"/>
    </row>
    <row r="10" spans="1:31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301" t="s">
        <v>25</v>
      </c>
      <c r="U10" s="59"/>
      <c r="V10" s="301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</row>
    <row r="11" spans="1:31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308"/>
      <c r="W11" s="43"/>
      <c r="X11" s="308"/>
      <c r="Y11" s="43"/>
      <c r="Z11" s="308"/>
      <c r="AA11" s="308"/>
      <c r="AB11" s="308"/>
    </row>
    <row r="12" spans="1:31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312"/>
      <c r="W12" s="47"/>
      <c r="X12" s="312"/>
      <c r="Y12" s="47"/>
      <c r="Z12" s="312"/>
      <c r="AA12" s="312"/>
      <c r="AB12" s="312"/>
    </row>
    <row r="13" spans="1:31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313">
        <f>SUM(T13:T19)</f>
        <v>2300000</v>
      </c>
      <c r="W13" s="73"/>
      <c r="X13" s="313">
        <f>SUM(V13:V19)</f>
        <v>2502110</v>
      </c>
      <c r="Y13" s="73"/>
      <c r="Z13" s="313">
        <f t="shared" ref="Z13" si="1">SUM(X13:X19)</f>
        <v>2691211</v>
      </c>
      <c r="AA13" s="313">
        <f>SUM(Z13:Z19)</f>
        <v>2877090</v>
      </c>
      <c r="AB13" s="313">
        <f>SUM(AA13:AA19)</f>
        <v>3098242</v>
      </c>
    </row>
    <row r="14" spans="1:31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313"/>
      <c r="W14" s="73"/>
      <c r="X14" s="313"/>
      <c r="Y14" s="73"/>
      <c r="Z14" s="313"/>
      <c r="AA14" s="313"/>
      <c r="AB14" s="313"/>
    </row>
    <row r="15" spans="1:31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77">
        <v>340135</v>
      </c>
      <c r="W15" s="73"/>
      <c r="X15" s="77">
        <v>316035</v>
      </c>
      <c r="Y15" s="73"/>
      <c r="Z15" s="77">
        <v>305926</v>
      </c>
      <c r="AA15" s="77">
        <v>352619</v>
      </c>
      <c r="AB15" s="77">
        <f>AA15</f>
        <v>352619</v>
      </c>
    </row>
    <row r="16" spans="1:31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77">
        <v>-23668</v>
      </c>
      <c r="W16" s="73"/>
      <c r="X16" s="77">
        <v>-12577</v>
      </c>
      <c r="Y16" s="73"/>
      <c r="Z16" s="77">
        <v>-5690</v>
      </c>
      <c r="AA16" s="77">
        <v>-17110</v>
      </c>
      <c r="AB16" s="77">
        <f>AA16</f>
        <v>-17110</v>
      </c>
    </row>
    <row r="17" spans="1:28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77"/>
      <c r="W17" s="73"/>
      <c r="X17" s="77"/>
      <c r="Y17" s="73"/>
      <c r="Z17" s="77"/>
      <c r="AA17" s="77"/>
      <c r="AB17" s="77"/>
    </row>
    <row r="18" spans="1:28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77">
        <f>-2695-5005</f>
        <v>-7700</v>
      </c>
      <c r="W18" s="73"/>
      <c r="X18" s="77">
        <f>V18</f>
        <v>-7700</v>
      </c>
      <c r="Y18" s="73"/>
      <c r="Z18" s="77">
        <f>X18</f>
        <v>-7700</v>
      </c>
      <c r="AA18" s="77">
        <f>Z18</f>
        <v>-7700</v>
      </c>
      <c r="AB18" s="77">
        <f t="shared" ref="AB18:AB19" si="2">AA18</f>
        <v>-7700</v>
      </c>
    </row>
    <row r="19" spans="1:28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85">
        <v>-106657</v>
      </c>
      <c r="W19" s="84"/>
      <c r="X19" s="85">
        <f>V19</f>
        <v>-106657</v>
      </c>
      <c r="Y19" s="84"/>
      <c r="Z19" s="85">
        <f>X19</f>
        <v>-106657</v>
      </c>
      <c r="AA19" s="85">
        <f>Z19</f>
        <v>-106657</v>
      </c>
      <c r="AB19" s="85">
        <f t="shared" si="2"/>
        <v>-106657</v>
      </c>
    </row>
    <row r="20" spans="1:28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314">
        <f>SUM(T20)</f>
        <v>0.97048102260446989</v>
      </c>
      <c r="W20" s="73"/>
      <c r="X20" s="314">
        <f>SUM(V20)</f>
        <v>0.97048102260446989</v>
      </c>
      <c r="Y20" s="73"/>
      <c r="Z20" s="314">
        <f>SUM(X20)</f>
        <v>0.97048102260446989</v>
      </c>
      <c r="AA20" s="314">
        <f t="shared" ref="AA20:AA21" si="3">SUM(Z20)</f>
        <v>0.97048102260446989</v>
      </c>
      <c r="AB20" s="314">
        <f>SUM(AA20)</f>
        <v>0.97048102260446989</v>
      </c>
    </row>
    <row r="21" spans="1:28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315">
        <f>SUM(T21)</f>
        <v>0.55477100000000001</v>
      </c>
      <c r="W21" s="84"/>
      <c r="X21" s="315">
        <f>SUM(V21)</f>
        <v>0.55477100000000001</v>
      </c>
      <c r="Y21" s="84"/>
      <c r="Z21" s="315">
        <f>SUM(X21)</f>
        <v>0.55477100000000001</v>
      </c>
      <c r="AA21" s="315">
        <f t="shared" si="3"/>
        <v>0.55477100000000001</v>
      </c>
      <c r="AB21" s="315">
        <f>SUM(AA21)</f>
        <v>0.55477100000000001</v>
      </c>
    </row>
    <row r="22" spans="1:28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4">SUM(G13:G19)*G20*G21</f>
        <v>749495.24554680008</v>
      </c>
      <c r="I22" s="69">
        <f t="shared" si="4"/>
        <v>822232.32062400004</v>
      </c>
      <c r="J22" s="70"/>
      <c r="K22" s="71"/>
      <c r="L22" s="69">
        <f t="shared" ref="L22:N22" si="5">SUM(L13:L19)*L20*L21</f>
        <v>962461.34900000005</v>
      </c>
      <c r="M22" s="72"/>
      <c r="N22" s="69">
        <f t="shared" si="5"/>
        <v>1154211.1569999997</v>
      </c>
      <c r="O22" s="70"/>
      <c r="P22" s="70">
        <f t="shared" ref="P22:AA22" si="6">SUM(P13:P19)*P20*P21</f>
        <v>1162234.5759999999</v>
      </c>
      <c r="Q22" s="73"/>
      <c r="R22" s="70">
        <f t="shared" ref="R22" si="7">SUM(R13:R19)*R20*R21</f>
        <v>1207497.787</v>
      </c>
      <c r="S22" s="73"/>
      <c r="T22" s="70">
        <f>SUM(T13:T19)*T20*T21</f>
        <v>1238307.8730000001</v>
      </c>
      <c r="U22" s="73"/>
      <c r="V22" s="313">
        <f>SUM(V13:V19)*V20*V21</f>
        <v>1347122.8313530567</v>
      </c>
      <c r="W22" s="73"/>
      <c r="X22" s="313">
        <f t="shared" si="6"/>
        <v>1448933.8126974797</v>
      </c>
      <c r="Y22" s="73"/>
      <c r="Z22" s="313">
        <f t="shared" si="6"/>
        <v>1549010.0862302477</v>
      </c>
      <c r="AA22" s="313">
        <f t="shared" si="6"/>
        <v>1668077.1569822896</v>
      </c>
      <c r="AB22" s="313">
        <f>SUM(AB13:AB19)*AB20*AB21</f>
        <v>1787144.2277343313</v>
      </c>
    </row>
    <row r="23" spans="1:28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313"/>
      <c r="W23" s="73"/>
      <c r="X23" s="313"/>
      <c r="Y23" s="73"/>
      <c r="Z23" s="313"/>
      <c r="AA23" s="313"/>
      <c r="AB23" s="313"/>
    </row>
    <row r="24" spans="1:28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8">SUM(I22)</f>
        <v>822232.32062400004</v>
      </c>
      <c r="J24" s="70"/>
      <c r="K24" s="71"/>
      <c r="L24" s="69">
        <f t="shared" ref="L24" si="9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313">
        <f>SUM(V22)</f>
        <v>1347122.8313530567</v>
      </c>
      <c r="W24" s="73"/>
      <c r="X24" s="313">
        <f t="shared" ref="X24:AA24" si="10">SUM(X22)</f>
        <v>1448933.8126974797</v>
      </c>
      <c r="Y24" s="73"/>
      <c r="Z24" s="313">
        <f t="shared" si="10"/>
        <v>1549010.0862302477</v>
      </c>
      <c r="AA24" s="313">
        <f t="shared" si="10"/>
        <v>1668077.1569822896</v>
      </c>
      <c r="AB24" s="313">
        <f>SUM(AB22)</f>
        <v>1787144.2277343313</v>
      </c>
    </row>
    <row r="25" spans="1:28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70">
        <v>1064023.335</v>
      </c>
      <c r="Q25" s="73"/>
      <c r="R25" s="70">
        <v>1117051.1471780001</v>
      </c>
      <c r="S25" s="73"/>
      <c r="T25" s="70"/>
      <c r="U25" s="73"/>
      <c r="V25" s="313"/>
      <c r="W25" s="73"/>
      <c r="X25" s="313"/>
      <c r="Y25" s="73"/>
      <c r="Z25" s="313"/>
      <c r="AA25" s="313"/>
      <c r="AB25" s="313"/>
    </row>
    <row r="26" spans="1:28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302">
        <f>R26</f>
        <v>0.92471903256082744</v>
      </c>
      <c r="U26" s="81"/>
      <c r="V26" s="316">
        <f>SUM(T26)</f>
        <v>0.92471903256082744</v>
      </c>
      <c r="W26" s="81"/>
      <c r="X26" s="316">
        <f>SUM(V26)</f>
        <v>0.92471903256082744</v>
      </c>
      <c r="Y26" s="81"/>
      <c r="Z26" s="316">
        <f>SUM(X26)</f>
        <v>0.92471903256082744</v>
      </c>
      <c r="AA26" s="316">
        <f t="shared" ref="AA26" si="11">SUM(Z26)</f>
        <v>0.92471903256082744</v>
      </c>
      <c r="AB26" s="316">
        <f>SUM(AA26)</f>
        <v>0.92471903256082744</v>
      </c>
    </row>
    <row r="27" spans="1:28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2">SUM(G24*G26)</f>
        <v>681556.79615745938</v>
      </c>
      <c r="I27" s="69">
        <f t="shared" si="12"/>
        <v>765508.78650503687</v>
      </c>
      <c r="J27" s="70"/>
      <c r="K27" s="71"/>
      <c r="L27" s="69">
        <f t="shared" ref="L27:AA27" si="13">SUM(L24*L26)</f>
        <v>898630</v>
      </c>
      <c r="M27" s="72"/>
      <c r="N27" s="69">
        <f t="shared" si="13"/>
        <v>1070854.5930000001</v>
      </c>
      <c r="O27" s="72"/>
      <c r="P27" s="70">
        <f>SUM(P24*P26)</f>
        <v>1064023.335</v>
      </c>
      <c r="R27" s="70">
        <f t="shared" ref="R27" si="14">SUM(R24*R26)</f>
        <v>1117051.1471780001</v>
      </c>
      <c r="T27" s="70">
        <f>SUM(T24*T26)</f>
        <v>1145410.0032483826</v>
      </c>
      <c r="U27" s="71"/>
      <c r="V27" s="313">
        <f>SUM(V24*V26)</f>
        <v>1245710.1213494013</v>
      </c>
      <c r="W27" s="71"/>
      <c r="X27" s="313">
        <f t="shared" si="13"/>
        <v>1339856.6735222847</v>
      </c>
      <c r="Y27" s="71"/>
      <c r="Z27" s="313">
        <f t="shared" si="13"/>
        <v>1432399.1083657986</v>
      </c>
      <c r="AA27" s="313">
        <f t="shared" si="13"/>
        <v>1542502.6948414783</v>
      </c>
      <c r="AB27" s="313">
        <f>SUM(AB24*AB26)</f>
        <v>1652606.2813171579</v>
      </c>
    </row>
    <row r="28" spans="1:28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313">
        <v>0</v>
      </c>
      <c r="W28" s="71"/>
      <c r="X28" s="313">
        <v>0</v>
      </c>
      <c r="Y28" s="71"/>
      <c r="Z28" s="313">
        <v>0</v>
      </c>
      <c r="AA28" s="313">
        <v>0</v>
      </c>
      <c r="AB28" s="313">
        <v>0</v>
      </c>
    </row>
    <row r="29" spans="1:28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5">SUM(G27:G28)</f>
        <v>681556.79615745938</v>
      </c>
      <c r="I29" s="99">
        <f t="shared" si="15"/>
        <v>765508.78650503687</v>
      </c>
      <c r="J29" s="100"/>
      <c r="K29" s="101"/>
      <c r="L29" s="99">
        <f t="shared" ref="L29:AA29" si="16">SUM(L27:L28)</f>
        <v>898630</v>
      </c>
      <c r="M29" s="102"/>
      <c r="N29" s="99">
        <f t="shared" si="16"/>
        <v>1070854.5930000001</v>
      </c>
      <c r="O29" s="102"/>
      <c r="P29" s="100">
        <f t="shared" si="16"/>
        <v>1064023.335</v>
      </c>
      <c r="Q29" s="101"/>
      <c r="R29" s="100">
        <f t="shared" ref="R29" si="17">SUM(R27:R28)</f>
        <v>1117051.1471780001</v>
      </c>
      <c r="S29" s="101"/>
      <c r="T29" s="100">
        <f>SUM(T27:T28)</f>
        <v>1145410.0032483826</v>
      </c>
      <c r="U29" s="101"/>
      <c r="V29" s="317">
        <f>SUM(V27:V28)</f>
        <v>1245710.1213494013</v>
      </c>
      <c r="W29" s="101"/>
      <c r="X29" s="317">
        <f t="shared" si="16"/>
        <v>1339856.6735222847</v>
      </c>
      <c r="Y29" s="101"/>
      <c r="Z29" s="317">
        <f t="shared" si="16"/>
        <v>1432399.1083657986</v>
      </c>
      <c r="AA29" s="317">
        <f t="shared" si="16"/>
        <v>1542502.6948414783</v>
      </c>
      <c r="AB29" s="317">
        <f>SUM(AB27:AB28)</f>
        <v>1652606.2813171579</v>
      </c>
    </row>
    <row r="30" spans="1:28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305">
        <v>0.02</v>
      </c>
      <c r="T30" s="303">
        <f>SUM(R30*(1+S30))</f>
        <v>1.2857301111464147E-2</v>
      </c>
      <c r="U30" s="305">
        <v>0.01</v>
      </c>
      <c r="V30" s="318">
        <f>SUM(T30*(1+U30))</f>
        <v>1.2985874122578789E-2</v>
      </c>
      <c r="W30" s="305">
        <v>1.4999999999999999E-2</v>
      </c>
      <c r="X30" s="318">
        <f>SUM(V30*(1+W30))</f>
        <v>1.3180662234417469E-2</v>
      </c>
      <c r="Y30" s="305">
        <v>0.02</v>
      </c>
      <c r="Z30" s="318">
        <f>SUM(X30*(1+Y30))</f>
        <v>1.3444275479105818E-2</v>
      </c>
      <c r="AA30" s="318">
        <f>SUM(Z30*(1+Y30))</f>
        <v>1.3713160988687934E-2</v>
      </c>
      <c r="AB30" s="318">
        <f>SUM(AA30*(1+Y30))</f>
        <v>1.3987424208461692E-2</v>
      </c>
    </row>
    <row r="31" spans="1:28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319"/>
      <c r="W31" s="71"/>
      <c r="X31" s="319"/>
      <c r="Y31" s="71"/>
      <c r="Z31" s="319"/>
      <c r="AA31" s="319"/>
      <c r="AB31" s="319"/>
    </row>
    <row r="32" spans="1:28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8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AA32" si="19">SUM(N29*N30)</f>
        <v>12999.765589175515</v>
      </c>
      <c r="O32" s="113"/>
      <c r="P32" s="141">
        <f t="shared" si="19"/>
        <v>12677.752</v>
      </c>
      <c r="Q32" s="114"/>
      <c r="R32" s="141">
        <f t="shared" ref="R32" si="20">SUM(R29*R30)</f>
        <v>14080.649957033333</v>
      </c>
      <c r="S32" s="114"/>
      <c r="T32" s="486">
        <f>SUM(T29*T30)</f>
        <v>14726.881307847581</v>
      </c>
      <c r="U32" s="114"/>
      <c r="V32" s="320">
        <f>SUM(V29*V30)</f>
        <v>16176.634829065673</v>
      </c>
      <c r="W32" s="114"/>
      <c r="X32" s="320">
        <f t="shared" si="19"/>
        <v>17660.198256227395</v>
      </c>
      <c r="Y32" s="114"/>
      <c r="Z32" s="320">
        <f t="shared" si="19"/>
        <v>19257.568208895344</v>
      </c>
      <c r="AA32" s="320">
        <f t="shared" si="19"/>
        <v>21152.58777984617</v>
      </c>
      <c r="AB32" s="320">
        <f>SUM(AB29*AB30)</f>
        <v>23115.70510635147</v>
      </c>
    </row>
    <row r="33" spans="1:28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116"/>
      <c r="W33" s="117"/>
      <c r="X33" s="116"/>
      <c r="Y33" s="117"/>
      <c r="Z33" s="116"/>
      <c r="AA33" s="116"/>
      <c r="AB33" s="116"/>
    </row>
    <row r="34" spans="1:28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301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</row>
    <row r="35" spans="1:28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321"/>
      <c r="W35" s="64"/>
      <c r="X35" s="321"/>
      <c r="Y35" s="64"/>
      <c r="Z35" s="321"/>
      <c r="AA35" s="321"/>
      <c r="AB35" s="321"/>
    </row>
    <row r="36" spans="1:28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321"/>
      <c r="W36" s="64"/>
      <c r="X36" s="321"/>
      <c r="Y36" s="64"/>
      <c r="Z36" s="321"/>
      <c r="AA36" s="321"/>
      <c r="AB36" s="321"/>
    </row>
    <row r="37" spans="1:28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313">
        <f>SUM(T37:T42)</f>
        <v>2425722.202</v>
      </c>
      <c r="W37" s="73"/>
      <c r="X37" s="313">
        <f>SUM(V37:V42)</f>
        <v>2627832.202</v>
      </c>
      <c r="Y37" s="73"/>
      <c r="Z37" s="313">
        <f>SUM(X37:X42)</f>
        <v>2816933.202</v>
      </c>
      <c r="AA37" s="313">
        <f>SUM(Z37:Z42)</f>
        <v>3002812.202</v>
      </c>
      <c r="AB37" s="313">
        <f>SUM(AA37:AA42)</f>
        <v>3223964.202</v>
      </c>
    </row>
    <row r="38" spans="1:28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322"/>
      <c r="W38" s="73"/>
      <c r="X38" s="322"/>
      <c r="Y38" s="73"/>
      <c r="Z38" s="322"/>
      <c r="AA38" s="322"/>
      <c r="AB38" s="322"/>
    </row>
    <row r="39" spans="1:28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344">
        <f t="shared" ref="V39:AA40" si="21">SUM(V15)</f>
        <v>340135</v>
      </c>
      <c r="W39" s="73"/>
      <c r="X39" s="344">
        <f t="shared" si="21"/>
        <v>316035</v>
      </c>
      <c r="Y39" s="73"/>
      <c r="Z39" s="344">
        <f t="shared" si="21"/>
        <v>305926</v>
      </c>
      <c r="AA39" s="344">
        <f t="shared" si="21"/>
        <v>352619</v>
      </c>
      <c r="AB39" s="344">
        <f>SUM(AB15)</f>
        <v>352619</v>
      </c>
    </row>
    <row r="40" spans="1:28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344">
        <f t="shared" si="21"/>
        <v>-23668</v>
      </c>
      <c r="W40" s="73"/>
      <c r="X40" s="344">
        <f t="shared" si="21"/>
        <v>-12577</v>
      </c>
      <c r="Y40" s="73"/>
      <c r="Z40" s="344">
        <f t="shared" si="21"/>
        <v>-5690</v>
      </c>
      <c r="AA40" s="344">
        <f t="shared" si="21"/>
        <v>-17110</v>
      </c>
      <c r="AB40" s="344">
        <f>SUM(AB16)</f>
        <v>-17110</v>
      </c>
    </row>
    <row r="41" spans="1:28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344">
        <f t="shared" ref="V41:AA42" si="22">SUM(V18)</f>
        <v>-7700</v>
      </c>
      <c r="W41" s="73"/>
      <c r="X41" s="344">
        <f t="shared" si="22"/>
        <v>-7700</v>
      </c>
      <c r="Y41" s="73"/>
      <c r="Z41" s="344">
        <f t="shared" si="22"/>
        <v>-7700</v>
      </c>
      <c r="AA41" s="344">
        <f t="shared" si="22"/>
        <v>-7700</v>
      </c>
      <c r="AB41" s="344">
        <f>SUM(AB18)</f>
        <v>-7700</v>
      </c>
    </row>
    <row r="42" spans="1:28" x14ac:dyDescent="0.3">
      <c r="A42" s="56" t="s">
        <v>52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344">
        <f t="shared" si="22"/>
        <v>-106657</v>
      </c>
      <c r="W42" s="73"/>
      <c r="X42" s="344">
        <f t="shared" si="22"/>
        <v>-106657</v>
      </c>
      <c r="Y42" s="73"/>
      <c r="Z42" s="344">
        <f t="shared" si="22"/>
        <v>-106657</v>
      </c>
      <c r="AA42" s="344">
        <f t="shared" si="22"/>
        <v>-106657</v>
      </c>
      <c r="AB42" s="344">
        <f>SUM(AB19)</f>
        <v>-106657</v>
      </c>
    </row>
    <row r="43" spans="1:28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323"/>
      <c r="W43" s="84"/>
      <c r="X43" s="323"/>
      <c r="Y43" s="84"/>
      <c r="Z43" s="323"/>
      <c r="AA43" s="323"/>
      <c r="AB43" s="323"/>
    </row>
    <row r="44" spans="1:28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314">
        <v>1</v>
      </c>
      <c r="W44" s="73"/>
      <c r="X44" s="314">
        <v>1</v>
      </c>
      <c r="Y44" s="73"/>
      <c r="Z44" s="314">
        <v>1</v>
      </c>
      <c r="AA44" s="314">
        <v>1</v>
      </c>
      <c r="AB44" s="314">
        <v>1</v>
      </c>
    </row>
    <row r="45" spans="1:28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315">
        <f>SUM(T45)</f>
        <v>0.24860597825372915</v>
      </c>
      <c r="W45" s="84"/>
      <c r="X45" s="315">
        <f>SUM(V45)</f>
        <v>0.24860597825372915</v>
      </c>
      <c r="Y45" s="84"/>
      <c r="Z45" s="315">
        <f>SUM(X45)</f>
        <v>0.24860597825372915</v>
      </c>
      <c r="AA45" s="315">
        <f t="shared" ref="AA45" si="23">SUM(Z45)</f>
        <v>0.24860597825372915</v>
      </c>
      <c r="AB45" s="315">
        <f>SUM(AA45)</f>
        <v>0.24860597825372915</v>
      </c>
    </row>
    <row r="46" spans="1:28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313">
        <f>SUM(V37:V43)*V44*V45</f>
        <v>653294.7952648612</v>
      </c>
      <c r="W46" s="73"/>
      <c r="X46" s="313">
        <f>SUM(X37:X43)*X44*X45</f>
        <v>700306.43435861962</v>
      </c>
      <c r="Y46" s="73"/>
      <c r="Z46" s="313">
        <f>SUM(Z37:Z43)*Z44*Z45</f>
        <v>746517.06499044457</v>
      </c>
      <c r="AA46" s="313">
        <f>SUM(AA37:AA43)*AA44*AA45</f>
        <v>801496.77429321327</v>
      </c>
      <c r="AB46" s="313">
        <f>SUM(AB37:AB43)*AB44*AB45</f>
        <v>856476.48359598196</v>
      </c>
    </row>
    <row r="47" spans="1:28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323">
        <f>SUM(T47)</f>
        <v>-29203</v>
      </c>
      <c r="W47" s="84"/>
      <c r="X47" s="323">
        <f>SUM(V47)</f>
        <v>-29203</v>
      </c>
      <c r="Y47" s="84"/>
      <c r="Z47" s="323">
        <f>SUM(X47)</f>
        <v>-29203</v>
      </c>
      <c r="AA47" s="323">
        <f t="shared" ref="AA47" si="24">SUM(Z47)</f>
        <v>-29203</v>
      </c>
      <c r="AB47" s="323">
        <f>SUM(AA47)</f>
        <v>-29203</v>
      </c>
    </row>
    <row r="48" spans="1:28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5">SUM(L46:L47)</f>
        <v>469394.93499999994</v>
      </c>
      <c r="M48" s="72"/>
      <c r="N48" s="69">
        <f t="shared" si="25"/>
        <v>504910.23699999996</v>
      </c>
      <c r="O48" s="70"/>
      <c r="P48" s="70">
        <f t="shared" si="25"/>
        <v>504754.00099999999</v>
      </c>
      <c r="Q48" s="73"/>
      <c r="R48" s="70">
        <f>SUM(R46:R47)</f>
        <v>549171.69446199993</v>
      </c>
      <c r="S48" s="73"/>
      <c r="T48" s="70">
        <f t="shared" si="25"/>
        <v>573846.04099999997</v>
      </c>
      <c r="U48" s="73"/>
      <c r="V48" s="313">
        <f>SUM(V46:V47)</f>
        <v>624091.7952648612</v>
      </c>
      <c r="W48" s="73"/>
      <c r="X48" s="313">
        <f t="shared" si="25"/>
        <v>671103.43435861962</v>
      </c>
      <c r="Y48" s="73"/>
      <c r="Z48" s="313">
        <f t="shared" si="25"/>
        <v>717314.06499044457</v>
      </c>
      <c r="AA48" s="313">
        <f t="shared" si="25"/>
        <v>772293.77429321327</v>
      </c>
      <c r="AB48" s="313">
        <f>SUM(AB46:AB47)</f>
        <v>827273.48359598196</v>
      </c>
    </row>
    <row r="49" spans="1:28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324">
        <v>1</v>
      </c>
      <c r="W49" s="84"/>
      <c r="X49" s="324">
        <v>1</v>
      </c>
      <c r="Y49" s="84"/>
      <c r="Z49" s="324">
        <v>1</v>
      </c>
      <c r="AA49" s="324">
        <v>1</v>
      </c>
      <c r="AB49" s="324">
        <v>1</v>
      </c>
    </row>
    <row r="50" spans="1:28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6">SUM(G48*G49)</f>
        <v>426852.43202319462</v>
      </c>
      <c r="I50" s="69">
        <f t="shared" si="26"/>
        <v>468663.26434402453</v>
      </c>
      <c r="J50" s="70"/>
      <c r="K50" s="71"/>
      <c r="L50" s="69">
        <f t="shared" ref="L50:AA50" si="27">SUM(L48*L49)</f>
        <v>469394.93499999994</v>
      </c>
      <c r="M50" s="72"/>
      <c r="N50" s="69">
        <f t="shared" si="27"/>
        <v>504910.23699999996</v>
      </c>
      <c r="O50" s="70"/>
      <c r="P50" s="70">
        <f t="shared" si="27"/>
        <v>504754.00099999999</v>
      </c>
      <c r="Q50" s="73"/>
      <c r="R50" s="70">
        <f>SUM(R48*R49)</f>
        <v>549171.69446199993</v>
      </c>
      <c r="S50" s="73"/>
      <c r="T50" s="70">
        <f t="shared" si="27"/>
        <v>573846.04099999997</v>
      </c>
      <c r="U50" s="73"/>
      <c r="V50" s="313">
        <f>SUM(V48*V49)</f>
        <v>624091.7952648612</v>
      </c>
      <c r="W50" s="73"/>
      <c r="X50" s="313">
        <f t="shared" si="27"/>
        <v>671103.43435861962</v>
      </c>
      <c r="Y50" s="73"/>
      <c r="Z50" s="313">
        <f t="shared" si="27"/>
        <v>717314.06499044457</v>
      </c>
      <c r="AA50" s="313">
        <f t="shared" si="27"/>
        <v>772293.77429321327</v>
      </c>
      <c r="AB50" s="313">
        <f>SUM(AB48*AB49)</f>
        <v>827273.48359598196</v>
      </c>
    </row>
    <row r="51" spans="1:28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305">
        <f>$U$30</f>
        <v>0.01</v>
      </c>
      <c r="V51" s="318">
        <f>SUM(T51*(1+U51))</f>
        <v>1.0914772876336704E-2</v>
      </c>
      <c r="W51" s="305">
        <f>$W$30</f>
        <v>1.4999999999999999E-2</v>
      </c>
      <c r="X51" s="318">
        <f>SUM(V51*(1+W51))</f>
        <v>1.1078494469481753E-2</v>
      </c>
      <c r="Y51" s="305">
        <f>$Y$30</f>
        <v>0.02</v>
      </c>
      <c r="Z51" s="318">
        <f>SUM(X51*(1+Y51))</f>
        <v>1.1300064358871388E-2</v>
      </c>
      <c r="AA51" s="318">
        <f>SUM(Z51*(1+Y51))</f>
        <v>1.1526065646048815E-2</v>
      </c>
      <c r="AB51" s="318">
        <f>SUM(AA51*(1+Y51))</f>
        <v>1.1756586958969792E-2</v>
      </c>
    </row>
    <row r="52" spans="1:28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319"/>
      <c r="W52" s="71"/>
      <c r="X52" s="319"/>
      <c r="Y52" s="71"/>
      <c r="Z52" s="319"/>
      <c r="AA52" s="319"/>
      <c r="AB52" s="319"/>
    </row>
    <row r="53" spans="1:28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8">SUM(G50*G51)</f>
        <v>4690.254523070862</v>
      </c>
      <c r="I53" s="112">
        <f t="shared" si="28"/>
        <v>5359.0285675337436</v>
      </c>
      <c r="J53" s="141"/>
      <c r="K53" s="114"/>
      <c r="L53" s="112">
        <f t="shared" ref="L53:AA53" si="29">SUM(L50*L51)</f>
        <v>5440.7422465869995</v>
      </c>
      <c r="M53" s="113"/>
      <c r="N53" s="112">
        <f t="shared" si="29"/>
        <v>5717.717903841688</v>
      </c>
      <c r="O53" s="113"/>
      <c r="P53" s="141">
        <f t="shared" si="29"/>
        <v>5675.1669887565686</v>
      </c>
      <c r="Q53" s="114"/>
      <c r="R53" s="141">
        <f>SUM(R50*R51)</f>
        <v>6132.3038800000004</v>
      </c>
      <c r="S53" s="114"/>
      <c r="T53" s="141">
        <f>SUM(T50*T51)</f>
        <v>6201.3853499999996</v>
      </c>
      <c r="U53" s="114"/>
      <c r="V53" s="320">
        <f>SUM(V50*V51)</f>
        <v>6811.8201993011862</v>
      </c>
      <c r="W53" s="114"/>
      <c r="X53" s="320">
        <f>SUM(X50*X51)</f>
        <v>7434.8156859921783</v>
      </c>
      <c r="Y53" s="114"/>
      <c r="Z53" s="320">
        <f t="shared" si="29"/>
        <v>8105.695099915677</v>
      </c>
      <c r="AA53" s="320">
        <f t="shared" si="29"/>
        <v>8901.5087405383838</v>
      </c>
      <c r="AB53" s="320">
        <f>SUM(AB50*AB51)</f>
        <v>9725.9126487460308</v>
      </c>
    </row>
    <row r="54" spans="1:28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</row>
    <row r="55" spans="1:28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301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</row>
    <row r="56" spans="1:28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31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</row>
    <row r="57" spans="1:28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325">
        <f>T57</f>
        <v>4198000</v>
      </c>
      <c r="W57" s="152"/>
      <c r="X57" s="325">
        <f>SUM(V57:V60)</f>
        <v>4469918</v>
      </c>
      <c r="Y57" s="152"/>
      <c r="Z57" s="325">
        <f>SUM(X57:X60)</f>
        <v>4726910</v>
      </c>
      <c r="AA57" s="325">
        <f>SUM(Z57:Z60)</f>
        <v>4964930</v>
      </c>
      <c r="AB57" s="325">
        <f>SUM(AA57:AA60)</f>
        <v>5249985</v>
      </c>
    </row>
    <row r="58" spans="1:28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313"/>
      <c r="W58" s="73"/>
      <c r="X58" s="313"/>
      <c r="Y58" s="73"/>
      <c r="Z58" s="313"/>
      <c r="AA58" s="313"/>
      <c r="AB58" s="313"/>
    </row>
    <row r="59" spans="1:28" x14ac:dyDescent="0.3">
      <c r="A59" s="56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322">
        <f>SUM(V15+V118)</f>
        <v>409152</v>
      </c>
      <c r="W59" s="73"/>
      <c r="X59" s="322">
        <f>SUM(X15+X118)</f>
        <v>394226</v>
      </c>
      <c r="Y59" s="73"/>
      <c r="Z59" s="322">
        <f>SUM(Z15+Z118)</f>
        <v>375254</v>
      </c>
      <c r="AA59" s="322">
        <f>SUM(AA15+AA118)</f>
        <v>422289</v>
      </c>
      <c r="AB59" s="322">
        <f>SUM(AB15+AB118)</f>
        <v>422289</v>
      </c>
    </row>
    <row r="60" spans="1:28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313">
        <f>SUM(V19+V119)</f>
        <v>-137234</v>
      </c>
      <c r="W60" s="73"/>
      <c r="X60" s="313">
        <f>SUM(X19+X119)</f>
        <v>-137234</v>
      </c>
      <c r="Y60" s="73"/>
      <c r="Z60" s="313">
        <f>SUM(Z19+Z119)</f>
        <v>-137234</v>
      </c>
      <c r="AA60" s="313">
        <f>SUM(AA19+AA119)</f>
        <v>-137234</v>
      </c>
      <c r="AB60" s="313">
        <f>SUM(AB19+AB119)</f>
        <v>-137234</v>
      </c>
    </row>
    <row r="61" spans="1:28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70"/>
      <c r="U61" s="84"/>
      <c r="V61" s="323">
        <f>SUM(V57:V60)*0.1*-1</f>
        <v>-446991.80000000005</v>
      </c>
      <c r="W61" s="84"/>
      <c r="X61" s="323">
        <f>SUM(X57:X60)*0.1*-1</f>
        <v>-472691</v>
      </c>
      <c r="Y61" s="84"/>
      <c r="Z61" s="323">
        <f>SUM(Z57:Z60)*0.1*-1</f>
        <v>-496493</v>
      </c>
      <c r="AA61" s="323">
        <f>SUM(AA57:AA60)*0.1*-1</f>
        <v>-524998.5</v>
      </c>
      <c r="AB61" s="323">
        <f>SUM(AB57:AB60)*0.1*-1</f>
        <v>-553504</v>
      </c>
    </row>
    <row r="62" spans="1:28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313">
        <f>SUM(V57:V61)</f>
        <v>4022926.2</v>
      </c>
      <c r="W62" s="73"/>
      <c r="X62" s="313">
        <f>SUM(X57:X61)</f>
        <v>4254219</v>
      </c>
      <c r="Y62" s="73"/>
      <c r="Z62" s="313">
        <f>SUM(Z57:Z61)</f>
        <v>4468437</v>
      </c>
      <c r="AA62" s="313">
        <f>SUM(AA57:AA61)</f>
        <v>4724986.5</v>
      </c>
      <c r="AB62" s="313">
        <f>SUM(AB57:AB61)</f>
        <v>4981536</v>
      </c>
    </row>
    <row r="63" spans="1:28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314">
        <v>1</v>
      </c>
      <c r="W63" s="73"/>
      <c r="X63" s="314">
        <v>1</v>
      </c>
      <c r="Y63" s="73"/>
      <c r="Z63" s="314">
        <v>1</v>
      </c>
      <c r="AA63" s="314">
        <v>1</v>
      </c>
      <c r="AB63" s="314">
        <v>1</v>
      </c>
    </row>
    <row r="64" spans="1:28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315">
        <f>SUM(T64)</f>
        <v>0.12529813763896241</v>
      </c>
      <c r="W64" s="84"/>
      <c r="X64" s="315">
        <f>SUM(V64)</f>
        <v>0.12529813763896241</v>
      </c>
      <c r="Y64" s="84"/>
      <c r="Z64" s="315">
        <f t="shared" ref="Z64" si="30">SUM(X64)</f>
        <v>0.12529813763896241</v>
      </c>
      <c r="AA64" s="315">
        <f>SUM(Z64)</f>
        <v>0.12529813763896241</v>
      </c>
      <c r="AB64" s="315">
        <f>SUM(AA64)</f>
        <v>0.12529813763896241</v>
      </c>
    </row>
    <row r="65" spans="1:28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31">SUM(G62*G64)</f>
        <v>350240.37700000004</v>
      </c>
      <c r="I65" s="69">
        <f t="shared" si="31"/>
        <v>370904.02</v>
      </c>
      <c r="J65" s="70"/>
      <c r="K65" s="71"/>
      <c r="L65" s="69">
        <f t="shared" ref="L65:Z65" si="32">SUM(L62*L64)</f>
        <v>379502.29200000002</v>
      </c>
      <c r="M65" s="72"/>
      <c r="N65" s="69">
        <f t="shared" si="32"/>
        <v>345023.42800000001</v>
      </c>
      <c r="O65" s="70"/>
      <c r="P65" s="70">
        <f t="shared" si="32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313">
        <f>SUM(V62*V64)</f>
        <v>504065.16071898805</v>
      </c>
      <c r="W65" s="73"/>
      <c r="X65" s="313">
        <f t="shared" si="32"/>
        <v>533045.71780828899</v>
      </c>
      <c r="Y65" s="73"/>
      <c r="Z65" s="313">
        <f t="shared" si="32"/>
        <v>559886.83425703226</v>
      </c>
      <c r="AA65" s="313">
        <f>SUM(AA62*AA64)</f>
        <v>592032.00881923933</v>
      </c>
      <c r="AB65" s="313">
        <f>SUM(AB62*AB64)</f>
        <v>624177.18338144629</v>
      </c>
    </row>
    <row r="66" spans="1:28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313">
        <v>0</v>
      </c>
      <c r="W66" s="73"/>
      <c r="X66" s="313">
        <v>0</v>
      </c>
      <c r="Y66" s="73"/>
      <c r="Z66" s="313">
        <v>0</v>
      </c>
      <c r="AA66" s="313">
        <v>0</v>
      </c>
      <c r="AB66" s="313">
        <v>0</v>
      </c>
    </row>
    <row r="67" spans="1:28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326">
        <v>1</v>
      </c>
      <c r="W67" s="73"/>
      <c r="X67" s="326">
        <v>1</v>
      </c>
      <c r="Y67" s="73"/>
      <c r="Z67" s="326">
        <v>1</v>
      </c>
      <c r="AA67" s="326">
        <v>1</v>
      </c>
      <c r="AB67" s="326">
        <v>1</v>
      </c>
    </row>
    <row r="68" spans="1:28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33">SUM(G65:G66)*G67</f>
        <v>349938.54100000003</v>
      </c>
      <c r="I68" s="69">
        <f t="shared" si="33"/>
        <v>370623.68800000002</v>
      </c>
      <c r="J68" s="70"/>
      <c r="K68" s="71"/>
      <c r="L68" s="69">
        <f t="shared" ref="L68:N68" si="34">SUM(L65:L66)*L67</f>
        <v>379213.82400000002</v>
      </c>
      <c r="M68" s="72"/>
      <c r="N68" s="69">
        <f t="shared" si="34"/>
        <v>344746.50900000002</v>
      </c>
      <c r="O68" s="70"/>
      <c r="P68" s="70">
        <f t="shared" ref="P68:Z68" si="35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313">
        <f>SUM(V65:V66)*V67</f>
        <v>504065.16071898805</v>
      </c>
      <c r="W68" s="73"/>
      <c r="X68" s="313">
        <f t="shared" si="35"/>
        <v>533045.71780828899</v>
      </c>
      <c r="Y68" s="73"/>
      <c r="Z68" s="313">
        <f t="shared" si="35"/>
        <v>559886.83425703226</v>
      </c>
      <c r="AA68" s="313">
        <f>SUM(AA65:AA66)*AA67</f>
        <v>592032.00881923933</v>
      </c>
      <c r="AB68" s="313">
        <f>SUM(AB65:AB66)*AB67</f>
        <v>624177.18338144629</v>
      </c>
    </row>
    <row r="69" spans="1:28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327">
        <f>SUM(T69)</f>
        <v>6.4889987516961456E-2</v>
      </c>
      <c r="W69" s="164"/>
      <c r="X69" s="327">
        <f>SUM(V69)</f>
        <v>6.4889987516961456E-2</v>
      </c>
      <c r="Y69" s="164"/>
      <c r="Z69" s="327">
        <f t="shared" ref="Z69" si="36">SUM(X69)</f>
        <v>6.4889987516961456E-2</v>
      </c>
      <c r="AA69" s="327">
        <f>SUM(Z69)</f>
        <v>6.4889987516961456E-2</v>
      </c>
      <c r="AB69" s="327">
        <f>SUM(AA69)</f>
        <v>6.4889987516961456E-2</v>
      </c>
    </row>
    <row r="70" spans="1:28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7">SUM(G68*G69)</f>
        <v>22904.265934547748</v>
      </c>
      <c r="I70" s="69">
        <f t="shared" si="37"/>
        <v>24673.979228846489</v>
      </c>
      <c r="J70" s="153"/>
      <c r="K70" s="71"/>
      <c r="L70" s="69">
        <f t="shared" ref="L70:Z70" si="38">SUM(L68*L69)</f>
        <v>24737.454518899576</v>
      </c>
      <c r="M70" s="72"/>
      <c r="N70" s="69">
        <f t="shared" si="38"/>
        <v>22376.198131038327</v>
      </c>
      <c r="O70" s="165"/>
      <c r="P70" s="131">
        <f t="shared" si="38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313">
        <f>SUM(V68*V69)</f>
        <v>32708.781986790305</v>
      </c>
      <c r="W70" s="166"/>
      <c r="X70" s="313">
        <f t="shared" si="38"/>
        <v>34589.329974549633</v>
      </c>
      <c r="Y70" s="166"/>
      <c r="Z70" s="313">
        <f t="shared" si="38"/>
        <v>36331.049685849888</v>
      </c>
      <c r="AA70" s="313">
        <f>SUM(AA68*AA69)</f>
        <v>38416.949661922052</v>
      </c>
      <c r="AB70" s="313">
        <f>SUM(AB68*AB69)</f>
        <v>40502.849637994208</v>
      </c>
    </row>
    <row r="71" spans="1:28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313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</row>
    <row r="72" spans="1:28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9">SUM(G70:G71)</f>
        <v>22904.265934547748</v>
      </c>
      <c r="I72" s="99">
        <f t="shared" si="39"/>
        <v>24673.979228846489</v>
      </c>
      <c r="J72" s="167"/>
      <c r="K72" s="101"/>
      <c r="L72" s="99">
        <f t="shared" ref="L72:Z72" si="40">SUM(L70:L71)</f>
        <v>24737.454518899576</v>
      </c>
      <c r="M72" s="102"/>
      <c r="N72" s="99">
        <f t="shared" si="40"/>
        <v>22376.198131038327</v>
      </c>
      <c r="O72" s="102"/>
      <c r="P72" s="100">
        <f t="shared" si="40"/>
        <v>27999.644464958154</v>
      </c>
      <c r="Q72" s="101"/>
      <c r="R72" s="100">
        <f t="shared" ref="R72" si="41">SUM(R70:R71)</f>
        <v>29277.027320712124</v>
      </c>
      <c r="S72" s="101"/>
      <c r="T72" s="100">
        <f>SUM(T70:T71)</f>
        <v>30670.574000000001</v>
      </c>
      <c r="U72" s="101"/>
      <c r="V72" s="317">
        <f>SUM(V70:V71)</f>
        <v>32708.781986790305</v>
      </c>
      <c r="W72" s="101"/>
      <c r="X72" s="317">
        <f t="shared" si="40"/>
        <v>34589.329974549633</v>
      </c>
      <c r="Y72" s="101"/>
      <c r="Z72" s="317">
        <f t="shared" si="40"/>
        <v>36331.049685849888</v>
      </c>
      <c r="AA72" s="317">
        <f>SUM(AA70:AA71)</f>
        <v>38416.949661922052</v>
      </c>
      <c r="AB72" s="317">
        <f>SUM(AB70:AB71)</f>
        <v>40502.849637994208</v>
      </c>
    </row>
    <row r="73" spans="1:28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305">
        <f>$U$30</f>
        <v>0.01</v>
      </c>
      <c r="V73" s="318">
        <f>SUM(T73*(1+U73))</f>
        <v>0.36775333601516552</v>
      </c>
      <c r="W73" s="305">
        <f>$W$30</f>
        <v>1.4999999999999999E-2</v>
      </c>
      <c r="X73" s="318">
        <f>SUM(V73*(1+W73))</f>
        <v>0.37326963605539298</v>
      </c>
      <c r="Y73" s="305">
        <f>$Y$30</f>
        <v>0.02</v>
      </c>
      <c r="Z73" s="318">
        <f>SUM(X73*(1+Y73))</f>
        <v>0.38073502877650084</v>
      </c>
      <c r="AA73" s="318">
        <f>SUM(Z73*(1+Y73))</f>
        <v>0.38834972935203088</v>
      </c>
      <c r="AB73" s="318">
        <f>SUM(AA73*(1+Y73))</f>
        <v>0.39611672393907149</v>
      </c>
    </row>
    <row r="74" spans="1:28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319"/>
      <c r="W74" s="71"/>
      <c r="X74" s="319"/>
      <c r="Y74" s="71"/>
      <c r="Z74" s="319"/>
      <c r="AA74" s="319"/>
      <c r="AB74" s="319"/>
    </row>
    <row r="75" spans="1:28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42">SUM(G72*G73)</f>
        <v>7219.74299186594</v>
      </c>
      <c r="I75" s="112">
        <f t="shared" si="42"/>
        <v>8163.043288322272</v>
      </c>
      <c r="J75" s="141"/>
      <c r="K75" s="114"/>
      <c r="L75" s="112">
        <f t="shared" ref="L75:Z75" si="43">SUM(L72*L73)</f>
        <v>8456.9513856009962</v>
      </c>
      <c r="M75" s="113"/>
      <c r="N75" s="112">
        <f t="shared" si="43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141">
        <f>SUM(T72*T73)</f>
        <v>11167.5306</v>
      </c>
      <c r="U75" s="114"/>
      <c r="V75" s="320">
        <f>SUM(V72*V73)</f>
        <v>12028.763692634888</v>
      </c>
      <c r="W75" s="114"/>
      <c r="X75" s="320">
        <f t="shared" si="43"/>
        <v>12911.146611000037</v>
      </c>
      <c r="Y75" s="114"/>
      <c r="Z75" s="320">
        <f t="shared" si="43"/>
        <v>13832.503247622539</v>
      </c>
      <c r="AA75" s="320">
        <f>SUM(AA72*AA73)</f>
        <v>14919.212003738023</v>
      </c>
      <c r="AB75" s="320">
        <f>SUM(AB72*AB73)</f>
        <v>16043.856108799073</v>
      </c>
    </row>
    <row r="76" spans="1:28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</row>
    <row r="77" spans="1:28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301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tr">
        <f>$AB$10</f>
        <v>2023 Estimate</v>
      </c>
    </row>
    <row r="78" spans="1:28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321"/>
      <c r="W78" s="175"/>
      <c r="X78" s="321"/>
      <c r="Y78" s="175"/>
      <c r="Z78" s="321"/>
      <c r="AA78" s="321"/>
      <c r="AB78" s="321"/>
    </row>
    <row r="79" spans="1:28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308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</row>
    <row r="80" spans="1:28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313">
        <f>SUM(T80)</f>
        <v>1432</v>
      </c>
      <c r="W80" s="73"/>
      <c r="X80" s="313">
        <f>SUM(V80)</f>
        <v>1432</v>
      </c>
      <c r="Y80" s="73"/>
      <c r="Z80" s="313">
        <f>SUM(X80)</f>
        <v>1432</v>
      </c>
      <c r="AA80" s="313">
        <f t="shared" ref="AA80" si="44">SUM(Z80)</f>
        <v>1432</v>
      </c>
      <c r="AB80" s="313">
        <f>SUM(AA80)</f>
        <v>1432</v>
      </c>
    </row>
    <row r="81" spans="1:28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313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</row>
    <row r="82" spans="1:28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313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</row>
    <row r="83" spans="1:28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314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</row>
    <row r="84" spans="1:28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315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</row>
    <row r="85" spans="1:28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5">SUM((G80+G81+G82)*G83*G84)</f>
        <v>888.3152139</v>
      </c>
      <c r="I85" s="69">
        <f t="shared" si="45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6">SUM((P80+P81+P82)*P83*P84)</f>
        <v>1137.998</v>
      </c>
      <c r="Q85" s="73"/>
      <c r="R85" s="70">
        <f t="shared" ref="R85" si="47">SUM((R80+R81+R82)*R83*R84)</f>
        <v>1221</v>
      </c>
      <c r="S85" s="73"/>
      <c r="T85" s="70">
        <f t="shared" si="46"/>
        <v>1432</v>
      </c>
      <c r="U85" s="73"/>
      <c r="V85" s="313">
        <f t="shared" si="46"/>
        <v>1432</v>
      </c>
      <c r="W85" s="73"/>
      <c r="X85" s="313">
        <f t="shared" si="46"/>
        <v>1432</v>
      </c>
      <c r="Y85" s="73"/>
      <c r="Z85" s="313">
        <f t="shared" si="46"/>
        <v>1432</v>
      </c>
      <c r="AA85" s="313">
        <f t="shared" si="46"/>
        <v>1432</v>
      </c>
      <c r="AB85" s="313">
        <f>SUM((AB80+AB81+AB82)*AB83*AB84)</f>
        <v>1432</v>
      </c>
    </row>
    <row r="86" spans="1:28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313"/>
      <c r="W86" s="73"/>
      <c r="X86" s="313"/>
      <c r="Y86" s="73"/>
      <c r="Z86" s="313"/>
      <c r="AA86" s="313"/>
      <c r="AB86" s="313"/>
    </row>
    <row r="87" spans="1:28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326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</row>
    <row r="88" spans="1:28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8">SUM(G85:G86)*G87</f>
        <v>888.3152139</v>
      </c>
      <c r="I88" s="69">
        <f t="shared" si="48"/>
        <v>1002.3308361092717</v>
      </c>
      <c r="J88" s="70"/>
      <c r="K88" s="71"/>
      <c r="L88" s="69">
        <v>1190</v>
      </c>
      <c r="M88" s="72"/>
      <c r="N88" s="69">
        <f t="shared" ref="N88" si="49">SUM(N85:N86)*N87</f>
        <v>1131</v>
      </c>
      <c r="O88" s="70"/>
      <c r="P88" s="70">
        <f t="shared" ref="P88:AA88" si="50">SUM(P85:P86)*P87</f>
        <v>1137.998</v>
      </c>
      <c r="Q88" s="73"/>
      <c r="R88" s="70">
        <f t="shared" ref="R88" si="51">SUM(R85:R86)*R87</f>
        <v>1221</v>
      </c>
      <c r="S88" s="73"/>
      <c r="T88" s="70">
        <f t="shared" si="50"/>
        <v>1432</v>
      </c>
      <c r="U88" s="73"/>
      <c r="V88" s="313">
        <f t="shared" si="50"/>
        <v>1432</v>
      </c>
      <c r="W88" s="73"/>
      <c r="X88" s="313">
        <f t="shared" si="50"/>
        <v>1432</v>
      </c>
      <c r="Y88" s="73"/>
      <c r="Z88" s="313">
        <f t="shared" si="50"/>
        <v>1432</v>
      </c>
      <c r="AA88" s="313">
        <f t="shared" si="50"/>
        <v>1432</v>
      </c>
      <c r="AB88" s="313">
        <f>SUM(AB85:AB86)*AB87</f>
        <v>1432</v>
      </c>
    </row>
    <row r="89" spans="1:28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327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</row>
    <row r="90" spans="1:28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52">SUM(G88*G89)</f>
        <v>888.3152139</v>
      </c>
      <c r="I90" s="69">
        <f t="shared" si="52"/>
        <v>1002.3308361092717</v>
      </c>
      <c r="J90" s="70"/>
      <c r="K90" s="71"/>
      <c r="L90" s="69">
        <f t="shared" ref="L90:AA90" si="53">SUM(L88*L89)</f>
        <v>1190</v>
      </c>
      <c r="M90" s="72"/>
      <c r="N90" s="69">
        <f t="shared" si="53"/>
        <v>1131</v>
      </c>
      <c r="O90" s="70"/>
      <c r="P90" s="70">
        <f t="shared" si="53"/>
        <v>1137.998</v>
      </c>
      <c r="Q90" s="73"/>
      <c r="R90" s="70">
        <f t="shared" ref="R90" si="54">SUM(R88*R89)</f>
        <v>1221</v>
      </c>
      <c r="S90" s="73"/>
      <c r="T90" s="70">
        <f t="shared" si="53"/>
        <v>1432</v>
      </c>
      <c r="U90" s="73"/>
      <c r="V90" s="313">
        <f t="shared" si="53"/>
        <v>1432</v>
      </c>
      <c r="W90" s="73"/>
      <c r="X90" s="313">
        <f t="shared" si="53"/>
        <v>1432</v>
      </c>
      <c r="Y90" s="73"/>
      <c r="Z90" s="313">
        <f t="shared" si="53"/>
        <v>1432</v>
      </c>
      <c r="AA90" s="313">
        <f t="shared" si="53"/>
        <v>1432</v>
      </c>
      <c r="AB90" s="313">
        <f>SUM(AB88*AB89)</f>
        <v>1432</v>
      </c>
    </row>
    <row r="91" spans="1:28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313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</row>
    <row r="92" spans="1:28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5">SUM(G90:G91)</f>
        <v>888.3152139</v>
      </c>
      <c r="I92" s="99">
        <f t="shared" si="55"/>
        <v>1002.3308361092717</v>
      </c>
      <c r="J92" s="100"/>
      <c r="K92" s="101"/>
      <c r="L92" s="99">
        <f t="shared" ref="L92:AA92" si="56">SUM(L90:L91)</f>
        <v>1190</v>
      </c>
      <c r="M92" s="111"/>
      <c r="N92" s="99">
        <f t="shared" si="56"/>
        <v>1131</v>
      </c>
      <c r="O92" s="100"/>
      <c r="P92" s="100">
        <f t="shared" si="56"/>
        <v>1137.998</v>
      </c>
      <c r="Q92" s="177"/>
      <c r="R92" s="100">
        <f t="shared" ref="R92" si="57">SUM(R90:R91)</f>
        <v>1221</v>
      </c>
      <c r="S92" s="177"/>
      <c r="T92" s="100">
        <f t="shared" si="56"/>
        <v>1432</v>
      </c>
      <c r="U92" s="177"/>
      <c r="V92" s="317">
        <f t="shared" si="56"/>
        <v>1432</v>
      </c>
      <c r="W92" s="177"/>
      <c r="X92" s="317">
        <f t="shared" si="56"/>
        <v>1432</v>
      </c>
      <c r="Y92" s="177"/>
      <c r="Z92" s="317">
        <f t="shared" si="56"/>
        <v>1432</v>
      </c>
      <c r="AA92" s="317">
        <f t="shared" si="56"/>
        <v>1432</v>
      </c>
      <c r="AB92" s="317">
        <f>SUM(AB90:AB91)</f>
        <v>1432</v>
      </c>
    </row>
    <row r="93" spans="1:28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305">
        <f>$U$30</f>
        <v>0.01</v>
      </c>
      <c r="V93" s="318">
        <f>SUM(T93*(1+U93))</f>
        <v>9.29019441340782E-3</v>
      </c>
      <c r="W93" s="305">
        <f>$W$30</f>
        <v>1.4999999999999999E-2</v>
      </c>
      <c r="X93" s="318">
        <f>SUM(V93*(1+W93))</f>
        <v>9.4295473296089356E-3</v>
      </c>
      <c r="Y93" s="305">
        <f>$Y$30</f>
        <v>0.02</v>
      </c>
      <c r="Z93" s="318">
        <f>SUM(X93*(1+Y93))</f>
        <v>9.6181382762011141E-3</v>
      </c>
      <c r="AA93" s="318">
        <f>SUM(Z93*(1+Y93))</f>
        <v>9.8105010417251365E-3</v>
      </c>
      <c r="AB93" s="318">
        <f>SUM(AA93*(1+Y93))</f>
        <v>1.0006711062559639E-2</v>
      </c>
    </row>
    <row r="94" spans="1:28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319"/>
      <c r="W94" s="73"/>
      <c r="X94" s="319"/>
      <c r="Y94" s="73"/>
      <c r="Z94" s="319"/>
      <c r="AA94" s="319"/>
      <c r="AB94" s="319"/>
    </row>
    <row r="95" spans="1:28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8">SUM(G92*G93)</f>
        <v>8.2702146414089999</v>
      </c>
      <c r="I95" s="178">
        <f t="shared" si="58"/>
        <v>9.3172825078781703</v>
      </c>
      <c r="J95" s="179"/>
      <c r="K95" s="180"/>
      <c r="L95" s="178">
        <f t="shared" ref="L95:AA95" si="59">SUM(L92*L93)</f>
        <v>11.382350000000001</v>
      </c>
      <c r="M95" s="181"/>
      <c r="N95" s="182">
        <f t="shared" si="59"/>
        <v>10.468988399999999</v>
      </c>
      <c r="O95" s="183"/>
      <c r="P95" s="183">
        <f t="shared" si="59"/>
        <v>10.51116</v>
      </c>
      <c r="Q95" s="55"/>
      <c r="R95" s="183">
        <f t="shared" ref="R95" si="60">SUM(R92*R93)</f>
        <v>11.256590000000001</v>
      </c>
      <c r="S95" s="55"/>
      <c r="T95" s="183">
        <f>SUM(T92*T93)</f>
        <v>13.17184</v>
      </c>
      <c r="U95" s="55"/>
      <c r="V95" s="328">
        <f t="shared" si="59"/>
        <v>13.303558399999998</v>
      </c>
      <c r="W95" s="55"/>
      <c r="X95" s="328">
        <f t="shared" si="59"/>
        <v>13.503111775999995</v>
      </c>
      <c r="Y95" s="55"/>
      <c r="Z95" s="328">
        <f t="shared" si="59"/>
        <v>13.773174011519995</v>
      </c>
      <c r="AA95" s="328">
        <f t="shared" si="59"/>
        <v>14.048637491750396</v>
      </c>
      <c r="AB95" s="328">
        <f>SUM(AB92*AB93)</f>
        <v>14.329610241585403</v>
      </c>
    </row>
    <row r="96" spans="1:28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</row>
    <row r="97" spans="1:28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301" t="s">
        <v>74</v>
      </c>
      <c r="W97" s="174"/>
      <c r="X97" s="301" t="s">
        <v>136</v>
      </c>
      <c r="Y97" s="174"/>
      <c r="Z97" s="301" t="s">
        <v>137</v>
      </c>
      <c r="AA97" s="301" t="s">
        <v>138</v>
      </c>
      <c r="AB97" s="301" t="str">
        <f>$AB$10</f>
        <v>2023 Estimate</v>
      </c>
    </row>
    <row r="98" spans="1:28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308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</row>
    <row r="99" spans="1:28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308"/>
      <c r="W99" s="47"/>
      <c r="X99" s="308"/>
      <c r="Y99" s="47"/>
      <c r="Z99" s="308"/>
      <c r="AA99" s="308"/>
      <c r="AB99" s="308"/>
    </row>
    <row r="100" spans="1:28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308"/>
      <c r="W100" s="47"/>
      <c r="X100" s="308"/>
      <c r="Y100" s="47"/>
      <c r="Z100" s="308"/>
      <c r="AA100" s="308"/>
      <c r="AB100" s="308"/>
    </row>
    <row r="101" spans="1:28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329">
        <f>SUM(T101:T103)</f>
        <v>202468</v>
      </c>
      <c r="W101" s="175"/>
      <c r="X101" s="329">
        <f>SUM(V101:V103)</f>
        <v>202468</v>
      </c>
      <c r="Y101" s="175"/>
      <c r="Z101" s="329">
        <f>SUM(X101:X103)</f>
        <v>202468</v>
      </c>
      <c r="AA101" s="329">
        <f t="shared" ref="AA101" si="61">SUM(Z101:Z103)</f>
        <v>202468</v>
      </c>
      <c r="AB101" s="329">
        <f>SUM(AA101:AA103)</f>
        <v>202468</v>
      </c>
    </row>
    <row r="102" spans="1:28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313">
        <v>0</v>
      </c>
      <c r="W102" s="73"/>
      <c r="X102" s="313">
        <v>0</v>
      </c>
      <c r="Y102" s="73"/>
      <c r="Z102" s="313">
        <v>0</v>
      </c>
      <c r="AA102" s="313">
        <v>0</v>
      </c>
      <c r="AB102" s="313">
        <v>0</v>
      </c>
    </row>
    <row r="103" spans="1:28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313">
        <v>0</v>
      </c>
      <c r="W103" s="73"/>
      <c r="X103" s="313">
        <v>0</v>
      </c>
      <c r="Y103" s="73"/>
      <c r="Z103" s="313">
        <v>0</v>
      </c>
      <c r="AA103" s="313">
        <v>0</v>
      </c>
      <c r="AB103" s="313">
        <v>0</v>
      </c>
    </row>
    <row r="104" spans="1:28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330">
        <v>0</v>
      </c>
      <c r="W104" s="73"/>
      <c r="X104" s="330">
        <v>0</v>
      </c>
      <c r="Y104" s="73"/>
      <c r="Z104" s="330">
        <v>0</v>
      </c>
      <c r="AA104" s="330">
        <v>0</v>
      </c>
      <c r="AB104" s="330">
        <v>0</v>
      </c>
    </row>
    <row r="105" spans="1:28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331" t="s">
        <v>81</v>
      </c>
      <c r="W105" s="174"/>
      <c r="X105" s="331" t="s">
        <v>81</v>
      </c>
      <c r="Y105" s="174"/>
      <c r="Z105" s="331" t="s">
        <v>81</v>
      </c>
      <c r="AA105" s="331" t="s">
        <v>81</v>
      </c>
      <c r="AB105" s="331" t="s">
        <v>81</v>
      </c>
    </row>
    <row r="106" spans="1:28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332">
        <v>0</v>
      </c>
      <c r="W106" s="152"/>
      <c r="X106" s="332">
        <v>0</v>
      </c>
      <c r="Y106" s="152"/>
      <c r="Z106" s="332">
        <v>0</v>
      </c>
      <c r="AA106" s="332">
        <v>0</v>
      </c>
      <c r="AB106" s="332">
        <v>0</v>
      </c>
    </row>
    <row r="107" spans="1:28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333"/>
      <c r="W107" s="152"/>
      <c r="X107" s="333"/>
      <c r="Y107" s="152"/>
      <c r="Z107" s="333"/>
      <c r="AA107" s="333"/>
      <c r="AB107" s="333"/>
    </row>
    <row r="108" spans="1:28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305">
        <f>$U$30</f>
        <v>0.01</v>
      </c>
      <c r="V108" s="318">
        <f>SUM(T108*(1+U108))</f>
        <v>1.7356169227235908E-2</v>
      </c>
      <c r="W108" s="305">
        <f>$W$30</f>
        <v>1.4999999999999999E-2</v>
      </c>
      <c r="X108" s="318">
        <f>SUM(V108*(1+W108))</f>
        <v>1.7616511765644445E-2</v>
      </c>
      <c r="Y108" s="305">
        <f>$Y$30</f>
        <v>0.02</v>
      </c>
      <c r="Z108" s="318">
        <f>SUM(X108*(1+Y108))</f>
        <v>1.7968842000957334E-2</v>
      </c>
      <c r="AA108" s="318">
        <f>SUM(Z108*(1+Y108))</f>
        <v>1.832821884097648E-2</v>
      </c>
      <c r="AB108" s="318">
        <f>SUM(AA108*(1+Y108))</f>
        <v>1.869478321779601E-2</v>
      </c>
    </row>
    <row r="109" spans="1:28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334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</row>
    <row r="110" spans="1:28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335"/>
      <c r="W110" s="55"/>
      <c r="X110" s="335"/>
      <c r="Y110" s="55"/>
      <c r="Z110" s="335"/>
      <c r="AA110" s="335"/>
      <c r="AB110" s="335"/>
    </row>
    <row r="111" spans="1:28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62">SUM(G101:G105)*G108*G109</f>
        <v>1918.901132</v>
      </c>
      <c r="I111" s="178">
        <f t="shared" si="62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63">SUM(N101:N105)*N108*N109</f>
        <v>2707.3523175999999</v>
      </c>
      <c r="O111" s="183"/>
      <c r="P111" s="179">
        <f t="shared" ref="P111" si="64">SUM(P101:P105)*P108*P109</f>
        <v>2514.9974500000003</v>
      </c>
      <c r="Q111" s="55"/>
      <c r="R111" s="179">
        <f t="shared" ref="R111" si="65">SUM(R101:R105)*R108*R109</f>
        <v>2956.1579400000001</v>
      </c>
      <c r="S111" s="55"/>
      <c r="T111" s="179">
        <f>SUM(T101:T105)*T108*T109</f>
        <v>3479.2761100000002</v>
      </c>
      <c r="U111" s="55"/>
      <c r="V111" s="336">
        <f t="shared" ref="V111:Z111" si="66">SUM(V101:V105)*V108*V109</f>
        <v>3514.0688710999998</v>
      </c>
      <c r="W111" s="55"/>
      <c r="X111" s="336">
        <f t="shared" si="66"/>
        <v>3566.7799041664994</v>
      </c>
      <c r="Y111" s="55"/>
      <c r="Z111" s="336">
        <f t="shared" si="66"/>
        <v>3638.1155022498292</v>
      </c>
      <c r="AA111" s="336">
        <f>SUM(AA101:AA105)*AA108*AA109</f>
        <v>3710.8778122948261</v>
      </c>
      <c r="AB111" s="336">
        <f>SUM(AB101:AB105)*AB108*AB109</f>
        <v>3785.0953685407226</v>
      </c>
    </row>
    <row r="112" spans="1:28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</row>
    <row r="113" spans="1:28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144"/>
      <c r="Y113" s="145"/>
      <c r="Z113" s="144"/>
      <c r="AA113" s="144"/>
      <c r="AB113" s="144"/>
    </row>
    <row r="114" spans="1:28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301" t="s">
        <v>25</v>
      </c>
      <c r="U114" s="59"/>
      <c r="V114" s="301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</row>
    <row r="115" spans="1:28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321"/>
      <c r="W115" s="64"/>
      <c r="X115" s="321"/>
      <c r="Y115" s="64"/>
      <c r="Z115" s="321"/>
      <c r="AA115" s="321"/>
      <c r="AB115" s="321"/>
    </row>
    <row r="116" spans="1:28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321"/>
      <c r="W116" s="175"/>
      <c r="X116" s="321"/>
      <c r="Y116" s="175"/>
      <c r="Z116" s="321"/>
      <c r="AA116" s="321"/>
      <c r="AB116" s="321"/>
    </row>
    <row r="117" spans="1:28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313">
        <f>SUM(T117:T119)</f>
        <v>670000</v>
      </c>
      <c r="W117" s="73"/>
      <c r="X117" s="313">
        <f>SUM(V117:V119)</f>
        <v>708440</v>
      </c>
      <c r="Y117" s="73"/>
      <c r="Z117" s="313">
        <f>SUM(X117:X119)</f>
        <v>756054</v>
      </c>
      <c r="AA117" s="313">
        <f>SUM(Z117:Z119)</f>
        <v>794805</v>
      </c>
      <c r="AB117" s="313">
        <f>SUM(AA117:AA119)</f>
        <v>833898</v>
      </c>
    </row>
    <row r="118" spans="1:28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154">
        <v>69017</v>
      </c>
      <c r="W118" s="73"/>
      <c r="X118" s="154">
        <v>78191</v>
      </c>
      <c r="Y118" s="73"/>
      <c r="Z118" s="154">
        <v>69328</v>
      </c>
      <c r="AA118" s="154">
        <v>69670</v>
      </c>
      <c r="AB118" s="154">
        <f>AA118</f>
        <v>69670</v>
      </c>
    </row>
    <row r="119" spans="1:28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154">
        <v>-30577</v>
      </c>
      <c r="W119" s="73"/>
      <c r="X119" s="154">
        <f>V119</f>
        <v>-30577</v>
      </c>
      <c r="Y119" s="73"/>
      <c r="Z119" s="154">
        <f>X119</f>
        <v>-30577</v>
      </c>
      <c r="AA119" s="154">
        <f>Z119</f>
        <v>-30577</v>
      </c>
      <c r="AB119" s="154">
        <f>AA119</f>
        <v>-30577</v>
      </c>
    </row>
    <row r="120" spans="1:28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314">
        <f>SUM(T120)</f>
        <v>0.93017775946727188</v>
      </c>
      <c r="W120" s="73"/>
      <c r="X120" s="314">
        <f>SUM(V120)</f>
        <v>0.93017775946727188</v>
      </c>
      <c r="Y120" s="73"/>
      <c r="Z120" s="314">
        <f t="shared" ref="Z120:Z121" si="67">SUM(X120)</f>
        <v>0.93017775946727188</v>
      </c>
      <c r="AA120" s="314">
        <f>SUM(Z120)</f>
        <v>0.93017775946727188</v>
      </c>
      <c r="AB120" s="314">
        <f>SUM(AA120)</f>
        <v>0.93017775946727188</v>
      </c>
    </row>
    <row r="121" spans="1:28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315">
        <f>SUM(T121)</f>
        <v>0.49215146417910449</v>
      </c>
      <c r="W121" s="84"/>
      <c r="X121" s="315">
        <f>SUM(V121)</f>
        <v>0.49215146417910449</v>
      </c>
      <c r="Y121" s="84"/>
      <c r="Z121" s="315">
        <f t="shared" si="67"/>
        <v>0.49215146417910449</v>
      </c>
      <c r="AA121" s="315">
        <f>SUM(Z121)</f>
        <v>0.49215146417910449</v>
      </c>
      <c r="AB121" s="315">
        <f>SUM(AA121)</f>
        <v>0.49215146417910449</v>
      </c>
    </row>
    <row r="122" spans="1:28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8">SUM(G117+G118+G119)*G120*G121</f>
        <v>188890.26799999998</v>
      </c>
      <c r="I122" s="69">
        <f t="shared" si="68"/>
        <v>199575.79679677499</v>
      </c>
      <c r="J122" s="70"/>
      <c r="K122" s="71"/>
      <c r="L122" s="69">
        <f t="shared" ref="L122:N122" si="69">SUM(L117+L118+L119)*L120*L121</f>
        <v>234774.02500000002</v>
      </c>
      <c r="M122" s="72"/>
      <c r="N122" s="69">
        <f t="shared" si="69"/>
        <v>230552.66500000001</v>
      </c>
      <c r="O122" s="70"/>
      <c r="P122" s="70">
        <f t="shared" ref="P122:Z122" si="70">SUM(P117+P118+P119)*P120*P121</f>
        <v>229911.818</v>
      </c>
      <c r="Q122" s="73"/>
      <c r="R122" s="70">
        <f t="shared" ref="R122" si="71">SUM(R117+R118+R119)*R120*R121</f>
        <v>246152.10861059991</v>
      </c>
      <c r="S122" s="73"/>
      <c r="T122" s="70">
        <f>SUM(T117+T118+T119)*T120*T121</f>
        <v>306718.19200000004</v>
      </c>
      <c r="U122" s="73"/>
      <c r="V122" s="313">
        <f>SUM(V117+V118+V119)*V120*V121</f>
        <v>324315.57603056717</v>
      </c>
      <c r="W122" s="73"/>
      <c r="X122" s="313">
        <f>SUM(X117+X118+X119)*X120*X121</f>
        <v>346112.71034980298</v>
      </c>
      <c r="Y122" s="73"/>
      <c r="Z122" s="313">
        <f t="shared" si="70"/>
        <v>363852.46655605972</v>
      </c>
      <c r="AA122" s="313">
        <f>SUM(AA117+AA118+AA119)*AA120*AA121</f>
        <v>381748.78637674032</v>
      </c>
      <c r="AB122" s="313">
        <f>SUM(AB117+AB118+AB119)*AB120*AB121</f>
        <v>399645.10619742092</v>
      </c>
    </row>
    <row r="123" spans="1:28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313"/>
      <c r="W123" s="73"/>
      <c r="X123" s="313"/>
      <c r="Y123" s="73"/>
      <c r="Z123" s="313"/>
      <c r="AA123" s="313"/>
      <c r="AB123" s="313"/>
    </row>
    <row r="124" spans="1:28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72">SUM(G122)</f>
        <v>188890.26799999998</v>
      </c>
      <c r="I124" s="69">
        <f t="shared" si="72"/>
        <v>199575.79679677499</v>
      </c>
      <c r="J124" s="70"/>
      <c r="K124" s="71"/>
      <c r="L124" s="69">
        <f t="shared" ref="L124:AA124" si="73">SUM(L122)</f>
        <v>234774.02500000002</v>
      </c>
      <c r="M124" s="72"/>
      <c r="N124" s="69">
        <f t="shared" si="73"/>
        <v>230552.66500000001</v>
      </c>
      <c r="O124" s="70"/>
      <c r="P124" s="70">
        <f t="shared" si="73"/>
        <v>229911.818</v>
      </c>
      <c r="Q124" s="73"/>
      <c r="R124" s="70">
        <f t="shared" ref="R124" si="74">SUM(R122)</f>
        <v>246152.10861059991</v>
      </c>
      <c r="S124" s="73"/>
      <c r="T124" s="70">
        <f t="shared" si="73"/>
        <v>306718.19200000004</v>
      </c>
      <c r="U124" s="73"/>
      <c r="V124" s="313">
        <f t="shared" si="73"/>
        <v>324315.57603056717</v>
      </c>
      <c r="W124" s="73"/>
      <c r="X124" s="313">
        <f t="shared" si="73"/>
        <v>346112.71034980298</v>
      </c>
      <c r="Y124" s="73"/>
      <c r="Z124" s="313">
        <f t="shared" si="73"/>
        <v>363852.46655605972</v>
      </c>
      <c r="AA124" s="313">
        <f t="shared" si="73"/>
        <v>381748.78637674032</v>
      </c>
      <c r="AB124" s="313">
        <f>SUM(AB122)</f>
        <v>399645.10619742092</v>
      </c>
    </row>
    <row r="125" spans="1:28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70"/>
      <c r="U125" s="73"/>
      <c r="V125" s="313"/>
      <c r="W125" s="73"/>
      <c r="X125" s="313"/>
      <c r="Y125" s="73"/>
      <c r="Z125" s="313"/>
      <c r="AA125" s="313"/>
      <c r="AB125" s="313"/>
    </row>
    <row r="126" spans="1:28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302">
        <f>R126</f>
        <v>0.9415419957488016</v>
      </c>
      <c r="U126" s="230"/>
      <c r="V126" s="337">
        <f>SUM(T126)</f>
        <v>0.9415419957488016</v>
      </c>
      <c r="W126" s="230"/>
      <c r="X126" s="337">
        <f>SUM(V126)</f>
        <v>0.9415419957488016</v>
      </c>
      <c r="Y126" s="230"/>
      <c r="Z126" s="337">
        <f>SUM(X126)</f>
        <v>0.9415419957488016</v>
      </c>
      <c r="AA126" s="337">
        <f t="shared" ref="AA126" si="75">SUM(Z126)</f>
        <v>0.9415419957488016</v>
      </c>
      <c r="AB126" s="337">
        <f>SUM(AA126)</f>
        <v>0.9415419957488016</v>
      </c>
    </row>
    <row r="127" spans="1:28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6">SUM(G124*G126)</f>
        <v>173804.16659564062</v>
      </c>
      <c r="I127" s="69">
        <f t="shared" si="76"/>
        <v>189501.07105461584</v>
      </c>
      <c r="J127" s="70"/>
      <c r="K127" s="71"/>
      <c r="L127" s="69">
        <f t="shared" ref="L127:AA127" si="77">SUM(L124*L126)</f>
        <v>223370.065</v>
      </c>
      <c r="M127" s="72"/>
      <c r="N127" s="69">
        <f t="shared" si="77"/>
        <v>216345.522</v>
      </c>
      <c r="O127" s="231"/>
      <c r="P127" s="70">
        <f t="shared" si="77"/>
        <v>213560.91500000001</v>
      </c>
      <c r="Q127" s="232"/>
      <c r="R127" s="70">
        <f>SUM(R124*R126)</f>
        <v>231762.54759900001</v>
      </c>
      <c r="S127" s="232"/>
      <c r="T127" s="70">
        <f>SUM(T124*T126)</f>
        <v>288788.05862814415</v>
      </c>
      <c r="U127" s="232"/>
      <c r="V127" s="313">
        <f>SUM(V124*V126)</f>
        <v>305356.73470824241</v>
      </c>
      <c r="W127" s="232"/>
      <c r="X127" s="313">
        <f>SUM(X124*X126)</f>
        <v>325879.65205678041</v>
      </c>
      <c r="Y127" s="232"/>
      <c r="Z127" s="313">
        <f t="shared" si="77"/>
        <v>342582.37751931656</v>
      </c>
      <c r="AA127" s="313">
        <f t="shared" si="77"/>
        <v>359432.51419983897</v>
      </c>
      <c r="AB127" s="313">
        <f>SUM(AB124*AB126)</f>
        <v>376282.65088036144</v>
      </c>
    </row>
    <row r="128" spans="1:28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305">
        <v>0.02</v>
      </c>
      <c r="T128" s="303">
        <f>SUM(R128*(1+S128))</f>
        <v>1.3285883914255206E-2</v>
      </c>
      <c r="U128" s="305">
        <f>$U$30</f>
        <v>0.01</v>
      </c>
      <c r="V128" s="318">
        <f>SUM(T128*(1+U128))</f>
        <v>1.3418742753397758E-2</v>
      </c>
      <c r="W128" s="305">
        <f>$W$30</f>
        <v>1.4999999999999999E-2</v>
      </c>
      <c r="X128" s="318">
        <f>SUM(V128*(1+W128))</f>
        <v>1.3620023894698723E-2</v>
      </c>
      <c r="Y128" s="305">
        <f>$Y$30</f>
        <v>0.02</v>
      </c>
      <c r="Z128" s="318">
        <f>SUM(X128*(1+Y128))</f>
        <v>1.3892424372592698E-2</v>
      </c>
      <c r="AA128" s="318">
        <f>SUM(Z128*(1+Y128))</f>
        <v>1.4170272860044552E-2</v>
      </c>
      <c r="AB128" s="318">
        <f>SUM(AA128*(1+Y128))</f>
        <v>1.4453678317245443E-2</v>
      </c>
    </row>
    <row r="129" spans="1:28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319"/>
      <c r="W129" s="71"/>
      <c r="X129" s="319"/>
      <c r="Y129" s="71"/>
      <c r="Z129" s="319"/>
      <c r="AA129" s="319"/>
      <c r="AB129" s="319"/>
    </row>
    <row r="130" spans="1:28" ht="15" thickBot="1" x14ac:dyDescent="0.35">
      <c r="C130" s="112">
        <v>1843</v>
      </c>
      <c r="E130" s="112">
        <f>SUM(E127*E128)</f>
        <v>1939.7429074619999</v>
      </c>
      <c r="G130" s="112">
        <f t="shared" ref="G130" si="78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79">SUM(R127*R128)</f>
        <v>3018.7944147768244</v>
      </c>
      <c r="S130" s="114"/>
      <c r="T130" s="304">
        <f>SUM(T127*T128)</f>
        <v>3836.8046227566497</v>
      </c>
      <c r="U130" s="114"/>
      <c r="V130" s="320">
        <f t="shared" ref="V130" si="80">SUM(V127*V128)</f>
        <v>4097.5034710674299</v>
      </c>
      <c r="W130" s="114"/>
      <c r="X130" s="320">
        <f>SUM(X127*X128)</f>
        <v>4438.488647809455</v>
      </c>
      <c r="Y130" s="114"/>
      <c r="Z130" s="320">
        <f>SUM(Z127*Z128)</f>
        <v>4759.2997710701065</v>
      </c>
      <c r="AA130" s="320">
        <f>SUM(AA127*AA128)</f>
        <v>5093.2568009835568</v>
      </c>
      <c r="AB130" s="320">
        <f>SUM(AB127*AB128)</f>
        <v>5438.6683921851172</v>
      </c>
    </row>
    <row r="131" spans="1:28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238"/>
      <c r="W131" s="239"/>
      <c r="X131" s="238"/>
      <c r="Y131" s="239"/>
      <c r="Z131" s="238"/>
      <c r="AA131" s="238"/>
      <c r="AB131" s="238"/>
    </row>
    <row r="132" spans="1:28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301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</row>
    <row r="133" spans="1:28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321"/>
      <c r="W133" s="64"/>
      <c r="X133" s="321"/>
      <c r="Y133" s="64"/>
      <c r="Z133" s="321"/>
      <c r="AA133" s="321"/>
      <c r="AB133" s="321"/>
    </row>
    <row r="134" spans="1:28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321"/>
      <c r="W134" s="64"/>
      <c r="X134" s="321"/>
      <c r="Y134" s="64"/>
      <c r="Z134" s="321"/>
      <c r="AA134" s="321"/>
      <c r="AB134" s="321"/>
    </row>
    <row r="135" spans="1:28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313">
        <f>SUM(T135:T137)</f>
        <v>725360.09499999997</v>
      </c>
      <c r="W135" s="73"/>
      <c r="X135" s="313">
        <f>SUM(V135:V137)</f>
        <v>763800.09499999997</v>
      </c>
      <c r="Y135" s="73"/>
      <c r="Z135" s="313">
        <f>SUM(X135:X137)</f>
        <v>811414.09499999997</v>
      </c>
      <c r="AA135" s="313">
        <f>SUM(Z135:Z137)</f>
        <v>850165.09499999997</v>
      </c>
      <c r="AB135" s="313">
        <f>SUM(AA135:AA137)</f>
        <v>889258.09499999997</v>
      </c>
    </row>
    <row r="136" spans="1:28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313">
        <f t="shared" ref="V136:AA137" si="81">SUM(V118)</f>
        <v>69017</v>
      </c>
      <c r="W136" s="73"/>
      <c r="X136" s="313">
        <f t="shared" si="81"/>
        <v>78191</v>
      </c>
      <c r="Y136" s="73"/>
      <c r="Z136" s="313">
        <f t="shared" si="81"/>
        <v>69328</v>
      </c>
      <c r="AA136" s="313">
        <f t="shared" si="81"/>
        <v>69670</v>
      </c>
      <c r="AB136" s="313">
        <f>SUM(AB118)</f>
        <v>69670</v>
      </c>
    </row>
    <row r="137" spans="1:28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313">
        <f t="shared" si="81"/>
        <v>-30577</v>
      </c>
      <c r="W137" s="73"/>
      <c r="X137" s="313">
        <f t="shared" si="81"/>
        <v>-30577</v>
      </c>
      <c r="Y137" s="73"/>
      <c r="Z137" s="313">
        <f t="shared" si="81"/>
        <v>-30577</v>
      </c>
      <c r="AA137" s="313">
        <f t="shared" si="81"/>
        <v>-30577</v>
      </c>
      <c r="AB137" s="313">
        <f>SUM(AB119)</f>
        <v>-30577</v>
      </c>
    </row>
    <row r="138" spans="1:28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314">
        <v>1</v>
      </c>
      <c r="W138" s="73"/>
      <c r="X138" s="314">
        <v>1</v>
      </c>
      <c r="Y138" s="73"/>
      <c r="Z138" s="314">
        <v>1</v>
      </c>
      <c r="AA138" s="314">
        <v>1</v>
      </c>
      <c r="AB138" s="314">
        <v>1</v>
      </c>
    </row>
    <row r="139" spans="1:28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315">
        <f>SUM(T139)</f>
        <v>0.18559806353835884</v>
      </c>
      <c r="W139" s="84"/>
      <c r="X139" s="315">
        <f>SUM(V139)</f>
        <v>0.18559806353835884</v>
      </c>
      <c r="Y139" s="84"/>
      <c r="Z139" s="315">
        <f>SUM(X139)</f>
        <v>0.18559806353835884</v>
      </c>
      <c r="AA139" s="315">
        <f t="shared" ref="AA139:AB139" si="82">SUM(Z139)</f>
        <v>0.18559806353835884</v>
      </c>
      <c r="AB139" s="315">
        <f t="shared" si="82"/>
        <v>0.18559806353835884</v>
      </c>
    </row>
    <row r="140" spans="1:28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83">SUM((G135+G136+G137)*G138*G139)</f>
        <v>79213.073000000004</v>
      </c>
      <c r="I140" s="99">
        <f t="shared" si="83"/>
        <v>85831.54</v>
      </c>
      <c r="J140" s="100"/>
      <c r="K140" s="101"/>
      <c r="L140" s="99">
        <f t="shared" ref="L140:Z140" si="84">SUM((L135+L136+L137)*L138*L139)</f>
        <v>92701.07758538505</v>
      </c>
      <c r="M140" s="102"/>
      <c r="N140" s="99">
        <f t="shared" si="84"/>
        <v>96666.592999999993</v>
      </c>
      <c r="O140" s="100"/>
      <c r="P140" s="100">
        <f t="shared" si="84"/>
        <v>103095.598</v>
      </c>
      <c r="Q140" s="177"/>
      <c r="R140" s="100">
        <f t="shared" ref="R140" si="85">SUM((R135+R136+R137)*R138*R139)</f>
        <v>115955.848</v>
      </c>
      <c r="S140" s="177"/>
      <c r="T140" s="100">
        <f t="shared" si="84"/>
        <v>134625.429</v>
      </c>
      <c r="U140" s="177"/>
      <c r="V140" s="317">
        <f t="shared" si="84"/>
        <v>141759.8185624145</v>
      </c>
      <c r="W140" s="177"/>
      <c r="X140" s="317">
        <f t="shared" si="84"/>
        <v>150596.88475972993</v>
      </c>
      <c r="Y140" s="177"/>
      <c r="Z140" s="317">
        <f t="shared" si="84"/>
        <v>157788.99531990488</v>
      </c>
      <c r="AA140" s="317">
        <f>SUM((AA135+AA136+AA137)*AA138*AA139)</f>
        <v>165044.58041780992</v>
      </c>
      <c r="AB140" s="317">
        <f>SUM((AB135+AB136+AB137)*AB138*AB139)</f>
        <v>172300.16551571499</v>
      </c>
    </row>
    <row r="141" spans="1:28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323"/>
      <c r="W141" s="84"/>
      <c r="X141" s="323"/>
      <c r="Y141" s="84"/>
      <c r="Z141" s="323"/>
      <c r="AA141" s="323"/>
      <c r="AB141" s="323"/>
    </row>
    <row r="142" spans="1:28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6">SUM(G140)</f>
        <v>79213.073000000004</v>
      </c>
      <c r="I142" s="69">
        <f t="shared" si="86"/>
        <v>85831.54</v>
      </c>
      <c r="J142" s="70"/>
      <c r="K142" s="71"/>
      <c r="L142" s="69">
        <f t="shared" ref="L142:AA142" si="87">SUM(L140)</f>
        <v>92701.07758538505</v>
      </c>
      <c r="M142" s="72"/>
      <c r="N142" s="69">
        <f t="shared" si="87"/>
        <v>96666.592999999993</v>
      </c>
      <c r="O142" s="70"/>
      <c r="P142" s="70">
        <f t="shared" si="87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313">
        <f t="shared" si="87"/>
        <v>141759.8185624145</v>
      </c>
      <c r="W142" s="73"/>
      <c r="X142" s="313">
        <f t="shared" si="87"/>
        <v>150596.88475972993</v>
      </c>
      <c r="Y142" s="73"/>
      <c r="Z142" s="313">
        <f t="shared" si="87"/>
        <v>157788.99531990488</v>
      </c>
      <c r="AA142" s="313">
        <f t="shared" si="87"/>
        <v>165044.58041780992</v>
      </c>
      <c r="AB142" s="313">
        <f>SUM(AB140)</f>
        <v>172300.16551571499</v>
      </c>
    </row>
    <row r="143" spans="1:28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324">
        <v>1</v>
      </c>
      <c r="W143" s="84"/>
      <c r="X143" s="324">
        <v>1</v>
      </c>
      <c r="Y143" s="84"/>
      <c r="Z143" s="324">
        <v>1</v>
      </c>
      <c r="AA143" s="324">
        <v>1</v>
      </c>
      <c r="AB143" s="324">
        <v>1</v>
      </c>
    </row>
    <row r="144" spans="1:28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8">SUM(G142*G143)</f>
        <v>77458.071382651833</v>
      </c>
      <c r="I144" s="69">
        <f t="shared" si="88"/>
        <v>85831.54</v>
      </c>
      <c r="J144" s="70"/>
      <c r="K144" s="71"/>
      <c r="L144" s="69">
        <f t="shared" ref="L144:AA144" si="89">SUM(L142*L143)</f>
        <v>92701.07758538505</v>
      </c>
      <c r="M144" s="72"/>
      <c r="N144" s="69">
        <f t="shared" si="89"/>
        <v>96666.592999999993</v>
      </c>
      <c r="O144" s="70"/>
      <c r="P144" s="70">
        <f t="shared" si="89"/>
        <v>103095.598</v>
      </c>
      <c r="Q144" s="73"/>
      <c r="R144" s="70">
        <f t="shared" ref="R144" si="90">SUM(R142*R143)</f>
        <v>115955.848</v>
      </c>
      <c r="S144" s="73"/>
      <c r="T144" s="70">
        <f t="shared" si="89"/>
        <v>134525.429</v>
      </c>
      <c r="U144" s="73"/>
      <c r="V144" s="313">
        <f t="shared" si="89"/>
        <v>141759.8185624145</v>
      </c>
      <c r="W144" s="73"/>
      <c r="X144" s="313">
        <f t="shared" si="89"/>
        <v>150596.88475972993</v>
      </c>
      <c r="Y144" s="73"/>
      <c r="Z144" s="313">
        <f t="shared" si="89"/>
        <v>157788.99531990488</v>
      </c>
      <c r="AA144" s="313">
        <f t="shared" si="89"/>
        <v>165044.58041780992</v>
      </c>
      <c r="AB144" s="313">
        <f>SUM(AB142*AB143)</f>
        <v>172300.16551571499</v>
      </c>
    </row>
    <row r="145" spans="1:28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305">
        <f>$U$30</f>
        <v>0.01</v>
      </c>
      <c r="V145" s="318">
        <f>SUM(T145*(1+U145))</f>
        <v>1.3256725806836119E-2</v>
      </c>
      <c r="W145" s="305">
        <f>$W$30</f>
        <v>1.4999999999999999E-2</v>
      </c>
      <c r="X145" s="318">
        <f>SUM(V145*(1+W145))</f>
        <v>1.345557669393866E-2</v>
      </c>
      <c r="Y145" s="305">
        <f>$Y$30</f>
        <v>0.02</v>
      </c>
      <c r="Z145" s="318">
        <f>SUM(X145*(1+Y145))</f>
        <v>1.3724688227817434E-2</v>
      </c>
      <c r="AA145" s="318">
        <f>SUM(Z145*(1+Y145))</f>
        <v>1.3999181992373783E-2</v>
      </c>
      <c r="AB145" s="318">
        <f>SUM(AA145*(1+Y145))</f>
        <v>1.427916563222126E-2</v>
      </c>
    </row>
    <row r="146" spans="1:28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317"/>
      <c r="W146" s="101"/>
      <c r="X146" s="317"/>
      <c r="Y146" s="101"/>
      <c r="Z146" s="317"/>
      <c r="AA146" s="317"/>
      <c r="AB146" s="317"/>
    </row>
    <row r="147" spans="1:28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91">SUM(G144*G145)</f>
        <v>1112.580366038414</v>
      </c>
      <c r="I147" s="178">
        <f t="shared" si="91"/>
        <v>1255.1733400000001</v>
      </c>
      <c r="J147" s="179"/>
      <c r="K147" s="180"/>
      <c r="L147" s="178">
        <f t="shared" ref="L147:P147" si="92">SUM(L144*L145)</f>
        <v>1336.7211187574665</v>
      </c>
      <c r="M147" s="181"/>
      <c r="N147" s="178">
        <f t="shared" si="92"/>
        <v>1396.8021189769413</v>
      </c>
      <c r="O147" s="181"/>
      <c r="P147" s="179">
        <f t="shared" si="92"/>
        <v>1470.0476900000001</v>
      </c>
      <c r="Q147" s="180"/>
      <c r="R147" s="179">
        <f t="shared" ref="R147" si="93">SUM(R144*R145)</f>
        <v>1640.8960900000002</v>
      </c>
      <c r="S147" s="180"/>
      <c r="T147" s="353">
        <f>SUM(T144*T145)</f>
        <v>1765.7096300000001</v>
      </c>
      <c r="U147" s="180"/>
      <c r="V147" s="338">
        <f>SUM(V144*V145)</f>
        <v>1879.2710451087662</v>
      </c>
      <c r="W147" s="180"/>
      <c r="X147" s="338">
        <f>SUM(X144*X145)</f>
        <v>2026.3679327527882</v>
      </c>
      <c r="Y147" s="180"/>
      <c r="Z147" s="338">
        <f>SUM(Z144*Z145)</f>
        <v>2165.6047665462388</v>
      </c>
      <c r="AA147" s="338">
        <f>SUM(AA144*AA145)</f>
        <v>2310.4891181238913</v>
      </c>
      <c r="AB147" s="338">
        <f>SUM(AB144*AB145)</f>
        <v>2460.3026018580322</v>
      </c>
    </row>
    <row r="148" spans="1:28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</row>
    <row r="149" spans="1:28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301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tr">
        <f>$AB$10</f>
        <v>2023 Estimate</v>
      </c>
    </row>
    <row r="150" spans="1:28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321"/>
      <c r="W150" s="64"/>
      <c r="X150" s="321"/>
      <c r="Y150" s="64"/>
      <c r="Z150" s="321"/>
      <c r="AA150" s="321"/>
      <c r="AB150" s="321"/>
    </row>
    <row r="151" spans="1:28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321"/>
      <c r="W151" s="64"/>
      <c r="X151" s="321"/>
      <c r="Y151" s="64"/>
      <c r="Z151" s="321"/>
      <c r="AA151" s="321"/>
      <c r="AB151" s="321"/>
    </row>
    <row r="152" spans="1:28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313">
        <f>SUM(T152:T154)</f>
        <v>340600</v>
      </c>
      <c r="W152" s="73"/>
      <c r="X152" s="313">
        <f>SUM(V152:V154)</f>
        <v>362552</v>
      </c>
      <c r="Y152" s="73"/>
      <c r="Z152" s="313">
        <f>SUM(X152:X154)</f>
        <v>384675</v>
      </c>
      <c r="AA152" s="313">
        <f t="shared" ref="AA152" si="94">SUM(Z152:Z154)</f>
        <v>404929</v>
      </c>
      <c r="AB152" s="313">
        <f>SUM(AA152:AA154)</f>
        <v>425304</v>
      </c>
    </row>
    <row r="153" spans="1:28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154">
        <v>21952</v>
      </c>
      <c r="W153" s="73"/>
      <c r="X153" s="154">
        <v>22123</v>
      </c>
      <c r="Y153" s="73"/>
      <c r="Z153" s="154">
        <v>20254</v>
      </c>
      <c r="AA153" s="154">
        <v>20375</v>
      </c>
      <c r="AB153" s="154">
        <f>AA153</f>
        <v>20375</v>
      </c>
    </row>
    <row r="154" spans="1:28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154">
        <v>0</v>
      </c>
      <c r="W154" s="73"/>
      <c r="X154" s="154">
        <v>0</v>
      </c>
      <c r="Y154" s="73"/>
      <c r="Z154" s="154">
        <v>0</v>
      </c>
      <c r="AA154" s="154">
        <v>0</v>
      </c>
      <c r="AB154" s="154">
        <f>AA154</f>
        <v>0</v>
      </c>
    </row>
    <row r="155" spans="1:28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314">
        <v>1</v>
      </c>
      <c r="W155" s="73"/>
      <c r="X155" s="314">
        <v>1</v>
      </c>
      <c r="Y155" s="73"/>
      <c r="Z155" s="314">
        <v>1</v>
      </c>
      <c r="AA155" s="314">
        <v>1</v>
      </c>
      <c r="AB155" s="314">
        <v>1</v>
      </c>
    </row>
    <row r="156" spans="1:28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315">
        <v>1</v>
      </c>
      <c r="W156" s="84"/>
      <c r="X156" s="315">
        <v>1</v>
      </c>
      <c r="Y156" s="84"/>
      <c r="Z156" s="315">
        <v>1</v>
      </c>
      <c r="AA156" s="315">
        <v>1</v>
      </c>
      <c r="AB156" s="315">
        <v>1</v>
      </c>
    </row>
    <row r="157" spans="1:28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5">SUM((G152+G153+G154)*G155*G156)</f>
        <v>160600</v>
      </c>
      <c r="I157" s="99">
        <f t="shared" si="95"/>
        <v>168937</v>
      </c>
      <c r="J157" s="100"/>
      <c r="K157" s="101"/>
      <c r="L157" s="99">
        <f t="shared" ref="L157:AA157" si="96">SUM((L152+L153+L154)*L155*L156)</f>
        <v>184700</v>
      </c>
      <c r="M157" s="102"/>
      <c r="N157" s="99">
        <f t="shared" si="96"/>
        <v>209500</v>
      </c>
      <c r="O157" s="100"/>
      <c r="P157" s="100">
        <f t="shared" ref="P157" si="97">SUM((P152+P153+P154)*P155*P156)</f>
        <v>243796.47</v>
      </c>
      <c r="Q157" s="177"/>
      <c r="R157" s="100">
        <f t="shared" ref="R157" si="98">SUM((R152+R153+R154)*R155*R156)</f>
        <v>282611.34999999998</v>
      </c>
      <c r="S157" s="177"/>
      <c r="T157" s="100">
        <f t="shared" si="96"/>
        <v>340600</v>
      </c>
      <c r="U157" s="177"/>
      <c r="V157" s="317">
        <f>SUM((V152+V153+V154)*V155*V156)</f>
        <v>362552</v>
      </c>
      <c r="W157" s="177"/>
      <c r="X157" s="317">
        <f>SUM((X152+X153+X154)*X155*X156)</f>
        <v>384675</v>
      </c>
      <c r="Y157" s="177"/>
      <c r="Z157" s="317">
        <f t="shared" si="96"/>
        <v>404929</v>
      </c>
      <c r="AA157" s="317">
        <f t="shared" si="96"/>
        <v>425304</v>
      </c>
      <c r="AB157" s="317">
        <f>SUM((AB152+AB153+AB154)*AB155*AB156)</f>
        <v>445679</v>
      </c>
    </row>
    <row r="158" spans="1:28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313"/>
      <c r="W158" s="73"/>
      <c r="X158" s="313"/>
      <c r="Y158" s="73"/>
      <c r="Z158" s="313"/>
      <c r="AA158" s="313"/>
      <c r="AB158" s="313"/>
    </row>
    <row r="159" spans="1:28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339">
        <v>1</v>
      </c>
      <c r="W159" s="73"/>
      <c r="X159" s="339">
        <v>1</v>
      </c>
      <c r="Y159" s="73"/>
      <c r="Z159" s="339">
        <v>1</v>
      </c>
      <c r="AA159" s="339">
        <v>1</v>
      </c>
      <c r="AB159" s="339">
        <v>1</v>
      </c>
    </row>
    <row r="160" spans="1:28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99">SUM(G157*G159)</f>
        <v>160600</v>
      </c>
      <c r="I160" s="69">
        <f t="shared" si="99"/>
        <v>168937</v>
      </c>
      <c r="J160" s="70"/>
      <c r="K160" s="71"/>
      <c r="L160" s="69">
        <f t="shared" ref="L160:AA160" si="100">SUM(L157*L159)</f>
        <v>184700</v>
      </c>
      <c r="M160" s="72"/>
      <c r="N160" s="69">
        <f t="shared" si="100"/>
        <v>209500</v>
      </c>
      <c r="O160" s="70"/>
      <c r="P160" s="70">
        <f t="shared" ref="P160" si="101">SUM(P157*P159)</f>
        <v>243796.47</v>
      </c>
      <c r="Q160" s="73"/>
      <c r="R160" s="70">
        <f t="shared" ref="R160" si="102">SUM(R157*R159)</f>
        <v>282611.34999999998</v>
      </c>
      <c r="S160" s="73"/>
      <c r="T160" s="70">
        <f t="shared" si="100"/>
        <v>340600</v>
      </c>
      <c r="U160" s="73"/>
      <c r="V160" s="313">
        <f t="shared" si="100"/>
        <v>362552</v>
      </c>
      <c r="W160" s="73"/>
      <c r="X160" s="313">
        <f t="shared" si="100"/>
        <v>384675</v>
      </c>
      <c r="Y160" s="73"/>
      <c r="Z160" s="313">
        <f t="shared" si="100"/>
        <v>404929</v>
      </c>
      <c r="AA160" s="313">
        <f t="shared" si="100"/>
        <v>425304</v>
      </c>
      <c r="AB160" s="313">
        <f>SUM(AB157*AB159)</f>
        <v>445679</v>
      </c>
    </row>
    <row r="161" spans="1:30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340">
        <v>1</v>
      </c>
      <c r="W161" s="84"/>
      <c r="X161" s="340">
        <v>1</v>
      </c>
      <c r="Y161" s="84"/>
      <c r="Z161" s="340">
        <v>1</v>
      </c>
      <c r="AA161" s="340">
        <v>1</v>
      </c>
      <c r="AB161" s="340">
        <v>1</v>
      </c>
    </row>
    <row r="162" spans="1:30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103">SUM(G160*G161)</f>
        <v>160600</v>
      </c>
      <c r="I162" s="69">
        <f t="shared" si="103"/>
        <v>168937</v>
      </c>
      <c r="J162" s="70"/>
      <c r="K162" s="71"/>
      <c r="L162" s="69">
        <f t="shared" ref="L162:AA162" si="104">SUM(L160*L161)</f>
        <v>184700</v>
      </c>
      <c r="M162" s="72"/>
      <c r="N162" s="69">
        <f t="shared" si="104"/>
        <v>209500</v>
      </c>
      <c r="O162" s="70"/>
      <c r="P162" s="70">
        <f t="shared" ref="P162" si="105">SUM(P160*P161)</f>
        <v>243796.47</v>
      </c>
      <c r="Q162" s="73"/>
      <c r="R162" s="70">
        <f t="shared" ref="R162" si="106">SUM(R160*R161)</f>
        <v>282611.34999999998</v>
      </c>
      <c r="S162" s="73"/>
      <c r="T162" s="70">
        <f t="shared" si="104"/>
        <v>340600</v>
      </c>
      <c r="U162" s="73"/>
      <c r="V162" s="313">
        <f>SUM(V160*V161)</f>
        <v>362552</v>
      </c>
      <c r="W162" s="73"/>
      <c r="X162" s="313">
        <f t="shared" si="104"/>
        <v>384675</v>
      </c>
      <c r="Y162" s="73"/>
      <c r="Z162" s="313">
        <f t="shared" si="104"/>
        <v>404929</v>
      </c>
      <c r="AA162" s="313">
        <f t="shared" si="104"/>
        <v>425304</v>
      </c>
      <c r="AB162" s="313">
        <f>SUM(AB160*AB161)</f>
        <v>445679</v>
      </c>
    </row>
    <row r="163" spans="1:30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305">
        <f>$U$30</f>
        <v>0.01</v>
      </c>
      <c r="V163" s="318">
        <f>SUM(T163*(1+U163))</f>
        <v>1.3083317746623606E-2</v>
      </c>
      <c r="W163" s="305">
        <f>$W$30</f>
        <v>1.4999999999999999E-2</v>
      </c>
      <c r="X163" s="318">
        <f>SUM(V163*(1+W163))</f>
        <v>1.3279567512822959E-2</v>
      </c>
      <c r="Y163" s="305">
        <f>$Y$30</f>
        <v>0.02</v>
      </c>
      <c r="Z163" s="318">
        <f>SUM(X163*(1+Y163))</f>
        <v>1.3545158863079419E-2</v>
      </c>
      <c r="AA163" s="318">
        <f>SUM(Z163*(1+Y163))</f>
        <v>1.3816062040341007E-2</v>
      </c>
      <c r="AB163" s="318">
        <f>SUM(AA163*(1+Y163))</f>
        <v>1.4092383281147827E-2</v>
      </c>
    </row>
    <row r="164" spans="1:30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319"/>
      <c r="W164" s="73"/>
      <c r="X164" s="319"/>
      <c r="Y164" s="73"/>
      <c r="Z164" s="319"/>
      <c r="AA164" s="319"/>
      <c r="AB164" s="319"/>
    </row>
    <row r="165" spans="1:30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7">SUM(G162*G163)</f>
        <v>2030.6547399999999</v>
      </c>
      <c r="I165" s="112">
        <f t="shared" si="107"/>
        <v>2137.1771711399883</v>
      </c>
      <c r="J165" s="141"/>
      <c r="K165" s="114"/>
      <c r="L165" s="248">
        <f t="shared" ref="L165:Z165" si="108">SUM(L162*L163)</f>
        <v>2378.8604999999998</v>
      </c>
      <c r="M165" s="113"/>
      <c r="N165" s="112">
        <f t="shared" si="108"/>
        <v>2651</v>
      </c>
      <c r="O165" s="141"/>
      <c r="P165" s="141">
        <f t="shared" si="108"/>
        <v>3184.1441200000004</v>
      </c>
      <c r="Q165" s="249"/>
      <c r="R165" s="141">
        <f t="shared" ref="R165" si="109">SUM(R162*R163)</f>
        <v>3678.2691199999999</v>
      </c>
      <c r="S165" s="249"/>
      <c r="T165" s="141">
        <f>SUM(T162*T163)</f>
        <v>4412.0574500000002</v>
      </c>
      <c r="U165" s="249"/>
      <c r="V165" s="320">
        <f t="shared" si="108"/>
        <v>4743.3830156738813</v>
      </c>
      <c r="W165" s="249"/>
      <c r="X165" s="320">
        <f t="shared" si="108"/>
        <v>5108.3176329951712</v>
      </c>
      <c r="Y165" s="249"/>
      <c r="Z165" s="320">
        <f t="shared" si="108"/>
        <v>5484.8276332678861</v>
      </c>
      <c r="AA165" s="320">
        <f>SUM(AA162*AA163)</f>
        <v>5876.0264500051917</v>
      </c>
      <c r="AB165" s="320">
        <f>SUM(AB162*AB163)</f>
        <v>6280.6792883586822</v>
      </c>
    </row>
    <row r="166" spans="1:30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</row>
    <row r="167" spans="1:30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</row>
    <row r="168" spans="1:30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</row>
    <row r="169" spans="1:30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</row>
    <row r="170" spans="1:30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</row>
    <row r="171" spans="1:30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</row>
    <row r="172" spans="1:30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</row>
    <row r="173" spans="1:30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D173" s="11"/>
    </row>
    <row r="174" spans="1:30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306">
        <f>SUM(T32)</f>
        <v>14726.881307847581</v>
      </c>
      <c r="U174" s="273"/>
      <c r="V174" s="342">
        <f>SUM(V32)</f>
        <v>16176.634829065673</v>
      </c>
      <c r="W174" s="273"/>
      <c r="X174" s="342">
        <f>SUM(X32)</f>
        <v>17660.198256227395</v>
      </c>
      <c r="Y174" s="273"/>
      <c r="Z174" s="342">
        <f>SUM(Z32)</f>
        <v>19257.568208895344</v>
      </c>
      <c r="AA174" s="342">
        <f>SUM(AA32)</f>
        <v>21152.58777984617</v>
      </c>
      <c r="AB174" s="342">
        <f>SUM(AB32)</f>
        <v>23115.70510635147</v>
      </c>
      <c r="AD174" s="145"/>
    </row>
    <row r="175" spans="1:30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342"/>
      <c r="W175" s="271"/>
      <c r="X175" s="342"/>
      <c r="Y175" s="271"/>
      <c r="Z175" s="342"/>
      <c r="AA175" s="342"/>
      <c r="AB175" s="342"/>
      <c r="AD175" s="144"/>
    </row>
    <row r="176" spans="1:30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342">
        <f>SUM(V53)</f>
        <v>6811.8201993011862</v>
      </c>
      <c r="W176" s="273"/>
      <c r="X176" s="342">
        <f>SUM(X53)</f>
        <v>7434.8156859921783</v>
      </c>
      <c r="Y176" s="273"/>
      <c r="Z176" s="342">
        <f>SUM(Z53)</f>
        <v>8105.695099915677</v>
      </c>
      <c r="AA176" s="342">
        <f>SUM(AA53)</f>
        <v>8901.5087405383838</v>
      </c>
      <c r="AB176" s="342">
        <f>SUM(AB53)</f>
        <v>9725.9126487460308</v>
      </c>
      <c r="AD176" s="145"/>
    </row>
    <row r="177" spans="1:30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342">
        <f>SUM(V75)</f>
        <v>12028.763692634888</v>
      </c>
      <c r="W177" s="273"/>
      <c r="X177" s="342">
        <f>SUM(X75)</f>
        <v>12911.146611000037</v>
      </c>
      <c r="Y177" s="273"/>
      <c r="Z177" s="342">
        <f>SUM(Z75)</f>
        <v>13832.503247622539</v>
      </c>
      <c r="AA177" s="342">
        <f>SUM(AA75)</f>
        <v>14919.212003738023</v>
      </c>
      <c r="AB177" s="342">
        <f>SUM(AB75)</f>
        <v>16043.856108799073</v>
      </c>
      <c r="AD177" s="145"/>
    </row>
    <row r="178" spans="1:30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343">
        <f>SUM(V95)</f>
        <v>13.303558399999998</v>
      </c>
      <c r="W178" s="273"/>
      <c r="X178" s="343">
        <f>SUM(X95)</f>
        <v>13.503111775999995</v>
      </c>
      <c r="Y178" s="273"/>
      <c r="Z178" s="343">
        <f>SUM(Z95)</f>
        <v>13.773174011519995</v>
      </c>
      <c r="AA178" s="343">
        <f>SUM(AA95)</f>
        <v>14.048637491750396</v>
      </c>
      <c r="AB178" s="343">
        <f>SUM(AB95)</f>
        <v>14.329610241585403</v>
      </c>
      <c r="AD178" s="145"/>
    </row>
    <row r="179" spans="1:30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55"/>
      <c r="T179" s="179">
        <f>SUM(T111)</f>
        <v>3479.2761100000002</v>
      </c>
      <c r="U179" s="273"/>
      <c r="V179" s="338">
        <f>SUM(V111)</f>
        <v>3514.0688710999998</v>
      </c>
      <c r="W179" s="273"/>
      <c r="X179" s="338">
        <f>SUM(X111)</f>
        <v>3566.7799041664994</v>
      </c>
      <c r="Y179" s="273"/>
      <c r="Z179" s="338">
        <f>SUM(Z111)</f>
        <v>3638.1155022498292</v>
      </c>
      <c r="AA179" s="338">
        <f>SUM(AA111)</f>
        <v>3710.8778122948261</v>
      </c>
      <c r="AB179" s="338">
        <f>SUM(AB111)</f>
        <v>3785.0953685407226</v>
      </c>
      <c r="AD179" s="145"/>
    </row>
    <row r="180" spans="1:30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271"/>
      <c r="T180" s="272"/>
      <c r="U180" s="271"/>
      <c r="V180" s="342"/>
      <c r="W180" s="271"/>
      <c r="X180" s="342"/>
      <c r="Y180" s="271"/>
      <c r="Z180" s="342"/>
      <c r="AA180" s="342"/>
      <c r="AB180" s="342"/>
      <c r="AD180" s="144"/>
    </row>
    <row r="181" spans="1:30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10">SUM(G174:G179)</f>
        <v>22467.722571320119</v>
      </c>
      <c r="H181" s="3"/>
      <c r="I181" s="178">
        <f t="shared" si="110"/>
        <v>25222.541358363891</v>
      </c>
      <c r="J181" s="181"/>
      <c r="K181" s="180"/>
      <c r="L181" s="178">
        <f t="shared" ref="L181:AA181" si="111">SUM(L174:L179)</f>
        <v>27721.837982187997</v>
      </c>
      <c r="M181" s="181"/>
      <c r="N181" s="178">
        <f t="shared" ref="N181" si="112">SUM(N174:N179)</f>
        <v>29497.728188102526</v>
      </c>
      <c r="O181" s="280"/>
      <c r="P181" s="179">
        <f t="shared" si="111"/>
        <v>30629.426470680279</v>
      </c>
      <c r="Q181" s="281"/>
      <c r="R181" s="179">
        <f>SUM(R174:R179)</f>
        <v>33603.611274662006</v>
      </c>
      <c r="S181" s="281"/>
      <c r="T181" s="179">
        <f>SUM(T174:T179)</f>
        <v>35588.245207847584</v>
      </c>
      <c r="U181" s="273"/>
      <c r="V181" s="338">
        <f t="shared" si="111"/>
        <v>38544.591150501743</v>
      </c>
      <c r="W181" s="273"/>
      <c r="X181" s="338">
        <f t="shared" si="111"/>
        <v>41586.443569162111</v>
      </c>
      <c r="Y181" s="273"/>
      <c r="Z181" s="338">
        <f t="shared" si="111"/>
        <v>44847.65523269491</v>
      </c>
      <c r="AA181" s="338">
        <f t="shared" si="111"/>
        <v>48698.234973909159</v>
      </c>
      <c r="AB181" s="338">
        <f>SUM(AB174:AB179)</f>
        <v>52684.898842678878</v>
      </c>
      <c r="AD181" s="144"/>
    </row>
    <row r="182" spans="1:30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271"/>
      <c r="T182" s="272"/>
      <c r="U182" s="271"/>
      <c r="V182" s="342"/>
      <c r="W182" s="271"/>
      <c r="X182" s="342"/>
      <c r="Y182" s="271"/>
      <c r="Z182" s="342"/>
      <c r="AA182" s="342"/>
      <c r="AB182" s="342"/>
      <c r="AD182" s="144"/>
    </row>
    <row r="183" spans="1:30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271"/>
      <c r="T183" s="272"/>
      <c r="U183" s="271"/>
      <c r="V183" s="342"/>
      <c r="W183" s="271"/>
      <c r="X183" s="342"/>
      <c r="Y183" s="271"/>
      <c r="Z183" s="342"/>
      <c r="AA183" s="342"/>
      <c r="AB183" s="342"/>
      <c r="AD183" s="144"/>
    </row>
    <row r="184" spans="1:30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273"/>
      <c r="T184" s="306">
        <f>SUM(T130)</f>
        <v>3836.8046227566497</v>
      </c>
      <c r="U184" s="273"/>
      <c r="V184" s="342">
        <f>SUM(V130)</f>
        <v>4097.5034710674299</v>
      </c>
      <c r="W184" s="273"/>
      <c r="X184" s="342">
        <f>SUM(X130)</f>
        <v>4438.488647809455</v>
      </c>
      <c r="Y184" s="273"/>
      <c r="Z184" s="342">
        <f>SUM(Z130)</f>
        <v>4759.2997710701065</v>
      </c>
      <c r="AA184" s="342">
        <f>SUM(AA130)</f>
        <v>5093.2568009835568</v>
      </c>
      <c r="AB184" s="342">
        <f>SUM(AB130)</f>
        <v>5438.6683921851172</v>
      </c>
      <c r="AD184" s="145"/>
    </row>
    <row r="185" spans="1:30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273"/>
      <c r="T185" s="276">
        <f>SUM(T147)</f>
        <v>1765.7096300000001</v>
      </c>
      <c r="U185" s="273"/>
      <c r="V185" s="342">
        <f>SUM(V147)</f>
        <v>1879.2710451087662</v>
      </c>
      <c r="W185" s="273"/>
      <c r="X185" s="342">
        <f>SUM(X147)</f>
        <v>2026.3679327527882</v>
      </c>
      <c r="Y185" s="273"/>
      <c r="Z185" s="342">
        <f>SUM(Z147)</f>
        <v>2165.6047665462388</v>
      </c>
      <c r="AA185" s="342">
        <f>SUM(AA147)</f>
        <v>2310.4891181238913</v>
      </c>
      <c r="AB185" s="342">
        <f>SUM(AB147)</f>
        <v>2460.3026018580322</v>
      </c>
      <c r="AD185" s="145"/>
    </row>
    <row r="186" spans="1:30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342">
        <f>SUM(V165)</f>
        <v>4743.3830156738813</v>
      </c>
      <c r="W186" s="273"/>
      <c r="X186" s="342">
        <f>SUM(X165)</f>
        <v>5108.3176329951712</v>
      </c>
      <c r="Y186" s="273"/>
      <c r="Z186" s="342">
        <f>SUM(Z165)</f>
        <v>5484.8276332678861</v>
      </c>
      <c r="AA186" s="342">
        <f>SUM(AA165)</f>
        <v>5876.0264500051917</v>
      </c>
      <c r="AB186" s="342">
        <f>SUM(AB165)</f>
        <v>6280.6792883586822</v>
      </c>
      <c r="AD186" s="145"/>
    </row>
    <row r="187" spans="1:30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80"/>
      <c r="T187" s="179">
        <v>0</v>
      </c>
      <c r="U187" s="273"/>
      <c r="V187" s="338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D187" s="144"/>
    </row>
    <row r="188" spans="1:30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271"/>
      <c r="T188" s="272"/>
      <c r="U188" s="271"/>
      <c r="V188" s="342"/>
      <c r="W188" s="271"/>
      <c r="X188" s="342"/>
      <c r="Y188" s="271"/>
      <c r="Z188" s="342"/>
      <c r="AA188" s="342"/>
      <c r="AB188" s="342"/>
      <c r="AD188" s="27"/>
    </row>
    <row r="189" spans="1:30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13">SUM(G184:G186)</f>
        <v>5381.658967623669</v>
      </c>
      <c r="H189" s="3"/>
      <c r="I189" s="178">
        <f t="shared" si="113"/>
        <v>5836.652431139988</v>
      </c>
      <c r="J189" s="181"/>
      <c r="K189" s="180"/>
      <c r="L189" s="178">
        <f t="shared" ref="L189:AB189" si="114">SUM(L184:L186)</f>
        <v>6656.9436187574665</v>
      </c>
      <c r="M189" s="181"/>
      <c r="N189" s="178">
        <f t="shared" ref="N189" si="115">SUM(N184:N186)</f>
        <v>6826.5169189769413</v>
      </c>
      <c r="O189" s="181"/>
      <c r="P189" s="179">
        <f t="shared" si="114"/>
        <v>7377.2878482527303</v>
      </c>
      <c r="Q189" s="180"/>
      <c r="R189" s="179">
        <f>SUM(R184:R186)</f>
        <v>8337.9596247768241</v>
      </c>
      <c r="S189" s="180"/>
      <c r="T189" s="179">
        <f>SUM(T184:T186)</f>
        <v>10014.57170275665</v>
      </c>
      <c r="U189" s="273"/>
      <c r="V189" s="338">
        <f t="shared" si="114"/>
        <v>10720.157531850076</v>
      </c>
      <c r="W189" s="273"/>
      <c r="X189" s="338">
        <f t="shared" si="114"/>
        <v>11573.174213557413</v>
      </c>
      <c r="Y189" s="273"/>
      <c r="Z189" s="338">
        <f t="shared" si="114"/>
        <v>12409.732170884232</v>
      </c>
      <c r="AA189" s="338">
        <f t="shared" si="114"/>
        <v>13279.772369112641</v>
      </c>
      <c r="AB189" s="338">
        <f t="shared" si="114"/>
        <v>14179.650282401832</v>
      </c>
    </row>
    <row r="190" spans="1:30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271"/>
      <c r="T190" s="270"/>
      <c r="U190" s="271"/>
      <c r="V190" s="342"/>
      <c r="W190" s="271"/>
      <c r="X190" s="342"/>
      <c r="Y190" s="271"/>
      <c r="Z190" s="342"/>
      <c r="AA190" s="342"/>
      <c r="AB190" s="342"/>
    </row>
    <row r="191" spans="1:30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14"/>
      <c r="T191" s="141">
        <f>SUM(T181+T189)</f>
        <v>45602.816910604233</v>
      </c>
      <c r="U191" s="273"/>
      <c r="V191" s="320">
        <f>SUM(V181+V189)</f>
        <v>49264.748682351819</v>
      </c>
      <c r="W191" s="273"/>
      <c r="X191" s="320">
        <f>SUM(X181+X189)</f>
        <v>53159.617782719521</v>
      </c>
      <c r="Y191" s="273"/>
      <c r="Z191" s="320">
        <f>SUM(Z181+Z189)</f>
        <v>57257.387403579138</v>
      </c>
      <c r="AA191" s="320">
        <f>SUM(AA181+AA189)</f>
        <v>61978.007343021804</v>
      </c>
      <c r="AB191" s="320">
        <f>SUM(AB181+AB189)</f>
        <v>66864.54912508071</v>
      </c>
    </row>
    <row r="192" spans="1:30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286"/>
      <c r="T192" s="285"/>
      <c r="U192" s="286"/>
      <c r="V192" s="285" t="s">
        <v>142</v>
      </c>
      <c r="W192" s="286"/>
      <c r="X192" s="285" t="s">
        <v>143</v>
      </c>
      <c r="Y192" s="286"/>
      <c r="Z192" s="285" t="s">
        <v>116</v>
      </c>
      <c r="AA192" s="285" t="s">
        <v>116</v>
      </c>
      <c r="AB192" s="285" t="s">
        <v>116</v>
      </c>
    </row>
    <row r="193" spans="1:28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290"/>
      <c r="T193" s="289">
        <f>SUM(T191-R191)</f>
        <v>3661.2460111654073</v>
      </c>
      <c r="U193" s="290"/>
      <c r="V193" s="289">
        <f>SUM(V191-T191)</f>
        <v>3661.931771747586</v>
      </c>
      <c r="W193" s="290"/>
      <c r="X193" s="289">
        <f>SUM(X191-V191)</f>
        <v>3894.8691003677013</v>
      </c>
      <c r="Y193" s="290"/>
      <c r="Z193" s="289">
        <f>SUM(Z191-X191)</f>
        <v>4097.7696208596171</v>
      </c>
      <c r="AA193" s="289">
        <f>SUM(AA191-Z191)</f>
        <v>4720.6199394426658</v>
      </c>
      <c r="AB193" s="289">
        <f>SUM(AB191-AA191)</f>
        <v>4886.5417820589064</v>
      </c>
    </row>
    <row r="194" spans="1:28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R194" s="11"/>
      <c r="S194" s="291"/>
      <c r="T194" s="11"/>
      <c r="U194" s="291"/>
      <c r="W194" s="291"/>
      <c r="Y194" s="291"/>
    </row>
    <row r="195" spans="1:28" x14ac:dyDescent="0.3">
      <c r="R195" s="354">
        <f>+R184/12</f>
        <v>251.56620123140203</v>
      </c>
      <c r="S195" s="2" t="s">
        <v>167</v>
      </c>
      <c r="T195" s="354">
        <f>+T184/12</f>
        <v>319.73371856305414</v>
      </c>
      <c r="V195" s="10"/>
      <c r="X195" s="10"/>
      <c r="Z195" s="10"/>
      <c r="AA195" s="10"/>
      <c r="AB195" s="10"/>
    </row>
    <row r="196" spans="1:28" x14ac:dyDescent="0.3">
      <c r="R196" s="354">
        <f>+R174/12</f>
        <v>1173.3874964194445</v>
      </c>
      <c r="S196" s="2" t="s">
        <v>168</v>
      </c>
      <c r="T196" s="354">
        <f>+T174/12</f>
        <v>1227.2401089872985</v>
      </c>
    </row>
    <row r="197" spans="1:28" x14ac:dyDescent="0.3">
      <c r="R197" s="354"/>
      <c r="T197" s="354"/>
    </row>
    <row r="198" spans="1:28" x14ac:dyDescent="0.3">
      <c r="R198" s="354">
        <f>+R176/12</f>
        <v>511.02532333333335</v>
      </c>
      <c r="S198" s="2" t="s">
        <v>169</v>
      </c>
      <c r="T198" s="354">
        <f>+T176/12</f>
        <v>516.78211249999993</v>
      </c>
    </row>
    <row r="199" spans="1:28" x14ac:dyDescent="0.3">
      <c r="R199" s="354">
        <f>+R185/12</f>
        <v>136.74134083333334</v>
      </c>
      <c r="S199" s="2" t="s">
        <v>170</v>
      </c>
      <c r="T199" s="354">
        <f>+T185/12</f>
        <v>147.14246916666667</v>
      </c>
    </row>
    <row r="200" spans="1:28" x14ac:dyDescent="0.3">
      <c r="R200" s="354"/>
      <c r="T200" s="354"/>
    </row>
    <row r="201" spans="1:28" x14ac:dyDescent="0.3">
      <c r="R201" s="354">
        <f>+R177/12</f>
        <v>868.60357563572245</v>
      </c>
      <c r="S201" s="2" t="s">
        <v>171</v>
      </c>
      <c r="T201" s="354">
        <f>+T177/12</f>
        <v>930.62755000000004</v>
      </c>
    </row>
    <row r="202" spans="1:28" x14ac:dyDescent="0.3">
      <c r="T202" s="354"/>
    </row>
  </sheetData>
  <pageMargins left="0.7" right="0.7" top="0.75" bottom="0.75" header="0.3" footer="0.3"/>
  <pageSetup paperSize="5" scale="75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M236"/>
  <sheetViews>
    <sheetView zoomScale="85" zoomScaleNormal="85" workbookViewId="0">
      <pane xSplit="1" ySplit="9" topLeftCell="B133" activePane="bottomRight" state="frozen"/>
      <selection activeCell="AB26" sqref="AB26"/>
      <selection pane="topRight" activeCell="AB26" sqref="AB26"/>
      <selection pane="bottomLeft" activeCell="AB26" sqref="AB26"/>
      <selection pane="bottomRight" activeCell="Z37" sqref="Z37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8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hidden="1" customWidth="1" outlineLevel="1"/>
    <col min="19" max="19" width="7.6640625" style="2" hidden="1" customWidth="1" outlineLevel="1"/>
    <col min="20" max="20" width="18.6640625" style="12" hidden="1" customWidth="1" outlineLevel="1"/>
    <col min="21" max="21" width="6.33203125" style="2" hidden="1" customWidth="1" outlineLevel="1"/>
    <col min="22" max="22" width="18.6640625" style="12" customWidth="1" collapsed="1"/>
    <col min="23" max="23" width="7.6640625" style="2" customWidth="1"/>
    <col min="24" max="24" width="18.6640625" style="12" customWidth="1"/>
    <col min="25" max="25" width="7.6640625" style="2" customWidth="1"/>
    <col min="26" max="29" width="18.6640625" style="12" customWidth="1"/>
    <col min="30" max="31" width="9.109375" style="12"/>
    <col min="32" max="33" width="10.5546875" style="12" bestFit="1" customWidth="1"/>
    <col min="34" max="36" width="9.109375" style="12"/>
    <col min="37" max="37" width="9.88671875" style="12" bestFit="1" customWidth="1"/>
    <col min="38" max="16384" width="9.109375" style="12"/>
  </cols>
  <sheetData>
    <row r="1" spans="1:32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C1" s="298" t="s">
        <v>0</v>
      </c>
      <c r="AE1" s="300"/>
      <c r="AF1" s="12" t="s">
        <v>103</v>
      </c>
    </row>
    <row r="2" spans="1:32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/>
      <c r="W2" s="4"/>
      <c r="X2" s="299"/>
      <c r="Y2" s="4"/>
      <c r="Z2" s="299"/>
      <c r="AA2" s="299"/>
      <c r="AB2" s="299"/>
      <c r="AC2" s="299"/>
    </row>
    <row r="3" spans="1:32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201</v>
      </c>
      <c r="W3" s="36"/>
      <c r="X3" s="264" t="s">
        <v>226</v>
      </c>
      <c r="Y3" s="36"/>
      <c r="Z3" s="264" t="str">
        <f>X3</f>
        <v>at 07/02/2020</v>
      </c>
      <c r="AA3" s="264" t="str">
        <f>Z3</f>
        <v>at 07/02/2020</v>
      </c>
      <c r="AB3" s="264" t="str">
        <f>Z3</f>
        <v>at 07/02/2020</v>
      </c>
      <c r="AC3" s="264" t="str">
        <f>Z3</f>
        <v>at 07/02/2020</v>
      </c>
    </row>
    <row r="4" spans="1:32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  <c r="AC4" s="16" t="s">
        <v>3</v>
      </c>
    </row>
    <row r="5" spans="1:32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9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C7" si="0">Z5+1</f>
        <v>2021</v>
      </c>
      <c r="AB5" s="307">
        <f t="shared" si="0"/>
        <v>2022</v>
      </c>
      <c r="AC5" s="307">
        <f t="shared" si="0"/>
        <v>2023</v>
      </c>
    </row>
    <row r="6" spans="1:32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42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  <c r="AC6" s="308">
        <f t="shared" si="0"/>
        <v>2024</v>
      </c>
    </row>
    <row r="7" spans="1:32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46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  <c r="AC7" s="309">
        <f t="shared" si="0"/>
        <v>2024</v>
      </c>
    </row>
    <row r="8" spans="1:32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5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  <c r="AC8" s="310" t="s">
        <v>176</v>
      </c>
    </row>
    <row r="9" spans="1:32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54"/>
      <c r="W9" s="55"/>
      <c r="X9" s="311"/>
      <c r="Y9" s="55"/>
      <c r="Z9" s="311"/>
      <c r="AA9" s="311"/>
      <c r="AB9" s="311"/>
      <c r="AC9" s="311"/>
    </row>
    <row r="10" spans="1:32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120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  <c r="AC10" s="301" t="s">
        <v>177</v>
      </c>
    </row>
    <row r="11" spans="1:32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42"/>
      <c r="W11" s="43"/>
      <c r="X11" s="308"/>
      <c r="Y11" s="43"/>
      <c r="Z11" s="308"/>
      <c r="AA11" s="308"/>
      <c r="AB11" s="308"/>
      <c r="AC11" s="308"/>
    </row>
    <row r="12" spans="1:32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68"/>
      <c r="W12" s="47"/>
      <c r="X12" s="312"/>
      <c r="Y12" s="47"/>
      <c r="Z12" s="312"/>
      <c r="AA12" s="312"/>
      <c r="AB12" s="312"/>
      <c r="AC12" s="312"/>
    </row>
    <row r="13" spans="1:32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70">
        <v>2400000</v>
      </c>
      <c r="W13" s="73"/>
      <c r="X13" s="461">
        <v>2400000</v>
      </c>
      <c r="Y13" s="73"/>
      <c r="Z13" s="313">
        <f>SUM(X13:X19)</f>
        <v>2400000</v>
      </c>
      <c r="AA13" s="313">
        <f>SUM(Z13:Z19)</f>
        <v>2565553</v>
      </c>
      <c r="AB13" s="313">
        <f>SUM(AA13:AA19)</f>
        <v>2743594</v>
      </c>
      <c r="AC13" s="313">
        <f>SUM(AB13:AB19)</f>
        <v>2892159</v>
      </c>
    </row>
    <row r="14" spans="1:32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153"/>
      <c r="W14" s="73"/>
      <c r="X14" s="461"/>
      <c r="Y14" s="73"/>
      <c r="Z14" s="313"/>
      <c r="AA14" s="313"/>
      <c r="AB14" s="313"/>
      <c r="AC14" s="313"/>
    </row>
    <row r="15" spans="1:32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153"/>
      <c r="W15" s="73"/>
      <c r="X15" s="461"/>
      <c r="Y15" s="73"/>
      <c r="Z15" s="154">
        <v>303587</v>
      </c>
      <c r="AA15" s="154">
        <v>310788</v>
      </c>
      <c r="AB15" s="154">
        <v>280335</v>
      </c>
      <c r="AC15" s="154">
        <v>329161</v>
      </c>
    </row>
    <row r="16" spans="1:32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153"/>
      <c r="W16" s="73"/>
      <c r="X16" s="461"/>
      <c r="Y16" s="73"/>
      <c r="Z16" s="154">
        <v>-18675</v>
      </c>
      <c r="AA16" s="154">
        <v>-13145</v>
      </c>
      <c r="AB16" s="154">
        <v>-12168</v>
      </c>
      <c r="AC16" s="154">
        <v>-5895</v>
      </c>
    </row>
    <row r="17" spans="1:34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153"/>
      <c r="W17" s="73"/>
      <c r="X17" s="461"/>
      <c r="Y17" s="73"/>
      <c r="Z17" s="154"/>
      <c r="AA17" s="154"/>
      <c r="AB17" s="154"/>
      <c r="AC17" s="154"/>
    </row>
    <row r="18" spans="1:34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153"/>
      <c r="W18" s="73"/>
      <c r="X18" s="461"/>
      <c r="Y18" s="73"/>
      <c r="Z18" s="154">
        <v>-6747</v>
      </c>
      <c r="AA18" s="154">
        <v>-6990</v>
      </c>
      <c r="AB18" s="154">
        <v>-6990</v>
      </c>
      <c r="AC18" s="154">
        <v>-7760</v>
      </c>
    </row>
    <row r="19" spans="1:34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155"/>
      <c r="W19" s="84"/>
      <c r="X19" s="462"/>
      <c r="Y19" s="84"/>
      <c r="Z19" s="398">
        <f>-112612</f>
        <v>-112612</v>
      </c>
      <c r="AA19" s="398">
        <f t="shared" ref="AA19:AC19" si="1">Z19</f>
        <v>-112612</v>
      </c>
      <c r="AB19" s="398">
        <f t="shared" si="1"/>
        <v>-112612</v>
      </c>
      <c r="AC19" s="398">
        <f t="shared" si="1"/>
        <v>-112612</v>
      </c>
    </row>
    <row r="20" spans="1:34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87">
        <v>0.96493331984800101</v>
      </c>
      <c r="W20" s="73"/>
      <c r="X20" s="463">
        <v>0.9588379188630457</v>
      </c>
      <c r="Y20" s="73"/>
      <c r="Z20" s="314">
        <f>SUM(X20)</f>
        <v>0.9588379188630457</v>
      </c>
      <c r="AA20" s="314">
        <f t="shared" ref="AA20:AA21" si="2">SUM(Z20)</f>
        <v>0.9588379188630457</v>
      </c>
      <c r="AB20" s="314">
        <f>SUM(AA20)</f>
        <v>0.9588379188630457</v>
      </c>
      <c r="AC20" s="314">
        <f>SUM(AB20)</f>
        <v>0.9588379188630457</v>
      </c>
    </row>
    <row r="21" spans="1:34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91">
        <v>0.56470299999999995</v>
      </c>
      <c r="W21" s="84"/>
      <c r="X21" s="464">
        <v>0.56982299999999997</v>
      </c>
      <c r="Y21" s="84"/>
      <c r="Z21" s="315">
        <f>SUM(X21)</f>
        <v>0.56982299999999997</v>
      </c>
      <c r="AA21" s="315">
        <f t="shared" si="2"/>
        <v>0.56982299999999997</v>
      </c>
      <c r="AB21" s="315">
        <f>SUM(AA21)</f>
        <v>0.56982299999999997</v>
      </c>
      <c r="AC21" s="315">
        <f>SUM(AB21)</f>
        <v>0.56982299999999997</v>
      </c>
    </row>
    <row r="22" spans="1:34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3">SUM(G13:G19)*G20*G21</f>
        <v>749495.24554680008</v>
      </c>
      <c r="I22" s="69">
        <f t="shared" si="3"/>
        <v>822232.32062400004</v>
      </c>
      <c r="J22" s="70"/>
      <c r="K22" s="71"/>
      <c r="L22" s="69">
        <f t="shared" ref="L22:N22" si="4">SUM(L13:L19)*L20*L21</f>
        <v>962461.34900000005</v>
      </c>
      <c r="M22" s="72"/>
      <c r="N22" s="69">
        <f t="shared" si="4"/>
        <v>1154211.1569999997</v>
      </c>
      <c r="O22" s="70"/>
      <c r="P22" s="70">
        <f t="shared" ref="P22" si="5">SUM(P13:P19)*P20*P21</f>
        <v>1162234.5759999999</v>
      </c>
      <c r="Q22" s="73"/>
      <c r="R22" s="70">
        <f>SUM(R13:R19)*R20*R21</f>
        <v>1207497.787</v>
      </c>
      <c r="S22" s="73"/>
      <c r="T22" s="70">
        <f>SUM(T13:T19)*T20*T21</f>
        <v>1238307.8730000001</v>
      </c>
      <c r="U22" s="73"/>
      <c r="V22" s="70">
        <f>SUM(V13:V19)*V20*V21</f>
        <v>1307761.7772435015</v>
      </c>
      <c r="W22" s="73"/>
      <c r="X22" s="461">
        <f>SUM(X13:X19)*X20*X21</f>
        <v>1311282.9586567134</v>
      </c>
      <c r="Y22" s="73"/>
      <c r="Z22" s="313">
        <f>SUM(Z13:Z19)*Z20*Z21</f>
        <v>1401735.803512753</v>
      </c>
      <c r="AA22" s="313">
        <f>SUM(AA13:AA19)*AA20*AA21</f>
        <v>1499011.6906970029</v>
      </c>
      <c r="AB22" s="313">
        <f>SUM(AB13:AB19)*AB20*AB21</f>
        <v>1580182.8376773507</v>
      </c>
      <c r="AC22" s="313">
        <f>SUM(AC13:AC19)*AC20*AC21</f>
        <v>1691037.6062663903</v>
      </c>
    </row>
    <row r="23" spans="1:34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70">
        <v>489.39157803826998</v>
      </c>
      <c r="W23" s="73"/>
      <c r="X23" s="461">
        <v>345.346</v>
      </c>
      <c r="Y23" s="73"/>
      <c r="Z23" s="313"/>
      <c r="AA23" s="313"/>
      <c r="AB23" s="313"/>
      <c r="AC23" s="313"/>
    </row>
    <row r="24" spans="1:34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6">SUM(I22)</f>
        <v>822232.32062400004</v>
      </c>
      <c r="J24" s="70"/>
      <c r="K24" s="71"/>
      <c r="L24" s="69">
        <f t="shared" ref="L24" si="7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70">
        <f>SUM(V22:V23)</f>
        <v>1308251.1688215397</v>
      </c>
      <c r="W24" s="73"/>
      <c r="X24" s="461">
        <f>SUM(X22:X23)</f>
        <v>1311628.3046567133</v>
      </c>
      <c r="Y24" s="73"/>
      <c r="Z24" s="313">
        <f t="shared" ref="Z24:AA24" si="8">SUM(Z22)</f>
        <v>1401735.803512753</v>
      </c>
      <c r="AA24" s="313">
        <f t="shared" si="8"/>
        <v>1499011.6906970029</v>
      </c>
      <c r="AB24" s="313">
        <f>SUM(AB22)</f>
        <v>1580182.8376773507</v>
      </c>
      <c r="AC24" s="313">
        <f>SUM(AC22)</f>
        <v>1691037.6062663903</v>
      </c>
    </row>
    <row r="25" spans="1:34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453">
        <v>1064023.335</v>
      </c>
      <c r="Q25" s="73"/>
      <c r="R25" s="70">
        <v>1117051.1471780001</v>
      </c>
      <c r="S25" s="73"/>
      <c r="T25" s="70">
        <v>1153650.0430000001</v>
      </c>
      <c r="U25" s="73"/>
      <c r="V25" s="483">
        <f>1234752.192-3489.148</f>
        <v>1231263.044</v>
      </c>
      <c r="W25" s="73"/>
      <c r="X25" s="313"/>
      <c r="Y25" s="73"/>
      <c r="Z25" s="313"/>
      <c r="AA25" s="313"/>
      <c r="AB25" s="313"/>
      <c r="AC25" s="313"/>
    </row>
    <row r="26" spans="1:34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484">
        <f>V25/V24</f>
        <v>0.94115187766972153</v>
      </c>
      <c r="W26" s="81"/>
      <c r="X26" s="316">
        <f>SUM(V26)</f>
        <v>0.94115187766972153</v>
      </c>
      <c r="Y26" s="81"/>
      <c r="Z26" s="316">
        <f>SUM(X26)</f>
        <v>0.94115187766972153</v>
      </c>
      <c r="AA26" s="316">
        <f t="shared" ref="AA26" si="9">SUM(Z26)</f>
        <v>0.94115187766972153</v>
      </c>
      <c r="AB26" s="316">
        <f>SUM(AA26)</f>
        <v>0.94115187766972153</v>
      </c>
      <c r="AC26" s="316">
        <f>SUM(AB26)</f>
        <v>0.94115187766972153</v>
      </c>
    </row>
    <row r="27" spans="1:34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0">SUM(G24*G26)</f>
        <v>681556.79615745938</v>
      </c>
      <c r="I27" s="69">
        <f t="shared" si="10"/>
        <v>765508.78650503687</v>
      </c>
      <c r="J27" s="70"/>
      <c r="K27" s="71"/>
      <c r="L27" s="69">
        <f t="shared" ref="L27:AA27" si="11">SUM(L24*L26)</f>
        <v>898630</v>
      </c>
      <c r="M27" s="72"/>
      <c r="N27" s="69">
        <f t="shared" si="11"/>
        <v>1070854.5930000001</v>
      </c>
      <c r="O27" s="72"/>
      <c r="P27" s="70">
        <f>SUM(P24*P26)</f>
        <v>1064023.335</v>
      </c>
      <c r="R27" s="70">
        <f>SUM(R24*R26)</f>
        <v>1117051.1471780001</v>
      </c>
      <c r="T27" s="70">
        <f>SUM(T24*T26)</f>
        <v>1153650.0430000001</v>
      </c>
      <c r="U27" s="71"/>
      <c r="V27" s="483">
        <f>SUM(V24*V26)</f>
        <v>1231263.044</v>
      </c>
      <c r="W27" s="71"/>
      <c r="X27" s="313">
        <f>SUM(X24*X26)</f>
        <v>1234441.4417324192</v>
      </c>
      <c r="Y27" s="71"/>
      <c r="Z27" s="313">
        <f t="shared" si="11"/>
        <v>1319246.2834729033</v>
      </c>
      <c r="AA27" s="313">
        <f t="shared" si="11"/>
        <v>1410797.6673483481</v>
      </c>
      <c r="AB27" s="313">
        <f>SUM(AB24*AB26)</f>
        <v>1487192.0447415074</v>
      </c>
      <c r="AC27" s="313">
        <f>SUM(AC24*AC26)</f>
        <v>1591523.2183477245</v>
      </c>
    </row>
    <row r="28" spans="1:34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483">
        <v>0</v>
      </c>
      <c r="W28" s="71"/>
      <c r="X28" s="313"/>
      <c r="Y28" s="71"/>
      <c r="Z28" s="313">
        <v>0</v>
      </c>
      <c r="AA28" s="313">
        <v>0</v>
      </c>
      <c r="AB28" s="313">
        <v>0</v>
      </c>
      <c r="AC28" s="313">
        <v>0</v>
      </c>
    </row>
    <row r="29" spans="1:34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2">SUM(G27:G28)</f>
        <v>681556.79615745938</v>
      </c>
      <c r="I29" s="99">
        <f t="shared" si="12"/>
        <v>765508.78650503687</v>
      </c>
      <c r="J29" s="100"/>
      <c r="K29" s="101"/>
      <c r="L29" s="99">
        <f t="shared" ref="L29:AA29" si="13">SUM(L27:L28)</f>
        <v>898630</v>
      </c>
      <c r="M29" s="102"/>
      <c r="N29" s="99">
        <f t="shared" si="13"/>
        <v>1070854.5930000001</v>
      </c>
      <c r="O29" s="102"/>
      <c r="P29" s="100">
        <f t="shared" si="13"/>
        <v>1064023.335</v>
      </c>
      <c r="Q29" s="101"/>
      <c r="R29" s="100">
        <f>SUM(R27:R28)</f>
        <v>1117051.1471780001</v>
      </c>
      <c r="S29" s="101"/>
      <c r="T29" s="100">
        <f>SUM(T27:T28)</f>
        <v>1153650.0430000001</v>
      </c>
      <c r="U29" s="101"/>
      <c r="V29" s="485">
        <f>SUM(V27:V28)</f>
        <v>1231263.044</v>
      </c>
      <c r="W29" s="101"/>
      <c r="X29" s="317">
        <f>SUM(X27:X28)</f>
        <v>1234441.4417324192</v>
      </c>
      <c r="Y29" s="101"/>
      <c r="Z29" s="317">
        <f t="shared" si="13"/>
        <v>1319246.2834729033</v>
      </c>
      <c r="AA29" s="317">
        <f t="shared" si="13"/>
        <v>1410797.6673483481</v>
      </c>
      <c r="AB29" s="317">
        <f>SUM(AB27:AB28)</f>
        <v>1487192.0447415074</v>
      </c>
      <c r="AC29" s="317">
        <f>SUM(AC27:AC28)</f>
        <v>1591523.2183477245</v>
      </c>
      <c r="AF29" s="480"/>
    </row>
    <row r="30" spans="1:34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459">
        <f>SUM((V30-T30)/T30)</f>
        <v>2.9527532068075697E-2</v>
      </c>
      <c r="V30" s="456">
        <f>14133776.33/1231263044</f>
        <v>1.1479087591294587E-2</v>
      </c>
      <c r="W30" s="305">
        <v>1.4999999999999999E-2</v>
      </c>
      <c r="X30" s="318">
        <f>SUM(V30*(1+W30))</f>
        <v>1.1651273905164005E-2</v>
      </c>
      <c r="Y30" s="305">
        <v>0.02</v>
      </c>
      <c r="Z30" s="318">
        <f>SUM(X30*(1+Y30))</f>
        <v>1.1884299383267285E-2</v>
      </c>
      <c r="AA30" s="318">
        <f>SUM(Z30*(1+Y30))</f>
        <v>1.2121985370932632E-2</v>
      </c>
      <c r="AB30" s="318">
        <f>SUM(AA30*(1+Y30))</f>
        <v>1.2364425078351286E-2</v>
      </c>
      <c r="AC30" s="318">
        <f>SUM(AB30*(1+$Y$30))</f>
        <v>1.2611713579918311E-2</v>
      </c>
    </row>
    <row r="31" spans="1:34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457"/>
      <c r="W31" s="71"/>
      <c r="X31" s="319"/>
      <c r="Y31" s="71"/>
      <c r="Z31" s="319"/>
      <c r="AA31" s="319"/>
      <c r="AB31" s="319"/>
      <c r="AC31" s="319"/>
    </row>
    <row r="32" spans="1:34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4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P32" si="15">SUM(N29*N30)</f>
        <v>12999.765589175515</v>
      </c>
      <c r="O32" s="113"/>
      <c r="P32" s="141">
        <f t="shared" si="15"/>
        <v>12677.752</v>
      </c>
      <c r="Q32" s="114"/>
      <c r="R32" s="141">
        <f>SUM(R29*R30)</f>
        <v>14080.649957033333</v>
      </c>
      <c r="S32" s="114"/>
      <c r="T32" s="141">
        <f>SUM(T29*T30)</f>
        <v>12863.036179999999</v>
      </c>
      <c r="U32" s="114"/>
      <c r="V32" s="508">
        <f>SUM(V29*V30)</f>
        <v>14133.776330000001</v>
      </c>
      <c r="W32" s="370"/>
      <c r="X32" s="320">
        <f>SUM(X29*X30)</f>
        <v>14382.815357509968</v>
      </c>
      <c r="Y32" s="440"/>
      <c r="Z32" s="320">
        <f>SUM(Z29*Z30)</f>
        <v>15678.317793054683</v>
      </c>
      <c r="AA32" s="320">
        <f>SUM(AA29*AA30)</f>
        <v>17101.668684942557</v>
      </c>
      <c r="AB32" s="320">
        <f>SUM(AB29*AB30)</f>
        <v>18388.274614326419</v>
      </c>
      <c r="AC32" s="320">
        <f>SUM(AC29*AC30)</f>
        <v>20071.834985591293</v>
      </c>
      <c r="AD32" s="472" t="s">
        <v>252</v>
      </c>
      <c r="AF32" s="478"/>
      <c r="AG32" s="479"/>
      <c r="AH32" s="479"/>
    </row>
    <row r="33" spans="1:33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489"/>
      <c r="W33" s="117"/>
      <c r="X33" s="116"/>
      <c r="Y33" s="117"/>
      <c r="Z33" s="116"/>
      <c r="AA33" s="116"/>
      <c r="AB33" s="116"/>
      <c r="AC33" s="116"/>
      <c r="AG33" s="479"/>
    </row>
    <row r="34" spans="1:33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120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  <c r="AC34" s="301" t="str">
        <f>$AC$10</f>
        <v>2024 Estimate</v>
      </c>
    </row>
    <row r="35" spans="1:33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65"/>
      <c r="W35" s="64"/>
      <c r="X35" s="321"/>
      <c r="Y35" s="64"/>
      <c r="Z35" s="321"/>
      <c r="AA35" s="321"/>
      <c r="AB35" s="321"/>
      <c r="AC35" s="321"/>
    </row>
    <row r="36" spans="1:33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65"/>
      <c r="W36" s="64"/>
      <c r="X36" s="321"/>
      <c r="Y36" s="64"/>
      <c r="Z36" s="321"/>
      <c r="AA36" s="321"/>
      <c r="AB36" s="321"/>
      <c r="AC36" s="321"/>
    </row>
    <row r="37" spans="1:33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70">
        <v>2481598.6882600002</v>
      </c>
      <c r="W37" s="73"/>
      <c r="X37" s="461">
        <v>2699998.3259999999</v>
      </c>
      <c r="Y37" s="73"/>
      <c r="Z37" s="313">
        <f>SUM(X37:X42)</f>
        <v>2665311.2843281999</v>
      </c>
      <c r="AA37" s="313">
        <f>SUM(Z37:Z42)</f>
        <v>2830864.2843281999</v>
      </c>
      <c r="AB37" s="313">
        <f>SUM(AA37:AA42)</f>
        <v>3008905.2843281999</v>
      </c>
      <c r="AC37" s="313">
        <f>SUM(AB37:AB42)</f>
        <v>3157470.2843281999</v>
      </c>
    </row>
    <row r="38" spans="1:33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124"/>
      <c r="W38" s="73"/>
      <c r="X38" s="505"/>
      <c r="Y38" s="73"/>
      <c r="Z38" s="322"/>
      <c r="AA38" s="322"/>
      <c r="AB38" s="322"/>
      <c r="AC38" s="322"/>
    </row>
    <row r="39" spans="1:33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153"/>
      <c r="W39" s="73"/>
      <c r="X39" s="483">
        <f>-44373.854*78.17%</f>
        <v>-34687.041671800005</v>
      </c>
      <c r="Y39" s="73"/>
      <c r="Z39" s="344">
        <f>SUM(Z15)</f>
        <v>303587</v>
      </c>
      <c r="AA39" s="344">
        <f t="shared" ref="Z39:AA40" si="16">SUM(AA15)</f>
        <v>310788</v>
      </c>
      <c r="AB39" s="344">
        <f>SUM(AB15)</f>
        <v>280335</v>
      </c>
      <c r="AC39" s="344">
        <f>SUM(AC15)</f>
        <v>329161</v>
      </c>
    </row>
    <row r="40" spans="1:33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126"/>
      <c r="W40" s="73"/>
      <c r="X40" s="483"/>
      <c r="Y40" s="73"/>
      <c r="Z40" s="344">
        <f t="shared" si="16"/>
        <v>-18675</v>
      </c>
      <c r="AA40" s="344">
        <f t="shared" si="16"/>
        <v>-13145</v>
      </c>
      <c r="AB40" s="344">
        <f>SUM(AB16)</f>
        <v>-12168</v>
      </c>
      <c r="AC40" s="344">
        <f>SUM(AC16)</f>
        <v>-5895</v>
      </c>
    </row>
    <row r="41" spans="1:33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126"/>
      <c r="W41" s="73"/>
      <c r="X41" s="483"/>
      <c r="Y41" s="73"/>
      <c r="Z41" s="344">
        <f t="shared" ref="Z41:AA42" si="17">SUM(Z18)</f>
        <v>-6747</v>
      </c>
      <c r="AA41" s="344">
        <f t="shared" si="17"/>
        <v>-6990</v>
      </c>
      <c r="AB41" s="344">
        <f>SUM(AB18)</f>
        <v>-6990</v>
      </c>
      <c r="AC41" s="344">
        <f>SUM(AC18)</f>
        <v>-7760</v>
      </c>
    </row>
    <row r="42" spans="1:33" x14ac:dyDescent="0.3">
      <c r="A42" s="56" t="s">
        <v>36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126"/>
      <c r="W42" s="73"/>
      <c r="X42" s="461"/>
      <c r="Y42" s="73"/>
      <c r="Z42" s="344">
        <f>SUM(Z19)</f>
        <v>-112612</v>
      </c>
      <c r="AA42" s="344">
        <f t="shared" si="17"/>
        <v>-112612</v>
      </c>
      <c r="AB42" s="344">
        <f>SUM(AB19)</f>
        <v>-112612</v>
      </c>
      <c r="AC42" s="344">
        <f>SUM(AC19)</f>
        <v>-112612</v>
      </c>
    </row>
    <row r="43" spans="1:33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83"/>
      <c r="W43" s="84"/>
      <c r="X43" s="462"/>
      <c r="Y43" s="84"/>
      <c r="Z43" s="323"/>
      <c r="AA43" s="323"/>
      <c r="AB43" s="323"/>
      <c r="AC43" s="323"/>
    </row>
    <row r="44" spans="1:33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87">
        <v>1</v>
      </c>
      <c r="W44" s="73"/>
      <c r="X44" s="463">
        <v>1</v>
      </c>
      <c r="Y44" s="73"/>
      <c r="Z44" s="314">
        <v>1</v>
      </c>
      <c r="AA44" s="314">
        <v>1</v>
      </c>
      <c r="AB44" s="314">
        <v>1</v>
      </c>
      <c r="AC44" s="314">
        <v>1</v>
      </c>
    </row>
    <row r="45" spans="1:33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91">
        <f>619029054/2481598688.26</f>
        <v>0.24944768746393839</v>
      </c>
      <c r="W45" s="84"/>
      <c r="X45" s="464">
        <v>0.25290000000000001</v>
      </c>
      <c r="Y45" s="84"/>
      <c r="Z45" s="315">
        <f>SUM(X45)</f>
        <v>0.25290000000000001</v>
      </c>
      <c r="AA45" s="315">
        <f t="shared" ref="AA45" si="18">SUM(Z45)</f>
        <v>0.25290000000000001</v>
      </c>
      <c r="AB45" s="315">
        <f>SUM(AA45)</f>
        <v>0.25290000000000001</v>
      </c>
      <c r="AC45" s="315">
        <f>SUM(AB45)</f>
        <v>0.25290000000000001</v>
      </c>
    </row>
    <row r="46" spans="1:33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70">
        <f>SUM(V37:V43)*V44*V45</f>
        <v>619029.054</v>
      </c>
      <c r="W46" s="73"/>
      <c r="X46" s="461">
        <f>SUM(X37:X43)*X44*X45-1</f>
        <v>674056.22380660183</v>
      </c>
      <c r="Y46" s="73"/>
      <c r="Z46" s="313">
        <f>SUM(Z37:Z43)*Z44*Z45</f>
        <v>715925.57750660181</v>
      </c>
      <c r="AA46" s="313">
        <f>SUM(AA37:AA43)*AA44*AA45</f>
        <v>760952.14640660177</v>
      </c>
      <c r="AB46" s="313">
        <f>SUM(AB37:AB43)*AB44*AB45</f>
        <v>798524.23490660184</v>
      </c>
      <c r="AC46" s="313">
        <f>SUM(AC37:AC43)*AC44*AC45</f>
        <v>849836.12750660186</v>
      </c>
    </row>
    <row r="47" spans="1:33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83">
        <f>589749.943-V46</f>
        <v>-29279.111000000034</v>
      </c>
      <c r="W47" s="84"/>
      <c r="X47" s="462">
        <f>-12448.802-342.259-900-347.706</f>
        <v>-14038.767</v>
      </c>
      <c r="Y47" s="84"/>
      <c r="Z47" s="323">
        <f>SUM(X47)</f>
        <v>-14038.767</v>
      </c>
      <c r="AA47" s="323">
        <f t="shared" ref="AA47" si="19">SUM(Z47)</f>
        <v>-14038.767</v>
      </c>
      <c r="AB47" s="323">
        <f>SUM(AA47)</f>
        <v>-14038.767</v>
      </c>
      <c r="AC47" s="323">
        <f>SUM(AB47)</f>
        <v>-14038.767</v>
      </c>
    </row>
    <row r="48" spans="1:33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0">SUM(L46:L47)</f>
        <v>469394.93499999994</v>
      </c>
      <c r="M48" s="72"/>
      <c r="N48" s="69">
        <f t="shared" si="20"/>
        <v>504910.23699999996</v>
      </c>
      <c r="O48" s="70"/>
      <c r="P48" s="70">
        <f t="shared" si="20"/>
        <v>504754.00099999999</v>
      </c>
      <c r="Q48" s="73"/>
      <c r="R48" s="70">
        <f>SUM(R46:R47)</f>
        <v>549171.69446199993</v>
      </c>
      <c r="S48" s="73"/>
      <c r="T48" s="70">
        <f t="shared" si="20"/>
        <v>573846.04099999997</v>
      </c>
      <c r="U48" s="73"/>
      <c r="V48" s="70">
        <f>SUM(V46:V47)</f>
        <v>589749.94299999997</v>
      </c>
      <c r="W48" s="73"/>
      <c r="X48" s="461">
        <f>SUM(X46:X47)</f>
        <v>660017.45680660184</v>
      </c>
      <c r="Y48" s="73"/>
      <c r="Z48" s="313">
        <f>SUM(Z46:Z47)</f>
        <v>701886.81050660182</v>
      </c>
      <c r="AA48" s="313">
        <f t="shared" si="20"/>
        <v>746913.37940660177</v>
      </c>
      <c r="AB48" s="313">
        <f>SUM(AB46:AB47)</f>
        <v>784485.46790660184</v>
      </c>
      <c r="AC48" s="313">
        <f>SUM(AC46:AC47)</f>
        <v>835797.36050660186</v>
      </c>
    </row>
    <row r="49" spans="1:30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134">
        <v>1</v>
      </c>
      <c r="W49" s="84"/>
      <c r="X49" s="504">
        <v>1</v>
      </c>
      <c r="Y49" s="84"/>
      <c r="Z49" s="324">
        <v>1</v>
      </c>
      <c r="AA49" s="324">
        <v>1</v>
      </c>
      <c r="AB49" s="324">
        <v>1</v>
      </c>
      <c r="AC49" s="324">
        <v>1</v>
      </c>
    </row>
    <row r="50" spans="1:30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1">SUM(G48*G49)</f>
        <v>426852.43202319462</v>
      </c>
      <c r="I50" s="69">
        <f t="shared" si="21"/>
        <v>468663.26434402453</v>
      </c>
      <c r="J50" s="70"/>
      <c r="K50" s="71"/>
      <c r="L50" s="69">
        <f t="shared" ref="L50:AA50" si="22">SUM(L48*L49)</f>
        <v>469394.93499999994</v>
      </c>
      <c r="M50" s="72"/>
      <c r="N50" s="69">
        <f t="shared" si="22"/>
        <v>504910.23699999996</v>
      </c>
      <c r="O50" s="70"/>
      <c r="P50" s="70">
        <f t="shared" si="22"/>
        <v>504754.00099999999</v>
      </c>
      <c r="Q50" s="73"/>
      <c r="R50" s="70">
        <f>SUM(R48*R49)</f>
        <v>549171.69446199993</v>
      </c>
      <c r="S50" s="73"/>
      <c r="T50" s="70">
        <f t="shared" si="22"/>
        <v>573846.04099999997</v>
      </c>
      <c r="U50" s="73"/>
      <c r="V50" s="70">
        <f>SUM(V48*V49)</f>
        <v>589749.94299999997</v>
      </c>
      <c r="W50" s="73"/>
      <c r="X50" s="461">
        <f t="shared" si="22"/>
        <v>660017.45680660184</v>
      </c>
      <c r="Y50" s="73"/>
      <c r="Z50" s="313">
        <f>SUM(Z48*Z49)</f>
        <v>701886.81050660182</v>
      </c>
      <c r="AA50" s="313">
        <f t="shared" si="22"/>
        <v>746913.37940660177</v>
      </c>
      <c r="AB50" s="313">
        <f>SUM(AB48*AB49)</f>
        <v>784485.46790660184</v>
      </c>
      <c r="AC50" s="313">
        <f>SUM(AC48*AC49)</f>
        <v>835797.36050660186</v>
      </c>
    </row>
    <row r="51" spans="1:30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466">
        <f>SUM((V51-T51)/T51)</f>
        <v>-6.1830860907388874E-2</v>
      </c>
      <c r="V51" s="456">
        <f>5979.19035/V50</f>
        <v>1.0138517893845731E-2</v>
      </c>
      <c r="W51" s="305">
        <f>$W$30</f>
        <v>1.4999999999999999E-2</v>
      </c>
      <c r="X51" s="318">
        <f>SUM(V51*(1+W51))</f>
        <v>1.0290595662253417E-2</v>
      </c>
      <c r="Y51" s="305">
        <f>$Y$30</f>
        <v>0.02</v>
      </c>
      <c r="Z51" s="318">
        <f>SUM(X51*(1+Y51))</f>
        <v>1.0496407575498485E-2</v>
      </c>
      <c r="AA51" s="318">
        <f>SUM(Z51*(1+Y51))</f>
        <v>1.0706335727008454E-2</v>
      </c>
      <c r="AB51" s="318">
        <f>SUM(AA51*(1+Y51))</f>
        <v>1.0920462441548623E-2</v>
      </c>
      <c r="AC51" s="318">
        <f>SUM(AB51*(1+$Y$51))</f>
        <v>1.1138871690379595E-2</v>
      </c>
    </row>
    <row r="52" spans="1:30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457"/>
      <c r="W52" s="71"/>
      <c r="X52" s="319"/>
      <c r="Y52" s="71"/>
      <c r="Z52" s="319"/>
      <c r="AA52" s="319"/>
      <c r="AB52" s="319"/>
      <c r="AC52" s="319"/>
    </row>
    <row r="53" spans="1:30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3">SUM(G50*G51)</f>
        <v>4690.254523070862</v>
      </c>
      <c r="I53" s="112">
        <f t="shared" si="23"/>
        <v>5359.0285675337436</v>
      </c>
      <c r="J53" s="141"/>
      <c r="K53" s="114"/>
      <c r="L53" s="112">
        <f t="shared" ref="L53:AA53" si="24">SUM(L50*L51)</f>
        <v>5440.7422465869995</v>
      </c>
      <c r="M53" s="113"/>
      <c r="N53" s="112">
        <f t="shared" si="24"/>
        <v>5717.717903841688</v>
      </c>
      <c r="O53" s="113"/>
      <c r="P53" s="141">
        <f t="shared" si="24"/>
        <v>5675.1669887565686</v>
      </c>
      <c r="Q53" s="114"/>
      <c r="R53" s="141">
        <f>SUM(R50*R51)</f>
        <v>6132.3038800000004</v>
      </c>
      <c r="S53" s="114"/>
      <c r="T53" s="141">
        <f>SUM(T50*T51)</f>
        <v>6201.3853499999996</v>
      </c>
      <c r="U53" s="370"/>
      <c r="V53" s="508">
        <f>SUM(V50*V51)</f>
        <v>5979.1903499999999</v>
      </c>
      <c r="W53" s="370"/>
      <c r="X53" s="533">
        <f>SUM(X50*X51)</f>
        <v>6791.9727780255489</v>
      </c>
      <c r="Y53" s="370"/>
      <c r="Z53" s="392">
        <f t="shared" si="24"/>
        <v>7367.2900349439651</v>
      </c>
      <c r="AA53" s="392">
        <f t="shared" si="24"/>
        <v>7996.705398921521</v>
      </c>
      <c r="AB53" s="392">
        <f>SUM(AB50*AB51)</f>
        <v>8566.9440882147428</v>
      </c>
      <c r="AC53" s="392">
        <f>SUM(AC50*AC51)</f>
        <v>9309.8395578409763</v>
      </c>
      <c r="AD53" s="472" t="s">
        <v>261</v>
      </c>
    </row>
    <row r="54" spans="1:30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  <c r="AC54" s="144"/>
    </row>
    <row r="55" spans="1:30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120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  <c r="AC55" s="301" t="str">
        <f>$AC$10</f>
        <v>2024 Estimate</v>
      </c>
    </row>
    <row r="56" spans="1:30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4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  <c r="AC56" s="312" t="s">
        <v>57</v>
      </c>
    </row>
    <row r="57" spans="1:30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149">
        <v>4499000</v>
      </c>
      <c r="W57" s="152"/>
      <c r="X57" s="460">
        <v>4711000</v>
      </c>
      <c r="Y57" s="152"/>
      <c r="Z57" s="325">
        <f>SUM(X57)</f>
        <v>4711000</v>
      </c>
      <c r="AA57" s="325">
        <f>SUM(Z57:Z60)</f>
        <v>4975292</v>
      </c>
      <c r="AB57" s="325">
        <f>SUM(AA57:AA60)</f>
        <v>5250538</v>
      </c>
      <c r="AC57" s="325">
        <f>SUM(AB57:AB60)</f>
        <v>5499678</v>
      </c>
    </row>
    <row r="58" spans="1:30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70">
        <v>4049000</v>
      </c>
      <c r="W58" s="73"/>
      <c r="X58" s="461">
        <v>4240000</v>
      </c>
      <c r="Y58" s="73"/>
      <c r="Z58" s="313"/>
      <c r="AA58" s="313"/>
      <c r="AB58" s="313"/>
      <c r="AC58" s="313"/>
    </row>
    <row r="59" spans="1:30" x14ac:dyDescent="0.3">
      <c r="A59" s="56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70"/>
      <c r="W59" s="73"/>
      <c r="X59" s="461"/>
      <c r="Y59" s="399"/>
      <c r="Z59" s="313">
        <f>SUM(Z15+Z16+Z17+Z18+Z118)</f>
        <v>376904</v>
      </c>
      <c r="AA59" s="313">
        <f>SUM(AA15+AA16+AA17+AA18+AA118)</f>
        <v>387858</v>
      </c>
      <c r="AB59" s="313">
        <f>SUM(AB15+AB16+AB17+AB18+AB118)</f>
        <v>361752</v>
      </c>
      <c r="AC59" s="313">
        <f>SUM(AC15+AC16+AC17+AC18+AC118)</f>
        <v>410805</v>
      </c>
    </row>
    <row r="60" spans="1:30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70"/>
      <c r="W60" s="73"/>
      <c r="X60" s="461"/>
      <c r="Y60" s="73"/>
      <c r="Z60" s="313">
        <f>SUM(Z19+Z119)</f>
        <v>-112612</v>
      </c>
      <c r="AA60" s="313">
        <f>SUM(AA19+AA119)</f>
        <v>-112612</v>
      </c>
      <c r="AB60" s="313">
        <f>SUM(AB19+AB119)</f>
        <v>-112612</v>
      </c>
      <c r="AC60" s="313">
        <f>SUM(AC19+AC119)</f>
        <v>-112612</v>
      </c>
    </row>
    <row r="61" spans="1:30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83"/>
      <c r="U61" s="84"/>
      <c r="V61" s="83"/>
      <c r="W61" s="84"/>
      <c r="X61" s="462"/>
      <c r="Y61" s="84"/>
      <c r="Z61" s="323">
        <f>SUM(Z57:Z60)*0.1*-1</f>
        <v>-497529.2</v>
      </c>
      <c r="AA61" s="323">
        <f>SUM(AA57:AA60)*0.1*-1</f>
        <v>-525053.80000000005</v>
      </c>
      <c r="AB61" s="323">
        <f>SUM(AB57:AB60)*0.1*-1</f>
        <v>-549967.80000000005</v>
      </c>
      <c r="AC61" s="323">
        <f>SUM(AC57:AC60)*0.1*-1</f>
        <v>-579787.1</v>
      </c>
    </row>
    <row r="62" spans="1:30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70">
        <f>SUM(V58:V61)</f>
        <v>4049000</v>
      </c>
      <c r="W62" s="73"/>
      <c r="X62" s="461">
        <f>SUM(X58:X61)</f>
        <v>4240000</v>
      </c>
      <c r="Y62" s="73"/>
      <c r="Z62" s="313">
        <f>SUM(Z57:Z61)</f>
        <v>4477762.8</v>
      </c>
      <c r="AA62" s="313">
        <f>SUM(AA57:AA61)</f>
        <v>4725484.2</v>
      </c>
      <c r="AB62" s="313">
        <f>SUM(AB57:AB61)</f>
        <v>4949710.2</v>
      </c>
      <c r="AC62" s="313">
        <f>SUM(AC57:AC61)</f>
        <v>5218083.9000000004</v>
      </c>
    </row>
    <row r="63" spans="1:30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87">
        <v>1</v>
      </c>
      <c r="W63" s="73"/>
      <c r="X63" s="463">
        <v>1</v>
      </c>
      <c r="Y63" s="73"/>
      <c r="Z63" s="314">
        <v>1</v>
      </c>
      <c r="AA63" s="314">
        <v>1</v>
      </c>
      <c r="AB63" s="314">
        <v>1</v>
      </c>
      <c r="AC63" s="314">
        <v>1</v>
      </c>
    </row>
    <row r="64" spans="1:30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91">
        <f>489758686/4049000000</f>
        <v>0.12095793677451222</v>
      </c>
      <c r="W64" s="84"/>
      <c r="X64" s="464">
        <v>0.11532112098199999</v>
      </c>
      <c r="Y64" s="84"/>
      <c r="Z64" s="315">
        <f t="shared" ref="Z64" si="25">SUM(X64)</f>
        <v>0.11532112098199999</v>
      </c>
      <c r="AA64" s="315">
        <f>SUM(Z64)</f>
        <v>0.11532112098199999</v>
      </c>
      <c r="AB64" s="315">
        <f>SUM(AA64)</f>
        <v>0.11532112098199999</v>
      </c>
      <c r="AC64" s="315">
        <f>SUM(AB64)</f>
        <v>0.11532112098199999</v>
      </c>
    </row>
    <row r="65" spans="1:30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26">SUM(G62*G64)</f>
        <v>350240.37700000004</v>
      </c>
      <c r="I65" s="69">
        <f t="shared" si="26"/>
        <v>370904.02</v>
      </c>
      <c r="J65" s="70"/>
      <c r="K65" s="71"/>
      <c r="L65" s="69">
        <f t="shared" ref="L65:Z65" si="27">SUM(L62*L64)</f>
        <v>379502.29200000002</v>
      </c>
      <c r="M65" s="72"/>
      <c r="N65" s="69">
        <f t="shared" si="27"/>
        <v>345023.42800000001</v>
      </c>
      <c r="O65" s="70"/>
      <c r="P65" s="70">
        <f t="shared" si="27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70">
        <f>SUM(V62*V64)</f>
        <v>489758.68599999999</v>
      </c>
      <c r="W65" s="73"/>
      <c r="X65" s="461">
        <f>SUM(X62*X64)</f>
        <v>488961.55296367995</v>
      </c>
      <c r="Y65" s="73"/>
      <c r="Z65" s="313">
        <f t="shared" si="27"/>
        <v>516380.625587499</v>
      </c>
      <c r="AA65" s="313">
        <f>SUM(AA62*AA64)</f>
        <v>544948.1351267295</v>
      </c>
      <c r="AB65" s="313">
        <f>SUM(AB62*AB64)</f>
        <v>570806.12880003941</v>
      </c>
      <c r="AC65" s="313">
        <f>SUM(AC62*AC64)</f>
        <v>601755.28472612635</v>
      </c>
    </row>
    <row r="66" spans="1:30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70">
        <f>488836.762-V65</f>
        <v>-921.92399999999907</v>
      </c>
      <c r="W66" s="73"/>
      <c r="X66" s="461">
        <v>-410.86500000000001</v>
      </c>
      <c r="Y66" s="73"/>
      <c r="Z66" s="313">
        <v>0</v>
      </c>
      <c r="AA66" s="313">
        <v>0</v>
      </c>
      <c r="AB66" s="313">
        <v>0</v>
      </c>
      <c r="AC66" s="313">
        <v>0</v>
      </c>
    </row>
    <row r="67" spans="1:30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157">
        <v>1</v>
      </c>
      <c r="W67" s="73"/>
      <c r="X67" s="465">
        <v>1</v>
      </c>
      <c r="Y67" s="73"/>
      <c r="Z67" s="326">
        <v>1</v>
      </c>
      <c r="AA67" s="326">
        <v>1</v>
      </c>
      <c r="AB67" s="326">
        <v>1</v>
      </c>
      <c r="AC67" s="326">
        <v>1</v>
      </c>
    </row>
    <row r="68" spans="1:30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28">SUM(G65:G66)*G67</f>
        <v>349938.54100000003</v>
      </c>
      <c r="I68" s="69">
        <f t="shared" si="28"/>
        <v>370623.68800000002</v>
      </c>
      <c r="J68" s="70"/>
      <c r="K68" s="71"/>
      <c r="L68" s="69">
        <f t="shared" ref="L68:N68" si="29">SUM(L65:L66)*L67</f>
        <v>379213.82400000002</v>
      </c>
      <c r="M68" s="72"/>
      <c r="N68" s="69">
        <f t="shared" si="29"/>
        <v>344746.50900000002</v>
      </c>
      <c r="O68" s="70"/>
      <c r="P68" s="70">
        <f t="shared" ref="P68:Z68" si="30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70">
        <f>SUM(V65:V66)*V67</f>
        <v>488836.76199999999</v>
      </c>
      <c r="W68" s="73"/>
      <c r="X68" s="461">
        <f>SUM(X65:X66)*X67</f>
        <v>488550.68796367996</v>
      </c>
      <c r="Y68" s="73"/>
      <c r="Z68" s="313">
        <f t="shared" si="30"/>
        <v>516380.625587499</v>
      </c>
      <c r="AA68" s="313">
        <f>SUM(AA65:AA66)*AA67</f>
        <v>544948.1351267295</v>
      </c>
      <c r="AB68" s="313">
        <f>SUM(AB65:AB66)*AB67</f>
        <v>570806.12880003941</v>
      </c>
      <c r="AC68" s="313">
        <f>SUM(AC65:AC66)*AC67</f>
        <v>601755.28472612635</v>
      </c>
    </row>
    <row r="69" spans="1:30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176">
        <f>32120.631/V68</f>
        <v>6.5708296709485206E-2</v>
      </c>
      <c r="W69" s="164"/>
      <c r="X69" s="327">
        <f>SUM(V69)</f>
        <v>6.5708296709485206E-2</v>
      </c>
      <c r="Y69" s="164"/>
      <c r="Z69" s="327">
        <f t="shared" ref="Z69" si="31">SUM(X69)</f>
        <v>6.5708296709485206E-2</v>
      </c>
      <c r="AA69" s="327">
        <f>SUM(Z69)</f>
        <v>6.5708296709485206E-2</v>
      </c>
      <c r="AB69" s="327">
        <f>SUM(AA69)</f>
        <v>6.5708296709485206E-2</v>
      </c>
      <c r="AC69" s="327">
        <f>SUM(AB69)</f>
        <v>6.5708296709485206E-2</v>
      </c>
    </row>
    <row r="70" spans="1:30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2">SUM(G68*G69)</f>
        <v>22904.265934547748</v>
      </c>
      <c r="I70" s="69">
        <f t="shared" si="32"/>
        <v>24673.979228846489</v>
      </c>
      <c r="J70" s="153"/>
      <c r="K70" s="71"/>
      <c r="L70" s="69">
        <f t="shared" ref="L70:X70" si="33">SUM(L68*L69)</f>
        <v>24737.454518899576</v>
      </c>
      <c r="M70" s="72"/>
      <c r="N70" s="69">
        <f t="shared" si="33"/>
        <v>22376.198131038327</v>
      </c>
      <c r="O70" s="165"/>
      <c r="P70" s="131">
        <f t="shared" si="33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70">
        <f>SUM(V68*V69)</f>
        <v>32120.631000000001</v>
      </c>
      <c r="W70" s="166"/>
      <c r="X70" s="313">
        <f t="shared" si="33"/>
        <v>32101.833562340606</v>
      </c>
      <c r="Y70" s="166"/>
      <c r="Z70" s="313">
        <f>SUM(Z68*Z69)</f>
        <v>33930.491361132976</v>
      </c>
      <c r="AA70" s="313">
        <f>SUM(AA68*AA69)</f>
        <v>35807.613754187776</v>
      </c>
      <c r="AB70" s="313">
        <f>SUM(AB68*AB69)</f>
        <v>37506.698474785619</v>
      </c>
      <c r="AC70" s="313">
        <f>SUM(AC68*AC69)</f>
        <v>39540.314795285063</v>
      </c>
    </row>
    <row r="71" spans="1:30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  <c r="AC71" s="313">
        <v>0</v>
      </c>
    </row>
    <row r="72" spans="1:30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4">SUM(G70:G71)</f>
        <v>22904.265934547748</v>
      </c>
      <c r="I72" s="99">
        <f t="shared" si="34"/>
        <v>24673.979228846489</v>
      </c>
      <c r="J72" s="167"/>
      <c r="K72" s="101"/>
      <c r="L72" s="99">
        <f t="shared" ref="L72:Z72" si="35">SUM(L70:L71)</f>
        <v>24737.454518899576</v>
      </c>
      <c r="M72" s="102"/>
      <c r="N72" s="99">
        <f t="shared" si="35"/>
        <v>22376.198131038327</v>
      </c>
      <c r="O72" s="102"/>
      <c r="P72" s="100">
        <f t="shared" si="35"/>
        <v>27999.644464958154</v>
      </c>
      <c r="Q72" s="101"/>
      <c r="R72" s="100">
        <f t="shared" ref="R72" si="36">SUM(R70:R71)</f>
        <v>29277.027320712124</v>
      </c>
      <c r="S72" s="101"/>
      <c r="T72" s="100">
        <f>SUM(T70:T71)</f>
        <v>30670.574000000001</v>
      </c>
      <c r="U72" s="101"/>
      <c r="V72" s="100">
        <f>SUM(V70:V71)</f>
        <v>32120.631000000001</v>
      </c>
      <c r="W72" s="101"/>
      <c r="X72" s="317">
        <f t="shared" si="35"/>
        <v>32101.833562340606</v>
      </c>
      <c r="Y72" s="101"/>
      <c r="Z72" s="317">
        <f t="shared" si="35"/>
        <v>33930.491361132976</v>
      </c>
      <c r="AA72" s="317">
        <f>SUM(AA70:AA71)</f>
        <v>35807.613754187776</v>
      </c>
      <c r="AB72" s="317">
        <f>SUM(AB70:AB71)</f>
        <v>37506.698474785619</v>
      </c>
      <c r="AC72" s="317">
        <f>SUM(AC70:AC71)</f>
        <v>39540.314795285063</v>
      </c>
    </row>
    <row r="73" spans="1:30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294">
        <f>SUM((V73-T73)/T73)</f>
        <v>-1.3491836583370404E-2</v>
      </c>
      <c r="V73" s="293">
        <f>11537.7201/V72</f>
        <v>0.3591996713887719</v>
      </c>
      <c r="W73" s="305">
        <f>$W$30</f>
        <v>1.4999999999999999E-2</v>
      </c>
      <c r="X73" s="318">
        <f>SUM(V73*(1+W73))</f>
        <v>0.36458766645960344</v>
      </c>
      <c r="Y73" s="305">
        <f>$Y$30</f>
        <v>0.02</v>
      </c>
      <c r="Z73" s="318">
        <f>SUM(X73*(1+Y73))</f>
        <v>0.37187941978879552</v>
      </c>
      <c r="AA73" s="318">
        <f>SUM(Z73*(1+Y73))</f>
        <v>0.37931700818457142</v>
      </c>
      <c r="AB73" s="318">
        <f>SUM(AA73*(1+Y73))</f>
        <v>0.38690334834826284</v>
      </c>
      <c r="AC73" s="318">
        <f>SUM(AB73*(1+$Y$73))</f>
        <v>0.39464141531522812</v>
      </c>
    </row>
    <row r="74" spans="1:30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139"/>
      <c r="W74" s="71"/>
      <c r="X74" s="319"/>
      <c r="Y74" s="71"/>
      <c r="Z74" s="319"/>
      <c r="AA74" s="319"/>
      <c r="AB74" s="319"/>
      <c r="AC74" s="319"/>
    </row>
    <row r="75" spans="1:30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37">SUM(G72*G73)</f>
        <v>7219.74299186594</v>
      </c>
      <c r="I75" s="112">
        <f t="shared" si="37"/>
        <v>8163.043288322272</v>
      </c>
      <c r="J75" s="141"/>
      <c r="K75" s="114"/>
      <c r="L75" s="112">
        <f t="shared" ref="L75:N75" si="38">SUM(L72*L73)</f>
        <v>8456.9513856009962</v>
      </c>
      <c r="M75" s="113"/>
      <c r="N75" s="112">
        <f t="shared" si="38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141">
        <f>SUM(T72*T73)</f>
        <v>11167.5306</v>
      </c>
      <c r="U75" s="370"/>
      <c r="V75" s="141">
        <f>SUM(V72*V73)</f>
        <v>11537.7201</v>
      </c>
      <c r="W75" s="370"/>
      <c r="X75" s="392">
        <f>SUM(X72*X73)</f>
        <v>11703.932587568341</v>
      </c>
      <c r="Y75" s="370"/>
      <c r="Z75" s="392">
        <f>SUM(Z72*Z73)</f>
        <v>12618.05144052687</v>
      </c>
      <c r="AA75" s="392">
        <f>SUM(AA72*AA73)</f>
        <v>13582.436919467216</v>
      </c>
      <c r="AB75" s="392">
        <f>SUM(AB72*AB73)</f>
        <v>14511.46722538324</v>
      </c>
      <c r="AC75" s="392">
        <f>SUM(AC72*AC73)</f>
        <v>15604.245792820951</v>
      </c>
      <c r="AD75" s="472" t="s">
        <v>262</v>
      </c>
    </row>
    <row r="76" spans="1:30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  <c r="AC76" s="171"/>
    </row>
    <row r="77" spans="1:30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120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">
        <v>178</v>
      </c>
      <c r="AC77" s="301" t="s">
        <v>179</v>
      </c>
    </row>
    <row r="78" spans="1:30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65"/>
      <c r="W78" s="175"/>
      <c r="X78" s="321"/>
      <c r="Y78" s="175"/>
      <c r="Z78" s="321"/>
      <c r="AA78" s="321"/>
      <c r="AB78" s="321"/>
      <c r="AC78" s="321"/>
    </row>
    <row r="79" spans="1:30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46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  <c r="AC79" s="308" t="s">
        <v>75</v>
      </c>
    </row>
    <row r="80" spans="1:30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70">
        <v>1377</v>
      </c>
      <c r="W80" s="73"/>
      <c r="X80" s="313">
        <f>SUM(V80)</f>
        <v>1377</v>
      </c>
      <c r="Y80" s="73"/>
      <c r="Z80" s="313">
        <f>SUM(X80)</f>
        <v>1377</v>
      </c>
      <c r="AA80" s="313">
        <f t="shared" ref="AA80" si="39">SUM(Z80)</f>
        <v>1377</v>
      </c>
      <c r="AB80" s="313">
        <f>SUM(AA80)</f>
        <v>1377</v>
      </c>
      <c r="AC80" s="313">
        <f>SUM(AB80)</f>
        <v>1377</v>
      </c>
    </row>
    <row r="81" spans="1:30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70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  <c r="AC81" s="313">
        <v>0</v>
      </c>
    </row>
    <row r="82" spans="1:30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70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  <c r="AC82" s="313">
        <f>SUM(AC74)</f>
        <v>0</v>
      </c>
    </row>
    <row r="83" spans="1:30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87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  <c r="AC83" s="314">
        <v>1</v>
      </c>
    </row>
    <row r="84" spans="1:30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91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  <c r="AC84" s="315">
        <v>1</v>
      </c>
    </row>
    <row r="85" spans="1:30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0">SUM((G80+G81+G82)*G83*G84)</f>
        <v>888.3152139</v>
      </c>
      <c r="I85" s="69">
        <f t="shared" si="40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1">SUM((P80+P81+P82)*P83*P84)</f>
        <v>1137.998</v>
      </c>
      <c r="Q85" s="73"/>
      <c r="R85" s="70">
        <f t="shared" ref="R85" si="42">SUM((R80+R81+R82)*R83*R84)</f>
        <v>1221</v>
      </c>
      <c r="S85" s="73"/>
      <c r="T85" s="70">
        <f t="shared" si="41"/>
        <v>1432</v>
      </c>
      <c r="U85" s="73"/>
      <c r="V85" s="70">
        <f>SUM((V80+V81+V82)*V83*V84)</f>
        <v>1377</v>
      </c>
      <c r="W85" s="73"/>
      <c r="X85" s="313">
        <f t="shared" si="41"/>
        <v>1377</v>
      </c>
      <c r="Y85" s="73"/>
      <c r="Z85" s="313">
        <f t="shared" si="41"/>
        <v>1377</v>
      </c>
      <c r="AA85" s="313">
        <f t="shared" si="41"/>
        <v>1377</v>
      </c>
      <c r="AB85" s="313">
        <f>SUM((AB80+AB81+AB82)*AB83*AB84)</f>
        <v>1377</v>
      </c>
      <c r="AC85" s="313">
        <f>SUM((AC80+AC81+AC82)*AC83*AC84)</f>
        <v>1377</v>
      </c>
    </row>
    <row r="86" spans="1:30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124"/>
      <c r="W86" s="73"/>
      <c r="X86" s="313"/>
      <c r="Y86" s="73"/>
      <c r="Z86" s="313"/>
      <c r="AA86" s="313"/>
      <c r="AB86" s="313"/>
      <c r="AC86" s="313"/>
    </row>
    <row r="87" spans="1:30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157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  <c r="AC87" s="326">
        <v>1</v>
      </c>
    </row>
    <row r="88" spans="1:30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3">SUM(G85:G86)*G87</f>
        <v>888.3152139</v>
      </c>
      <c r="I88" s="69">
        <f t="shared" si="43"/>
        <v>1002.3308361092717</v>
      </c>
      <c r="J88" s="70"/>
      <c r="K88" s="71"/>
      <c r="L88" s="69">
        <v>1190</v>
      </c>
      <c r="M88" s="72"/>
      <c r="N88" s="69">
        <f t="shared" ref="N88" si="44">SUM(N85:N86)*N87</f>
        <v>1131</v>
      </c>
      <c r="O88" s="70"/>
      <c r="P88" s="70">
        <f t="shared" ref="P88:AA88" si="45">SUM(P85:P86)*P87</f>
        <v>1137.998</v>
      </c>
      <c r="Q88" s="73"/>
      <c r="R88" s="70">
        <f t="shared" ref="R88" si="46">SUM(R85:R86)*R87</f>
        <v>1221</v>
      </c>
      <c r="S88" s="73"/>
      <c r="T88" s="70">
        <f t="shared" si="45"/>
        <v>1432</v>
      </c>
      <c r="U88" s="73"/>
      <c r="V88" s="70">
        <f>SUM(V85:V86)*V87</f>
        <v>1377</v>
      </c>
      <c r="W88" s="73"/>
      <c r="X88" s="313">
        <f t="shared" si="45"/>
        <v>1377</v>
      </c>
      <c r="Y88" s="73"/>
      <c r="Z88" s="313">
        <f t="shared" si="45"/>
        <v>1377</v>
      </c>
      <c r="AA88" s="313">
        <f t="shared" si="45"/>
        <v>1377</v>
      </c>
      <c r="AB88" s="313">
        <f>SUM(AB85:AB86)*AB87</f>
        <v>1377</v>
      </c>
      <c r="AC88" s="313">
        <f>SUM(AC85:AC86)*AC87</f>
        <v>1377</v>
      </c>
    </row>
    <row r="89" spans="1:30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176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  <c r="AC89" s="327">
        <v>1</v>
      </c>
    </row>
    <row r="90" spans="1:30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47">SUM(G88*G89)</f>
        <v>888.3152139</v>
      </c>
      <c r="I90" s="69">
        <f t="shared" si="47"/>
        <v>1002.3308361092717</v>
      </c>
      <c r="J90" s="70"/>
      <c r="K90" s="71"/>
      <c r="L90" s="69">
        <f t="shared" ref="L90:AA90" si="48">SUM(L88*L89)</f>
        <v>1190</v>
      </c>
      <c r="M90" s="72"/>
      <c r="N90" s="69">
        <f t="shared" si="48"/>
        <v>1131</v>
      </c>
      <c r="O90" s="70"/>
      <c r="P90" s="70">
        <f t="shared" si="48"/>
        <v>1137.998</v>
      </c>
      <c r="Q90" s="73"/>
      <c r="R90" s="70">
        <f t="shared" ref="R90" si="49">SUM(R88*R89)</f>
        <v>1221</v>
      </c>
      <c r="S90" s="73"/>
      <c r="T90" s="70">
        <f t="shared" si="48"/>
        <v>1432</v>
      </c>
      <c r="U90" s="73"/>
      <c r="V90" s="70">
        <f t="shared" si="48"/>
        <v>1377</v>
      </c>
      <c r="W90" s="73"/>
      <c r="X90" s="313">
        <f t="shared" si="48"/>
        <v>1377</v>
      </c>
      <c r="Y90" s="73"/>
      <c r="Z90" s="313">
        <f t="shared" si="48"/>
        <v>1377</v>
      </c>
      <c r="AA90" s="313">
        <f t="shared" si="48"/>
        <v>1377</v>
      </c>
      <c r="AB90" s="313">
        <f>SUM(AB88*AB89)</f>
        <v>1377</v>
      </c>
      <c r="AC90" s="313">
        <f>SUM(AC88*AC89)</f>
        <v>1377</v>
      </c>
    </row>
    <row r="91" spans="1:30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70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  <c r="AC91" s="313">
        <v>0</v>
      </c>
    </row>
    <row r="92" spans="1:30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0">SUM(G90:G91)</f>
        <v>888.3152139</v>
      </c>
      <c r="I92" s="99">
        <f t="shared" si="50"/>
        <v>1002.3308361092717</v>
      </c>
      <c r="J92" s="100"/>
      <c r="K92" s="101"/>
      <c r="L92" s="99">
        <f t="shared" ref="L92:AA92" si="51">SUM(L90:L91)</f>
        <v>1190</v>
      </c>
      <c r="M92" s="111"/>
      <c r="N92" s="99">
        <f t="shared" si="51"/>
        <v>1131</v>
      </c>
      <c r="O92" s="100"/>
      <c r="P92" s="100">
        <f t="shared" si="51"/>
        <v>1137.998</v>
      </c>
      <c r="Q92" s="177"/>
      <c r="R92" s="100">
        <f t="shared" ref="R92" si="52">SUM(R90:R91)</f>
        <v>1221</v>
      </c>
      <c r="S92" s="177"/>
      <c r="T92" s="100">
        <f t="shared" si="51"/>
        <v>1432</v>
      </c>
      <c r="U92" s="177"/>
      <c r="V92" s="100">
        <f t="shared" si="51"/>
        <v>1377</v>
      </c>
      <c r="W92" s="177"/>
      <c r="X92" s="317">
        <f t="shared" si="51"/>
        <v>1377</v>
      </c>
      <c r="Y92" s="177"/>
      <c r="Z92" s="317">
        <f t="shared" si="51"/>
        <v>1377</v>
      </c>
      <c r="AA92" s="317">
        <f t="shared" si="51"/>
        <v>1377</v>
      </c>
      <c r="AB92" s="317">
        <f>SUM(AB90:AB91)</f>
        <v>1377</v>
      </c>
      <c r="AC92" s="317">
        <f>SUM(AC90:AC91)</f>
        <v>1377</v>
      </c>
    </row>
    <row r="93" spans="1:30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294">
        <f>SUM((V93-T93)/R93)</f>
        <v>-2.3244457749252265E-3</v>
      </c>
      <c r="V93" s="293">
        <f>12.63643/V92</f>
        <v>9.1767828612926653E-3</v>
      </c>
      <c r="W93" s="305">
        <f>$W$30</f>
        <v>1.4999999999999999E-2</v>
      </c>
      <c r="X93" s="318">
        <f>SUM(V93*(1+W93))</f>
        <v>9.3144346042120536E-3</v>
      </c>
      <c r="Y93" s="305">
        <f>$Y$30</f>
        <v>0.02</v>
      </c>
      <c r="Z93" s="318">
        <f>SUM(X93*(1+Y93))</f>
        <v>9.5007232962962956E-3</v>
      </c>
      <c r="AA93" s="318">
        <f>SUM(Z93*(1+Y93))</f>
        <v>9.6907377622222225E-3</v>
      </c>
      <c r="AB93" s="318">
        <f>SUM(AA93*(1+Y93))</f>
        <v>9.8845525174666663E-3</v>
      </c>
      <c r="AC93" s="318">
        <f>SUM(AB93*(1+$Y$93))</f>
        <v>1.0082243567816E-2</v>
      </c>
    </row>
    <row r="94" spans="1:30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111"/>
      <c r="W94" s="73"/>
      <c r="X94" s="319"/>
      <c r="Y94" s="73"/>
      <c r="Z94" s="319"/>
      <c r="AA94" s="319"/>
      <c r="AB94" s="319"/>
      <c r="AC94" s="319"/>
    </row>
    <row r="95" spans="1:30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3">SUM(G92*G93)</f>
        <v>8.2702146414089999</v>
      </c>
      <c r="I95" s="178">
        <f t="shared" si="53"/>
        <v>9.3172825078781703</v>
      </c>
      <c r="J95" s="179"/>
      <c r="K95" s="180"/>
      <c r="L95" s="178">
        <f t="shared" ref="L95:AA95" si="54">SUM(L92*L93)</f>
        <v>11.382350000000001</v>
      </c>
      <c r="M95" s="181"/>
      <c r="N95" s="182">
        <f t="shared" si="54"/>
        <v>10.468988399999999</v>
      </c>
      <c r="O95" s="183"/>
      <c r="P95" s="183">
        <f t="shared" si="54"/>
        <v>10.51116</v>
      </c>
      <c r="Q95" s="55"/>
      <c r="R95" s="183">
        <f t="shared" ref="R95" si="55">SUM(R92*R93)</f>
        <v>11.256590000000001</v>
      </c>
      <c r="S95" s="55"/>
      <c r="T95" s="179">
        <f>SUM(T92*T93)</f>
        <v>13.17184</v>
      </c>
      <c r="U95" s="372"/>
      <c r="V95" s="441">
        <f>SUM(V92*V93)</f>
        <v>12.636430000000001</v>
      </c>
      <c r="W95" s="372"/>
      <c r="X95" s="443">
        <f>SUM(X92*X93)</f>
        <v>12.825976449999997</v>
      </c>
      <c r="Y95" s="372"/>
      <c r="Z95" s="443">
        <f>SUM(Z92*Z93)</f>
        <v>13.082495978999999</v>
      </c>
      <c r="AA95" s="443">
        <f t="shared" si="54"/>
        <v>13.344145898580001</v>
      </c>
      <c r="AB95" s="443">
        <f>SUM(AB92*AB93)</f>
        <v>13.611028816551599</v>
      </c>
      <c r="AC95" s="443">
        <f>SUM(AC92*AC93)</f>
        <v>13.883249392882632</v>
      </c>
      <c r="AD95" s="472" t="s">
        <v>263</v>
      </c>
    </row>
    <row r="96" spans="1:30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  <c r="AC96" s="171"/>
    </row>
    <row r="97" spans="1:30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120" t="s">
        <v>74</v>
      </c>
      <c r="W97" s="174"/>
      <c r="X97" s="301" t="s">
        <v>136</v>
      </c>
      <c r="Y97" s="174"/>
      <c r="Z97" s="301" t="str">
        <f>Z77</f>
        <v>21/22 Estimate</v>
      </c>
      <c r="AA97" s="301" t="str">
        <f>AA77</f>
        <v>22/23 Estimate</v>
      </c>
      <c r="AB97" s="301" t="str">
        <f>AB77</f>
        <v>23/24 Estimate</v>
      </c>
      <c r="AC97" s="301" t="str">
        <f>AC77</f>
        <v>24/25 Estimate</v>
      </c>
    </row>
    <row r="98" spans="1:30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42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  <c r="AC98" s="308" t="s">
        <v>78</v>
      </c>
    </row>
    <row r="99" spans="1:30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42"/>
      <c r="W99" s="47"/>
      <c r="X99" s="308"/>
      <c r="Y99" s="47"/>
      <c r="Z99" s="308"/>
      <c r="AA99" s="308"/>
      <c r="AB99" s="308"/>
      <c r="AC99" s="308"/>
    </row>
    <row r="100" spans="1:30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46"/>
      <c r="W100" s="47"/>
      <c r="X100" s="308"/>
      <c r="Y100" s="47"/>
      <c r="Z100" s="308"/>
      <c r="AA100" s="308"/>
      <c r="AB100" s="308"/>
      <c r="AC100" s="308"/>
    </row>
    <row r="101" spans="1:30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197">
        <f>197600-V80</f>
        <v>196223</v>
      </c>
      <c r="W101" s="175"/>
      <c r="X101" s="503">
        <f>210000-X80</f>
        <v>208623</v>
      </c>
      <c r="Y101" s="175"/>
      <c r="Z101" s="329">
        <f>SUM(X101:X103)</f>
        <v>208623</v>
      </c>
      <c r="AA101" s="329">
        <f t="shared" ref="AA101" si="56">SUM(Z101:Z103)</f>
        <v>208623</v>
      </c>
      <c r="AB101" s="329">
        <f>SUM(AA101:AA103)</f>
        <v>208623</v>
      </c>
      <c r="AC101" s="329">
        <f>SUM(AB101:AB103)</f>
        <v>208623</v>
      </c>
    </row>
    <row r="102" spans="1:30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70">
        <v>0</v>
      </c>
      <c r="W102" s="73"/>
      <c r="X102" s="461">
        <v>0</v>
      </c>
      <c r="Y102" s="73"/>
      <c r="Z102" s="313">
        <v>0</v>
      </c>
      <c r="AA102" s="313">
        <v>0</v>
      </c>
      <c r="AB102" s="313">
        <v>0</v>
      </c>
      <c r="AC102" s="313">
        <v>0</v>
      </c>
    </row>
    <row r="103" spans="1:30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70">
        <v>0</v>
      </c>
      <c r="W103" s="73"/>
      <c r="X103" s="461">
        <v>0</v>
      </c>
      <c r="Y103" s="73"/>
      <c r="Z103" s="313">
        <v>0</v>
      </c>
      <c r="AA103" s="313">
        <v>0</v>
      </c>
      <c r="AB103" s="313">
        <v>0</v>
      </c>
      <c r="AC103" s="313">
        <v>0</v>
      </c>
    </row>
    <row r="104" spans="1:30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204">
        <v>0</v>
      </c>
      <c r="W104" s="73"/>
      <c r="X104" s="520">
        <v>0</v>
      </c>
      <c r="Y104" s="73"/>
      <c r="Z104" s="330">
        <v>0</v>
      </c>
      <c r="AA104" s="330">
        <v>0</v>
      </c>
      <c r="AB104" s="330">
        <v>0</v>
      </c>
      <c r="AC104" s="330">
        <v>0</v>
      </c>
    </row>
    <row r="105" spans="1:30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208" t="s">
        <v>81</v>
      </c>
      <c r="W105" s="174"/>
      <c r="X105" s="521" t="s">
        <v>81</v>
      </c>
      <c r="Y105" s="174"/>
      <c r="Z105" s="331" t="s">
        <v>81</v>
      </c>
      <c r="AA105" s="331" t="s">
        <v>81</v>
      </c>
      <c r="AB105" s="331" t="s">
        <v>81</v>
      </c>
      <c r="AC105" s="331" t="s">
        <v>81</v>
      </c>
    </row>
    <row r="106" spans="1:30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212">
        <v>0</v>
      </c>
      <c r="W106" s="152"/>
      <c r="X106" s="522">
        <v>0</v>
      </c>
      <c r="Y106" s="152"/>
      <c r="Z106" s="332">
        <v>0</v>
      </c>
      <c r="AA106" s="332">
        <v>0</v>
      </c>
      <c r="AB106" s="332">
        <v>0</v>
      </c>
      <c r="AC106" s="332">
        <v>0</v>
      </c>
    </row>
    <row r="107" spans="1:30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216"/>
      <c r="W107" s="152"/>
      <c r="X107" s="523"/>
      <c r="Y107" s="152"/>
      <c r="Z107" s="333"/>
      <c r="AA107" s="333"/>
      <c r="AB107" s="333"/>
      <c r="AC107" s="333"/>
    </row>
    <row r="108" spans="1:30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232">
        <f>SUM((V108-T108)/T108)</f>
        <v>-2.7004141355659494E-2</v>
      </c>
      <c r="V108" s="293">
        <f>3280.90311/V101</f>
        <v>1.6720278000030578E-2</v>
      </c>
      <c r="W108" s="305">
        <f>$W$30</f>
        <v>1.4999999999999999E-2</v>
      </c>
      <c r="X108" s="318">
        <f>SUM(V108*(1+W108))</f>
        <v>1.6971082170031036E-2</v>
      </c>
      <c r="Y108" s="305">
        <f>$Y$30</f>
        <v>0.02</v>
      </c>
      <c r="Z108" s="318">
        <f>SUM(X108*(1+Y108))</f>
        <v>1.7310503813431657E-2</v>
      </c>
      <c r="AA108" s="318">
        <f>SUM(Z108*(1+Y108))</f>
        <v>1.765671388970029E-2</v>
      </c>
      <c r="AB108" s="318">
        <f>SUM(AA108*(1+Y108))</f>
        <v>1.8009848167494295E-2</v>
      </c>
      <c r="AC108" s="318">
        <f>SUM(AB108*(1+$Y$108))</f>
        <v>1.8370045130844181E-2</v>
      </c>
    </row>
    <row r="109" spans="1:30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220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  <c r="AC109" s="334">
        <v>1</v>
      </c>
    </row>
    <row r="110" spans="1:30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222"/>
      <c r="W110" s="55"/>
      <c r="X110" s="335"/>
      <c r="Y110" s="55"/>
      <c r="Z110" s="335"/>
      <c r="AA110" s="335"/>
      <c r="AB110" s="335"/>
      <c r="AC110" s="335"/>
    </row>
    <row r="111" spans="1:30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57">SUM(G101:G105)*G108*G109</f>
        <v>1918.901132</v>
      </c>
      <c r="I111" s="178">
        <f t="shared" si="57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58">SUM(N101:N105)*N108*N109</f>
        <v>2707.3523175999999</v>
      </c>
      <c r="O111" s="183"/>
      <c r="P111" s="179">
        <f t="shared" ref="P111" si="59">SUM(P101:P105)*P108*P109</f>
        <v>2514.9974500000003</v>
      </c>
      <c r="Q111" s="55"/>
      <c r="R111" s="179">
        <f t="shared" ref="R111" si="60">SUM(R101:R105)*R108*R109</f>
        <v>2956.1579400000001</v>
      </c>
      <c r="S111" s="55"/>
      <c r="T111" s="179">
        <f>SUM(T101:T105)*T108*T109</f>
        <v>3479.2761100000002</v>
      </c>
      <c r="U111" s="372"/>
      <c r="V111" s="441">
        <f>SUM(V101:V105)*V108*V109</f>
        <v>3280.9031100000002</v>
      </c>
      <c r="W111" s="372"/>
      <c r="X111" s="444">
        <f>SUM(X101:X105)*X108*X109</f>
        <v>3540.5580755583851</v>
      </c>
      <c r="Y111" s="372"/>
      <c r="Z111" s="444">
        <f t="shared" ref="Z111" si="61">SUM(Z101:Z105)*Z108*Z109</f>
        <v>3611.3692370695526</v>
      </c>
      <c r="AA111" s="444">
        <f>SUM(AA101:AA105)*AA108*AA109</f>
        <v>3683.5966218109438</v>
      </c>
      <c r="AB111" s="444">
        <f>SUM(AB101:AB105)*AB108*AB109</f>
        <v>3757.2685542471622</v>
      </c>
      <c r="AC111" s="444">
        <f>SUM(AC101:AC105)*AC108*AC109</f>
        <v>3832.4139253321055</v>
      </c>
      <c r="AD111" s="472" t="s">
        <v>263</v>
      </c>
    </row>
    <row r="112" spans="1:30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  <c r="AC112" s="171"/>
    </row>
    <row r="113" spans="1:29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547">
        <f>X111+X95</f>
        <v>3553.384052008385</v>
      </c>
      <c r="Y113" s="145"/>
      <c r="Z113" s="144"/>
      <c r="AA113" s="144"/>
      <c r="AB113" s="144"/>
      <c r="AC113" s="144"/>
    </row>
    <row r="114" spans="1:29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120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  <c r="AC114" s="301" t="str">
        <f>$AB$10</f>
        <v>2023 Estimate</v>
      </c>
    </row>
    <row r="115" spans="1:29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65"/>
      <c r="W115" s="64"/>
      <c r="X115" s="321"/>
      <c r="Y115" s="64"/>
      <c r="Z115" s="321"/>
      <c r="AA115" s="321"/>
      <c r="AB115" s="321"/>
      <c r="AC115" s="321"/>
    </row>
    <row r="116" spans="1:29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63"/>
      <c r="W116" s="175"/>
      <c r="X116" s="321"/>
      <c r="Y116" s="175"/>
      <c r="Z116" s="321"/>
      <c r="AA116" s="321"/>
      <c r="AB116" s="321"/>
      <c r="AC116" s="321"/>
    </row>
    <row r="117" spans="1:29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70">
        <v>700000</v>
      </c>
      <c r="W117" s="73"/>
      <c r="X117" s="461">
        <v>730000</v>
      </c>
      <c r="Y117" s="73"/>
      <c r="Z117" s="313">
        <f>SUM(X117:X119)</f>
        <v>730000</v>
      </c>
      <c r="AA117" s="313">
        <f>SUM(Z117:Z119)</f>
        <v>828739</v>
      </c>
      <c r="AB117" s="313">
        <f>SUM(AA117:AA119)</f>
        <v>925944</v>
      </c>
      <c r="AC117" s="313">
        <f>SUM(AB117:AB119)</f>
        <v>1026519</v>
      </c>
    </row>
    <row r="118" spans="1:29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70"/>
      <c r="W118" s="73"/>
      <c r="X118" s="461"/>
      <c r="Y118" s="73"/>
      <c r="Z118" s="154">
        <f>76162+22577</f>
        <v>98739</v>
      </c>
      <c r="AA118" s="154">
        <f>77486+19719</f>
        <v>97205</v>
      </c>
      <c r="AB118" s="154">
        <f>92514+8061</f>
        <v>100575</v>
      </c>
      <c r="AC118" s="154">
        <f>75072+20227</f>
        <v>95299</v>
      </c>
    </row>
    <row r="119" spans="1:29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70"/>
      <c r="W119" s="73"/>
      <c r="X119" s="461"/>
      <c r="Y119" s="73"/>
      <c r="Z119" s="154">
        <f>X119</f>
        <v>0</v>
      </c>
      <c r="AA119" s="154">
        <f>Z119</f>
        <v>0</v>
      </c>
      <c r="AB119" s="154">
        <f>AA119</f>
        <v>0</v>
      </c>
      <c r="AC119" s="154">
        <f>AB119</f>
        <v>0</v>
      </c>
    </row>
    <row r="120" spans="1:29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87">
        <v>0.91990911480638227</v>
      </c>
      <c r="W120" s="73"/>
      <c r="X120" s="463">
        <v>0.90505688602555834</v>
      </c>
      <c r="Y120" s="73"/>
      <c r="Z120" s="314">
        <f t="shared" ref="Z120:Z121" si="62">SUM(X120)</f>
        <v>0.90505688602555834</v>
      </c>
      <c r="AA120" s="314">
        <f t="shared" ref="AA120:AC121" si="63">SUM(Z120)</f>
        <v>0.90505688602555834</v>
      </c>
      <c r="AB120" s="314">
        <f t="shared" si="63"/>
        <v>0.90505688602555834</v>
      </c>
      <c r="AC120" s="314">
        <f t="shared" si="63"/>
        <v>0.90505688602555834</v>
      </c>
    </row>
    <row r="121" spans="1:29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91">
        <v>0.50019043891570614</v>
      </c>
      <c r="W121" s="84"/>
      <c r="X121" s="464">
        <v>0.48778348960892937</v>
      </c>
      <c r="Y121" s="84"/>
      <c r="Z121" s="315">
        <f t="shared" si="62"/>
        <v>0.48778348960892937</v>
      </c>
      <c r="AA121" s="315">
        <f t="shared" si="63"/>
        <v>0.48778348960892937</v>
      </c>
      <c r="AB121" s="315">
        <f t="shared" si="63"/>
        <v>0.48778348960892937</v>
      </c>
      <c r="AC121" s="315">
        <f t="shared" si="63"/>
        <v>0.48778348960892937</v>
      </c>
    </row>
    <row r="122" spans="1:29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4">SUM(G117+G118+G119)*G120*G121</f>
        <v>188890.26799999998</v>
      </c>
      <c r="I122" s="69">
        <f t="shared" si="64"/>
        <v>199575.79679677499</v>
      </c>
      <c r="J122" s="70"/>
      <c r="K122" s="71"/>
      <c r="L122" s="69">
        <f t="shared" ref="L122:N122" si="65">SUM(L117+L118+L119)*L120*L121</f>
        <v>234774.02500000002</v>
      </c>
      <c r="M122" s="72"/>
      <c r="N122" s="69">
        <f t="shared" si="65"/>
        <v>230552.66500000001</v>
      </c>
      <c r="O122" s="70"/>
      <c r="P122" s="70">
        <f t="shared" ref="P122:Z122" si="66">SUM(P117+P118+P119)*P120*P121</f>
        <v>229911.818</v>
      </c>
      <c r="Q122" s="73"/>
      <c r="R122" s="70">
        <f t="shared" ref="R122" si="67">SUM(R117+R118+R119)*R120*R121</f>
        <v>246152.10861059991</v>
      </c>
      <c r="S122" s="73"/>
      <c r="T122" s="70">
        <f>SUM(T117+T118+T119)*T120*T121</f>
        <v>306718.19200000004</v>
      </c>
      <c r="U122" s="73"/>
      <c r="V122" s="70">
        <f>SUM(V117+V118+V119)*V120*V121</f>
        <v>322090.82072829414</v>
      </c>
      <c r="W122" s="73"/>
      <c r="X122" s="461">
        <f>SUM(X117+X118+X119)*X120*X121</f>
        <v>322274.4184969007</v>
      </c>
      <c r="Y122" s="73"/>
      <c r="Z122" s="313">
        <f t="shared" si="66"/>
        <v>365864.90316534654</v>
      </c>
      <c r="AA122" s="313">
        <f>SUM(AA117+AA118+AA119)*AA120*AA121</f>
        <v>408778.17008314276</v>
      </c>
      <c r="AB122" s="313">
        <f>SUM(AB117+AB118+AB119)*AB120*AB121</f>
        <v>453179.19698769861</v>
      </c>
      <c r="AC122" s="313">
        <f>SUM(AC117+AC118+AC119)*AC120*AC121</f>
        <v>495251.0186429536</v>
      </c>
    </row>
    <row r="123" spans="1:29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70"/>
      <c r="W123" s="73"/>
      <c r="X123" s="461"/>
      <c r="Y123" s="73"/>
      <c r="Z123" s="313"/>
      <c r="AA123" s="313"/>
      <c r="AB123" s="313"/>
      <c r="AC123" s="313"/>
    </row>
    <row r="124" spans="1:29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68">SUM(G122)</f>
        <v>188890.26799999998</v>
      </c>
      <c r="I124" s="69">
        <f t="shared" si="68"/>
        <v>199575.79679677499</v>
      </c>
      <c r="J124" s="70"/>
      <c r="K124" s="71"/>
      <c r="L124" s="69">
        <f t="shared" ref="L124:AA124" si="69">SUM(L122)</f>
        <v>234774.02500000002</v>
      </c>
      <c r="M124" s="72"/>
      <c r="N124" s="69">
        <f t="shared" si="69"/>
        <v>230552.66500000001</v>
      </c>
      <c r="O124" s="70"/>
      <c r="P124" s="70">
        <f t="shared" si="69"/>
        <v>229911.818</v>
      </c>
      <c r="Q124" s="73"/>
      <c r="R124" s="70">
        <f t="shared" ref="R124" si="70">SUM(R122)</f>
        <v>246152.10861059991</v>
      </c>
      <c r="S124" s="73"/>
      <c r="T124" s="70">
        <f t="shared" si="69"/>
        <v>306718.19200000004</v>
      </c>
      <c r="U124" s="73"/>
      <c r="V124" s="70">
        <f t="shared" si="69"/>
        <v>322090.82072829414</v>
      </c>
      <c r="W124" s="73"/>
      <c r="X124" s="461">
        <f>SUM(X122)</f>
        <v>322274.4184969007</v>
      </c>
      <c r="Y124" s="73"/>
      <c r="Z124" s="313">
        <f t="shared" si="69"/>
        <v>365864.90316534654</v>
      </c>
      <c r="AA124" s="313">
        <f t="shared" si="69"/>
        <v>408778.17008314276</v>
      </c>
      <c r="AB124" s="313">
        <f>SUM(AB122)</f>
        <v>453179.19698769861</v>
      </c>
      <c r="AC124" s="313">
        <f>SUM(AC122)</f>
        <v>495251.0186429536</v>
      </c>
    </row>
    <row r="125" spans="1:29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487">
        <v>293289.11</v>
      </c>
      <c r="U125" s="73"/>
      <c r="V125" s="488">
        <f>306603.362-264.563</f>
        <v>306338.799</v>
      </c>
      <c r="W125" s="73"/>
      <c r="X125" s="313"/>
      <c r="Y125" s="73"/>
      <c r="Z125" s="313"/>
      <c r="AA125" s="313"/>
      <c r="AB125" s="313"/>
      <c r="AC125" s="313"/>
    </row>
    <row r="126" spans="1:29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490">
        <f>V125/V124</f>
        <v>0.95109447176210571</v>
      </c>
      <c r="W126" s="230"/>
      <c r="X126" s="337">
        <f>SUM(V126)</f>
        <v>0.95109447176210571</v>
      </c>
      <c r="Y126" s="230"/>
      <c r="Z126" s="337">
        <f>SUM(X126)</f>
        <v>0.95109447176210571</v>
      </c>
      <c r="AA126" s="337">
        <f t="shared" ref="AA126" si="71">SUM(Z126)</f>
        <v>0.95109447176210571</v>
      </c>
      <c r="AB126" s="337">
        <f>SUM(AA126)</f>
        <v>0.95109447176210571</v>
      </c>
      <c r="AC126" s="337">
        <f>SUM(AB126)</f>
        <v>0.95109447176210571</v>
      </c>
    </row>
    <row r="127" spans="1:29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2">SUM(G124*G126)</f>
        <v>173804.16659564062</v>
      </c>
      <c r="I127" s="69">
        <f t="shared" si="72"/>
        <v>189501.07105461584</v>
      </c>
      <c r="J127" s="70"/>
      <c r="K127" s="71"/>
      <c r="L127" s="69">
        <f t="shared" ref="L127:AA127" si="73">SUM(L124*L126)</f>
        <v>223370.065</v>
      </c>
      <c r="M127" s="72"/>
      <c r="N127" s="69">
        <f t="shared" si="73"/>
        <v>216345.522</v>
      </c>
      <c r="O127" s="231"/>
      <c r="P127" s="70">
        <f t="shared" si="73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461">
        <f>SUM(V124*V126)</f>
        <v>306338.799</v>
      </c>
      <c r="W127" s="232"/>
      <c r="X127" s="313">
        <f>SUM(X124*X126)</f>
        <v>306513.41782274959</v>
      </c>
      <c r="Y127" s="232"/>
      <c r="Z127" s="313">
        <f t="shared" si="73"/>
        <v>347972.0868123392</v>
      </c>
      <c r="AA127" s="313">
        <f t="shared" si="73"/>
        <v>388786.65774310689</v>
      </c>
      <c r="AB127" s="313">
        <f>SUM(AB124*AB126)</f>
        <v>431016.22897259047</v>
      </c>
      <c r="AC127" s="313">
        <f>SUM(AC124*AC126)</f>
        <v>471030.50596586469</v>
      </c>
    </row>
    <row r="128" spans="1:29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459">
        <f>SUM((V128-T128)/T128)</f>
        <v>1.6036071362445833E-2</v>
      </c>
      <c r="V128" s="456">
        <f>3563960.29/306338799</f>
        <v>1.1634047994031602E-2</v>
      </c>
      <c r="W128" s="305">
        <f>$W$30</f>
        <v>1.4999999999999999E-2</v>
      </c>
      <c r="X128" s="318">
        <f>SUM(V128*(1+W128))</f>
        <v>1.1808558713942074E-2</v>
      </c>
      <c r="Y128" s="305">
        <f>$Y$30</f>
        <v>0.02</v>
      </c>
      <c r="Z128" s="318">
        <f>SUM(X128*(1+Y128))</f>
        <v>1.2044729888220916E-2</v>
      </c>
      <c r="AA128" s="318">
        <f>SUM(Z128*(1+Y128))</f>
        <v>1.2285624485985334E-2</v>
      </c>
      <c r="AB128" s="318">
        <f>SUM(AA128*(1+Y128))</f>
        <v>1.253133697570504E-2</v>
      </c>
      <c r="AC128" s="318">
        <f>SUM(AB128*(1+$Y$128))</f>
        <v>1.2781963715219141E-2</v>
      </c>
    </row>
    <row r="129" spans="1:39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461"/>
      <c r="W129" s="420"/>
      <c r="X129" s="313"/>
      <c r="Y129" s="420"/>
      <c r="Z129" s="313"/>
      <c r="AA129" s="313"/>
      <c r="AB129" s="313"/>
      <c r="AC129" s="313"/>
      <c r="AG129" s="572"/>
      <c r="AH129" s="572"/>
      <c r="AI129" s="572"/>
      <c r="AJ129" s="572"/>
      <c r="AK129" s="572"/>
      <c r="AL129" s="572"/>
      <c r="AM129" s="572"/>
    </row>
    <row r="130" spans="1:39" ht="15" thickBot="1" x14ac:dyDescent="0.35">
      <c r="C130" s="112">
        <v>1843</v>
      </c>
      <c r="E130" s="112">
        <f>SUM(E127*E128)</f>
        <v>1939.7429074619999</v>
      </c>
      <c r="G130" s="112">
        <f t="shared" ref="G130" si="74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75">SUM(R127*R128)</f>
        <v>3018.7944147768244</v>
      </c>
      <c r="S130" s="114"/>
      <c r="T130" s="141">
        <f>SUM(T127*T128)</f>
        <v>3358.2858700000002</v>
      </c>
      <c r="U130" s="370"/>
      <c r="V130" s="508">
        <f>SUM(V127*V128)</f>
        <v>3563.96029</v>
      </c>
      <c r="W130" s="370"/>
      <c r="X130" s="320">
        <f>SUM(X127*X128)</f>
        <v>3619.4816909709975</v>
      </c>
      <c r="Y130" s="370"/>
      <c r="Z130" s="320">
        <f>SUM(Z127*Z128)</f>
        <v>4191.2297942951855</v>
      </c>
      <c r="AA130" s="320">
        <f>SUM(AA127*AA128)</f>
        <v>4776.4868821931132</v>
      </c>
      <c r="AB130" s="320">
        <f>SUM(AB127*AB128)</f>
        <v>5401.2096072531731</v>
      </c>
      <c r="AC130" s="320">
        <f>SUM(AC127*AC128)</f>
        <v>6020.6948360169954</v>
      </c>
      <c r="AD130" s="472" t="s">
        <v>252</v>
      </c>
      <c r="AG130" s="572"/>
      <c r="AH130" s="572"/>
      <c r="AI130" s="572"/>
      <c r="AJ130" s="572"/>
      <c r="AK130" s="573"/>
      <c r="AL130" s="572"/>
      <c r="AM130" s="572"/>
    </row>
    <row r="131" spans="1:39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491"/>
      <c r="W131" s="239"/>
      <c r="X131" s="238"/>
      <c r="Y131" s="239"/>
      <c r="Z131" s="238"/>
      <c r="AA131" s="238"/>
      <c r="AB131" s="238"/>
      <c r="AC131" s="238"/>
    </row>
    <row r="132" spans="1:39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120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  <c r="AC132" s="301" t="str">
        <f>$AC$10</f>
        <v>2024 Estimate</v>
      </c>
    </row>
    <row r="133" spans="1:39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65"/>
      <c r="W133" s="64"/>
      <c r="X133" s="321"/>
      <c r="Y133" s="64"/>
      <c r="Z133" s="321"/>
      <c r="AA133" s="321"/>
      <c r="AB133" s="321"/>
      <c r="AC133" s="321"/>
    </row>
    <row r="134" spans="1:39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65"/>
      <c r="W134" s="64"/>
      <c r="X134" s="321"/>
      <c r="Y134" s="64"/>
      <c r="Z134" s="321"/>
      <c r="AA134" s="321"/>
      <c r="AB134" s="321"/>
      <c r="AC134" s="321"/>
    </row>
    <row r="135" spans="1:39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70">
        <v>742683.92599999998</v>
      </c>
      <c r="W135" s="73"/>
      <c r="X135" s="461">
        <v>866106.81</v>
      </c>
      <c r="Y135" s="73"/>
      <c r="Z135" s="313">
        <f>SUM(X135:X137)</f>
        <v>866106.81</v>
      </c>
      <c r="AA135" s="313">
        <f>SUM(Z135:Z137)</f>
        <v>964845.81</v>
      </c>
      <c r="AB135" s="313">
        <f>SUM(AA135:AA137)</f>
        <v>1062050.81</v>
      </c>
      <c r="AC135" s="313">
        <f>SUM(AB135:AB137)</f>
        <v>1162625.81</v>
      </c>
    </row>
    <row r="136" spans="1:39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70"/>
      <c r="W136" s="73"/>
      <c r="X136" s="461"/>
      <c r="Y136" s="73"/>
      <c r="Z136" s="313">
        <f t="shared" ref="Z136:AA137" si="76">SUM(Z118)</f>
        <v>98739</v>
      </c>
      <c r="AA136" s="313">
        <f t="shared" si="76"/>
        <v>97205</v>
      </c>
      <c r="AB136" s="313">
        <f>SUM(AB118)</f>
        <v>100575</v>
      </c>
      <c r="AC136" s="313">
        <f>SUM(AC118)</f>
        <v>95299</v>
      </c>
    </row>
    <row r="137" spans="1:39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70"/>
      <c r="W137" s="73"/>
      <c r="X137" s="461"/>
      <c r="Y137" s="73"/>
      <c r="Z137" s="313">
        <f t="shared" si="76"/>
        <v>0</v>
      </c>
      <c r="AA137" s="313">
        <f t="shared" si="76"/>
        <v>0</v>
      </c>
      <c r="AB137" s="313">
        <f>SUM(AB119)</f>
        <v>0</v>
      </c>
      <c r="AC137" s="313">
        <f>SUM(AC119)</f>
        <v>0</v>
      </c>
    </row>
    <row r="138" spans="1:39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87">
        <v>1</v>
      </c>
      <c r="W138" s="73"/>
      <c r="X138" s="463">
        <v>1</v>
      </c>
      <c r="Y138" s="73"/>
      <c r="Z138" s="314">
        <v>1</v>
      </c>
      <c r="AA138" s="314">
        <v>1</v>
      </c>
      <c r="AB138" s="314">
        <v>1</v>
      </c>
      <c r="AC138" s="314">
        <v>1</v>
      </c>
    </row>
    <row r="139" spans="1:39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91">
        <v>0.18293040999999999</v>
      </c>
      <c r="W139" s="84"/>
      <c r="X139" s="464">
        <v>0.18316082</v>
      </c>
      <c r="Y139" s="84"/>
      <c r="Z139" s="315">
        <f>SUM(X139)</f>
        <v>0.18316082</v>
      </c>
      <c r="AA139" s="315">
        <f t="shared" ref="AA139:AC139" si="77">SUM(Z139)</f>
        <v>0.18316082</v>
      </c>
      <c r="AB139" s="315">
        <f t="shared" si="77"/>
        <v>0.18316082</v>
      </c>
      <c r="AC139" s="315">
        <f t="shared" si="77"/>
        <v>0.18316082</v>
      </c>
    </row>
    <row r="140" spans="1:39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78">SUM((G135+G136+G137)*G138*G139)</f>
        <v>79213.073000000004</v>
      </c>
      <c r="I140" s="99">
        <f t="shared" si="78"/>
        <v>85831.54</v>
      </c>
      <c r="J140" s="100"/>
      <c r="K140" s="101"/>
      <c r="L140" s="99">
        <f t="shared" ref="L140:T140" si="79">SUM((L135+L136+L137)*L138*L139)</f>
        <v>92701.07758538505</v>
      </c>
      <c r="M140" s="102"/>
      <c r="N140" s="99">
        <f t="shared" si="79"/>
        <v>96666.592999999993</v>
      </c>
      <c r="O140" s="100"/>
      <c r="P140" s="100">
        <f t="shared" si="79"/>
        <v>103095.598</v>
      </c>
      <c r="Q140" s="177"/>
      <c r="R140" s="100">
        <f t="shared" ref="R140" si="80">SUM((R135+R136+R137)*R138*R139)</f>
        <v>115955.848</v>
      </c>
      <c r="S140" s="177"/>
      <c r="T140" s="100">
        <f t="shared" si="79"/>
        <v>134625.429</v>
      </c>
      <c r="U140" s="177"/>
      <c r="V140" s="100">
        <f>SUM((V135+V136+V137)*V138*V139)</f>
        <v>135859.47508358964</v>
      </c>
      <c r="W140" s="177"/>
      <c r="X140" s="468">
        <f>SUM((X135+X136+X137)*X138*X139)</f>
        <v>158636.83352718421</v>
      </c>
      <c r="Y140" s="177"/>
      <c r="Z140" s="317">
        <f>SUM((Z135+Z136+Z137)*Z138*Z139)</f>
        <v>176721.94973316422</v>
      </c>
      <c r="AA140" s="317">
        <f>SUM((AA135+AA136+AA137)*AA138*AA139)</f>
        <v>194526.09724126421</v>
      </c>
      <c r="AB140" s="317">
        <f>SUM((AB135+AB136+AB137)*AB138*AB139)</f>
        <v>212947.4967127642</v>
      </c>
      <c r="AC140" s="317">
        <f>SUM((AC135+AC136+AC137)*AC138*AC139)</f>
        <v>230402.53969794422</v>
      </c>
    </row>
    <row r="141" spans="1:39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83">
        <v>-100</v>
      </c>
      <c r="W141" s="84"/>
      <c r="X141" s="462">
        <v>-100</v>
      </c>
      <c r="Y141" s="84"/>
      <c r="Z141" s="323"/>
      <c r="AA141" s="323"/>
      <c r="AB141" s="323"/>
      <c r="AC141" s="323"/>
    </row>
    <row r="142" spans="1:39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1">SUM(G140)</f>
        <v>79213.073000000004</v>
      </c>
      <c r="I142" s="69">
        <f t="shared" si="81"/>
        <v>85831.54</v>
      </c>
      <c r="J142" s="70"/>
      <c r="K142" s="71"/>
      <c r="L142" s="69">
        <f t="shared" ref="L142:AA142" si="82">SUM(L140)</f>
        <v>92701.07758538505</v>
      </c>
      <c r="M142" s="72"/>
      <c r="N142" s="69">
        <f t="shared" si="82"/>
        <v>96666.592999999993</v>
      </c>
      <c r="O142" s="70"/>
      <c r="P142" s="70">
        <f t="shared" si="82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70">
        <f>SUM(V140:V141)</f>
        <v>135759.47508358964</v>
      </c>
      <c r="W142" s="73"/>
      <c r="X142" s="461">
        <f>SUM(X140:X141)-1</f>
        <v>158535.83352718421</v>
      </c>
      <c r="Y142" s="73"/>
      <c r="Z142" s="313">
        <f t="shared" si="82"/>
        <v>176721.94973316422</v>
      </c>
      <c r="AA142" s="313">
        <f t="shared" si="82"/>
        <v>194526.09724126421</v>
      </c>
      <c r="AB142" s="313">
        <f>SUM(AB140)</f>
        <v>212947.4967127642</v>
      </c>
      <c r="AC142" s="313">
        <f>SUM(AC140)</f>
        <v>230402.53969794422</v>
      </c>
    </row>
    <row r="143" spans="1:39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134">
        <v>1</v>
      </c>
      <c r="W143" s="84"/>
      <c r="X143" s="504">
        <v>1</v>
      </c>
      <c r="Y143" s="84"/>
      <c r="Z143" s="324">
        <v>1</v>
      </c>
      <c r="AA143" s="324">
        <v>1</v>
      </c>
      <c r="AB143" s="324">
        <v>1</v>
      </c>
      <c r="AC143" s="324">
        <v>1</v>
      </c>
    </row>
    <row r="144" spans="1:39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3">SUM(G142*G143)</f>
        <v>77458.071382651833</v>
      </c>
      <c r="I144" s="69">
        <f t="shared" si="83"/>
        <v>85831.54</v>
      </c>
      <c r="J144" s="70"/>
      <c r="K144" s="71"/>
      <c r="L144" s="69">
        <f t="shared" ref="L144:AA144" si="84">SUM(L142*L143)</f>
        <v>92701.07758538505</v>
      </c>
      <c r="M144" s="72"/>
      <c r="N144" s="69">
        <f t="shared" si="84"/>
        <v>96666.592999999993</v>
      </c>
      <c r="O144" s="70"/>
      <c r="P144" s="70">
        <f t="shared" si="84"/>
        <v>103095.598</v>
      </c>
      <c r="Q144" s="73"/>
      <c r="R144" s="70">
        <f t="shared" ref="R144" si="85">SUM(R142*R143)</f>
        <v>115955.848</v>
      </c>
      <c r="S144" s="73"/>
      <c r="T144" s="70">
        <f t="shared" si="84"/>
        <v>134525.429</v>
      </c>
      <c r="U144" s="73"/>
      <c r="V144" s="70">
        <f>SUM(V142*V143)</f>
        <v>135759.47508358964</v>
      </c>
      <c r="W144" s="73"/>
      <c r="X144" s="461">
        <f t="shared" si="84"/>
        <v>158535.83352718421</v>
      </c>
      <c r="Y144" s="73"/>
      <c r="Z144" s="313">
        <f t="shared" si="84"/>
        <v>176721.94973316422</v>
      </c>
      <c r="AA144" s="313">
        <f t="shared" si="84"/>
        <v>194526.09724126421</v>
      </c>
      <c r="AB144" s="313">
        <f>SUM(AB142*AB143)</f>
        <v>212947.4967127642</v>
      </c>
      <c r="AC144" s="313">
        <f>SUM(AC142*AC143)</f>
        <v>230402.53969794422</v>
      </c>
    </row>
    <row r="145" spans="1:30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459">
        <f>SUM((V145-T145)/T145)</f>
        <v>-7.0861224244611554E-2</v>
      </c>
      <c r="V145" s="456">
        <f>1655.63895/V144</f>
        <v>1.2195384145236214E-2</v>
      </c>
      <c r="W145" s="305">
        <f>$W$30</f>
        <v>1.4999999999999999E-2</v>
      </c>
      <c r="X145" s="318">
        <f>SUM(V145*(1+W145))</f>
        <v>1.2378314907414756E-2</v>
      </c>
      <c r="Y145" s="305">
        <f>$Y$30</f>
        <v>0.02</v>
      </c>
      <c r="Z145" s="318">
        <f>SUM(X145*(1+Y145))</f>
        <v>1.2625881205563051E-2</v>
      </c>
      <c r="AA145" s="318">
        <f>SUM(Z145*(1+Y145))</f>
        <v>1.2878398829674313E-2</v>
      </c>
      <c r="AB145" s="318">
        <f>SUM(AA145*(1+Y145))</f>
        <v>1.31359668062678E-2</v>
      </c>
      <c r="AC145" s="318">
        <f>SUM(AB145*(1+$Y$145))</f>
        <v>1.3398686142393156E-2</v>
      </c>
    </row>
    <row r="146" spans="1:30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468"/>
      <c r="W146" s="101"/>
      <c r="X146" s="317"/>
      <c r="Y146" s="101"/>
      <c r="Z146" s="317"/>
      <c r="AA146" s="317"/>
      <c r="AB146" s="317"/>
      <c r="AC146" s="317"/>
    </row>
    <row r="147" spans="1:30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86">SUM(G144*G145)</f>
        <v>1112.580366038414</v>
      </c>
      <c r="I147" s="178">
        <f t="shared" si="86"/>
        <v>1255.1733400000001</v>
      </c>
      <c r="J147" s="179"/>
      <c r="K147" s="180"/>
      <c r="L147" s="178">
        <f t="shared" ref="L147:P147" si="87">SUM(L144*L145)</f>
        <v>1336.7211187574665</v>
      </c>
      <c r="M147" s="181"/>
      <c r="N147" s="178">
        <f t="shared" si="87"/>
        <v>1396.8021189769413</v>
      </c>
      <c r="O147" s="181"/>
      <c r="P147" s="179">
        <f t="shared" si="87"/>
        <v>1470.0476900000001</v>
      </c>
      <c r="Q147" s="180"/>
      <c r="R147" s="179">
        <f t="shared" ref="R147" si="88">SUM(R144*R145)</f>
        <v>1640.8960900000002</v>
      </c>
      <c r="S147" s="180"/>
      <c r="T147" s="179">
        <f>SUM(T144*T145)</f>
        <v>1765.7096300000001</v>
      </c>
      <c r="U147" s="373"/>
      <c r="V147" s="509">
        <f>SUM(V144*V145)</f>
        <v>1655.63895</v>
      </c>
      <c r="W147" s="373"/>
      <c r="X147" s="443">
        <f>SUM(X144*X145)</f>
        <v>1962.4064715089683</v>
      </c>
      <c r="Y147" s="373"/>
      <c r="Z147" s="443">
        <f>SUM(Z144*Z145)</f>
        <v>2231.2703437464165</v>
      </c>
      <c r="AA147" s="443">
        <f>SUM(AA144*AA145)</f>
        <v>2505.1846630530085</v>
      </c>
      <c r="AB147" s="443">
        <f>SUM(AB144*AB145)</f>
        <v>2797.2712482966917</v>
      </c>
      <c r="AC147" s="443">
        <f>SUM(AC144*AC145)</f>
        <v>3087.0913158230342</v>
      </c>
      <c r="AD147" s="472" t="s">
        <v>264</v>
      </c>
    </row>
    <row r="148" spans="1:30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  <c r="AC148" s="144"/>
    </row>
    <row r="149" spans="1:30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187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">
        <v>178</v>
      </c>
      <c r="AC149" s="301" t="s">
        <v>179</v>
      </c>
    </row>
    <row r="150" spans="1:30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65"/>
      <c r="W150" s="64"/>
      <c r="X150" s="321"/>
      <c r="Y150" s="64"/>
      <c r="Z150" s="321"/>
      <c r="AA150" s="321"/>
      <c r="AB150" s="321"/>
      <c r="AC150" s="321"/>
    </row>
    <row r="151" spans="1:30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65"/>
      <c r="W151" s="64"/>
      <c r="X151" s="321"/>
      <c r="Y151" s="64"/>
      <c r="Z151" s="321"/>
      <c r="AA151" s="321"/>
      <c r="AB151" s="321"/>
      <c r="AC151" s="321"/>
    </row>
    <row r="152" spans="1:30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70">
        <v>324700</v>
      </c>
      <c r="W152" s="73"/>
      <c r="X152" s="461">
        <v>358400</v>
      </c>
      <c r="Y152" s="73"/>
      <c r="Z152" s="313">
        <f>SUM(X152:X154)</f>
        <v>358400</v>
      </c>
      <c r="AA152" s="313">
        <f t="shared" ref="AA152" si="89">SUM(Z152:Z154)</f>
        <v>380977</v>
      </c>
      <c r="AB152" s="313">
        <f>SUM(AA152:AA154)</f>
        <v>400696</v>
      </c>
      <c r="AC152" s="313">
        <f>SUM(AB152:AB154)</f>
        <v>422361</v>
      </c>
    </row>
    <row r="153" spans="1:30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70">
        <v>0</v>
      </c>
      <c r="W153" s="73"/>
      <c r="X153" s="461">
        <v>0</v>
      </c>
      <c r="Y153" s="73"/>
      <c r="Z153" s="154">
        <v>22577</v>
      </c>
      <c r="AA153" s="154">
        <v>19719</v>
      </c>
      <c r="AB153" s="154">
        <v>21665</v>
      </c>
      <c r="AC153" s="154">
        <v>20227</v>
      </c>
    </row>
    <row r="154" spans="1:30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70">
        <v>0</v>
      </c>
      <c r="W154" s="73"/>
      <c r="X154" s="461">
        <v>0</v>
      </c>
      <c r="Y154" s="73"/>
      <c r="Z154" s="154">
        <f>X154</f>
        <v>0</v>
      </c>
      <c r="AA154" s="154">
        <f>Z154</f>
        <v>0</v>
      </c>
      <c r="AB154" s="154">
        <f>AA154</f>
        <v>0</v>
      </c>
      <c r="AC154" s="154">
        <f>AB154</f>
        <v>0</v>
      </c>
    </row>
    <row r="155" spans="1:30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87">
        <v>1</v>
      </c>
      <c r="W155" s="73"/>
      <c r="X155" s="463">
        <v>1</v>
      </c>
      <c r="Y155" s="73"/>
      <c r="Z155" s="314">
        <v>1</v>
      </c>
      <c r="AA155" s="314">
        <v>1</v>
      </c>
      <c r="AB155" s="314">
        <v>1</v>
      </c>
      <c r="AC155" s="314">
        <v>1</v>
      </c>
    </row>
    <row r="156" spans="1:30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91">
        <v>1</v>
      </c>
      <c r="W156" s="84"/>
      <c r="X156" s="464">
        <v>1</v>
      </c>
      <c r="Y156" s="84"/>
      <c r="Z156" s="315">
        <v>1</v>
      </c>
      <c r="AA156" s="315">
        <v>1</v>
      </c>
      <c r="AB156" s="315">
        <v>1</v>
      </c>
      <c r="AC156" s="315">
        <v>1</v>
      </c>
    </row>
    <row r="157" spans="1:30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0">SUM((G152+G153+G154)*G155*G156)</f>
        <v>160600</v>
      </c>
      <c r="I157" s="99">
        <f t="shared" si="90"/>
        <v>168937</v>
      </c>
      <c r="J157" s="100"/>
      <c r="K157" s="101"/>
      <c r="L157" s="99">
        <f t="shared" ref="L157:AA157" si="91">SUM((L152+L153+L154)*L155*L156)</f>
        <v>184700</v>
      </c>
      <c r="M157" s="102"/>
      <c r="N157" s="99">
        <f t="shared" si="91"/>
        <v>209500</v>
      </c>
      <c r="O157" s="100"/>
      <c r="P157" s="100">
        <f t="shared" ref="P157" si="92">SUM((P152+P153+P154)*P155*P156)</f>
        <v>243796.47</v>
      </c>
      <c r="Q157" s="177"/>
      <c r="R157" s="100">
        <f t="shared" ref="R157" si="93">SUM((R152+R153+R154)*R155*R156)</f>
        <v>282611.34999999998</v>
      </c>
      <c r="S157" s="177"/>
      <c r="T157" s="100">
        <f t="shared" si="91"/>
        <v>340600</v>
      </c>
      <c r="U157" s="177"/>
      <c r="V157" s="100">
        <f>SUM((V152+V153+V154)*V155*V156)</f>
        <v>324700</v>
      </c>
      <c r="W157" s="177"/>
      <c r="X157" s="468">
        <f>SUM((X152+X153+X154)*X155*X156)</f>
        <v>358400</v>
      </c>
      <c r="Y157" s="177"/>
      <c r="Z157" s="317">
        <f t="shared" si="91"/>
        <v>380977</v>
      </c>
      <c r="AA157" s="317">
        <f t="shared" si="91"/>
        <v>400696</v>
      </c>
      <c r="AB157" s="317">
        <f>SUM((AB152+AB153+AB154)*AB155*AB156)</f>
        <v>422361</v>
      </c>
      <c r="AC157" s="317">
        <f>SUM((AC152+AC153+AC154)*AC155*AC156)</f>
        <v>442588</v>
      </c>
    </row>
    <row r="158" spans="1:30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70"/>
      <c r="W158" s="73"/>
      <c r="X158" s="461"/>
      <c r="Y158" s="73"/>
      <c r="Z158" s="313"/>
      <c r="AA158" s="313"/>
      <c r="AB158" s="313"/>
      <c r="AC158" s="313"/>
    </row>
    <row r="159" spans="1:30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245">
        <v>1</v>
      </c>
      <c r="W159" s="73"/>
      <c r="X159" s="506">
        <v>1</v>
      </c>
      <c r="Y159" s="73"/>
      <c r="Z159" s="339">
        <v>1</v>
      </c>
      <c r="AA159" s="339">
        <v>1</v>
      </c>
      <c r="AB159" s="339">
        <v>1</v>
      </c>
      <c r="AC159" s="339">
        <v>1</v>
      </c>
    </row>
    <row r="160" spans="1:30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94">SUM(G157*G159)</f>
        <v>160600</v>
      </c>
      <c r="I160" s="69">
        <f t="shared" si="94"/>
        <v>168937</v>
      </c>
      <c r="J160" s="70"/>
      <c r="K160" s="71"/>
      <c r="L160" s="69">
        <f t="shared" ref="L160:AA160" si="95">SUM(L157*L159)</f>
        <v>184700</v>
      </c>
      <c r="M160" s="72"/>
      <c r="N160" s="69">
        <f t="shared" si="95"/>
        <v>209500</v>
      </c>
      <c r="O160" s="70"/>
      <c r="P160" s="70">
        <f t="shared" ref="P160" si="96">SUM(P157*P159)</f>
        <v>243796.47</v>
      </c>
      <c r="Q160" s="73"/>
      <c r="R160" s="70">
        <f t="shared" ref="R160" si="97">SUM(R157*R159)</f>
        <v>282611.34999999998</v>
      </c>
      <c r="S160" s="73"/>
      <c r="T160" s="70">
        <f t="shared" si="95"/>
        <v>340600</v>
      </c>
      <c r="U160" s="73"/>
      <c r="V160" s="70">
        <f t="shared" si="95"/>
        <v>324700</v>
      </c>
      <c r="W160" s="73"/>
      <c r="X160" s="461">
        <f>SUM(X157*X159)</f>
        <v>358400</v>
      </c>
      <c r="Y160" s="73"/>
      <c r="Z160" s="313">
        <f t="shared" si="95"/>
        <v>380977</v>
      </c>
      <c r="AA160" s="313">
        <f t="shared" si="95"/>
        <v>400696</v>
      </c>
      <c r="AB160" s="313">
        <f>SUM(AB157*AB159)</f>
        <v>422361</v>
      </c>
      <c r="AC160" s="313">
        <f>SUM(AC157*AC159)</f>
        <v>442588</v>
      </c>
    </row>
    <row r="161" spans="1:31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247">
        <v>1</v>
      </c>
      <c r="W161" s="84"/>
      <c r="X161" s="507">
        <v>1</v>
      </c>
      <c r="Y161" s="84"/>
      <c r="Z161" s="340">
        <v>1</v>
      </c>
      <c r="AA161" s="340">
        <v>1</v>
      </c>
      <c r="AB161" s="340">
        <v>1</v>
      </c>
      <c r="AC161" s="340">
        <v>1</v>
      </c>
    </row>
    <row r="162" spans="1:31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98">SUM(G160*G161)</f>
        <v>160600</v>
      </c>
      <c r="I162" s="69">
        <f t="shared" si="98"/>
        <v>168937</v>
      </c>
      <c r="J162" s="70"/>
      <c r="K162" s="71"/>
      <c r="L162" s="69">
        <f t="shared" ref="L162:AA162" si="99">SUM(L160*L161)</f>
        <v>184700</v>
      </c>
      <c r="M162" s="72"/>
      <c r="N162" s="69">
        <f t="shared" si="99"/>
        <v>209500</v>
      </c>
      <c r="O162" s="70"/>
      <c r="P162" s="70">
        <f t="shared" ref="P162" si="100">SUM(P160*P161)</f>
        <v>243796.47</v>
      </c>
      <c r="Q162" s="73"/>
      <c r="R162" s="70">
        <f t="shared" ref="R162" si="101">SUM(R160*R161)</f>
        <v>282611.34999999998</v>
      </c>
      <c r="S162" s="73"/>
      <c r="T162" s="70">
        <f t="shared" si="99"/>
        <v>340600</v>
      </c>
      <c r="U162" s="73"/>
      <c r="V162" s="70">
        <f>SUM(V160*V161)</f>
        <v>324700</v>
      </c>
      <c r="W162" s="73"/>
      <c r="X162" s="461">
        <f t="shared" si="99"/>
        <v>358400</v>
      </c>
      <c r="Y162" s="73"/>
      <c r="Z162" s="313">
        <f t="shared" si="99"/>
        <v>380977</v>
      </c>
      <c r="AA162" s="313">
        <f t="shared" si="99"/>
        <v>400696</v>
      </c>
      <c r="AB162" s="313">
        <f>SUM(AB160*AB161)</f>
        <v>422361</v>
      </c>
      <c r="AC162" s="313">
        <f>SUM(AC160*AC161)</f>
        <v>442588</v>
      </c>
    </row>
    <row r="163" spans="1:31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232">
        <f>SUM((V163-T163)/T163)</f>
        <v>4.6000133984343871E-3</v>
      </c>
      <c r="V163" s="293">
        <f>4225.44043/V162</f>
        <v>1.3013367508469355E-2</v>
      </c>
      <c r="W163" s="305">
        <f>$W$30</f>
        <v>1.4999999999999999E-2</v>
      </c>
      <c r="X163" s="318">
        <f>SUM(V163*(1+W163))</f>
        <v>1.3208568021096394E-2</v>
      </c>
      <c r="Y163" s="305">
        <f>$Y$30</f>
        <v>0.02</v>
      </c>
      <c r="Z163" s="318">
        <f>SUM(X163*(1+Y163))</f>
        <v>1.3472739381518323E-2</v>
      </c>
      <c r="AA163" s="318">
        <f>SUM(Z163*(1+Y163))</f>
        <v>1.3742194169148689E-2</v>
      </c>
      <c r="AB163" s="318">
        <f>SUM(AA163*(1+Y163))</f>
        <v>1.4017038052531664E-2</v>
      </c>
      <c r="AC163" s="318">
        <f>SUM(AB163*(1+$Y$163))</f>
        <v>1.4297378813582296E-2</v>
      </c>
    </row>
    <row r="164" spans="1:31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139"/>
      <c r="W164" s="73"/>
      <c r="X164" s="319"/>
      <c r="Y164" s="73"/>
      <c r="Z164" s="319"/>
      <c r="AA164" s="319"/>
      <c r="AB164" s="319"/>
      <c r="AC164" s="319"/>
    </row>
    <row r="165" spans="1:31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2">SUM(G162*G163)</f>
        <v>2030.6547399999999</v>
      </c>
      <c r="I165" s="112">
        <f t="shared" si="102"/>
        <v>2137.1771711399883</v>
      </c>
      <c r="J165" s="141"/>
      <c r="K165" s="114"/>
      <c r="L165" s="248">
        <f t="shared" ref="L165:Z165" si="103">SUM(L162*L163)</f>
        <v>2378.8604999999998</v>
      </c>
      <c r="M165" s="113"/>
      <c r="N165" s="112">
        <f t="shared" si="103"/>
        <v>2651</v>
      </c>
      <c r="O165" s="141"/>
      <c r="P165" s="141">
        <f t="shared" si="103"/>
        <v>3184.1441200000004</v>
      </c>
      <c r="Q165" s="249"/>
      <c r="R165" s="141">
        <f t="shared" ref="R165" si="104">SUM(R162*R163)</f>
        <v>3678.2691199999999</v>
      </c>
      <c r="S165" s="273"/>
      <c r="T165" s="141">
        <f>SUM(T162*T163)</f>
        <v>4412.0574500000002</v>
      </c>
      <c r="U165" s="355"/>
      <c r="V165" s="421">
        <f>SUM(V162*V163)</f>
        <v>4225.4404299999997</v>
      </c>
      <c r="W165" s="355"/>
      <c r="X165" s="533">
        <f>SUM(X162*X163)</f>
        <v>4733.9507787609473</v>
      </c>
      <c r="Y165" s="355"/>
      <c r="Z165" s="392">
        <f t="shared" si="103"/>
        <v>5132.8038313527059</v>
      </c>
      <c r="AA165" s="392">
        <f>SUM(AA162*AA163)</f>
        <v>5506.4422348012031</v>
      </c>
      <c r="AB165" s="392">
        <f>SUM(AB162*AB163)</f>
        <v>5920.250208905326</v>
      </c>
      <c r="AC165" s="392">
        <f>SUM(AC162*AC163)</f>
        <v>6327.8482943457611</v>
      </c>
      <c r="AD165" s="472" t="s">
        <v>265</v>
      </c>
    </row>
    <row r="166" spans="1:31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  <c r="AC166" s="144"/>
    </row>
    <row r="167" spans="1:31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  <c r="AC167" s="257"/>
    </row>
    <row r="168" spans="1:31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  <c r="AC168" s="257"/>
    </row>
    <row r="169" spans="1:31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  <c r="AC169" s="257"/>
    </row>
    <row r="170" spans="1:31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  <c r="AC170" s="265"/>
    </row>
    <row r="171" spans="1:31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  <c r="AC171" s="341" t="s">
        <v>103</v>
      </c>
    </row>
    <row r="172" spans="1:31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  <c r="AC172" s="301">
        <f>AB172+1</f>
        <v>2024</v>
      </c>
    </row>
    <row r="173" spans="1:31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C173" s="321"/>
      <c r="AE173" s="11"/>
    </row>
    <row r="174" spans="1:31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14133.776330000001</v>
      </c>
      <c r="W174" s="355"/>
      <c r="X174" s="342">
        <f>SUM(X32)</f>
        <v>14382.815357509968</v>
      </c>
      <c r="Y174" s="355"/>
      <c r="Z174" s="342">
        <f>SUM(Z32)</f>
        <v>15678.317793054683</v>
      </c>
      <c r="AA174" s="342">
        <f>SUM(AA32)</f>
        <v>17101.668684942557</v>
      </c>
      <c r="AB174" s="342">
        <f>SUM(AB32)</f>
        <v>18388.274614326419</v>
      </c>
      <c r="AC174" s="342">
        <f>SUM(AC32)</f>
        <v>20071.834985591293</v>
      </c>
      <c r="AE174" s="145"/>
    </row>
    <row r="175" spans="1:31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342"/>
      <c r="W175" s="271"/>
      <c r="X175" s="342"/>
      <c r="Y175" s="271"/>
      <c r="Z175" s="342"/>
      <c r="AA175" s="342"/>
      <c r="AB175" s="342"/>
      <c r="AC175" s="342"/>
      <c r="AE175" s="144"/>
    </row>
    <row r="176" spans="1:31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342">
        <f>SUM(V53)</f>
        <v>5979.1903499999999</v>
      </c>
      <c r="W176" s="273"/>
      <c r="X176" s="342">
        <f>SUM(X53)</f>
        <v>6791.9727780255489</v>
      </c>
      <c r="Y176" s="273"/>
      <c r="Z176" s="368">
        <f>SUM(Z53)</f>
        <v>7367.2900349439651</v>
      </c>
      <c r="AA176" s="368">
        <f>SUM(AA53)</f>
        <v>7996.705398921521</v>
      </c>
      <c r="AB176" s="368">
        <f>SUM(AB53)</f>
        <v>8566.9440882147428</v>
      </c>
      <c r="AC176" s="368">
        <f>SUM(AC53)</f>
        <v>9309.8395578409763</v>
      </c>
      <c r="AE176" s="145"/>
    </row>
    <row r="177" spans="1:31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342">
        <f>SUM(V75)</f>
        <v>11537.7201</v>
      </c>
      <c r="W177" s="273"/>
      <c r="X177" s="342">
        <f>SUM(X75)</f>
        <v>11703.932587568341</v>
      </c>
      <c r="Y177" s="273"/>
      <c r="Z177" s="342">
        <f>SUM(Z75)</f>
        <v>12618.05144052687</v>
      </c>
      <c r="AA177" s="342">
        <f>SUM(AA75)</f>
        <v>13582.436919467216</v>
      </c>
      <c r="AB177" s="342">
        <f>SUM(AB75)</f>
        <v>14511.46722538324</v>
      </c>
      <c r="AC177" s="342">
        <f>SUM(AC75)</f>
        <v>15604.245792820951</v>
      </c>
      <c r="AE177" s="145"/>
    </row>
    <row r="178" spans="1:31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343">
        <f>SUM(V95)</f>
        <v>12.636430000000001</v>
      </c>
      <c r="W178" s="273"/>
      <c r="X178" s="343">
        <f>SUM(X95)</f>
        <v>12.825976449999997</v>
      </c>
      <c r="Y178" s="273"/>
      <c r="Z178" s="343">
        <f>SUM(Z95)</f>
        <v>13.082495978999999</v>
      </c>
      <c r="AA178" s="343">
        <f>SUM(AA95)</f>
        <v>13.344145898580001</v>
      </c>
      <c r="AB178" s="343">
        <f>SUM(AB95)</f>
        <v>13.611028816551599</v>
      </c>
      <c r="AC178" s="343">
        <f>SUM(AC95)</f>
        <v>13.883249392882632</v>
      </c>
      <c r="AE178" s="145"/>
    </row>
    <row r="179" spans="1:31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175"/>
      <c r="T179" s="179">
        <f>SUM(T111)</f>
        <v>3479.2761100000002</v>
      </c>
      <c r="U179" s="273"/>
      <c r="V179" s="338">
        <f>SUM(V111)</f>
        <v>3280.9031100000002</v>
      </c>
      <c r="W179" s="273"/>
      <c r="X179" s="338">
        <f>SUM(X111)</f>
        <v>3540.5580755583851</v>
      </c>
      <c r="Y179" s="273"/>
      <c r="Z179" s="338">
        <f>SUM(Z111)</f>
        <v>3611.3692370695526</v>
      </c>
      <c r="AA179" s="338">
        <f>SUM(AA111)</f>
        <v>3683.5966218109438</v>
      </c>
      <c r="AB179" s="338">
        <f>SUM(AB111)</f>
        <v>3757.2685542471622</v>
      </c>
      <c r="AC179" s="338">
        <f>SUM(AC111)</f>
        <v>3832.4139253321055</v>
      </c>
      <c r="AE179" s="145"/>
    </row>
    <row r="180" spans="1:31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175"/>
      <c r="T180" s="272"/>
      <c r="U180" s="271"/>
      <c r="V180" s="342"/>
      <c r="W180" s="271"/>
      <c r="X180" s="342"/>
      <c r="Y180" s="271"/>
      <c r="Z180" s="342"/>
      <c r="AA180" s="342"/>
      <c r="AB180" s="342"/>
      <c r="AC180" s="342"/>
      <c r="AE180" s="144"/>
    </row>
    <row r="181" spans="1:31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05">SUM(G174:G179)</f>
        <v>22467.722571320119</v>
      </c>
      <c r="H181" s="3"/>
      <c r="I181" s="178">
        <f t="shared" si="105"/>
        <v>25222.541358363891</v>
      </c>
      <c r="J181" s="181"/>
      <c r="K181" s="180"/>
      <c r="L181" s="178">
        <f t="shared" ref="L181:AA181" si="106">SUM(L174:L179)</f>
        <v>27721.837982187997</v>
      </c>
      <c r="M181" s="181"/>
      <c r="N181" s="178">
        <f t="shared" ref="N181" si="107">SUM(N174:N179)</f>
        <v>29497.728188102526</v>
      </c>
      <c r="O181" s="280"/>
      <c r="P181" s="179">
        <f t="shared" si="106"/>
        <v>30629.426470680279</v>
      </c>
      <c r="Q181" s="281"/>
      <c r="R181" s="179">
        <f>SUM(R174:R179)</f>
        <v>33603.611274662006</v>
      </c>
      <c r="S181" s="175"/>
      <c r="T181" s="179">
        <f>SUM(T174:T179)</f>
        <v>33724.400079999999</v>
      </c>
      <c r="U181" s="273"/>
      <c r="V181" s="338">
        <f t="shared" si="106"/>
        <v>34944.226320000002</v>
      </c>
      <c r="W181" s="273"/>
      <c r="X181" s="338">
        <f t="shared" si="106"/>
        <v>36432.104775112246</v>
      </c>
      <c r="Y181" s="273"/>
      <c r="Z181" s="338">
        <f t="shared" si="106"/>
        <v>39288.111001574063</v>
      </c>
      <c r="AA181" s="338">
        <f t="shared" si="106"/>
        <v>42377.751771040821</v>
      </c>
      <c r="AB181" s="338">
        <f>SUM(AB174:AB179)</f>
        <v>45237.565510988112</v>
      </c>
      <c r="AC181" s="338">
        <f>SUM(AC174:AC179)</f>
        <v>48832.217510978211</v>
      </c>
      <c r="AE181" s="144"/>
    </row>
    <row r="182" spans="1:31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175"/>
      <c r="T182" s="272"/>
      <c r="U182" s="271"/>
      <c r="V182" s="342"/>
      <c r="W182" s="271"/>
      <c r="X182" s="342"/>
      <c r="Y182" s="271"/>
      <c r="Z182" s="342"/>
      <c r="AA182" s="342"/>
      <c r="AB182" s="342"/>
      <c r="AC182" s="342"/>
      <c r="AE182" s="144"/>
    </row>
    <row r="183" spans="1:31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175"/>
      <c r="T183" s="272"/>
      <c r="U183" s="271"/>
      <c r="V183" s="342"/>
      <c r="W183" s="271"/>
      <c r="X183" s="342"/>
      <c r="Y183" s="271"/>
      <c r="Z183" s="342"/>
      <c r="AA183" s="342"/>
      <c r="AB183" s="342"/>
      <c r="AC183" s="342"/>
      <c r="AE183" s="144"/>
    </row>
    <row r="184" spans="1:31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175"/>
      <c r="T184" s="276">
        <f>SUM(T130)</f>
        <v>3358.2858700000002</v>
      </c>
      <c r="U184" s="273"/>
      <c r="V184" s="342">
        <f>SUM(V130)</f>
        <v>3563.96029</v>
      </c>
      <c r="W184" s="355"/>
      <c r="X184" s="342">
        <f>SUM(X130)</f>
        <v>3619.4816909709975</v>
      </c>
      <c r="Y184" s="355"/>
      <c r="Z184" s="342">
        <f>SUM(Z130)</f>
        <v>4191.2297942951855</v>
      </c>
      <c r="AA184" s="342">
        <f>SUM(AA130)</f>
        <v>4776.4868821931132</v>
      </c>
      <c r="AB184" s="342">
        <f>SUM(AB130)</f>
        <v>5401.2096072531731</v>
      </c>
      <c r="AC184" s="342">
        <f>SUM(AC130)</f>
        <v>6020.6948360169954</v>
      </c>
      <c r="AE184" s="145"/>
    </row>
    <row r="185" spans="1:31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175"/>
      <c r="T185" s="276">
        <f>SUM(T147)</f>
        <v>1765.7096300000001</v>
      </c>
      <c r="U185" s="273"/>
      <c r="V185" s="342">
        <f>SUM(V147)</f>
        <v>1655.63895</v>
      </c>
      <c r="W185" s="273"/>
      <c r="X185" s="342">
        <f>SUM(X147)</f>
        <v>1962.4064715089683</v>
      </c>
      <c r="Y185" s="273"/>
      <c r="Z185" s="342">
        <f>SUM(Z147)</f>
        <v>2231.2703437464165</v>
      </c>
      <c r="AA185" s="342">
        <f>SUM(AA147)</f>
        <v>2505.1846630530085</v>
      </c>
      <c r="AB185" s="342">
        <f>SUM(AB147)</f>
        <v>2797.2712482966917</v>
      </c>
      <c r="AC185" s="342">
        <f>SUM(AC147)</f>
        <v>3087.0913158230342</v>
      </c>
      <c r="AE185" s="145"/>
    </row>
    <row r="186" spans="1:31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342">
        <f>SUM(V165)</f>
        <v>4225.4404299999997</v>
      </c>
      <c r="W186" s="273"/>
      <c r="X186" s="342">
        <f>SUM(X165)</f>
        <v>4733.9507787609473</v>
      </c>
      <c r="Y186" s="273"/>
      <c r="Z186" s="342">
        <f>SUM(Z165)</f>
        <v>5132.8038313527059</v>
      </c>
      <c r="AA186" s="342">
        <f>SUM(AA165)</f>
        <v>5506.4422348012031</v>
      </c>
      <c r="AB186" s="342">
        <f>SUM(AB165)</f>
        <v>5920.250208905326</v>
      </c>
      <c r="AC186" s="342">
        <f>SUM(AC165)</f>
        <v>6327.8482943457611</v>
      </c>
      <c r="AE186" s="145"/>
    </row>
    <row r="187" spans="1:31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75"/>
      <c r="T187" s="179">
        <v>0</v>
      </c>
      <c r="U187" s="273"/>
      <c r="V187" s="338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C187" s="338">
        <v>0</v>
      </c>
      <c r="AE187" s="144"/>
    </row>
    <row r="188" spans="1:31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175"/>
      <c r="T188" s="272"/>
      <c r="U188" s="271"/>
      <c r="V188" s="342"/>
      <c r="W188" s="271"/>
      <c r="X188" s="342"/>
      <c r="Y188" s="271"/>
      <c r="Z188" s="342"/>
      <c r="AA188" s="342"/>
      <c r="AB188" s="342"/>
      <c r="AC188" s="342"/>
      <c r="AE188" s="27"/>
    </row>
    <row r="189" spans="1:31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08">SUM(G184:G186)</f>
        <v>5381.658967623669</v>
      </c>
      <c r="H189" s="3"/>
      <c r="I189" s="178">
        <f t="shared" si="108"/>
        <v>5836.652431139988</v>
      </c>
      <c r="J189" s="181"/>
      <c r="K189" s="180"/>
      <c r="L189" s="178">
        <f t="shared" ref="L189:AC189" si="109">SUM(L184:L186)</f>
        <v>6656.9436187574665</v>
      </c>
      <c r="M189" s="181"/>
      <c r="N189" s="178">
        <f t="shared" ref="N189" si="110">SUM(N184:N186)</f>
        <v>6826.5169189769413</v>
      </c>
      <c r="O189" s="181"/>
      <c r="P189" s="179">
        <f t="shared" si="109"/>
        <v>7377.2878482527303</v>
      </c>
      <c r="Q189" s="180"/>
      <c r="R189" s="179">
        <f>SUM(R184:R186)</f>
        <v>8337.9596247768241</v>
      </c>
      <c r="S189" s="175"/>
      <c r="T189" s="179">
        <f>SUM(T184:T186)</f>
        <v>9536.0529500000011</v>
      </c>
      <c r="U189" s="273"/>
      <c r="V189" s="338">
        <f>SUM(V184:V186)</f>
        <v>9445.0396699999983</v>
      </c>
      <c r="W189" s="273"/>
      <c r="X189" s="338">
        <f t="shared" si="109"/>
        <v>10315.838941240912</v>
      </c>
      <c r="Y189" s="273"/>
      <c r="Z189" s="338">
        <f t="shared" si="109"/>
        <v>11555.303969394306</v>
      </c>
      <c r="AA189" s="338">
        <f t="shared" si="109"/>
        <v>12788.113780047324</v>
      </c>
      <c r="AB189" s="338">
        <f t="shared" si="109"/>
        <v>14118.731064455191</v>
      </c>
      <c r="AC189" s="338">
        <f t="shared" si="109"/>
        <v>15435.634446185792</v>
      </c>
    </row>
    <row r="190" spans="1:31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175"/>
      <c r="T190" s="270"/>
      <c r="U190" s="271"/>
      <c r="V190" s="342"/>
      <c r="W190" s="271"/>
      <c r="X190" s="342"/>
      <c r="Y190" s="271"/>
      <c r="Z190" s="342"/>
      <c r="AA190" s="342"/>
      <c r="AB190" s="342"/>
      <c r="AC190" s="342"/>
    </row>
    <row r="191" spans="1:31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75"/>
      <c r="T191" s="141">
        <f>SUM(T181+T189)</f>
        <v>43260.453030000004</v>
      </c>
      <c r="U191" s="355"/>
      <c r="V191" s="320">
        <f>SUM(V181+V189)</f>
        <v>44389.26599</v>
      </c>
      <c r="W191" s="355"/>
      <c r="X191" s="320">
        <f>SUM(X181+X189)</f>
        <v>46747.943716353155</v>
      </c>
      <c r="Y191" s="355"/>
      <c r="Z191" s="320">
        <f>SUM(Z181+Z189)</f>
        <v>50843.41497096837</v>
      </c>
      <c r="AA191" s="320">
        <f>SUM(AA181+AA189)</f>
        <v>55165.865551088144</v>
      </c>
      <c r="AB191" s="320">
        <f>SUM(AB181+AB189)</f>
        <v>59356.296575443303</v>
      </c>
      <c r="AC191" s="320">
        <f>SUM(AC181+AC189)</f>
        <v>64267.851957164006</v>
      </c>
    </row>
    <row r="192" spans="1:31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175"/>
      <c r="T192" s="285"/>
      <c r="U192" s="286"/>
      <c r="V192" s="285"/>
      <c r="W192" s="286"/>
      <c r="X192" s="285"/>
      <c r="Y192" s="286"/>
      <c r="Z192" s="285"/>
      <c r="AA192" s="285"/>
      <c r="AB192" s="285"/>
      <c r="AC192" s="285"/>
    </row>
    <row r="193" spans="1:29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175"/>
      <c r="T193" s="289">
        <f>SUM(T191-R191)</f>
        <v>1318.8821305611782</v>
      </c>
      <c r="U193" s="175"/>
      <c r="V193" s="289">
        <f>SUM(V191-T191)</f>
        <v>1128.8129599999957</v>
      </c>
      <c r="W193" s="175"/>
      <c r="X193" s="289">
        <f>SUM(X191-V191)</f>
        <v>2358.6777263531549</v>
      </c>
      <c r="Y193" s="175"/>
      <c r="Z193" s="289">
        <f>SUM(Z191-X191)</f>
        <v>4095.471254615215</v>
      </c>
      <c r="AA193" s="289">
        <f>SUM(AA191-Z191)</f>
        <v>4322.4505801197738</v>
      </c>
      <c r="AB193" s="289">
        <f>SUM(AB191-AA191)</f>
        <v>4190.431024355159</v>
      </c>
      <c r="AC193" s="289">
        <f>SUM(AC191-AB191)</f>
        <v>4911.5553817207037</v>
      </c>
    </row>
    <row r="194" spans="1:29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S194" s="12"/>
      <c r="U194" s="12"/>
      <c r="W194" s="12"/>
      <c r="Y194" s="12"/>
    </row>
    <row r="195" spans="1:29" x14ac:dyDescent="0.3">
      <c r="L195" s="10">
        <f>(L191-I191)/I191</f>
        <v>0.10687939403512148</v>
      </c>
      <c r="N195" s="10">
        <f>(N191-L191)/L191</f>
        <v>5.6589076620461323E-2</v>
      </c>
      <c r="P195" s="10">
        <f>(P191-N191)/N191</f>
        <v>4.631807782636152E-2</v>
      </c>
      <c r="R195" s="10">
        <f>(R191-P191)/P191</f>
        <v>0.10353056429678457</v>
      </c>
      <c r="T195" s="10">
        <f>(T191-R191)/R191</f>
        <v>3.1445701776964791E-2</v>
      </c>
      <c r="U195" s="10"/>
      <c r="V195" s="10">
        <f>(V191-T191)/T191</f>
        <v>2.6093415138699384E-2</v>
      </c>
      <c r="W195" s="10"/>
      <c r="X195" s="10">
        <f>(X191-V191)/V191</f>
        <v>5.3136218266923295E-2</v>
      </c>
      <c r="Y195" s="10"/>
      <c r="Z195" s="10">
        <f>(Z191-X191)/X191</f>
        <v>8.7607516588639939E-2</v>
      </c>
      <c r="AA195" s="10">
        <f>(AA191-Z191)/Z191</f>
        <v>8.5014953904805499E-2</v>
      </c>
      <c r="AB195" s="10">
        <f>(AB191-AA191)/AA191</f>
        <v>7.5960577840920016E-2</v>
      </c>
      <c r="AC195" s="10">
        <f>(AC191-AB191)/AB191</f>
        <v>8.2746998466759078E-2</v>
      </c>
    </row>
    <row r="232" spans="20:22" x14ac:dyDescent="0.3">
      <c r="T232" s="354"/>
      <c r="V232" s="354"/>
    </row>
    <row r="233" spans="20:22" x14ac:dyDescent="0.3">
      <c r="T233" s="354"/>
      <c r="V233" s="354"/>
    </row>
    <row r="234" spans="20:22" x14ac:dyDescent="0.3">
      <c r="T234" s="354"/>
      <c r="V234" s="354"/>
    </row>
    <row r="236" spans="20:22" x14ac:dyDescent="0.3">
      <c r="T236" s="357"/>
      <c r="V236" s="357"/>
    </row>
  </sheetData>
  <pageMargins left="0.7" right="0.7" top="0.75" bottom="0.75" header="0.3" footer="0.3"/>
  <pageSetup paperSize="5" scale="60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C55"/>
  <sheetViews>
    <sheetView zoomScaleNormal="100" workbookViewId="0">
      <pane ySplit="5" topLeftCell="A12" activePane="bottomLeft" state="frozen"/>
      <selection activeCell="AB26" sqref="AB26"/>
      <selection pane="bottomLeft" activeCell="C37" sqref="C37"/>
    </sheetView>
  </sheetViews>
  <sheetFormatPr defaultRowHeight="14.4" x14ac:dyDescent="0.3"/>
  <cols>
    <col min="1" max="1" width="7.109375" customWidth="1"/>
    <col min="2" max="2" width="9.88671875" customWidth="1"/>
    <col min="3" max="3" width="13.33203125" bestFit="1" customWidth="1"/>
    <col min="4" max="4" width="11.5546875" bestFit="1" customWidth="1"/>
    <col min="5" max="5" width="10.109375" customWidth="1"/>
    <col min="6" max="6" width="12" customWidth="1"/>
    <col min="7" max="7" width="13.33203125" customWidth="1"/>
    <col min="8" max="8" width="13.5546875" customWidth="1"/>
    <col min="10" max="10" width="10.88671875" customWidth="1"/>
    <col min="11" max="11" width="11.44140625" customWidth="1"/>
    <col min="12" max="16" width="12.109375" customWidth="1"/>
    <col min="17" max="17" width="11.109375" customWidth="1"/>
    <col min="18" max="18" width="11.33203125" bestFit="1" customWidth="1"/>
    <col min="19" max="19" width="9.6640625" customWidth="1"/>
    <col min="22" max="22" width="9.88671875" customWidth="1"/>
    <col min="24" max="24" width="9.5546875" bestFit="1" customWidth="1"/>
  </cols>
  <sheetData>
    <row r="1" spans="1:29" x14ac:dyDescent="0.3">
      <c r="A1" s="345" t="s">
        <v>155</v>
      </c>
      <c r="C1" s="383"/>
      <c r="D1" s="383"/>
      <c r="E1" s="383"/>
      <c r="F1" s="383"/>
      <c r="G1" s="383"/>
      <c r="H1" s="383"/>
      <c r="I1" s="345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</row>
    <row r="2" spans="1:29" x14ac:dyDescent="0.3">
      <c r="C2" s="383"/>
      <c r="D2" s="383"/>
      <c r="E2" s="383"/>
      <c r="F2" s="383"/>
      <c r="G2" s="383"/>
      <c r="H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</row>
    <row r="3" spans="1:29" ht="15" customHeight="1" x14ac:dyDescent="0.3">
      <c r="A3" s="616" t="s">
        <v>253</v>
      </c>
      <c r="B3" s="617"/>
      <c r="C3" s="617"/>
      <c r="D3" s="617"/>
      <c r="E3" s="617"/>
      <c r="F3" s="617"/>
      <c r="G3" s="618"/>
      <c r="H3" s="575"/>
      <c r="I3" s="616" t="s">
        <v>248</v>
      </c>
      <c r="J3" s="617"/>
      <c r="K3" s="617"/>
      <c r="L3" s="617"/>
      <c r="M3" s="617"/>
      <c r="N3" s="617"/>
      <c r="O3" s="618"/>
      <c r="P3" s="524"/>
      <c r="Q3" s="619" t="s">
        <v>202</v>
      </c>
      <c r="R3" s="620"/>
      <c r="S3" s="620"/>
      <c r="T3" s="620"/>
      <c r="U3" s="621"/>
      <c r="W3" s="619" t="s">
        <v>197</v>
      </c>
      <c r="X3" s="620"/>
      <c r="Y3" s="620"/>
      <c r="Z3" s="620"/>
      <c r="AA3" s="620"/>
      <c r="AB3" s="620"/>
      <c r="AC3" s="621"/>
    </row>
    <row r="4" spans="1:29" x14ac:dyDescent="0.3">
      <c r="A4" s="401"/>
      <c r="B4" s="375"/>
      <c r="C4" s="375"/>
      <c r="D4" s="375"/>
      <c r="E4" s="375"/>
      <c r="F4" s="375"/>
      <c r="G4" s="404"/>
      <c r="I4" s="401"/>
      <c r="J4" s="375"/>
      <c r="K4" s="375"/>
      <c r="L4" s="375"/>
      <c r="M4" s="375"/>
      <c r="N4" s="375"/>
      <c r="O4" s="404"/>
      <c r="P4" s="375"/>
      <c r="Q4" s="401"/>
      <c r="R4" s="375"/>
      <c r="S4" s="375"/>
      <c r="T4" s="375"/>
      <c r="U4" s="404"/>
      <c r="W4" s="401"/>
      <c r="X4" s="375"/>
      <c r="Y4" s="375"/>
      <c r="Z4" s="375"/>
      <c r="AA4" s="375"/>
      <c r="AB4" s="375"/>
      <c r="AC4" s="404"/>
    </row>
    <row r="5" spans="1:29" x14ac:dyDescent="0.3">
      <c r="A5" s="401"/>
      <c r="B5" s="375"/>
      <c r="C5" s="499">
        <v>2020</v>
      </c>
      <c r="D5" s="499">
        <v>2021</v>
      </c>
      <c r="E5" s="499">
        <v>2022</v>
      </c>
      <c r="F5" s="499">
        <v>2023</v>
      </c>
      <c r="G5" s="593">
        <v>2024</v>
      </c>
      <c r="H5" s="574"/>
      <c r="I5" s="401"/>
      <c r="J5" s="375"/>
      <c r="K5" s="499">
        <v>2020</v>
      </c>
      <c r="L5" s="499">
        <v>2021</v>
      </c>
      <c r="M5" s="499">
        <v>2022</v>
      </c>
      <c r="N5" s="499">
        <v>2023</v>
      </c>
      <c r="O5" s="593">
        <v>2024</v>
      </c>
      <c r="P5" s="499"/>
      <c r="Q5" s="586">
        <v>2020</v>
      </c>
      <c r="R5" s="499">
        <f>Q5+1</f>
        <v>2021</v>
      </c>
      <c r="S5" s="376">
        <f>R5+1</f>
        <v>2022</v>
      </c>
      <c r="T5" s="376">
        <f>S5+1</f>
        <v>2023</v>
      </c>
      <c r="U5" s="577">
        <f>T5+1</f>
        <v>2024</v>
      </c>
      <c r="W5" s="576">
        <v>2019</v>
      </c>
      <c r="X5" s="376"/>
      <c r="Y5" s="376">
        <v>2020</v>
      </c>
      <c r="Z5" s="376">
        <v>2021</v>
      </c>
      <c r="AA5" s="376">
        <v>2022</v>
      </c>
      <c r="AB5" s="376">
        <v>2023</v>
      </c>
      <c r="AC5" s="577">
        <v>2024</v>
      </c>
    </row>
    <row r="6" spans="1:29" x14ac:dyDescent="0.3">
      <c r="A6" s="401" t="s">
        <v>157</v>
      </c>
      <c r="B6" s="375"/>
      <c r="C6" s="415"/>
      <c r="D6" s="415"/>
      <c r="E6" s="415"/>
      <c r="F6" s="415"/>
      <c r="G6" s="548"/>
      <c r="H6" s="383"/>
      <c r="I6" s="401" t="s">
        <v>157</v>
      </c>
      <c r="J6" s="375"/>
      <c r="K6" s="415"/>
      <c r="L6" s="415"/>
      <c r="M6" s="415"/>
      <c r="N6" s="415"/>
      <c r="O6" s="548"/>
      <c r="P6" s="415"/>
      <c r="Q6" s="587"/>
      <c r="R6" s="415"/>
      <c r="S6" s="375"/>
      <c r="T6" s="375"/>
      <c r="U6" s="404"/>
      <c r="W6" s="401"/>
      <c r="X6" s="375"/>
      <c r="Y6" s="375"/>
      <c r="Z6" s="375"/>
      <c r="AA6" s="375"/>
      <c r="AB6" s="375"/>
      <c r="AC6" s="404"/>
    </row>
    <row r="7" spans="1:29" x14ac:dyDescent="0.3">
      <c r="A7" s="401"/>
      <c r="B7" s="375" t="s">
        <v>158</v>
      </c>
      <c r="C7" s="390">
        <f>'Revision 08.20.20'!X174</f>
        <v>14382.815357509968</v>
      </c>
      <c r="D7" s="390">
        <f>'Revision 08.20.20'!Z174</f>
        <v>15678.317793054683</v>
      </c>
      <c r="E7" s="390">
        <f>'Revision 08.20.20'!AA174</f>
        <v>17101.668684942557</v>
      </c>
      <c r="F7" s="390">
        <f>'Revision 08.20.20'!AB174</f>
        <v>18388.274614326419</v>
      </c>
      <c r="G7" s="527">
        <f>'Revision 08.20.20'!AC174</f>
        <v>20071.834985591293</v>
      </c>
      <c r="H7" s="386"/>
      <c r="I7" s="401"/>
      <c r="J7" s="375" t="s">
        <v>158</v>
      </c>
      <c r="K7" s="390">
        <f>'Revision 07.06.20'!X174</f>
        <v>15043.174325423746</v>
      </c>
      <c r="L7" s="390">
        <f>'Revision 07.06.20'!Z174</f>
        <v>16355.936467628395</v>
      </c>
      <c r="M7" s="390">
        <f>'Revision 07.06.20'!AA174</f>
        <v>17797.370999490118</v>
      </c>
      <c r="N7" s="390">
        <f>'Revision 07.06.20'!AB174</f>
        <v>19101.747678716663</v>
      </c>
      <c r="O7" s="527">
        <f>'Revision 07.06.20'!AC174</f>
        <v>20804.949920993251</v>
      </c>
      <c r="P7" s="525"/>
      <c r="Q7" s="588">
        <f>'Revision 04.23.20'!X174</f>
        <v>14053.645011972199</v>
      </c>
      <c r="R7" s="390">
        <f>'Revision 04.23.20'!Z174</f>
        <v>14569.035117258458</v>
      </c>
      <c r="S7" s="377">
        <f>'Revision 04.23.20'!AA174</f>
        <v>15978.870275258629</v>
      </c>
      <c r="T7" s="377">
        <f>'Revision 04.23.20'!AB174</f>
        <v>17250.399477981708</v>
      </c>
      <c r="U7" s="402">
        <f>'Revision 04.23.20'!AC174</f>
        <v>18921.481671449554</v>
      </c>
      <c r="W7" s="578">
        <v>14808.461660383624</v>
      </c>
      <c r="X7" s="3">
        <v>0</v>
      </c>
      <c r="Y7" s="481">
        <v>14688.082901149826</v>
      </c>
      <c r="Z7" s="377">
        <v>15264.497818942384</v>
      </c>
      <c r="AA7" s="377">
        <v>16741.632407551399</v>
      </c>
      <c r="AB7" s="377">
        <v>18073.858912976993</v>
      </c>
      <c r="AC7" s="402">
        <v>19824.711340207843</v>
      </c>
    </row>
    <row r="8" spans="1:29" x14ac:dyDescent="0.3">
      <c r="A8" s="401"/>
      <c r="B8" s="375" t="s">
        <v>159</v>
      </c>
      <c r="C8" s="390">
        <f>'Revision 08.20.20'!X176</f>
        <v>6791.9727780255489</v>
      </c>
      <c r="D8" s="390">
        <f>'Revision 08.20.20'!Z176</f>
        <v>7367.2900349439651</v>
      </c>
      <c r="E8" s="390">
        <f>'Revision 08.20.20'!AA176</f>
        <v>7996.705398921521</v>
      </c>
      <c r="F8" s="390">
        <f>'Revision 08.20.20'!AB176</f>
        <v>8566.9440882147428</v>
      </c>
      <c r="G8" s="527">
        <f>'Revision 08.20.20'!AC176</f>
        <v>9309.8395578409763</v>
      </c>
      <c r="H8" s="386"/>
      <c r="I8" s="401"/>
      <c r="J8" s="375" t="s">
        <v>159</v>
      </c>
      <c r="K8" s="390">
        <f>'Revision 07.06.20'!X176</f>
        <v>6791.9727780255489</v>
      </c>
      <c r="L8" s="390">
        <f>'Revision 07.06.20'!Z176</f>
        <v>7367.2900349439651</v>
      </c>
      <c r="M8" s="390">
        <f>'Revision 07.06.20'!AA176</f>
        <v>7996.705398921521</v>
      </c>
      <c r="N8" s="390">
        <f>'Revision 07.06.20'!AB176</f>
        <v>8566.9440882147428</v>
      </c>
      <c r="O8" s="527">
        <f>'Revision 07.06.20'!AC176</f>
        <v>9309.8395578409763</v>
      </c>
      <c r="P8" s="390"/>
      <c r="Q8" s="589">
        <f>'Revision 04.23.20'!X176</f>
        <v>6485.9689935238766</v>
      </c>
      <c r="R8" s="390">
        <f>'Revision 04.23.20'!Z176</f>
        <v>7049.1565542400222</v>
      </c>
      <c r="S8" s="377">
        <f>'Revision 04.23.20'!AA176</f>
        <v>7665.6285653430778</v>
      </c>
      <c r="T8" s="377">
        <f>'Revision 04.23.20'!AB176</f>
        <v>8223.6446912756182</v>
      </c>
      <c r="U8" s="402">
        <f>'Revision 04.23.20'!AC176</f>
        <v>8951.8719113049247</v>
      </c>
      <c r="W8" s="578">
        <v>5979.1903499999999</v>
      </c>
      <c r="X8" s="3">
        <v>-7.1119664264741519E-2</v>
      </c>
      <c r="Y8" s="390">
        <v>6485.9689935238766</v>
      </c>
      <c r="Z8" s="377">
        <v>7049.1565542400222</v>
      </c>
      <c r="AA8" s="377">
        <v>7665.6285653430778</v>
      </c>
      <c r="AB8" s="377">
        <v>8223.6446912756182</v>
      </c>
      <c r="AC8" s="402">
        <v>8951.8719113049247</v>
      </c>
    </row>
    <row r="9" spans="1:29" x14ac:dyDescent="0.3">
      <c r="A9" s="401"/>
      <c r="B9" s="375" t="s">
        <v>160</v>
      </c>
      <c r="C9" s="390">
        <f>'Revision 08.20.20'!X177</f>
        <v>11703.932587568341</v>
      </c>
      <c r="D9" s="390">
        <f>'Revision 08.20.20'!Z177</f>
        <v>12618.05144052687</v>
      </c>
      <c r="E9" s="390">
        <f>'Revision 08.20.20'!AA177</f>
        <v>13582.436919467216</v>
      </c>
      <c r="F9" s="390">
        <f>'Revision 08.20.20'!AB177</f>
        <v>14511.46722538324</v>
      </c>
      <c r="G9" s="527">
        <f>'Revision 08.20.20'!AC177</f>
        <v>15604.245792820951</v>
      </c>
      <c r="H9" s="386"/>
      <c r="I9" s="401"/>
      <c r="J9" s="375" t="s">
        <v>160</v>
      </c>
      <c r="K9" s="390">
        <f>'Revision 07.06.20'!X177</f>
        <v>11703.932587568341</v>
      </c>
      <c r="L9" s="390">
        <f>'Revision 07.06.20'!Z177</f>
        <v>12618.05144052687</v>
      </c>
      <c r="M9" s="390">
        <f>'Revision 07.06.20'!AA177</f>
        <v>13582.436919467216</v>
      </c>
      <c r="N9" s="390">
        <f>'Revision 07.06.20'!AB177</f>
        <v>14511.46722538324</v>
      </c>
      <c r="O9" s="527">
        <f>'Revision 07.06.20'!AC177</f>
        <v>15604.245792820951</v>
      </c>
      <c r="P9" s="390"/>
      <c r="Q9" s="589">
        <f>'Revision 04.23.20'!X177</f>
        <v>11452.9005610898</v>
      </c>
      <c r="R9" s="390">
        <f>'Revision 04.23.20'!Z177</f>
        <v>12309.744715542563</v>
      </c>
      <c r="S9" s="377">
        <f>'Revision 04.23.20'!AA177</f>
        <v>13199.841952346265</v>
      </c>
      <c r="T9" s="377">
        <f>'Revision 04.23.20'!AB177</f>
        <v>14049.579563719695</v>
      </c>
      <c r="U9" s="402">
        <f>'Revision 04.23.20'!AC177</f>
        <v>15064.179368989671</v>
      </c>
      <c r="W9" s="578">
        <v>11537.7201</v>
      </c>
      <c r="X9" s="3">
        <v>-1.0941844034232805E-2</v>
      </c>
      <c r="Y9" s="390">
        <v>11452.9005610898</v>
      </c>
      <c r="Z9" s="377">
        <v>12309.744715542563</v>
      </c>
      <c r="AA9" s="377">
        <v>13199.841952346265</v>
      </c>
      <c r="AB9" s="377">
        <v>14049.579563719695</v>
      </c>
      <c r="AC9" s="402">
        <v>15064.179368989671</v>
      </c>
    </row>
    <row r="10" spans="1:29" x14ac:dyDescent="0.3">
      <c r="A10" s="401"/>
      <c r="B10" s="375" t="s">
        <v>161</v>
      </c>
      <c r="C10" s="390">
        <f>'Revision 08.20.20'!X178+'Revision 08.20.20'!X179</f>
        <v>3553.384052008385</v>
      </c>
      <c r="D10" s="390">
        <f>'Revision 08.20.20'!Z178+'Revision 08.20.20'!Z179</f>
        <v>3624.4517330485528</v>
      </c>
      <c r="E10" s="390">
        <f>'Revision 08.20.20'!AA178+'Revision 08.20.20'!AA179</f>
        <v>3696.9407677095237</v>
      </c>
      <c r="F10" s="390">
        <f>'Revision 08.20.20'!AB178+'Revision 08.20.20'!AB179</f>
        <v>3770.8795830637137</v>
      </c>
      <c r="G10" s="527">
        <f>'Revision 08.20.20'!AC178+'Revision 08.20.20'!AC179</f>
        <v>3846.2971747249881</v>
      </c>
      <c r="H10" s="386"/>
      <c r="I10" s="401"/>
      <c r="J10" s="375" t="s">
        <v>161</v>
      </c>
      <c r="K10" s="390">
        <f>'Revision 07.06.20'!X178+'Revision 07.06.20'!X179</f>
        <v>3553.384052008385</v>
      </c>
      <c r="L10" s="390">
        <f>'Revision 07.06.20'!Z178+'Revision 07.06.20'!Z179</f>
        <v>3624.4517330485528</v>
      </c>
      <c r="M10" s="390">
        <f>'Revision 07.06.20'!AA178+'Revision 07.06.20'!AA179</f>
        <v>3696.9407677095237</v>
      </c>
      <c r="N10" s="390">
        <f>'Revision 07.06.20'!AB178+'Revision 07.06.20'!AB179</f>
        <v>3770.8795830637137</v>
      </c>
      <c r="O10" s="527">
        <f>'Revision 07.06.20'!AC178+'Revision 07.06.20'!AC179</f>
        <v>3846.2971747249881</v>
      </c>
      <c r="P10" s="390"/>
      <c r="Q10" s="589">
        <f>'Revision 04.23.20'!X178+'Revision 04.23.20'!X179</f>
        <v>3342.9426331</v>
      </c>
      <c r="R10" s="390">
        <f>'Revision 04.23.20'!Z178+'Revision 04.23.20'!Z179</f>
        <v>3409.8014857620001</v>
      </c>
      <c r="S10" s="377">
        <f>'Revision 04.23.20'!AA178+'Revision 04.23.20'!AA179</f>
        <v>3477.9975154772401</v>
      </c>
      <c r="T10" s="377">
        <f>'Revision 04.23.20'!AB178+'Revision 04.23.20'!AB179</f>
        <v>3547.5574657867842</v>
      </c>
      <c r="U10" s="402">
        <f>'Revision 04.23.20'!AC178+'Revision 04.23.20'!AC179</f>
        <v>3618.5086151025203</v>
      </c>
      <c r="W10" s="578">
        <v>3293.5395400000002</v>
      </c>
      <c r="X10" s="3">
        <v>-3.6421294047271277E-2</v>
      </c>
      <c r="Y10" s="377">
        <v>3342.9426331</v>
      </c>
      <c r="Z10" s="377">
        <v>3409.8014857620001</v>
      </c>
      <c r="AA10" s="377">
        <v>3477.9975154772401</v>
      </c>
      <c r="AB10" s="377">
        <v>3547.5574657867842</v>
      </c>
      <c r="AC10" s="402">
        <v>3618.5086151025203</v>
      </c>
    </row>
    <row r="11" spans="1:29" x14ac:dyDescent="0.3">
      <c r="A11" s="401" t="s">
        <v>162</v>
      </c>
      <c r="B11" s="375"/>
      <c r="C11" s="389">
        <f>SUM(C7:C10)</f>
        <v>36432.104775112239</v>
      </c>
      <c r="D11" s="389">
        <f t="shared" ref="D11:F11" si="0">SUM(D7:D10)</f>
        <v>39288.111001574071</v>
      </c>
      <c r="E11" s="389">
        <f t="shared" si="0"/>
        <v>42377.751771040814</v>
      </c>
      <c r="F11" s="389">
        <f t="shared" si="0"/>
        <v>45237.565510988119</v>
      </c>
      <c r="G11" s="594">
        <f>SUM(G7:G10)</f>
        <v>48832.217510978211</v>
      </c>
      <c r="H11" s="390"/>
      <c r="I11" s="401" t="s">
        <v>162</v>
      </c>
      <c r="J11" s="375"/>
      <c r="K11" s="389">
        <f>SUM(K7:K10)</f>
        <v>37092.463743026019</v>
      </c>
      <c r="L11" s="389">
        <f t="shared" ref="L11:N11" si="1">SUM(L7:L10)</f>
        <v>39965.729676147785</v>
      </c>
      <c r="M11" s="389">
        <f t="shared" si="1"/>
        <v>43073.454085588375</v>
      </c>
      <c r="N11" s="389">
        <f t="shared" si="1"/>
        <v>45951.038575378363</v>
      </c>
      <c r="O11" s="594">
        <f>SUM(O7:O10)</f>
        <v>49565.332446380169</v>
      </c>
      <c r="P11" s="390"/>
      <c r="Q11" s="590">
        <f>SUM(Q7:Q10)</f>
        <v>35335.457199685879</v>
      </c>
      <c r="R11" s="389">
        <f t="shared" ref="R11:U11" si="2">SUM(R7:R10)</f>
        <v>37337.737872803045</v>
      </c>
      <c r="S11" s="349">
        <f t="shared" si="2"/>
        <v>40322.338308425213</v>
      </c>
      <c r="T11" s="349">
        <f t="shared" si="2"/>
        <v>43071.181198763807</v>
      </c>
      <c r="U11" s="502">
        <f t="shared" si="2"/>
        <v>46556.041566846667</v>
      </c>
      <c r="W11" s="579">
        <v>35618.911650383619</v>
      </c>
      <c r="X11" s="3">
        <v>-1.9541663306421361E-2</v>
      </c>
      <c r="Y11" s="349">
        <v>35969.895088863501</v>
      </c>
      <c r="Z11" s="349">
        <v>38033.200574486968</v>
      </c>
      <c r="AA11" s="349">
        <v>41085.100440717986</v>
      </c>
      <c r="AB11" s="349">
        <v>43894.640633759089</v>
      </c>
      <c r="AC11" s="502">
        <v>47459.27123560496</v>
      </c>
    </row>
    <row r="12" spans="1:29" x14ac:dyDescent="0.3">
      <c r="A12" s="401"/>
      <c r="B12" s="375"/>
      <c r="C12" s="526">
        <f>(C11-K11)/C11</f>
        <v>-1.8125742994812902E-2</v>
      </c>
      <c r="D12" s="526">
        <f>(D11-L11)/D11</f>
        <v>-1.7247423133847424E-2</v>
      </c>
      <c r="E12" s="526">
        <f>(E11-M11)/E11</f>
        <v>-1.641668765974922E-2</v>
      </c>
      <c r="F12" s="526">
        <f>(F11-N11)/F11</f>
        <v>-1.5771694527127962E-2</v>
      </c>
      <c r="G12" s="595">
        <f>(G11-O11)/G11</f>
        <v>-1.5012935573469357E-2</v>
      </c>
      <c r="H12" s="384"/>
      <c r="I12" s="401"/>
      <c r="J12" s="375"/>
      <c r="K12" s="526"/>
      <c r="L12" s="526"/>
      <c r="M12" s="526"/>
      <c r="N12" s="526"/>
      <c r="O12" s="595"/>
      <c r="P12" s="526"/>
      <c r="Q12" s="591"/>
      <c r="R12" s="526"/>
      <c r="S12" s="427"/>
      <c r="T12" s="427"/>
      <c r="U12" s="581"/>
      <c r="W12" s="401"/>
      <c r="X12" s="580"/>
      <c r="Y12" s="427">
        <v>-8.7779725846139578E-2</v>
      </c>
      <c r="Z12" s="427">
        <v>-9.6594985209496345E-2</v>
      </c>
      <c r="AA12" s="427">
        <v>-8.9942290785500506E-2</v>
      </c>
      <c r="AB12" s="427">
        <v>-8.713365866655598E-2</v>
      </c>
      <c r="AC12" s="581">
        <v>-8.3433050665492378E-2</v>
      </c>
    </row>
    <row r="13" spans="1:29" x14ac:dyDescent="0.3">
      <c r="A13" s="401" t="s">
        <v>163</v>
      </c>
      <c r="B13" s="375"/>
      <c r="C13" s="375"/>
      <c r="D13" s="375"/>
      <c r="E13" s="375"/>
      <c r="F13" s="375"/>
      <c r="G13" s="404"/>
      <c r="I13" s="401" t="s">
        <v>163</v>
      </c>
      <c r="J13" s="375"/>
      <c r="K13" s="375"/>
      <c r="L13" s="375"/>
      <c r="M13" s="375"/>
      <c r="N13" s="375"/>
      <c r="O13" s="404"/>
      <c r="Q13" s="401"/>
      <c r="R13" s="375"/>
      <c r="S13" s="375"/>
      <c r="T13" s="375"/>
      <c r="U13" s="404"/>
      <c r="W13" s="401"/>
      <c r="X13" s="580"/>
      <c r="Y13" s="375"/>
      <c r="Z13" s="375"/>
      <c r="AA13" s="375"/>
      <c r="AB13" s="375"/>
      <c r="AC13" s="404"/>
    </row>
    <row r="14" spans="1:29" x14ac:dyDescent="0.3">
      <c r="A14" s="401"/>
      <c r="B14" s="375" t="s">
        <v>158</v>
      </c>
      <c r="C14" s="377">
        <f>'Revision 08.20.20'!X184</f>
        <v>3619.4816909709975</v>
      </c>
      <c r="D14" s="377">
        <f>'Revision 08.20.20'!Z184</f>
        <v>4191.2297942951855</v>
      </c>
      <c r="E14" s="377">
        <f>'Revision 08.20.20'!AA184</f>
        <v>4776.4868821931132</v>
      </c>
      <c r="F14" s="377">
        <f>'Revision 08.20.20'!AB184</f>
        <v>5401.2096072531731</v>
      </c>
      <c r="G14" s="402">
        <f>'Revision 08.20.20'!AC184</f>
        <v>6020.6948360169954</v>
      </c>
      <c r="H14" s="348"/>
      <c r="I14" s="401"/>
      <c r="J14" s="375" t="s">
        <v>158</v>
      </c>
      <c r="K14" s="377">
        <f>'Revision 07.06.20'!X184</f>
        <v>4249.2745259565763</v>
      </c>
      <c r="L14" s="377">
        <f>'Revision 07.06.20'!Z184</f>
        <v>4897.3918252103376</v>
      </c>
      <c r="M14" s="377">
        <f>'Revision 07.06.20'!AA184</f>
        <v>5560.7873609770231</v>
      </c>
      <c r="N14" s="377">
        <f>'Revision 07.06.20'!AB184</f>
        <v>6268.755336995393</v>
      </c>
      <c r="O14" s="402">
        <f>'Revision 07.06.20'!AC184</f>
        <v>6970.8869783149266</v>
      </c>
      <c r="P14" s="500"/>
      <c r="Q14" s="588">
        <f>'Revision 04.23.20'!X184</f>
        <v>4096.8414941846258</v>
      </c>
      <c r="R14" s="377">
        <f>'Revision 04.23.20'!Z184</f>
        <v>4520.6089819571316</v>
      </c>
      <c r="S14" s="377">
        <f>'Revision 04.23.20'!AA184</f>
        <v>4951.4408521681462</v>
      </c>
      <c r="T14" s="377">
        <f>'Revision 04.23.20'!AB184</f>
        <v>5416.1790007420122</v>
      </c>
      <c r="U14" s="402">
        <f>'Revision 04.23.20'!AC184</f>
        <v>5868.0135763222479</v>
      </c>
      <c r="W14" s="578">
        <v>3843.9964030509846</v>
      </c>
      <c r="X14" s="3">
        <v>0</v>
      </c>
      <c r="Y14" s="481">
        <v>4418.748438837325</v>
      </c>
      <c r="Z14" s="377">
        <v>4875.8132112193616</v>
      </c>
      <c r="AA14" s="377">
        <v>5340.4974457933859</v>
      </c>
      <c r="AB14" s="377">
        <v>5841.7521248904177</v>
      </c>
      <c r="AC14" s="402">
        <v>6329.0893402286101</v>
      </c>
    </row>
    <row r="15" spans="1:29" x14ac:dyDescent="0.3">
      <c r="A15" s="401"/>
      <c r="B15" s="375" t="s">
        <v>159</v>
      </c>
      <c r="C15" s="377">
        <f>'Revision 08.20.20'!X185</f>
        <v>1962.4064715089683</v>
      </c>
      <c r="D15" s="377">
        <f>'Revision 08.20.20'!Z185</f>
        <v>2231.2703437464165</v>
      </c>
      <c r="E15" s="377">
        <f>'Revision 08.20.20'!AA185</f>
        <v>2505.1846630530085</v>
      </c>
      <c r="F15" s="377">
        <f>'Revision 08.20.20'!AB185</f>
        <v>2797.2712482966917</v>
      </c>
      <c r="G15" s="402">
        <f>'Revision 08.20.20'!AC185</f>
        <v>3087.0913158230342</v>
      </c>
      <c r="H15" s="348"/>
      <c r="I15" s="401"/>
      <c r="J15" s="375" t="s">
        <v>159</v>
      </c>
      <c r="K15" s="377">
        <f>'Revision 07.06.20'!X185</f>
        <v>1962.4064715089683</v>
      </c>
      <c r="L15" s="377">
        <f>'Revision 07.06.20'!Z185</f>
        <v>2231.2703437464165</v>
      </c>
      <c r="M15" s="377">
        <f>'Revision 07.06.20'!AA185</f>
        <v>2505.1846630530085</v>
      </c>
      <c r="N15" s="377">
        <f>'Revision 07.06.20'!AB185</f>
        <v>2797.2712482966917</v>
      </c>
      <c r="O15" s="402">
        <f>'Revision 07.06.20'!AC185</f>
        <v>3087.0913158230342</v>
      </c>
      <c r="P15" s="348"/>
      <c r="Q15" s="578">
        <f>'Revision 04.23.20'!X185</f>
        <v>1891.7815198947171</v>
      </c>
      <c r="R15" s="377">
        <f>'Revision 04.23.20'!Z185</f>
        <v>2079.3984473092009</v>
      </c>
      <c r="S15" s="377">
        <f>'Revision 04.23.20'!AA185</f>
        <v>2270.1494641187687</v>
      </c>
      <c r="T15" s="377">
        <f>'Revision 04.23.20'!AB185</f>
        <v>2475.796763686285</v>
      </c>
      <c r="U15" s="402">
        <f>'Revision 04.23.20'!AC185</f>
        <v>2675.8302762101484</v>
      </c>
      <c r="W15" s="578">
        <v>1655.63895</v>
      </c>
      <c r="X15" s="3">
        <v>-8.0060618063971814E-2</v>
      </c>
      <c r="Y15" s="377">
        <v>1891.7815198947171</v>
      </c>
      <c r="Z15" s="377">
        <v>2079.3984473092009</v>
      </c>
      <c r="AA15" s="377">
        <v>2270.1494641187687</v>
      </c>
      <c r="AB15" s="377">
        <v>2475.796763686285</v>
      </c>
      <c r="AC15" s="402">
        <v>2675.8302762101484</v>
      </c>
    </row>
    <row r="16" spans="1:29" x14ac:dyDescent="0.3">
      <c r="A16" s="401"/>
      <c r="B16" s="375" t="s">
        <v>161</v>
      </c>
      <c r="C16" s="377">
        <f>'Revision 08.20.20'!X186</f>
        <v>4733.9507787609473</v>
      </c>
      <c r="D16" s="377">
        <f>'Revision 08.20.20'!Z186</f>
        <v>5132.8038313527059</v>
      </c>
      <c r="E16" s="377">
        <f>'Revision 08.20.20'!AA186</f>
        <v>5506.4422348012031</v>
      </c>
      <c r="F16" s="377">
        <f>'Revision 08.20.20'!AB186</f>
        <v>5920.250208905326</v>
      </c>
      <c r="G16" s="402">
        <f>'Revision 08.20.20'!AC186</f>
        <v>6327.8482943457611</v>
      </c>
      <c r="H16" s="348"/>
      <c r="I16" s="401"/>
      <c r="J16" s="375" t="s">
        <v>161</v>
      </c>
      <c r="K16" s="377">
        <f>'Revision 07.06.20'!X186</f>
        <v>4733.9507787609473</v>
      </c>
      <c r="L16" s="377">
        <f>'Revision 07.06.20'!Z186</f>
        <v>5132.8038313527059</v>
      </c>
      <c r="M16" s="377">
        <f>'Revision 07.06.20'!AA186</f>
        <v>5506.4422348012031</v>
      </c>
      <c r="N16" s="377">
        <f>'Revision 07.06.20'!AB186</f>
        <v>5920.250208905326</v>
      </c>
      <c r="O16" s="402">
        <f>'Revision 07.06.20'!AC186</f>
        <v>6327.8482943457611</v>
      </c>
      <c r="P16" s="348"/>
      <c r="Q16" s="578">
        <f>'Revision 04.23.20'!X186</f>
        <v>4631.5051251893237</v>
      </c>
      <c r="R16" s="377">
        <f>'Revision 04.23.20'!Z186</f>
        <v>4900.6281135910012</v>
      </c>
      <c r="S16" s="377">
        <f>'Revision 04.23.20'!AA186</f>
        <v>5139.3882285432419</v>
      </c>
      <c r="T16" s="377">
        <f>'Revision 04.23.20'!AB186</f>
        <v>5413.0156528983625</v>
      </c>
      <c r="U16" s="402">
        <f>'Revision 04.23.20'!AC186</f>
        <v>5674.9727882023399</v>
      </c>
      <c r="W16" s="578">
        <v>4225.4404299999997</v>
      </c>
      <c r="X16" s="3">
        <v>-5.346521387688671E-3</v>
      </c>
      <c r="Y16" s="377">
        <v>4631.5051251893237</v>
      </c>
      <c r="Z16" s="377">
        <v>4900.6281135910012</v>
      </c>
      <c r="AA16" s="377">
        <v>5139.3882285432419</v>
      </c>
      <c r="AB16" s="377">
        <v>5413.0156528983625</v>
      </c>
      <c r="AC16" s="402">
        <v>5674.9727882023399</v>
      </c>
    </row>
    <row r="17" spans="1:29" x14ac:dyDescent="0.3">
      <c r="A17" s="401" t="s">
        <v>164</v>
      </c>
      <c r="B17" s="375"/>
      <c r="C17" s="349">
        <f>SUM(C13:C16)</f>
        <v>10315.838941240912</v>
      </c>
      <c r="D17" s="349">
        <f>SUM(D13:D16)</f>
        <v>11555.303969394306</v>
      </c>
      <c r="E17" s="349">
        <f>SUM(E13:E16)</f>
        <v>12788.113780047324</v>
      </c>
      <c r="F17" s="349">
        <f>SUM(F13:F16)</f>
        <v>14118.731064455191</v>
      </c>
      <c r="G17" s="502">
        <f>SUM(G13:G16)</f>
        <v>15435.634446185792</v>
      </c>
      <c r="H17" s="377"/>
      <c r="I17" s="401" t="s">
        <v>164</v>
      </c>
      <c r="J17" s="375"/>
      <c r="K17" s="349">
        <f>SUM(K13:K16)</f>
        <v>10945.631776226492</v>
      </c>
      <c r="L17" s="349">
        <f>SUM(L13:L16)</f>
        <v>12261.466000309461</v>
      </c>
      <c r="M17" s="349">
        <f>SUM(M13:M16)</f>
        <v>13572.414258831235</v>
      </c>
      <c r="N17" s="349">
        <f>SUM(N13:N16)</f>
        <v>14986.276794197413</v>
      </c>
      <c r="O17" s="502">
        <f>SUM(O13:O16)</f>
        <v>16385.82658848372</v>
      </c>
      <c r="P17" s="377"/>
      <c r="Q17" s="579">
        <f>SUM(Q13:Q16)</f>
        <v>10620.128139268667</v>
      </c>
      <c r="R17" s="349">
        <f>SUM(R13:R16)</f>
        <v>11500.635542857333</v>
      </c>
      <c r="S17" s="349">
        <f>SUM(S13:S16)</f>
        <v>12360.978544830155</v>
      </c>
      <c r="T17" s="349">
        <f>SUM(T13:T16)</f>
        <v>13304.991417326659</v>
      </c>
      <c r="U17" s="502">
        <f>SUM(U13:U16)</f>
        <v>14218.816640734736</v>
      </c>
      <c r="W17" s="579">
        <v>9725.0757830509829</v>
      </c>
      <c r="X17" s="3">
        <v>-1.6862325443410025E-2</v>
      </c>
      <c r="Y17" s="349">
        <v>10942.035083921366</v>
      </c>
      <c r="Z17" s="349">
        <v>11855.839772119563</v>
      </c>
      <c r="AA17" s="349">
        <v>12750.035138455398</v>
      </c>
      <c r="AB17" s="349">
        <v>13730.564541475065</v>
      </c>
      <c r="AC17" s="502">
        <v>14679.892404641098</v>
      </c>
    </row>
    <row r="18" spans="1:29" x14ac:dyDescent="0.3">
      <c r="A18" s="401"/>
      <c r="B18" s="375"/>
      <c r="C18" s="427">
        <f>(C17-K17)/C17</f>
        <v>-6.1051053488997205E-2</v>
      </c>
      <c r="D18" s="427">
        <f>(D17-L17)/D17</f>
        <v>-6.1111506264613633E-2</v>
      </c>
      <c r="E18" s="427">
        <f>(E17-M17)/E17</f>
        <v>-6.1330427010089401E-2</v>
      </c>
      <c r="F18" s="427">
        <f>(F17-N17)/F17</f>
        <v>-6.1446437769915714E-2</v>
      </c>
      <c r="G18" s="581">
        <f>(G17-O17)/G17</f>
        <v>-6.1558347057948423E-2</v>
      </c>
      <c r="H18" s="10"/>
      <c r="I18" s="401"/>
      <c r="J18" s="375"/>
      <c r="K18" s="427"/>
      <c r="L18" s="427"/>
      <c r="M18" s="427"/>
      <c r="N18" s="427"/>
      <c r="O18" s="581"/>
      <c r="P18" s="10"/>
      <c r="Q18" s="592"/>
      <c r="R18" s="427"/>
      <c r="S18" s="427"/>
      <c r="T18" s="427"/>
      <c r="U18" s="581"/>
      <c r="W18" s="401"/>
      <c r="X18" s="580"/>
      <c r="Y18" s="427">
        <v>-3.5013142974896663E-3</v>
      </c>
      <c r="Z18" s="427">
        <v>-6.1445214326053144E-3</v>
      </c>
      <c r="AA18" s="427">
        <v>-1.2120326112082042E-2</v>
      </c>
      <c r="AB18" s="427">
        <v>-1.3811844196483587E-2</v>
      </c>
      <c r="AC18" s="581">
        <v>-1.5142697231862233E-2</v>
      </c>
    </row>
    <row r="19" spans="1:29" x14ac:dyDescent="0.3">
      <c r="A19" s="401"/>
      <c r="B19" s="375"/>
      <c r="C19" s="427"/>
      <c r="D19" s="427"/>
      <c r="E19" s="427"/>
      <c r="F19" s="427"/>
      <c r="G19" s="581"/>
      <c r="H19" s="10"/>
      <c r="I19" s="401"/>
      <c r="J19" s="375"/>
      <c r="K19" s="427"/>
      <c r="L19" s="427"/>
      <c r="M19" s="427"/>
      <c r="N19" s="427"/>
      <c r="O19" s="581"/>
      <c r="P19" s="10"/>
      <c r="Q19" s="592"/>
      <c r="R19" s="427"/>
      <c r="S19" s="427"/>
      <c r="T19" s="427"/>
      <c r="U19" s="581"/>
      <c r="W19" s="401"/>
      <c r="X19" s="580"/>
      <c r="Y19" s="427"/>
      <c r="Z19" s="427"/>
      <c r="AA19" s="427"/>
      <c r="AB19" s="427"/>
      <c r="AC19" s="581"/>
    </row>
    <row r="20" spans="1:29" x14ac:dyDescent="0.3">
      <c r="A20" s="596" t="s">
        <v>165</v>
      </c>
      <c r="B20" s="597"/>
      <c r="C20" s="378">
        <f>C11+C17</f>
        <v>46747.943716353155</v>
      </c>
      <c r="D20" s="378">
        <f>D11+D17</f>
        <v>50843.414970968377</v>
      </c>
      <c r="E20" s="378">
        <f>E11+E17</f>
        <v>55165.865551088136</v>
      </c>
      <c r="F20" s="378">
        <f>F11+F17</f>
        <v>59356.29657544331</v>
      </c>
      <c r="G20" s="598">
        <f>G11+G17</f>
        <v>64267.851957164006</v>
      </c>
      <c r="H20" s="350"/>
      <c r="I20" s="596" t="s">
        <v>165</v>
      </c>
      <c r="J20" s="597"/>
      <c r="K20" s="378">
        <f>K11+K17</f>
        <v>48038.095519252514</v>
      </c>
      <c r="L20" s="378">
        <f>L11+L17</f>
        <v>52227.195676457246</v>
      </c>
      <c r="M20" s="378">
        <f>M11+M17</f>
        <v>56645.868344419607</v>
      </c>
      <c r="N20" s="378">
        <f>N11+N17</f>
        <v>60937.315369575779</v>
      </c>
      <c r="O20" s="598">
        <f>O11+O17</f>
        <v>65951.159034863886</v>
      </c>
      <c r="P20" s="350"/>
      <c r="Q20" s="582">
        <f>Q11+Q17</f>
        <v>45955.585338954545</v>
      </c>
      <c r="R20" s="584">
        <f>R11+R17</f>
        <v>48838.373415660375</v>
      </c>
      <c r="S20" s="584">
        <f>S11+S17</f>
        <v>52683.316853255368</v>
      </c>
      <c r="T20" s="584">
        <f>T11+T17</f>
        <v>56376.172616090465</v>
      </c>
      <c r="U20" s="585">
        <f>U11+U17</f>
        <v>60774.858207581405</v>
      </c>
      <c r="W20" s="582">
        <v>45343.987433434602</v>
      </c>
      <c r="X20" s="583">
        <v>-1.8968247721396644E-2</v>
      </c>
      <c r="Y20" s="584">
        <v>46911.930172784865</v>
      </c>
      <c r="Z20" s="584">
        <v>49889.040346606533</v>
      </c>
      <c r="AA20" s="584">
        <v>53835.13557917338</v>
      </c>
      <c r="AB20" s="584">
        <v>57625.20517523415</v>
      </c>
      <c r="AC20" s="585">
        <v>62139.163640246057</v>
      </c>
    </row>
    <row r="21" spans="1:29" x14ac:dyDescent="0.3">
      <c r="A21" s="603" t="s">
        <v>254</v>
      </c>
      <c r="B21" s="597"/>
      <c r="C21" s="604">
        <f>C20-K20</f>
        <v>-1290.1518028993596</v>
      </c>
      <c r="D21" s="604">
        <f>D20-L20</f>
        <v>-1383.780705488869</v>
      </c>
      <c r="E21" s="604">
        <f>E20-M20</f>
        <v>-1480.0027933314705</v>
      </c>
      <c r="F21" s="604">
        <f>F20-N20</f>
        <v>-1581.0187941324693</v>
      </c>
      <c r="G21" s="605">
        <f>G20-O20</f>
        <v>-1683.3070776998793</v>
      </c>
      <c r="H21" s="366"/>
      <c r="I21" s="599" t="s">
        <v>215</v>
      </c>
      <c r="J21" s="600"/>
      <c r="K21" s="601">
        <f>K20-Q20</f>
        <v>2082.5101802979698</v>
      </c>
      <c r="L21" s="601">
        <f>L20-R20</f>
        <v>3388.822260796871</v>
      </c>
      <c r="M21" s="601">
        <f>M20-S20</f>
        <v>3962.5514911642385</v>
      </c>
      <c r="N21" s="601">
        <f>N20-T20</f>
        <v>4561.1427534853137</v>
      </c>
      <c r="O21" s="602">
        <f>O20-U20</f>
        <v>5176.3008272824809</v>
      </c>
      <c r="P21" s="366"/>
      <c r="Q21" s="10"/>
      <c r="R21" s="10"/>
      <c r="S21" s="10"/>
      <c r="T21" s="10"/>
      <c r="U21" s="10"/>
      <c r="W21" s="366"/>
      <c r="X21" s="365"/>
      <c r="Y21" s="366"/>
      <c r="Z21" s="366"/>
      <c r="AA21" s="366"/>
      <c r="AB21" s="366"/>
      <c r="AC21" s="366"/>
    </row>
    <row r="22" spans="1:29" x14ac:dyDescent="0.3">
      <c r="A22" s="494"/>
      <c r="B22" s="394"/>
      <c r="C22" s="606">
        <f>(C20-K20)/C20</f>
        <v>-2.759804389958749E-2</v>
      </c>
      <c r="D22" s="606">
        <f>(D20-L20)/D20</f>
        <v>-2.721651773939671E-2</v>
      </c>
      <c r="E22" s="606">
        <f>(E20-M20)/E20</f>
        <v>-2.6828234788791015E-2</v>
      </c>
      <c r="F22" s="606">
        <f>(F20-N20)/F20</f>
        <v>-2.663607545196078E-2</v>
      </c>
      <c r="G22" s="607">
        <f>(G20-O20)/G20</f>
        <v>-2.6192054447717376E-2</v>
      </c>
      <c r="H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W22" s="10"/>
      <c r="Y22" s="10"/>
      <c r="Z22" s="10"/>
      <c r="AA22" s="10"/>
      <c r="AB22" s="10"/>
      <c r="AC22" s="10"/>
    </row>
    <row r="23" spans="1:29" x14ac:dyDescent="0.3">
      <c r="R23" s="411"/>
      <c r="S23" s="10"/>
      <c r="T23" s="10"/>
      <c r="U23" s="10"/>
    </row>
    <row r="24" spans="1:29" x14ac:dyDescent="0.3">
      <c r="C24" s="413"/>
      <c r="E24" s="10"/>
      <c r="F24" s="10"/>
      <c r="G24" s="10"/>
      <c r="H24" s="10"/>
      <c r="K24" s="413"/>
      <c r="M24" s="10"/>
      <c r="N24" s="10"/>
      <c r="O24" s="10"/>
      <c r="P24" s="10"/>
      <c r="R24" s="411"/>
      <c r="S24" s="10"/>
      <c r="T24" s="10"/>
      <c r="U24" s="10"/>
      <c r="X24" s="382"/>
      <c r="Y24" s="381"/>
      <c r="Z24" s="381"/>
      <c r="AA24" s="381"/>
      <c r="AB24" s="381"/>
      <c r="AC24" s="381"/>
    </row>
    <row r="25" spans="1:29" x14ac:dyDescent="0.3">
      <c r="A25" s="472"/>
      <c r="B25" s="410"/>
      <c r="C25" s="531">
        <v>44063</v>
      </c>
      <c r="D25" s="531">
        <v>44018</v>
      </c>
      <c r="E25" s="532" t="s">
        <v>184</v>
      </c>
      <c r="K25" s="413"/>
      <c r="M25" s="10"/>
      <c r="N25" s="10"/>
      <c r="O25" s="10"/>
      <c r="P25" s="10"/>
      <c r="R25" s="411"/>
      <c r="X25" s="383"/>
      <c r="Y25" s="384"/>
      <c r="Z25" s="384"/>
      <c r="AA25" s="384"/>
      <c r="AB25" s="384"/>
      <c r="AC25" s="384"/>
    </row>
    <row r="26" spans="1:29" x14ac:dyDescent="0.3">
      <c r="A26" s="472">
        <v>2020</v>
      </c>
      <c r="B26" s="501" t="s">
        <v>203</v>
      </c>
      <c r="C26" s="529">
        <f>+C7</f>
        <v>14382.815357509968</v>
      </c>
      <c r="D26" s="529">
        <f>K7</f>
        <v>15043.174325423746</v>
      </c>
      <c r="E26" s="530">
        <f>+C26-D26</f>
        <v>-660.35896791377854</v>
      </c>
      <c r="F26" s="472" t="s">
        <v>255</v>
      </c>
      <c r="K26" s="413"/>
      <c r="M26" s="10"/>
      <c r="N26" s="10"/>
      <c r="O26" s="10"/>
      <c r="P26" s="10"/>
      <c r="R26" s="411"/>
    </row>
    <row r="27" spans="1:29" x14ac:dyDescent="0.3">
      <c r="A27" s="472">
        <v>2020</v>
      </c>
      <c r="B27" s="401" t="s">
        <v>204</v>
      </c>
      <c r="C27" s="471">
        <f>+C14</f>
        <v>3619.4816909709975</v>
      </c>
      <c r="D27" s="471">
        <f>K14</f>
        <v>4249.2745259565763</v>
      </c>
      <c r="E27" s="496">
        <f>+C27-D27</f>
        <v>-629.79283498557879</v>
      </c>
      <c r="F27" s="472" t="s">
        <v>255</v>
      </c>
      <c r="K27" s="413"/>
      <c r="M27" s="10"/>
      <c r="N27" s="10"/>
      <c r="O27" s="10"/>
      <c r="P27" s="10"/>
      <c r="R27" s="411"/>
    </row>
    <row r="28" spans="1:29" ht="6" customHeight="1" x14ac:dyDescent="0.3">
      <c r="A28" s="472"/>
      <c r="B28" s="401"/>
      <c r="C28" s="471"/>
      <c r="D28" s="471"/>
      <c r="E28" s="496"/>
      <c r="K28" s="413"/>
      <c r="M28" s="10"/>
      <c r="N28" s="10"/>
      <c r="O28" s="10"/>
      <c r="P28" s="10"/>
      <c r="R28" s="411"/>
    </row>
    <row r="29" spans="1:29" x14ac:dyDescent="0.3">
      <c r="A29" s="472">
        <v>2020</v>
      </c>
      <c r="B29" s="401" t="s">
        <v>210</v>
      </c>
      <c r="C29" s="471">
        <f>+C8</f>
        <v>6791.9727780255489</v>
      </c>
      <c r="D29" s="471">
        <f>K8</f>
        <v>6791.9727780255489</v>
      </c>
      <c r="E29" s="496">
        <f>+C29-D29</f>
        <v>0</v>
      </c>
      <c r="F29" s="472" t="s">
        <v>249</v>
      </c>
      <c r="K29" s="413"/>
      <c r="M29" s="10"/>
      <c r="N29" s="10"/>
      <c r="O29" s="10"/>
      <c r="P29" s="10"/>
      <c r="R29" s="411"/>
    </row>
    <row r="30" spans="1:29" x14ac:dyDescent="0.3">
      <c r="A30" s="472">
        <v>2020</v>
      </c>
      <c r="B30" s="401" t="s">
        <v>211</v>
      </c>
      <c r="C30" s="471">
        <f>+C15</f>
        <v>1962.4064715089683</v>
      </c>
      <c r="D30" s="471">
        <f>K15</f>
        <v>1962.4064715089683</v>
      </c>
      <c r="E30" s="496">
        <f>+C30-D30</f>
        <v>0</v>
      </c>
      <c r="F30" s="472" t="s">
        <v>256</v>
      </c>
      <c r="K30" s="413"/>
      <c r="M30" s="10"/>
      <c r="N30" s="10"/>
      <c r="O30" s="10"/>
      <c r="P30" s="10"/>
    </row>
    <row r="31" spans="1:29" ht="6" customHeight="1" x14ac:dyDescent="0.3">
      <c r="A31" s="472"/>
      <c r="B31" s="401"/>
      <c r="C31" s="471"/>
      <c r="D31" s="471"/>
      <c r="E31" s="496"/>
      <c r="K31" s="413"/>
      <c r="M31" s="10"/>
      <c r="N31" s="10"/>
      <c r="O31" s="10"/>
      <c r="P31" s="10"/>
    </row>
    <row r="32" spans="1:29" x14ac:dyDescent="0.3">
      <c r="A32" s="472">
        <v>2020</v>
      </c>
      <c r="B32" s="401" t="s">
        <v>212</v>
      </c>
      <c r="C32" s="471">
        <f>+C10</f>
        <v>3553.384052008385</v>
      </c>
      <c r="D32" s="471">
        <f>K10</f>
        <v>3553.384052008385</v>
      </c>
      <c r="E32" s="496">
        <f>+C32-D32</f>
        <v>0</v>
      </c>
      <c r="F32" s="472" t="s">
        <v>224</v>
      </c>
      <c r="K32" s="413"/>
      <c r="M32" s="10"/>
      <c r="N32" s="10"/>
      <c r="O32" s="10"/>
      <c r="P32" s="10"/>
    </row>
    <row r="33" spans="1:16" x14ac:dyDescent="0.3">
      <c r="A33" s="472">
        <v>2020</v>
      </c>
      <c r="B33" s="401" t="s">
        <v>213</v>
      </c>
      <c r="C33" s="471">
        <f>+C16</f>
        <v>4733.9507787609473</v>
      </c>
      <c r="D33" s="471">
        <f>K16</f>
        <v>4733.9507787609473</v>
      </c>
      <c r="E33" s="496">
        <f>+C33-D33</f>
        <v>0</v>
      </c>
      <c r="F33" s="472" t="s">
        <v>225</v>
      </c>
      <c r="K33" s="413"/>
      <c r="M33" s="10"/>
      <c r="N33" s="10"/>
      <c r="O33" s="10"/>
      <c r="P33" s="10"/>
    </row>
    <row r="34" spans="1:16" ht="6" customHeight="1" x14ac:dyDescent="0.3">
      <c r="A34" s="472"/>
      <c r="B34" s="401"/>
      <c r="C34" s="471"/>
      <c r="D34" s="471"/>
      <c r="E34" s="496"/>
      <c r="K34" s="413"/>
      <c r="M34" s="10"/>
      <c r="N34" s="10"/>
      <c r="O34" s="10"/>
      <c r="P34" s="10"/>
    </row>
    <row r="35" spans="1:16" x14ac:dyDescent="0.3">
      <c r="A35" s="472">
        <v>2020</v>
      </c>
      <c r="B35" s="494" t="s">
        <v>214</v>
      </c>
      <c r="C35" s="528">
        <f>+C9</f>
        <v>11703.932587568341</v>
      </c>
      <c r="D35" s="528">
        <f>K9</f>
        <v>11703.932587568341</v>
      </c>
      <c r="E35" s="497">
        <f>+C35-D35</f>
        <v>0</v>
      </c>
      <c r="F35" s="472" t="s">
        <v>218</v>
      </c>
      <c r="K35" s="413"/>
      <c r="M35" s="10"/>
      <c r="N35" s="10"/>
      <c r="O35" s="10"/>
      <c r="P35" s="10"/>
    </row>
    <row r="36" spans="1:16" x14ac:dyDescent="0.3">
      <c r="K36" s="413"/>
      <c r="M36" s="10"/>
      <c r="N36" s="10"/>
      <c r="O36" s="10"/>
      <c r="P36" s="10"/>
    </row>
    <row r="37" spans="1:16" x14ac:dyDescent="0.3">
      <c r="C37" s="348">
        <f>SUM(C26:C35)</f>
        <v>46747.943716353162</v>
      </c>
      <c r="D37" s="348">
        <f>SUM(D26:D35)</f>
        <v>48038.095519252514</v>
      </c>
      <c r="E37" s="348"/>
      <c r="K37" s="413"/>
      <c r="M37" s="10"/>
      <c r="N37" s="10"/>
      <c r="O37" s="10"/>
      <c r="P37" s="10"/>
    </row>
    <row r="38" spans="1:16" x14ac:dyDescent="0.3">
      <c r="C38" s="535" t="b">
        <f>C37=C20</f>
        <v>1</v>
      </c>
      <c r="D38" s="535" t="b">
        <f>D37=K20</f>
        <v>1</v>
      </c>
      <c r="K38" s="413"/>
      <c r="M38" s="10"/>
      <c r="N38" s="10"/>
      <c r="O38" s="10"/>
      <c r="P38" s="10"/>
    </row>
    <row r="39" spans="1:16" x14ac:dyDescent="0.3">
      <c r="C39" s="535"/>
      <c r="D39" s="535"/>
      <c r="L39" s="535"/>
      <c r="M39" s="535"/>
    </row>
    <row r="40" spans="1:16" x14ac:dyDescent="0.3">
      <c r="D40" s="534"/>
      <c r="M40" s="534"/>
    </row>
    <row r="41" spans="1:16" x14ac:dyDescent="0.3">
      <c r="D41" s="534"/>
      <c r="M41" s="534"/>
    </row>
    <row r="42" spans="1:16" x14ac:dyDescent="0.3">
      <c r="B42" s="537"/>
      <c r="C42" s="622" t="s">
        <v>258</v>
      </c>
      <c r="D42" s="623"/>
      <c r="E42" s="623"/>
      <c r="F42" s="624" t="s">
        <v>241</v>
      </c>
      <c r="G42" s="625"/>
      <c r="H42" s="625"/>
      <c r="I42" s="626"/>
      <c r="J42" s="624" t="s">
        <v>234</v>
      </c>
      <c r="K42" s="626"/>
      <c r="M42" s="549" t="s">
        <v>247</v>
      </c>
    </row>
    <row r="43" spans="1:16" x14ac:dyDescent="0.3">
      <c r="B43" s="536"/>
      <c r="C43" s="494" t="s">
        <v>240</v>
      </c>
      <c r="D43" s="510" t="s">
        <v>221</v>
      </c>
      <c r="E43" s="409" t="s">
        <v>237</v>
      </c>
      <c r="F43" s="394" t="s">
        <v>239</v>
      </c>
      <c r="G43" s="494" t="s">
        <v>240</v>
      </c>
      <c r="H43" s="510" t="s">
        <v>221</v>
      </c>
      <c r="I43" s="409" t="s">
        <v>222</v>
      </c>
      <c r="J43" s="410" t="s">
        <v>220</v>
      </c>
      <c r="K43" s="612" t="s">
        <v>221</v>
      </c>
      <c r="M43" s="549" t="s">
        <v>243</v>
      </c>
    </row>
    <row r="44" spans="1:16" x14ac:dyDescent="0.3">
      <c r="A44" s="472">
        <v>2020</v>
      </c>
      <c r="B44" s="501" t="s">
        <v>203</v>
      </c>
      <c r="C44" s="540">
        <v>1371849</v>
      </c>
      <c r="D44" s="554">
        <v>1311628</v>
      </c>
      <c r="E44" s="555">
        <f>C44-D44</f>
        <v>60221</v>
      </c>
      <c r="F44" s="541">
        <v>14688.082901149826</v>
      </c>
      <c r="G44" s="540">
        <v>15043.174325423746</v>
      </c>
      <c r="H44" s="554">
        <v>14382.815357509968</v>
      </c>
      <c r="I44" s="541">
        <f>G44-H44</f>
        <v>660.35896791377854</v>
      </c>
      <c r="J44" s="565" t="s">
        <v>236</v>
      </c>
      <c r="K44" s="563" t="s">
        <v>259</v>
      </c>
      <c r="M44" s="550">
        <f>H44-F44</f>
        <v>-305.26754363985856</v>
      </c>
    </row>
    <row r="45" spans="1:16" x14ac:dyDescent="0.3">
      <c r="A45" s="472">
        <v>2020</v>
      </c>
      <c r="B45" s="401" t="s">
        <v>204</v>
      </c>
      <c r="C45" s="540">
        <v>378350</v>
      </c>
      <c r="D45" s="554">
        <v>322274</v>
      </c>
      <c r="E45" s="555">
        <f>C45-D45</f>
        <v>56076</v>
      </c>
      <c r="F45" s="541">
        <v>4418.748438837325</v>
      </c>
      <c r="G45" s="540">
        <v>4249.2745259565763</v>
      </c>
      <c r="H45" s="554">
        <v>3619.4816896685929</v>
      </c>
      <c r="I45" s="541">
        <f>G45-H45</f>
        <v>629.79283628798339</v>
      </c>
      <c r="J45" s="566" t="s">
        <v>236</v>
      </c>
      <c r="K45" s="563" t="s">
        <v>259</v>
      </c>
      <c r="M45" s="550">
        <f>H45-F45</f>
        <v>-799.26674916873208</v>
      </c>
    </row>
    <row r="46" spans="1:16" x14ac:dyDescent="0.3">
      <c r="A46" s="472"/>
      <c r="B46" s="401"/>
      <c r="C46" s="539"/>
      <c r="D46" s="556"/>
      <c r="E46" s="557"/>
      <c r="F46" s="406"/>
      <c r="G46" s="539"/>
      <c r="H46" s="556"/>
      <c r="I46" s="558"/>
      <c r="J46" s="567"/>
      <c r="K46" s="561"/>
      <c r="M46" s="551"/>
    </row>
    <row r="47" spans="1:16" x14ac:dyDescent="0.3">
      <c r="A47" s="472">
        <v>2020</v>
      </c>
      <c r="B47" s="401" t="s">
        <v>210</v>
      </c>
      <c r="C47" s="540">
        <v>670323.90500000003</v>
      </c>
      <c r="D47" s="554">
        <v>660017</v>
      </c>
      <c r="E47" s="542">
        <f>C47-D47</f>
        <v>10306.905000000028</v>
      </c>
      <c r="F47" s="541">
        <v>6485.9689935238766</v>
      </c>
      <c r="G47" s="540">
        <v>6898.0322659984113</v>
      </c>
      <c r="H47" s="554">
        <v>6791.9727780255489</v>
      </c>
      <c r="I47" s="541">
        <f>G47-H47</f>
        <v>106.05948797286237</v>
      </c>
      <c r="J47" s="568" t="s">
        <v>238</v>
      </c>
      <c r="K47" s="563" t="s">
        <v>260</v>
      </c>
      <c r="M47" s="550">
        <f>H47-F47</f>
        <v>306.00378450167227</v>
      </c>
    </row>
    <row r="48" spans="1:16" x14ac:dyDescent="0.3">
      <c r="A48" s="472">
        <v>2020</v>
      </c>
      <c r="B48" s="401" t="s">
        <v>211</v>
      </c>
      <c r="C48" s="540">
        <v>158536</v>
      </c>
      <c r="D48" s="554">
        <f>C48</f>
        <v>158536</v>
      </c>
      <c r="E48" s="542">
        <f>C48-D48</f>
        <v>0</v>
      </c>
      <c r="F48" s="541">
        <v>1891.7815198947171</v>
      </c>
      <c r="G48" s="540">
        <v>1962.4064715089683</v>
      </c>
      <c r="H48" s="554">
        <f>G48</f>
        <v>1962.4064715089683</v>
      </c>
      <c r="I48" s="541">
        <f>G48-H48</f>
        <v>0</v>
      </c>
      <c r="J48" s="568" t="s">
        <v>244</v>
      </c>
      <c r="K48" s="571" t="str">
        <f>J48</f>
        <v>6/8/20</v>
      </c>
      <c r="M48" s="550">
        <f>H48-F48</f>
        <v>70.624951614251131</v>
      </c>
    </row>
    <row r="49" spans="1:21" x14ac:dyDescent="0.3">
      <c r="A49" s="472"/>
      <c r="B49" s="401"/>
      <c r="C49" s="539"/>
      <c r="D49" s="543"/>
      <c r="E49" s="545"/>
      <c r="F49" s="543"/>
      <c r="G49" s="544"/>
      <c r="H49" s="543"/>
      <c r="I49" s="543"/>
      <c r="J49" s="569"/>
      <c r="K49" s="538"/>
      <c r="M49" s="551"/>
    </row>
    <row r="50" spans="1:21" x14ac:dyDescent="0.3">
      <c r="A50" s="472">
        <v>2020</v>
      </c>
      <c r="B50" s="401" t="s">
        <v>212</v>
      </c>
      <c r="C50" s="540">
        <v>215400</v>
      </c>
      <c r="D50" s="541">
        <v>210000</v>
      </c>
      <c r="E50" s="542">
        <f>C50-D50</f>
        <v>5400</v>
      </c>
      <c r="F50" s="541">
        <v>3342.9426331</v>
      </c>
      <c r="G50" s="540">
        <v>3645.0278957265523</v>
      </c>
      <c r="H50" s="541">
        <v>3553.384052008385</v>
      </c>
      <c r="I50" s="541">
        <f>G50-H50</f>
        <v>91.643843718167318</v>
      </c>
      <c r="J50" s="568" t="s">
        <v>238</v>
      </c>
      <c r="K50" s="562" t="s">
        <v>236</v>
      </c>
      <c r="L50" s="383"/>
      <c r="M50" s="550">
        <f>H50-F50</f>
        <v>210.441418908385</v>
      </c>
    </row>
    <row r="51" spans="1:21" x14ac:dyDescent="0.3">
      <c r="A51" s="472">
        <v>2020</v>
      </c>
      <c r="B51" s="401" t="s">
        <v>213</v>
      </c>
      <c r="C51" s="540">
        <v>358400</v>
      </c>
      <c r="D51" s="541">
        <v>358400</v>
      </c>
      <c r="E51" s="542">
        <f>C51-D51</f>
        <v>0</v>
      </c>
      <c r="F51" s="541">
        <v>4631.5051251893237</v>
      </c>
      <c r="G51" s="540">
        <v>4733.9507787609473</v>
      </c>
      <c r="H51" s="541">
        <f>G51</f>
        <v>4733.9507787609473</v>
      </c>
      <c r="I51" s="541">
        <f>G51-H51</f>
        <v>0</v>
      </c>
      <c r="J51" s="568" t="s">
        <v>238</v>
      </c>
      <c r="K51" s="563" t="s">
        <v>238</v>
      </c>
      <c r="L51" s="383"/>
      <c r="M51" s="550">
        <f>H51-F51</f>
        <v>102.44565357162355</v>
      </c>
    </row>
    <row r="52" spans="1:21" x14ac:dyDescent="0.3">
      <c r="A52" s="472"/>
      <c r="B52" s="401"/>
      <c r="C52" s="539"/>
      <c r="D52" s="543"/>
      <c r="E52" s="545"/>
      <c r="F52" s="543"/>
      <c r="G52" s="544"/>
      <c r="H52" s="543"/>
      <c r="I52" s="543"/>
      <c r="J52" s="569"/>
      <c r="K52" s="561"/>
      <c r="L52" s="383"/>
      <c r="M52" s="551"/>
    </row>
    <row r="53" spans="1:21" x14ac:dyDescent="0.3">
      <c r="A53" s="472">
        <v>2020</v>
      </c>
      <c r="B53" s="494" t="s">
        <v>214</v>
      </c>
      <c r="C53" s="552">
        <v>514682.076</v>
      </c>
      <c r="D53" s="546">
        <v>488550.82199999999</v>
      </c>
      <c r="E53" s="553">
        <f>C53-D53</f>
        <v>26131.254000000015</v>
      </c>
      <c r="F53" s="546">
        <v>11452.9005610898</v>
      </c>
      <c r="G53" s="552">
        <v>12329.947483530068</v>
      </c>
      <c r="H53" s="546">
        <v>11703.935790576774</v>
      </c>
      <c r="I53" s="546">
        <f>G53-H53</f>
        <v>626.01169295329419</v>
      </c>
      <c r="J53" s="570" t="s">
        <v>246</v>
      </c>
      <c r="K53" s="564" t="s">
        <v>245</v>
      </c>
      <c r="L53" s="383"/>
      <c r="M53" s="550">
        <f>H53-F53</f>
        <v>251.03522948697355</v>
      </c>
    </row>
    <row r="54" spans="1:21" ht="15" thickBot="1" x14ac:dyDescent="0.35">
      <c r="U54" s="551"/>
    </row>
    <row r="55" spans="1:21" ht="15" thickBot="1" x14ac:dyDescent="0.35">
      <c r="B55" s="608" t="s">
        <v>257</v>
      </c>
      <c r="C55" s="609"/>
      <c r="D55" s="609"/>
      <c r="E55" s="609"/>
      <c r="F55" s="610">
        <f>SUM(F44:F53)</f>
        <v>46911.930172784865</v>
      </c>
      <c r="G55" s="610">
        <f t="shared" ref="G55:I55" si="3">SUM(G44:G53)</f>
        <v>48861.813746905274</v>
      </c>
      <c r="H55" s="610">
        <f t="shared" si="3"/>
        <v>46747.946918059184</v>
      </c>
      <c r="I55" s="611">
        <f t="shared" si="3"/>
        <v>2113.8668288460858</v>
      </c>
    </row>
  </sheetData>
  <mergeCells count="7">
    <mergeCell ref="A3:G3"/>
    <mergeCell ref="I3:O3"/>
    <mergeCell ref="Q3:U3"/>
    <mergeCell ref="W3:AC3"/>
    <mergeCell ref="C42:E42"/>
    <mergeCell ref="F42:I42"/>
    <mergeCell ref="J42:K42"/>
  </mergeCells>
  <pageMargins left="0.7" right="0.7" top="0.75" bottom="0.75" header="0.3" footer="0.3"/>
  <pageSetup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5" zoomScaleNormal="85" workbookViewId="0">
      <pane xSplit="1" ySplit="9" topLeftCell="V10" activePane="bottomRight" state="frozen"/>
      <selection activeCell="AB26" sqref="AB26"/>
      <selection pane="topRight" activeCell="AB26" sqref="AB26"/>
      <selection pane="bottomLeft" activeCell="AB26" sqref="AB26"/>
      <selection pane="bottomRight" activeCell="A37" sqref="A37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8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customWidth="1" collapsed="1"/>
    <col min="19" max="19" width="7.6640625" style="2" customWidth="1"/>
    <col min="20" max="20" width="18.6640625" style="12" customWidth="1"/>
    <col min="21" max="21" width="7.6640625" style="2" customWidth="1"/>
    <col min="22" max="22" width="18.6640625" style="12" customWidth="1"/>
    <col min="23" max="23" width="7.6640625" style="2" customWidth="1"/>
    <col min="24" max="24" width="18.6640625" style="12" customWidth="1"/>
    <col min="25" max="25" width="7.6640625" style="2" customWidth="1"/>
    <col min="26" max="29" width="18.6640625" style="12" customWidth="1"/>
    <col min="30" max="31" width="9.109375" style="12"/>
    <col min="32" max="33" width="10.5546875" style="12" bestFit="1" customWidth="1"/>
    <col min="34" max="36" width="9.109375" style="12"/>
    <col min="37" max="37" width="9.88671875" style="12" bestFit="1" customWidth="1"/>
    <col min="38" max="16384" width="9.109375" style="12"/>
  </cols>
  <sheetData>
    <row r="1" spans="1:32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C1" s="298" t="s">
        <v>0</v>
      </c>
      <c r="AE1" s="300"/>
      <c r="AF1" s="12" t="s">
        <v>103</v>
      </c>
    </row>
    <row r="2" spans="1:32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/>
      <c r="W2" s="4"/>
      <c r="X2" s="299"/>
      <c r="Y2" s="4"/>
      <c r="Z2" s="299"/>
      <c r="AA2" s="299"/>
      <c r="AB2" s="299"/>
      <c r="AC2" s="299"/>
    </row>
    <row r="3" spans="1:32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201</v>
      </c>
      <c r="W3" s="36"/>
      <c r="X3" s="264" t="s">
        <v>226</v>
      </c>
      <c r="Y3" s="36"/>
      <c r="Z3" s="264" t="str">
        <f>X3</f>
        <v>at 07/02/2020</v>
      </c>
      <c r="AA3" s="264" t="str">
        <f>Z3</f>
        <v>at 07/02/2020</v>
      </c>
      <c r="AB3" s="264" t="str">
        <f>Z3</f>
        <v>at 07/02/2020</v>
      </c>
      <c r="AC3" s="264" t="str">
        <f>Z3</f>
        <v>at 07/02/2020</v>
      </c>
    </row>
    <row r="4" spans="1:32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  <c r="AC4" s="16" t="s">
        <v>3</v>
      </c>
    </row>
    <row r="5" spans="1:32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9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C7" si="0">Z5+1</f>
        <v>2021</v>
      </c>
      <c r="AB5" s="307">
        <f t="shared" si="0"/>
        <v>2022</v>
      </c>
      <c r="AC5" s="307">
        <f t="shared" si="0"/>
        <v>2023</v>
      </c>
    </row>
    <row r="6" spans="1:32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42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  <c r="AC6" s="308">
        <f t="shared" si="0"/>
        <v>2024</v>
      </c>
    </row>
    <row r="7" spans="1:32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46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  <c r="AC7" s="309">
        <f t="shared" si="0"/>
        <v>2024</v>
      </c>
    </row>
    <row r="8" spans="1:32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5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  <c r="AC8" s="310" t="s">
        <v>176</v>
      </c>
    </row>
    <row r="9" spans="1:32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54"/>
      <c r="W9" s="55"/>
      <c r="X9" s="311"/>
      <c r="Y9" s="55"/>
      <c r="Z9" s="311"/>
      <c r="AA9" s="311"/>
      <c r="AB9" s="311"/>
      <c r="AC9" s="311"/>
    </row>
    <row r="10" spans="1:32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120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  <c r="AC10" s="301" t="s">
        <v>177</v>
      </c>
    </row>
    <row r="11" spans="1:32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42"/>
      <c r="W11" s="43"/>
      <c r="X11" s="308"/>
      <c r="Y11" s="43"/>
      <c r="Z11" s="308"/>
      <c r="AA11" s="308"/>
      <c r="AB11" s="308"/>
      <c r="AC11" s="308"/>
    </row>
    <row r="12" spans="1:32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68"/>
      <c r="W12" s="47"/>
      <c r="X12" s="312"/>
      <c r="Y12" s="47"/>
      <c r="Z12" s="312"/>
      <c r="AA12" s="312"/>
      <c r="AB12" s="312"/>
      <c r="AC12" s="312"/>
    </row>
    <row r="13" spans="1:32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70">
        <v>2400000</v>
      </c>
      <c r="W13" s="73"/>
      <c r="X13" s="461">
        <v>2500000</v>
      </c>
      <c r="Y13" s="73"/>
      <c r="Z13" s="313">
        <f>SUM(X13:X19)</f>
        <v>2500000</v>
      </c>
      <c r="AA13" s="313">
        <f>SUM(Z13:Z19)</f>
        <v>2665553</v>
      </c>
      <c r="AB13" s="313">
        <f>SUM(AA13:AA19)</f>
        <v>2843594</v>
      </c>
      <c r="AC13" s="313">
        <f>SUM(AB13:AB19)</f>
        <v>2992159</v>
      </c>
    </row>
    <row r="14" spans="1:32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153"/>
      <c r="W14" s="73"/>
      <c r="X14" s="461"/>
      <c r="Y14" s="73"/>
      <c r="Z14" s="313"/>
      <c r="AA14" s="313"/>
      <c r="AB14" s="313"/>
      <c r="AC14" s="313"/>
    </row>
    <row r="15" spans="1:32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153"/>
      <c r="W15" s="73"/>
      <c r="X15" s="461"/>
      <c r="Y15" s="73"/>
      <c r="Z15" s="154">
        <v>303587</v>
      </c>
      <c r="AA15" s="154">
        <v>310788</v>
      </c>
      <c r="AB15" s="154">
        <v>280335</v>
      </c>
      <c r="AC15" s="154">
        <v>329161</v>
      </c>
    </row>
    <row r="16" spans="1:32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153"/>
      <c r="W16" s="73"/>
      <c r="X16" s="461"/>
      <c r="Y16" s="73"/>
      <c r="Z16" s="154">
        <v>-18675</v>
      </c>
      <c r="AA16" s="154">
        <v>-13145</v>
      </c>
      <c r="AB16" s="154">
        <v>-12168</v>
      </c>
      <c r="AC16" s="154">
        <v>-5895</v>
      </c>
    </row>
    <row r="17" spans="1:34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153"/>
      <c r="W17" s="73"/>
      <c r="X17" s="461"/>
      <c r="Y17" s="73"/>
      <c r="Z17" s="154"/>
      <c r="AA17" s="154"/>
      <c r="AB17" s="154"/>
      <c r="AC17" s="154"/>
    </row>
    <row r="18" spans="1:34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153"/>
      <c r="W18" s="73"/>
      <c r="X18" s="461"/>
      <c r="Y18" s="73"/>
      <c r="Z18" s="154">
        <v>-6747</v>
      </c>
      <c r="AA18" s="154">
        <v>-6990</v>
      </c>
      <c r="AB18" s="154">
        <v>-6990</v>
      </c>
      <c r="AC18" s="154">
        <v>-7760</v>
      </c>
    </row>
    <row r="19" spans="1:34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155"/>
      <c r="W19" s="84"/>
      <c r="X19" s="462"/>
      <c r="Y19" s="84"/>
      <c r="Z19" s="398">
        <f>-112612</f>
        <v>-112612</v>
      </c>
      <c r="AA19" s="398">
        <f t="shared" ref="AA19:AC19" si="1">Z19</f>
        <v>-112612</v>
      </c>
      <c r="AB19" s="398">
        <f t="shared" si="1"/>
        <v>-112612</v>
      </c>
      <c r="AC19" s="398">
        <f t="shared" si="1"/>
        <v>-112612</v>
      </c>
    </row>
    <row r="20" spans="1:34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87">
        <v>0.96493331984800101</v>
      </c>
      <c r="W20" s="73"/>
      <c r="X20" s="463">
        <v>0.95885399999999998</v>
      </c>
      <c r="Y20" s="73"/>
      <c r="Z20" s="314">
        <f>SUM(X20)</f>
        <v>0.95885399999999998</v>
      </c>
      <c r="AA20" s="314">
        <f t="shared" ref="AA20:AA21" si="2">SUM(Z20)</f>
        <v>0.95885399999999998</v>
      </c>
      <c r="AB20" s="314">
        <f>SUM(AA20)</f>
        <v>0.95885399999999998</v>
      </c>
      <c r="AC20" s="314">
        <f>SUM(AB20)</f>
        <v>0.95885399999999998</v>
      </c>
    </row>
    <row r="21" spans="1:34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91">
        <v>0.56470299999999995</v>
      </c>
      <c r="W21" s="84"/>
      <c r="X21" s="464">
        <v>0.57213999999999998</v>
      </c>
      <c r="Y21" s="84"/>
      <c r="Z21" s="315">
        <f>SUM(X21)</f>
        <v>0.57213999999999998</v>
      </c>
      <c r="AA21" s="315">
        <f t="shared" si="2"/>
        <v>0.57213999999999998</v>
      </c>
      <c r="AB21" s="315">
        <f>SUM(AA21)</f>
        <v>0.57213999999999998</v>
      </c>
      <c r="AC21" s="315">
        <f>SUM(AB21)</f>
        <v>0.57213999999999998</v>
      </c>
    </row>
    <row r="22" spans="1:34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3">SUM(G13:G19)*G20*G21</f>
        <v>749495.24554680008</v>
      </c>
      <c r="I22" s="69">
        <f t="shared" si="3"/>
        <v>822232.32062400004</v>
      </c>
      <c r="J22" s="70"/>
      <c r="K22" s="71"/>
      <c r="L22" s="69">
        <f t="shared" ref="L22:N22" si="4">SUM(L13:L19)*L20*L21</f>
        <v>962461.34900000005</v>
      </c>
      <c r="M22" s="72"/>
      <c r="N22" s="69">
        <f t="shared" si="4"/>
        <v>1154211.1569999997</v>
      </c>
      <c r="O22" s="70"/>
      <c r="P22" s="70">
        <f t="shared" ref="P22" si="5">SUM(P13:P19)*P20*P21</f>
        <v>1162234.5759999999</v>
      </c>
      <c r="Q22" s="73"/>
      <c r="R22" s="70">
        <f>SUM(R13:R19)*R20*R21</f>
        <v>1207497.787</v>
      </c>
      <c r="S22" s="73"/>
      <c r="T22" s="70">
        <f>SUM(T13:T19)*T20*T21</f>
        <v>1238307.8730000001</v>
      </c>
      <c r="U22" s="73"/>
      <c r="V22" s="70">
        <f>SUM(V13:V19)*V20*V21</f>
        <v>1307761.7772435015</v>
      </c>
      <c r="W22" s="73"/>
      <c r="X22" s="461">
        <f>SUM(X13:X19)*X20*X21+(7)</f>
        <v>1371503.8189000001</v>
      </c>
      <c r="Y22" s="73"/>
      <c r="Z22" s="313">
        <f>SUM(Z13:Z19)*Z20*Z21</f>
        <v>1462318.9840437407</v>
      </c>
      <c r="AA22" s="313">
        <f>SUM(AA13:AA19)*AA20*AA21</f>
        <v>1559992.0500972506</v>
      </c>
      <c r="AB22" s="313">
        <f>SUM(AB13:AB19)*AB20*AB21</f>
        <v>1641494.6200572019</v>
      </c>
      <c r="AC22" s="313">
        <f>SUM(AC13:AC19)*AC20*AC21</f>
        <v>1752802.0102867607</v>
      </c>
    </row>
    <row r="23" spans="1:34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70">
        <v>489.39157803826998</v>
      </c>
      <c r="W23" s="73"/>
      <c r="X23" s="461">
        <v>345.346</v>
      </c>
      <c r="Y23" s="73"/>
      <c r="Z23" s="313"/>
      <c r="AA23" s="313"/>
      <c r="AB23" s="313"/>
      <c r="AC23" s="313"/>
    </row>
    <row r="24" spans="1:34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6">SUM(I22)</f>
        <v>822232.32062400004</v>
      </c>
      <c r="J24" s="70"/>
      <c r="K24" s="71"/>
      <c r="L24" s="69">
        <f t="shared" ref="L24" si="7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70">
        <f>SUM(V22:V23)</f>
        <v>1308251.1688215397</v>
      </c>
      <c r="W24" s="73"/>
      <c r="X24" s="461">
        <f>SUM(X22:X23)</f>
        <v>1371849.1649</v>
      </c>
      <c r="Y24" s="73"/>
      <c r="Z24" s="313">
        <f t="shared" ref="Z24:AA24" si="8">SUM(Z22)</f>
        <v>1462318.9840437407</v>
      </c>
      <c r="AA24" s="313">
        <f t="shared" si="8"/>
        <v>1559992.0500972506</v>
      </c>
      <c r="AB24" s="313">
        <f>SUM(AB22)</f>
        <v>1641494.6200572019</v>
      </c>
      <c r="AC24" s="313">
        <f>SUM(AC22)</f>
        <v>1752802.0102867607</v>
      </c>
    </row>
    <row r="25" spans="1:34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453">
        <v>1064023.335</v>
      </c>
      <c r="Q25" s="73"/>
      <c r="R25" s="70">
        <v>1117051.1471780001</v>
      </c>
      <c r="S25" s="73"/>
      <c r="T25" s="70">
        <v>1153650.0430000001</v>
      </c>
      <c r="U25" s="73"/>
      <c r="V25" s="483">
        <f>1234752.192-3489.148</f>
        <v>1231263.044</v>
      </c>
      <c r="W25" s="73"/>
      <c r="X25" s="313"/>
      <c r="Y25" s="73"/>
      <c r="Z25" s="313"/>
      <c r="AA25" s="313"/>
      <c r="AB25" s="313"/>
      <c r="AC25" s="313"/>
    </row>
    <row r="26" spans="1:34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484">
        <f>V25/V24</f>
        <v>0.94115187766972153</v>
      </c>
      <c r="W26" s="81"/>
      <c r="X26" s="316">
        <f>SUM(V26)</f>
        <v>0.94115187766972153</v>
      </c>
      <c r="Y26" s="81"/>
      <c r="Z26" s="316">
        <f>SUM(X26)</f>
        <v>0.94115187766972153</v>
      </c>
      <c r="AA26" s="316">
        <f t="shared" ref="AA26" si="9">SUM(Z26)</f>
        <v>0.94115187766972153</v>
      </c>
      <c r="AB26" s="316">
        <f>SUM(AA26)</f>
        <v>0.94115187766972153</v>
      </c>
      <c r="AC26" s="316">
        <f>SUM(AB26)</f>
        <v>0.94115187766972153</v>
      </c>
    </row>
    <row r="27" spans="1:34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0">SUM(G24*G26)</f>
        <v>681556.79615745938</v>
      </c>
      <c r="I27" s="69">
        <f t="shared" si="10"/>
        <v>765508.78650503687</v>
      </c>
      <c r="J27" s="70"/>
      <c r="K27" s="71"/>
      <c r="L27" s="69">
        <f t="shared" ref="L27:AA27" si="11">SUM(L24*L26)</f>
        <v>898630</v>
      </c>
      <c r="M27" s="72"/>
      <c r="N27" s="69">
        <f t="shared" si="11"/>
        <v>1070854.5930000001</v>
      </c>
      <c r="O27" s="72"/>
      <c r="P27" s="70">
        <f>SUM(P24*P26)</f>
        <v>1064023.335</v>
      </c>
      <c r="R27" s="70">
        <f>SUM(R24*R26)</f>
        <v>1117051.1471780001</v>
      </c>
      <c r="T27" s="70">
        <f>SUM(T24*T26)</f>
        <v>1153650.0430000001</v>
      </c>
      <c r="U27" s="71"/>
      <c r="V27" s="483">
        <f>SUM(V24*V26)</f>
        <v>1231263.044</v>
      </c>
      <c r="W27" s="71"/>
      <c r="X27" s="313">
        <f>SUM(X24*X26)</f>
        <v>1291118.4174252744</v>
      </c>
      <c r="Y27" s="71"/>
      <c r="Z27" s="313">
        <f t="shared" si="11"/>
        <v>1376264.2575848461</v>
      </c>
      <c r="AA27" s="313">
        <f t="shared" si="11"/>
        <v>1468189.4470988656</v>
      </c>
      <c r="AB27" s="313">
        <f>SUM(AB24*AB26)</f>
        <v>1544895.7438515818</v>
      </c>
      <c r="AC27" s="313">
        <f>SUM(AC24*AC26)</f>
        <v>1649652.9031646475</v>
      </c>
    </row>
    <row r="28" spans="1:34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483">
        <v>0</v>
      </c>
      <c r="W28" s="71"/>
      <c r="X28" s="424"/>
      <c r="Y28" s="71"/>
      <c r="Z28" s="313">
        <v>0</v>
      </c>
      <c r="AA28" s="313">
        <v>0</v>
      </c>
      <c r="AB28" s="313">
        <v>0</v>
      </c>
      <c r="AC28" s="313">
        <v>0</v>
      </c>
    </row>
    <row r="29" spans="1:34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2">SUM(G27:G28)</f>
        <v>681556.79615745938</v>
      </c>
      <c r="I29" s="99">
        <f t="shared" si="12"/>
        <v>765508.78650503687</v>
      </c>
      <c r="J29" s="100"/>
      <c r="K29" s="101"/>
      <c r="L29" s="99">
        <f t="shared" ref="L29:AA29" si="13">SUM(L27:L28)</f>
        <v>898630</v>
      </c>
      <c r="M29" s="102"/>
      <c r="N29" s="99">
        <f t="shared" si="13"/>
        <v>1070854.5930000001</v>
      </c>
      <c r="O29" s="102"/>
      <c r="P29" s="100">
        <f t="shared" si="13"/>
        <v>1064023.335</v>
      </c>
      <c r="Q29" s="101"/>
      <c r="R29" s="100">
        <f>SUM(R27:R28)</f>
        <v>1117051.1471780001</v>
      </c>
      <c r="S29" s="101"/>
      <c r="T29" s="100">
        <f>SUM(T27:T28)</f>
        <v>1153650.0430000001</v>
      </c>
      <c r="U29" s="101"/>
      <c r="V29" s="485">
        <f>SUM(V27:V28)</f>
        <v>1231263.044</v>
      </c>
      <c r="W29" s="101"/>
      <c r="X29" s="317">
        <f>SUM(X27:X28)</f>
        <v>1291118.4174252744</v>
      </c>
      <c r="Y29" s="101"/>
      <c r="Z29" s="317">
        <f t="shared" si="13"/>
        <v>1376264.2575848461</v>
      </c>
      <c r="AA29" s="317">
        <f t="shared" si="13"/>
        <v>1468189.4470988656</v>
      </c>
      <c r="AB29" s="317">
        <f>SUM(AB27:AB28)</f>
        <v>1544895.7438515818</v>
      </c>
      <c r="AC29" s="317">
        <f>SUM(AC27:AC28)</f>
        <v>1649652.9031646475</v>
      </c>
      <c r="AF29" s="480"/>
    </row>
    <row r="30" spans="1:34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459">
        <f>SUM((V30-T30)/T30)</f>
        <v>2.9527532068075697E-2</v>
      </c>
      <c r="V30" s="456">
        <f>14133776.33/1231263044</f>
        <v>1.1479087591294587E-2</v>
      </c>
      <c r="W30" s="305">
        <v>1.4999999999999999E-2</v>
      </c>
      <c r="X30" s="318">
        <f>SUM(V30*(1+W30))</f>
        <v>1.1651273905164005E-2</v>
      </c>
      <c r="Y30" s="305">
        <v>0.02</v>
      </c>
      <c r="Z30" s="318">
        <f>SUM(X30*(1+Y30))</f>
        <v>1.1884299383267285E-2</v>
      </c>
      <c r="AA30" s="318">
        <f>SUM(Z30*(1+Y30))</f>
        <v>1.2121985370932632E-2</v>
      </c>
      <c r="AB30" s="318">
        <f>SUM(AA30*(1+Y30))</f>
        <v>1.2364425078351286E-2</v>
      </c>
      <c r="AC30" s="318">
        <f>SUM(AB30*(1+$Y$30))</f>
        <v>1.2611713579918311E-2</v>
      </c>
    </row>
    <row r="31" spans="1:34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457"/>
      <c r="W31" s="71"/>
      <c r="X31" s="319"/>
      <c r="Y31" s="71"/>
      <c r="Z31" s="319"/>
      <c r="AA31" s="319"/>
      <c r="AB31" s="319"/>
      <c r="AC31" s="319"/>
    </row>
    <row r="32" spans="1:34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4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P32" si="15">SUM(N29*N30)</f>
        <v>12999.765589175515</v>
      </c>
      <c r="O32" s="113"/>
      <c r="P32" s="141">
        <f t="shared" si="15"/>
        <v>12677.752</v>
      </c>
      <c r="Q32" s="114"/>
      <c r="R32" s="141">
        <f>SUM(R29*R30)</f>
        <v>14080.649957033333</v>
      </c>
      <c r="S32" s="114"/>
      <c r="T32" s="141">
        <f>SUM(T29*T30)</f>
        <v>12863.036179999999</v>
      </c>
      <c r="U32" s="114"/>
      <c r="V32" s="508">
        <f>SUM(V29*V30)</f>
        <v>14133.776330000001</v>
      </c>
      <c r="W32" s="370"/>
      <c r="X32" s="392">
        <f>SUM(X29*X30)</f>
        <v>15043.174325423746</v>
      </c>
      <c r="Y32" s="440"/>
      <c r="Z32" s="392">
        <f>SUM(Z29*Z30)</f>
        <v>16355.936467628395</v>
      </c>
      <c r="AA32" s="392">
        <f>SUM(AA29*AA30)</f>
        <v>17797.370999490118</v>
      </c>
      <c r="AB32" s="392">
        <f>SUM(AB29*AB30)</f>
        <v>19101.747678716663</v>
      </c>
      <c r="AC32" s="392">
        <f>SUM(AC29*AC30)</f>
        <v>20804.949920993251</v>
      </c>
      <c r="AD32" s="472" t="s">
        <v>233</v>
      </c>
      <c r="AF32" s="478"/>
      <c r="AG32" s="479"/>
      <c r="AH32" s="479"/>
    </row>
    <row r="33" spans="1:33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489"/>
      <c r="W33" s="117"/>
      <c r="X33" s="116"/>
      <c r="Y33" s="117"/>
      <c r="Z33" s="116"/>
      <c r="AA33" s="116"/>
      <c r="AB33" s="116"/>
      <c r="AC33" s="116"/>
      <c r="AG33" s="479"/>
    </row>
    <row r="34" spans="1:33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120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  <c r="AC34" s="301" t="str">
        <f>$AC$10</f>
        <v>2024 Estimate</v>
      </c>
    </row>
    <row r="35" spans="1:33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65"/>
      <c r="W35" s="64"/>
      <c r="X35" s="321"/>
      <c r="Y35" s="64"/>
      <c r="Z35" s="321"/>
      <c r="AA35" s="321"/>
      <c r="AB35" s="321"/>
      <c r="AC35" s="321"/>
    </row>
    <row r="36" spans="1:33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65"/>
      <c r="W36" s="64"/>
      <c r="X36" s="321"/>
      <c r="Y36" s="64"/>
      <c r="Z36" s="321"/>
      <c r="AA36" s="321"/>
      <c r="AB36" s="321"/>
      <c r="AC36" s="321"/>
    </row>
    <row r="37" spans="1:33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70">
        <v>2481598.6882600002</v>
      </c>
      <c r="W37" s="73"/>
      <c r="X37" s="461">
        <v>2699998.3259999999</v>
      </c>
      <c r="Y37" s="73"/>
      <c r="Z37" s="313">
        <f>SUM(X37:X42)</f>
        <v>2665311.2843281999</v>
      </c>
      <c r="AA37" s="313">
        <f>SUM(Z37:Z42)</f>
        <v>2830864.2843281999</v>
      </c>
      <c r="AB37" s="313">
        <f>SUM(AA37:AA42)</f>
        <v>3008905.2843281999</v>
      </c>
      <c r="AC37" s="313">
        <f>SUM(AB37:AB42)</f>
        <v>3157470.2843281999</v>
      </c>
    </row>
    <row r="38" spans="1:33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124"/>
      <c r="W38" s="73"/>
      <c r="X38" s="505"/>
      <c r="Y38" s="73"/>
      <c r="Z38" s="322"/>
      <c r="AA38" s="322"/>
      <c r="AB38" s="322"/>
      <c r="AC38" s="322"/>
    </row>
    <row r="39" spans="1:33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153"/>
      <c r="W39" s="73"/>
      <c r="X39" s="483">
        <f>-44373.854*78.17%</f>
        <v>-34687.041671800005</v>
      </c>
      <c r="Y39" s="73"/>
      <c r="Z39" s="344">
        <f>SUM(Z15)</f>
        <v>303587</v>
      </c>
      <c r="AA39" s="344">
        <f t="shared" ref="Z39:AA40" si="16">SUM(AA15)</f>
        <v>310788</v>
      </c>
      <c r="AB39" s="344">
        <f>SUM(AB15)</f>
        <v>280335</v>
      </c>
      <c r="AC39" s="344">
        <f>SUM(AC15)</f>
        <v>329161</v>
      </c>
    </row>
    <row r="40" spans="1:33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126"/>
      <c r="W40" s="73"/>
      <c r="X40" s="483"/>
      <c r="Y40" s="73"/>
      <c r="Z40" s="344">
        <f t="shared" si="16"/>
        <v>-18675</v>
      </c>
      <c r="AA40" s="344">
        <f t="shared" si="16"/>
        <v>-13145</v>
      </c>
      <c r="AB40" s="344">
        <f>SUM(AB16)</f>
        <v>-12168</v>
      </c>
      <c r="AC40" s="344">
        <f>SUM(AC16)</f>
        <v>-5895</v>
      </c>
    </row>
    <row r="41" spans="1:33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126"/>
      <c r="W41" s="73"/>
      <c r="X41" s="483"/>
      <c r="Y41" s="73"/>
      <c r="Z41" s="344">
        <f t="shared" ref="Z41:AA42" si="17">SUM(Z18)</f>
        <v>-6747</v>
      </c>
      <c r="AA41" s="344">
        <f t="shared" si="17"/>
        <v>-6990</v>
      </c>
      <c r="AB41" s="344">
        <f>SUM(AB18)</f>
        <v>-6990</v>
      </c>
      <c r="AC41" s="344">
        <f>SUM(AC18)</f>
        <v>-7760</v>
      </c>
    </row>
    <row r="42" spans="1:33" x14ac:dyDescent="0.3">
      <c r="A42" s="56" t="s">
        <v>36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126"/>
      <c r="W42" s="73"/>
      <c r="X42" s="461"/>
      <c r="Y42" s="73"/>
      <c r="Z42" s="344">
        <f>SUM(Z19)</f>
        <v>-112612</v>
      </c>
      <c r="AA42" s="344">
        <f t="shared" si="17"/>
        <v>-112612</v>
      </c>
      <c r="AB42" s="344">
        <f>SUM(AB19)</f>
        <v>-112612</v>
      </c>
      <c r="AC42" s="344">
        <f>SUM(AC19)</f>
        <v>-112612</v>
      </c>
    </row>
    <row r="43" spans="1:33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83"/>
      <c r="W43" s="84"/>
      <c r="X43" s="462"/>
      <c r="Y43" s="84"/>
      <c r="Z43" s="323"/>
      <c r="AA43" s="323"/>
      <c r="AB43" s="323"/>
      <c r="AC43" s="323"/>
    </row>
    <row r="44" spans="1:33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87">
        <v>1</v>
      </c>
      <c r="W44" s="73"/>
      <c r="X44" s="463">
        <v>1</v>
      </c>
      <c r="Y44" s="73"/>
      <c r="Z44" s="314">
        <v>1</v>
      </c>
      <c r="AA44" s="314">
        <v>1</v>
      </c>
      <c r="AB44" s="314">
        <v>1</v>
      </c>
      <c r="AC44" s="314">
        <v>1</v>
      </c>
    </row>
    <row r="45" spans="1:33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91">
        <f>619029054/2481598688.26</f>
        <v>0.24944768746393839</v>
      </c>
      <c r="W45" s="84"/>
      <c r="X45" s="464">
        <v>0.25290000000000001</v>
      </c>
      <c r="Y45" s="84"/>
      <c r="Z45" s="315">
        <f>SUM(X45)</f>
        <v>0.25290000000000001</v>
      </c>
      <c r="AA45" s="315">
        <f t="shared" ref="AA45" si="18">SUM(Z45)</f>
        <v>0.25290000000000001</v>
      </c>
      <c r="AB45" s="315">
        <f>SUM(AA45)</f>
        <v>0.25290000000000001</v>
      </c>
      <c r="AC45" s="315">
        <f>SUM(AB45)</f>
        <v>0.25290000000000001</v>
      </c>
    </row>
    <row r="46" spans="1:33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70">
        <f>SUM(V37:V43)*V44*V45</f>
        <v>619029.054</v>
      </c>
      <c r="W46" s="73"/>
      <c r="X46" s="461">
        <f>SUM(X37:X43)*X44*X45-1</f>
        <v>674056.22380660183</v>
      </c>
      <c r="Y46" s="73"/>
      <c r="Z46" s="313">
        <f>SUM(Z37:Z43)*Z44*Z45</f>
        <v>715925.57750660181</v>
      </c>
      <c r="AA46" s="313">
        <f>SUM(AA37:AA43)*AA44*AA45</f>
        <v>760952.14640660177</v>
      </c>
      <c r="AB46" s="313">
        <f>SUM(AB37:AB43)*AB44*AB45</f>
        <v>798524.23490660184</v>
      </c>
      <c r="AC46" s="313">
        <f>SUM(AC37:AC43)*AC44*AC45</f>
        <v>849836.12750660186</v>
      </c>
    </row>
    <row r="47" spans="1:33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83">
        <f>589749.943-V46</f>
        <v>-29279.111000000034</v>
      </c>
      <c r="W47" s="84"/>
      <c r="X47" s="462">
        <f>-12448.802-342.259-900-347.706</f>
        <v>-14038.767</v>
      </c>
      <c r="Y47" s="84"/>
      <c r="Z47" s="323">
        <f>SUM(X47)</f>
        <v>-14038.767</v>
      </c>
      <c r="AA47" s="323">
        <f t="shared" ref="AA47" si="19">SUM(Z47)</f>
        <v>-14038.767</v>
      </c>
      <c r="AB47" s="323">
        <f>SUM(AA47)</f>
        <v>-14038.767</v>
      </c>
      <c r="AC47" s="323">
        <f>SUM(AB47)</f>
        <v>-14038.767</v>
      </c>
    </row>
    <row r="48" spans="1:33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0">SUM(L46:L47)</f>
        <v>469394.93499999994</v>
      </c>
      <c r="M48" s="72"/>
      <c r="N48" s="69">
        <f t="shared" si="20"/>
        <v>504910.23699999996</v>
      </c>
      <c r="O48" s="70"/>
      <c r="P48" s="70">
        <f t="shared" si="20"/>
        <v>504754.00099999999</v>
      </c>
      <c r="Q48" s="73"/>
      <c r="R48" s="70">
        <f>SUM(R46:R47)</f>
        <v>549171.69446199993</v>
      </c>
      <c r="S48" s="73"/>
      <c r="T48" s="70">
        <f t="shared" si="20"/>
        <v>573846.04099999997</v>
      </c>
      <c r="U48" s="73"/>
      <c r="V48" s="70">
        <f>SUM(V46:V47)</f>
        <v>589749.94299999997</v>
      </c>
      <c r="W48" s="73"/>
      <c r="X48" s="461">
        <f>SUM(X46:X47)</f>
        <v>660017.45680660184</v>
      </c>
      <c r="Y48" s="73"/>
      <c r="Z48" s="313">
        <f>SUM(Z46:Z47)</f>
        <v>701886.81050660182</v>
      </c>
      <c r="AA48" s="313">
        <f t="shared" si="20"/>
        <v>746913.37940660177</v>
      </c>
      <c r="AB48" s="313">
        <f>SUM(AB46:AB47)</f>
        <v>784485.46790660184</v>
      </c>
      <c r="AC48" s="313">
        <f>SUM(AC46:AC47)</f>
        <v>835797.36050660186</v>
      </c>
    </row>
    <row r="49" spans="1:30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134">
        <v>1</v>
      </c>
      <c r="W49" s="84"/>
      <c r="X49" s="504">
        <v>1</v>
      </c>
      <c r="Y49" s="84"/>
      <c r="Z49" s="324">
        <v>1</v>
      </c>
      <c r="AA49" s="324">
        <v>1</v>
      </c>
      <c r="AB49" s="324">
        <v>1</v>
      </c>
      <c r="AC49" s="324">
        <v>1</v>
      </c>
    </row>
    <row r="50" spans="1:30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1">SUM(G48*G49)</f>
        <v>426852.43202319462</v>
      </c>
      <c r="I50" s="69">
        <f t="shared" si="21"/>
        <v>468663.26434402453</v>
      </c>
      <c r="J50" s="70"/>
      <c r="K50" s="71"/>
      <c r="L50" s="69">
        <f t="shared" ref="L50:AA50" si="22">SUM(L48*L49)</f>
        <v>469394.93499999994</v>
      </c>
      <c r="M50" s="72"/>
      <c r="N50" s="69">
        <f t="shared" si="22"/>
        <v>504910.23699999996</v>
      </c>
      <c r="O50" s="70"/>
      <c r="P50" s="70">
        <f t="shared" si="22"/>
        <v>504754.00099999999</v>
      </c>
      <c r="Q50" s="73"/>
      <c r="R50" s="70">
        <f>SUM(R48*R49)</f>
        <v>549171.69446199993</v>
      </c>
      <c r="S50" s="73"/>
      <c r="T50" s="70">
        <f t="shared" si="22"/>
        <v>573846.04099999997</v>
      </c>
      <c r="U50" s="73"/>
      <c r="V50" s="70">
        <f>SUM(V48*V49)</f>
        <v>589749.94299999997</v>
      </c>
      <c r="W50" s="73"/>
      <c r="X50" s="461">
        <f t="shared" si="22"/>
        <v>660017.45680660184</v>
      </c>
      <c r="Y50" s="73"/>
      <c r="Z50" s="313">
        <f>SUM(Z48*Z49)</f>
        <v>701886.81050660182</v>
      </c>
      <c r="AA50" s="313">
        <f t="shared" si="22"/>
        <v>746913.37940660177</v>
      </c>
      <c r="AB50" s="313">
        <f>SUM(AB48*AB49)</f>
        <v>784485.46790660184</v>
      </c>
      <c r="AC50" s="313">
        <f>SUM(AC48*AC49)</f>
        <v>835797.36050660186</v>
      </c>
    </row>
    <row r="51" spans="1:30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466">
        <f>SUM((V51-T51)/T51)</f>
        <v>-6.1830860907388874E-2</v>
      </c>
      <c r="V51" s="456">
        <f>5979.19035/V50</f>
        <v>1.0138517893845731E-2</v>
      </c>
      <c r="W51" s="305">
        <f>$W$30</f>
        <v>1.4999999999999999E-2</v>
      </c>
      <c r="X51" s="318">
        <f>SUM(V51*(1+W51))</f>
        <v>1.0290595662253417E-2</v>
      </c>
      <c r="Y51" s="305">
        <f>$Y$30</f>
        <v>0.02</v>
      </c>
      <c r="Z51" s="318">
        <f>SUM(X51*(1+Y51))</f>
        <v>1.0496407575498485E-2</v>
      </c>
      <c r="AA51" s="318">
        <f>SUM(Z51*(1+Y51))</f>
        <v>1.0706335727008454E-2</v>
      </c>
      <c r="AB51" s="318">
        <f>SUM(AA51*(1+Y51))</f>
        <v>1.0920462441548623E-2</v>
      </c>
      <c r="AC51" s="318">
        <f>SUM(AB51*(1+$Y$51))</f>
        <v>1.1138871690379595E-2</v>
      </c>
    </row>
    <row r="52" spans="1:30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457"/>
      <c r="W52" s="71"/>
      <c r="X52" s="319"/>
      <c r="Y52" s="71"/>
      <c r="Z52" s="319"/>
      <c r="AA52" s="319"/>
      <c r="AB52" s="319"/>
      <c r="AC52" s="319"/>
    </row>
    <row r="53" spans="1:30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3">SUM(G50*G51)</f>
        <v>4690.254523070862</v>
      </c>
      <c r="I53" s="112">
        <f t="shared" si="23"/>
        <v>5359.0285675337436</v>
      </c>
      <c r="J53" s="141"/>
      <c r="K53" s="114"/>
      <c r="L53" s="112">
        <f t="shared" ref="L53:AA53" si="24">SUM(L50*L51)</f>
        <v>5440.7422465869995</v>
      </c>
      <c r="M53" s="113"/>
      <c r="N53" s="112">
        <f t="shared" si="24"/>
        <v>5717.717903841688</v>
      </c>
      <c r="O53" s="113"/>
      <c r="P53" s="141">
        <f t="shared" si="24"/>
        <v>5675.1669887565686</v>
      </c>
      <c r="Q53" s="114"/>
      <c r="R53" s="141">
        <f>SUM(R50*R51)</f>
        <v>6132.3038800000004</v>
      </c>
      <c r="S53" s="114"/>
      <c r="T53" s="141">
        <f>SUM(T50*T51)</f>
        <v>6201.3853499999996</v>
      </c>
      <c r="U53" s="370"/>
      <c r="V53" s="508">
        <f>SUM(V50*V51)</f>
        <v>5979.1903499999999</v>
      </c>
      <c r="W53" s="370"/>
      <c r="X53" s="533">
        <f>SUM(X50*X51)</f>
        <v>6791.9727780255489</v>
      </c>
      <c r="Y53" s="370"/>
      <c r="Z53" s="392">
        <f t="shared" si="24"/>
        <v>7367.2900349439651</v>
      </c>
      <c r="AA53" s="392">
        <f t="shared" si="24"/>
        <v>7996.705398921521</v>
      </c>
      <c r="AB53" s="392">
        <f>SUM(AB50*AB51)</f>
        <v>8566.9440882147428</v>
      </c>
      <c r="AC53" s="392">
        <f>SUM(AC50*AC51)</f>
        <v>9309.8395578409763</v>
      </c>
      <c r="AD53" s="472" t="s">
        <v>230</v>
      </c>
    </row>
    <row r="54" spans="1:30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  <c r="AC54" s="144"/>
    </row>
    <row r="55" spans="1:30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120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  <c r="AC55" s="301" t="str">
        <f>$AC$10</f>
        <v>2024 Estimate</v>
      </c>
    </row>
    <row r="56" spans="1:30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4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  <c r="AC56" s="312" t="s">
        <v>57</v>
      </c>
    </row>
    <row r="57" spans="1:30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149">
        <v>4499000</v>
      </c>
      <c r="W57" s="152"/>
      <c r="X57" s="460">
        <v>4711000</v>
      </c>
      <c r="Y57" s="152"/>
      <c r="Z57" s="325">
        <f>SUM(X57)</f>
        <v>4711000</v>
      </c>
      <c r="AA57" s="325">
        <f>SUM(Z57:Z60)</f>
        <v>4975292</v>
      </c>
      <c r="AB57" s="325">
        <f>SUM(AA57:AA60)</f>
        <v>5250538</v>
      </c>
      <c r="AC57" s="325">
        <f>SUM(AB57:AB60)</f>
        <v>5499678</v>
      </c>
    </row>
    <row r="58" spans="1:30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70">
        <v>4049000</v>
      </c>
      <c r="W58" s="73"/>
      <c r="X58" s="461">
        <v>4240000</v>
      </c>
      <c r="Y58" s="73"/>
      <c r="Z58" s="313"/>
      <c r="AA58" s="313"/>
      <c r="AB58" s="313"/>
      <c r="AC58" s="313"/>
    </row>
    <row r="59" spans="1:30" x14ac:dyDescent="0.3">
      <c r="A59" s="56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70"/>
      <c r="W59" s="73"/>
      <c r="X59" s="461"/>
      <c r="Y59" s="399"/>
      <c r="Z59" s="313">
        <f>SUM(Z15+Z16+Z17+Z18+Z118)</f>
        <v>376904</v>
      </c>
      <c r="AA59" s="313">
        <f>SUM(AA15+AA16+AA17+AA18+AA118)</f>
        <v>387858</v>
      </c>
      <c r="AB59" s="313">
        <f>SUM(AB15+AB16+AB17+AB18+AB118)</f>
        <v>361752</v>
      </c>
      <c r="AC59" s="313">
        <f>SUM(AC15+AC16+AC17+AC18+AC118)</f>
        <v>410805</v>
      </c>
    </row>
    <row r="60" spans="1:30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70"/>
      <c r="W60" s="73"/>
      <c r="X60" s="461"/>
      <c r="Y60" s="73"/>
      <c r="Z60" s="313">
        <f>SUM(Z19+Z119)</f>
        <v>-112612</v>
      </c>
      <c r="AA60" s="313">
        <f>SUM(AA19+AA119)</f>
        <v>-112612</v>
      </c>
      <c r="AB60" s="313">
        <f>SUM(AB19+AB119)</f>
        <v>-112612</v>
      </c>
      <c r="AC60" s="313">
        <f>SUM(AC19+AC119)</f>
        <v>-112612</v>
      </c>
    </row>
    <row r="61" spans="1:30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83"/>
      <c r="U61" s="84"/>
      <c r="V61" s="83"/>
      <c r="W61" s="84"/>
      <c r="X61" s="462"/>
      <c r="Y61" s="84"/>
      <c r="Z61" s="323">
        <f>SUM(Z57:Z60)*0.1*-1</f>
        <v>-497529.2</v>
      </c>
      <c r="AA61" s="323">
        <f>SUM(AA57:AA60)*0.1*-1</f>
        <v>-525053.80000000005</v>
      </c>
      <c r="AB61" s="323">
        <f>SUM(AB57:AB60)*0.1*-1</f>
        <v>-549967.80000000005</v>
      </c>
      <c r="AC61" s="323">
        <f>SUM(AC57:AC60)*0.1*-1</f>
        <v>-579787.1</v>
      </c>
    </row>
    <row r="62" spans="1:30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70">
        <f>SUM(V58:V61)</f>
        <v>4049000</v>
      </c>
      <c r="W62" s="73"/>
      <c r="X62" s="461">
        <f>SUM(X58:X61)</f>
        <v>4240000</v>
      </c>
      <c r="Y62" s="73"/>
      <c r="Z62" s="313">
        <f>SUM(Z57:Z61)</f>
        <v>4477762.8</v>
      </c>
      <c r="AA62" s="313">
        <f>SUM(AA57:AA61)</f>
        <v>4725484.2</v>
      </c>
      <c r="AB62" s="313">
        <f>SUM(AB57:AB61)</f>
        <v>4949710.2</v>
      </c>
      <c r="AC62" s="313">
        <f>SUM(AC57:AC61)</f>
        <v>5218083.9000000004</v>
      </c>
    </row>
    <row r="63" spans="1:30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87">
        <v>1</v>
      </c>
      <c r="W63" s="73"/>
      <c r="X63" s="463">
        <v>1</v>
      </c>
      <c r="Y63" s="73"/>
      <c r="Z63" s="314">
        <v>1</v>
      </c>
      <c r="AA63" s="314">
        <v>1</v>
      </c>
      <c r="AB63" s="314">
        <v>1</v>
      </c>
      <c r="AC63" s="314">
        <v>1</v>
      </c>
    </row>
    <row r="64" spans="1:30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91">
        <f>489758686/4049000000</f>
        <v>0.12095793677451222</v>
      </c>
      <c r="W64" s="84"/>
      <c r="X64" s="464">
        <v>0.11532112098199999</v>
      </c>
      <c r="Y64" s="84"/>
      <c r="Z64" s="315">
        <f t="shared" ref="Z64" si="25">SUM(X64)</f>
        <v>0.11532112098199999</v>
      </c>
      <c r="AA64" s="315">
        <f>SUM(Z64)</f>
        <v>0.11532112098199999</v>
      </c>
      <c r="AB64" s="315">
        <f>SUM(AA64)</f>
        <v>0.11532112098199999</v>
      </c>
      <c r="AC64" s="315">
        <f>SUM(AB64)</f>
        <v>0.11532112098199999</v>
      </c>
    </row>
    <row r="65" spans="1:30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26">SUM(G62*G64)</f>
        <v>350240.37700000004</v>
      </c>
      <c r="I65" s="69">
        <f t="shared" si="26"/>
        <v>370904.02</v>
      </c>
      <c r="J65" s="70"/>
      <c r="K65" s="71"/>
      <c r="L65" s="69">
        <f t="shared" ref="L65:Z65" si="27">SUM(L62*L64)</f>
        <v>379502.29200000002</v>
      </c>
      <c r="M65" s="72"/>
      <c r="N65" s="69">
        <f t="shared" si="27"/>
        <v>345023.42800000001</v>
      </c>
      <c r="O65" s="70"/>
      <c r="P65" s="70">
        <f t="shared" si="27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70">
        <f>SUM(V62*V64)</f>
        <v>489758.68599999999</v>
      </c>
      <c r="W65" s="73"/>
      <c r="X65" s="461">
        <f>SUM(X62*X64)</f>
        <v>488961.55296367995</v>
      </c>
      <c r="Y65" s="73"/>
      <c r="Z65" s="313">
        <f t="shared" si="27"/>
        <v>516380.625587499</v>
      </c>
      <c r="AA65" s="313">
        <f>SUM(AA62*AA64)</f>
        <v>544948.1351267295</v>
      </c>
      <c r="AB65" s="313">
        <f>SUM(AB62*AB64)</f>
        <v>570806.12880003941</v>
      </c>
      <c r="AC65" s="313">
        <f>SUM(AC62*AC64)</f>
        <v>601755.28472612635</v>
      </c>
    </row>
    <row r="66" spans="1:30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70">
        <f>488836.762-V65</f>
        <v>-921.92399999999907</v>
      </c>
      <c r="W66" s="73"/>
      <c r="X66" s="461">
        <v>-410.86500000000001</v>
      </c>
      <c r="Y66" s="73"/>
      <c r="Z66" s="313">
        <v>0</v>
      </c>
      <c r="AA66" s="313">
        <v>0</v>
      </c>
      <c r="AB66" s="313">
        <v>0</v>
      </c>
      <c r="AC66" s="313">
        <v>0</v>
      </c>
    </row>
    <row r="67" spans="1:30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157">
        <v>1</v>
      </c>
      <c r="W67" s="73"/>
      <c r="X67" s="465">
        <v>1</v>
      </c>
      <c r="Y67" s="73"/>
      <c r="Z67" s="326">
        <v>1</v>
      </c>
      <c r="AA67" s="326">
        <v>1</v>
      </c>
      <c r="AB67" s="326">
        <v>1</v>
      </c>
      <c r="AC67" s="326">
        <v>1</v>
      </c>
    </row>
    <row r="68" spans="1:30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28">SUM(G65:G66)*G67</f>
        <v>349938.54100000003</v>
      </c>
      <c r="I68" s="69">
        <f t="shared" si="28"/>
        <v>370623.68800000002</v>
      </c>
      <c r="J68" s="70"/>
      <c r="K68" s="71"/>
      <c r="L68" s="69">
        <f t="shared" ref="L68:N68" si="29">SUM(L65:L66)*L67</f>
        <v>379213.82400000002</v>
      </c>
      <c r="M68" s="72"/>
      <c r="N68" s="69">
        <f t="shared" si="29"/>
        <v>344746.50900000002</v>
      </c>
      <c r="O68" s="70"/>
      <c r="P68" s="70">
        <f t="shared" ref="P68:Z68" si="30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70">
        <f>SUM(V65:V66)*V67</f>
        <v>488836.76199999999</v>
      </c>
      <c r="W68" s="73"/>
      <c r="X68" s="461">
        <f>SUM(X65:X66)*X67</f>
        <v>488550.68796367996</v>
      </c>
      <c r="Y68" s="73"/>
      <c r="Z68" s="313">
        <f t="shared" si="30"/>
        <v>516380.625587499</v>
      </c>
      <c r="AA68" s="313">
        <f>SUM(AA65:AA66)*AA67</f>
        <v>544948.1351267295</v>
      </c>
      <c r="AB68" s="313">
        <f>SUM(AB65:AB66)*AB67</f>
        <v>570806.12880003941</v>
      </c>
      <c r="AC68" s="313">
        <f>SUM(AC65:AC66)*AC67</f>
        <v>601755.28472612635</v>
      </c>
    </row>
    <row r="69" spans="1:30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176">
        <f>32120.631/V68</f>
        <v>6.5708296709485206E-2</v>
      </c>
      <c r="W69" s="164"/>
      <c r="X69" s="327">
        <f>SUM(V69)</f>
        <v>6.5708296709485206E-2</v>
      </c>
      <c r="Y69" s="164"/>
      <c r="Z69" s="327">
        <f t="shared" ref="Z69" si="31">SUM(X69)</f>
        <v>6.5708296709485206E-2</v>
      </c>
      <c r="AA69" s="327">
        <f>SUM(Z69)</f>
        <v>6.5708296709485206E-2</v>
      </c>
      <c r="AB69" s="327">
        <f>SUM(AA69)</f>
        <v>6.5708296709485206E-2</v>
      </c>
      <c r="AC69" s="327">
        <f>SUM(AB69)</f>
        <v>6.5708296709485206E-2</v>
      </c>
    </row>
    <row r="70" spans="1:30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2">SUM(G68*G69)</f>
        <v>22904.265934547748</v>
      </c>
      <c r="I70" s="69">
        <f t="shared" si="32"/>
        <v>24673.979228846489</v>
      </c>
      <c r="J70" s="153"/>
      <c r="K70" s="71"/>
      <c r="L70" s="69">
        <f t="shared" ref="L70:X70" si="33">SUM(L68*L69)</f>
        <v>24737.454518899576</v>
      </c>
      <c r="M70" s="72"/>
      <c r="N70" s="69">
        <f t="shared" si="33"/>
        <v>22376.198131038327</v>
      </c>
      <c r="O70" s="165"/>
      <c r="P70" s="131">
        <f t="shared" si="33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70">
        <f>SUM(V68*V69)</f>
        <v>32120.631000000001</v>
      </c>
      <c r="W70" s="166"/>
      <c r="X70" s="313">
        <f t="shared" si="33"/>
        <v>32101.833562340606</v>
      </c>
      <c r="Y70" s="166"/>
      <c r="Z70" s="313">
        <f>SUM(Z68*Z69)</f>
        <v>33930.491361132976</v>
      </c>
      <c r="AA70" s="313">
        <f>SUM(AA68*AA69)</f>
        <v>35807.613754187776</v>
      </c>
      <c r="AB70" s="313">
        <f>SUM(AB68*AB69)</f>
        <v>37506.698474785619</v>
      </c>
      <c r="AC70" s="313">
        <f>SUM(AC68*AC69)</f>
        <v>39540.314795285063</v>
      </c>
    </row>
    <row r="71" spans="1:30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  <c r="AC71" s="313">
        <v>0</v>
      </c>
    </row>
    <row r="72" spans="1:30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4">SUM(G70:G71)</f>
        <v>22904.265934547748</v>
      </c>
      <c r="I72" s="99">
        <f t="shared" si="34"/>
        <v>24673.979228846489</v>
      </c>
      <c r="J72" s="167"/>
      <c r="K72" s="101"/>
      <c r="L72" s="99">
        <f t="shared" ref="L72:Z72" si="35">SUM(L70:L71)</f>
        <v>24737.454518899576</v>
      </c>
      <c r="M72" s="102"/>
      <c r="N72" s="99">
        <f t="shared" si="35"/>
        <v>22376.198131038327</v>
      </c>
      <c r="O72" s="102"/>
      <c r="P72" s="100">
        <f t="shared" si="35"/>
        <v>27999.644464958154</v>
      </c>
      <c r="Q72" s="101"/>
      <c r="R72" s="100">
        <f t="shared" ref="R72" si="36">SUM(R70:R71)</f>
        <v>29277.027320712124</v>
      </c>
      <c r="S72" s="101"/>
      <c r="T72" s="100">
        <f>SUM(T70:T71)</f>
        <v>30670.574000000001</v>
      </c>
      <c r="U72" s="101"/>
      <c r="V72" s="100">
        <f>SUM(V70:V71)</f>
        <v>32120.631000000001</v>
      </c>
      <c r="W72" s="101"/>
      <c r="X72" s="317">
        <f t="shared" si="35"/>
        <v>32101.833562340606</v>
      </c>
      <c r="Y72" s="101"/>
      <c r="Z72" s="317">
        <f t="shared" si="35"/>
        <v>33930.491361132976</v>
      </c>
      <c r="AA72" s="317">
        <f>SUM(AA70:AA71)</f>
        <v>35807.613754187776</v>
      </c>
      <c r="AB72" s="317">
        <f>SUM(AB70:AB71)</f>
        <v>37506.698474785619</v>
      </c>
      <c r="AC72" s="317">
        <f>SUM(AC70:AC71)</f>
        <v>39540.314795285063</v>
      </c>
    </row>
    <row r="73" spans="1:30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294">
        <f>SUM((V73-T73)/T73)</f>
        <v>-1.3491836583370404E-2</v>
      </c>
      <c r="V73" s="293">
        <f>11537.7201/V72</f>
        <v>0.3591996713887719</v>
      </c>
      <c r="W73" s="305">
        <f>$W$30</f>
        <v>1.4999999999999999E-2</v>
      </c>
      <c r="X73" s="318">
        <f>SUM(V73*(1+W73))</f>
        <v>0.36458766645960344</v>
      </c>
      <c r="Y73" s="305">
        <f>$Y$30</f>
        <v>0.02</v>
      </c>
      <c r="Z73" s="318">
        <f>SUM(X73*(1+Y73))</f>
        <v>0.37187941978879552</v>
      </c>
      <c r="AA73" s="318">
        <f>SUM(Z73*(1+Y73))</f>
        <v>0.37931700818457142</v>
      </c>
      <c r="AB73" s="318">
        <f>SUM(AA73*(1+Y73))</f>
        <v>0.38690334834826284</v>
      </c>
      <c r="AC73" s="318">
        <f>SUM(AB73*(1+$Y$73))</f>
        <v>0.39464141531522812</v>
      </c>
    </row>
    <row r="74" spans="1:30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139"/>
      <c r="W74" s="71"/>
      <c r="X74" s="319"/>
      <c r="Y74" s="71"/>
      <c r="Z74" s="319"/>
      <c r="AA74" s="319"/>
      <c r="AB74" s="319"/>
      <c r="AC74" s="319"/>
    </row>
    <row r="75" spans="1:30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37">SUM(G72*G73)</f>
        <v>7219.74299186594</v>
      </c>
      <c r="I75" s="112">
        <f t="shared" si="37"/>
        <v>8163.043288322272</v>
      </c>
      <c r="J75" s="141"/>
      <c r="K75" s="114"/>
      <c r="L75" s="112">
        <f t="shared" ref="L75:N75" si="38">SUM(L72*L73)</f>
        <v>8456.9513856009962</v>
      </c>
      <c r="M75" s="113"/>
      <c r="N75" s="112">
        <f t="shared" si="38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141">
        <f>SUM(T72*T73)</f>
        <v>11167.5306</v>
      </c>
      <c r="U75" s="370"/>
      <c r="V75" s="141">
        <f>SUM(V72*V73)</f>
        <v>11537.7201</v>
      </c>
      <c r="W75" s="370"/>
      <c r="X75" s="392">
        <f>SUM(X72*X73)</f>
        <v>11703.932587568341</v>
      </c>
      <c r="Y75" s="370"/>
      <c r="Z75" s="392">
        <f>SUM(Z72*Z73)</f>
        <v>12618.05144052687</v>
      </c>
      <c r="AA75" s="392">
        <f>SUM(AA72*AA73)</f>
        <v>13582.436919467216</v>
      </c>
      <c r="AB75" s="392">
        <f>SUM(AB72*AB73)</f>
        <v>14511.46722538324</v>
      </c>
      <c r="AC75" s="392">
        <f>SUM(AC72*AC73)</f>
        <v>15604.245792820951</v>
      </c>
      <c r="AD75" s="472" t="s">
        <v>217</v>
      </c>
    </row>
    <row r="76" spans="1:30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  <c r="AC76" s="171"/>
    </row>
    <row r="77" spans="1:30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120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">
        <v>178</v>
      </c>
      <c r="AC77" s="301" t="s">
        <v>179</v>
      </c>
    </row>
    <row r="78" spans="1:30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65"/>
      <c r="W78" s="175"/>
      <c r="X78" s="321"/>
      <c r="Y78" s="175"/>
      <c r="Z78" s="321"/>
      <c r="AA78" s="321"/>
      <c r="AB78" s="321"/>
      <c r="AC78" s="321"/>
    </row>
    <row r="79" spans="1:30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46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  <c r="AC79" s="308" t="s">
        <v>75</v>
      </c>
    </row>
    <row r="80" spans="1:30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70">
        <v>1377</v>
      </c>
      <c r="W80" s="73"/>
      <c r="X80" s="313">
        <f>SUM(V80)</f>
        <v>1377</v>
      </c>
      <c r="Y80" s="73"/>
      <c r="Z80" s="313">
        <f>SUM(X80)</f>
        <v>1377</v>
      </c>
      <c r="AA80" s="313">
        <f t="shared" ref="AA80" si="39">SUM(Z80)</f>
        <v>1377</v>
      </c>
      <c r="AB80" s="313">
        <f>SUM(AA80)</f>
        <v>1377</v>
      </c>
      <c r="AC80" s="313">
        <f>SUM(AB80)</f>
        <v>1377</v>
      </c>
    </row>
    <row r="81" spans="1:30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70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  <c r="AC81" s="313">
        <v>0</v>
      </c>
    </row>
    <row r="82" spans="1:30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70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  <c r="AC82" s="313">
        <f>SUM(AC74)</f>
        <v>0</v>
      </c>
    </row>
    <row r="83" spans="1:30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87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  <c r="AC83" s="314">
        <v>1</v>
      </c>
    </row>
    <row r="84" spans="1:30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91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  <c r="AC84" s="315">
        <v>1</v>
      </c>
    </row>
    <row r="85" spans="1:30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0">SUM((G80+G81+G82)*G83*G84)</f>
        <v>888.3152139</v>
      </c>
      <c r="I85" s="69">
        <f t="shared" si="40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1">SUM((P80+P81+P82)*P83*P84)</f>
        <v>1137.998</v>
      </c>
      <c r="Q85" s="73"/>
      <c r="R85" s="70">
        <f t="shared" ref="R85" si="42">SUM((R80+R81+R82)*R83*R84)</f>
        <v>1221</v>
      </c>
      <c r="S85" s="73"/>
      <c r="T85" s="70">
        <f t="shared" si="41"/>
        <v>1432</v>
      </c>
      <c r="U85" s="73"/>
      <c r="V85" s="70">
        <f>SUM((V80+V81+V82)*V83*V84)</f>
        <v>1377</v>
      </c>
      <c r="W85" s="73"/>
      <c r="X85" s="313">
        <f t="shared" si="41"/>
        <v>1377</v>
      </c>
      <c r="Y85" s="73"/>
      <c r="Z85" s="313">
        <f t="shared" si="41"/>
        <v>1377</v>
      </c>
      <c r="AA85" s="313">
        <f t="shared" si="41"/>
        <v>1377</v>
      </c>
      <c r="AB85" s="313">
        <f>SUM((AB80+AB81+AB82)*AB83*AB84)</f>
        <v>1377</v>
      </c>
      <c r="AC85" s="313">
        <f>SUM((AC80+AC81+AC82)*AC83*AC84)</f>
        <v>1377</v>
      </c>
    </row>
    <row r="86" spans="1:30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124"/>
      <c r="W86" s="73"/>
      <c r="X86" s="313"/>
      <c r="Y86" s="73"/>
      <c r="Z86" s="313"/>
      <c r="AA86" s="313"/>
      <c r="AB86" s="313"/>
      <c r="AC86" s="313"/>
    </row>
    <row r="87" spans="1:30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157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  <c r="AC87" s="326">
        <v>1</v>
      </c>
    </row>
    <row r="88" spans="1:30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3">SUM(G85:G86)*G87</f>
        <v>888.3152139</v>
      </c>
      <c r="I88" s="69">
        <f t="shared" si="43"/>
        <v>1002.3308361092717</v>
      </c>
      <c r="J88" s="70"/>
      <c r="K88" s="71"/>
      <c r="L88" s="69">
        <v>1190</v>
      </c>
      <c r="M88" s="72"/>
      <c r="N88" s="69">
        <f t="shared" ref="N88" si="44">SUM(N85:N86)*N87</f>
        <v>1131</v>
      </c>
      <c r="O88" s="70"/>
      <c r="P88" s="70">
        <f t="shared" ref="P88:AA88" si="45">SUM(P85:P86)*P87</f>
        <v>1137.998</v>
      </c>
      <c r="Q88" s="73"/>
      <c r="R88" s="70">
        <f t="shared" ref="R88" si="46">SUM(R85:R86)*R87</f>
        <v>1221</v>
      </c>
      <c r="S88" s="73"/>
      <c r="T88" s="70">
        <f t="shared" si="45"/>
        <v>1432</v>
      </c>
      <c r="U88" s="73"/>
      <c r="V88" s="70">
        <f>SUM(V85:V86)*V87</f>
        <v>1377</v>
      </c>
      <c r="W88" s="73"/>
      <c r="X88" s="313">
        <f t="shared" si="45"/>
        <v>1377</v>
      </c>
      <c r="Y88" s="73"/>
      <c r="Z88" s="313">
        <f t="shared" si="45"/>
        <v>1377</v>
      </c>
      <c r="AA88" s="313">
        <f t="shared" si="45"/>
        <v>1377</v>
      </c>
      <c r="AB88" s="313">
        <f>SUM(AB85:AB86)*AB87</f>
        <v>1377</v>
      </c>
      <c r="AC88" s="313">
        <f>SUM(AC85:AC86)*AC87</f>
        <v>1377</v>
      </c>
    </row>
    <row r="89" spans="1:30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176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  <c r="AC89" s="327">
        <v>1</v>
      </c>
    </row>
    <row r="90" spans="1:30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47">SUM(G88*G89)</f>
        <v>888.3152139</v>
      </c>
      <c r="I90" s="69">
        <f t="shared" si="47"/>
        <v>1002.3308361092717</v>
      </c>
      <c r="J90" s="70"/>
      <c r="K90" s="71"/>
      <c r="L90" s="69">
        <f t="shared" ref="L90:AA90" si="48">SUM(L88*L89)</f>
        <v>1190</v>
      </c>
      <c r="M90" s="72"/>
      <c r="N90" s="69">
        <f t="shared" si="48"/>
        <v>1131</v>
      </c>
      <c r="O90" s="70"/>
      <c r="P90" s="70">
        <f t="shared" si="48"/>
        <v>1137.998</v>
      </c>
      <c r="Q90" s="73"/>
      <c r="R90" s="70">
        <f t="shared" ref="R90" si="49">SUM(R88*R89)</f>
        <v>1221</v>
      </c>
      <c r="S90" s="73"/>
      <c r="T90" s="70">
        <f t="shared" si="48"/>
        <v>1432</v>
      </c>
      <c r="U90" s="73"/>
      <c r="V90" s="70">
        <f t="shared" si="48"/>
        <v>1377</v>
      </c>
      <c r="W90" s="73"/>
      <c r="X90" s="313">
        <f t="shared" si="48"/>
        <v>1377</v>
      </c>
      <c r="Y90" s="73"/>
      <c r="Z90" s="313">
        <f t="shared" si="48"/>
        <v>1377</v>
      </c>
      <c r="AA90" s="313">
        <f t="shared" si="48"/>
        <v>1377</v>
      </c>
      <c r="AB90" s="313">
        <f>SUM(AB88*AB89)</f>
        <v>1377</v>
      </c>
      <c r="AC90" s="313">
        <f>SUM(AC88*AC89)</f>
        <v>1377</v>
      </c>
    </row>
    <row r="91" spans="1:30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70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  <c r="AC91" s="313">
        <v>0</v>
      </c>
    </row>
    <row r="92" spans="1:30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0">SUM(G90:G91)</f>
        <v>888.3152139</v>
      </c>
      <c r="I92" s="99">
        <f t="shared" si="50"/>
        <v>1002.3308361092717</v>
      </c>
      <c r="J92" s="100"/>
      <c r="K92" s="101"/>
      <c r="L92" s="99">
        <f t="shared" ref="L92:AA92" si="51">SUM(L90:L91)</f>
        <v>1190</v>
      </c>
      <c r="M92" s="111"/>
      <c r="N92" s="99">
        <f t="shared" si="51"/>
        <v>1131</v>
      </c>
      <c r="O92" s="100"/>
      <c r="P92" s="100">
        <f t="shared" si="51"/>
        <v>1137.998</v>
      </c>
      <c r="Q92" s="177"/>
      <c r="R92" s="100">
        <f t="shared" ref="R92" si="52">SUM(R90:R91)</f>
        <v>1221</v>
      </c>
      <c r="S92" s="177"/>
      <c r="T92" s="100">
        <f t="shared" si="51"/>
        <v>1432</v>
      </c>
      <c r="U92" s="177"/>
      <c r="V92" s="100">
        <f t="shared" si="51"/>
        <v>1377</v>
      </c>
      <c r="W92" s="177"/>
      <c r="X92" s="317">
        <f t="shared" si="51"/>
        <v>1377</v>
      </c>
      <c r="Y92" s="177"/>
      <c r="Z92" s="317">
        <f t="shared" si="51"/>
        <v>1377</v>
      </c>
      <c r="AA92" s="317">
        <f t="shared" si="51"/>
        <v>1377</v>
      </c>
      <c r="AB92" s="317">
        <f>SUM(AB90:AB91)</f>
        <v>1377</v>
      </c>
      <c r="AC92" s="317">
        <f>SUM(AC90:AC91)</f>
        <v>1377</v>
      </c>
    </row>
    <row r="93" spans="1:30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294">
        <f>SUM((V93-T93)/R93)</f>
        <v>-2.3244457749252265E-3</v>
      </c>
      <c r="V93" s="293">
        <f>12.63643/V92</f>
        <v>9.1767828612926653E-3</v>
      </c>
      <c r="W93" s="305">
        <f>$W$30</f>
        <v>1.4999999999999999E-2</v>
      </c>
      <c r="X93" s="318">
        <f>SUM(V93*(1+W93))</f>
        <v>9.3144346042120536E-3</v>
      </c>
      <c r="Y93" s="305">
        <f>$Y$30</f>
        <v>0.02</v>
      </c>
      <c r="Z93" s="318">
        <f>SUM(X93*(1+Y93))</f>
        <v>9.5007232962962956E-3</v>
      </c>
      <c r="AA93" s="318">
        <f>SUM(Z93*(1+Y93))</f>
        <v>9.6907377622222225E-3</v>
      </c>
      <c r="AB93" s="318">
        <f>SUM(AA93*(1+Y93))</f>
        <v>9.8845525174666663E-3</v>
      </c>
      <c r="AC93" s="318">
        <f>SUM(AB93*(1+$Y$93))</f>
        <v>1.0082243567816E-2</v>
      </c>
    </row>
    <row r="94" spans="1:30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111"/>
      <c r="W94" s="73"/>
      <c r="X94" s="319"/>
      <c r="Y94" s="73"/>
      <c r="Z94" s="319"/>
      <c r="AA94" s="319"/>
      <c r="AB94" s="319"/>
      <c r="AC94" s="319"/>
    </row>
    <row r="95" spans="1:30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3">SUM(G92*G93)</f>
        <v>8.2702146414089999</v>
      </c>
      <c r="I95" s="178">
        <f t="shared" si="53"/>
        <v>9.3172825078781703</v>
      </c>
      <c r="J95" s="179"/>
      <c r="K95" s="180"/>
      <c r="L95" s="178">
        <f t="shared" ref="L95:AA95" si="54">SUM(L92*L93)</f>
        <v>11.382350000000001</v>
      </c>
      <c r="M95" s="181"/>
      <c r="N95" s="182">
        <f t="shared" si="54"/>
        <v>10.468988399999999</v>
      </c>
      <c r="O95" s="183"/>
      <c r="P95" s="183">
        <f t="shared" si="54"/>
        <v>10.51116</v>
      </c>
      <c r="Q95" s="55"/>
      <c r="R95" s="183">
        <f t="shared" ref="R95" si="55">SUM(R92*R93)</f>
        <v>11.256590000000001</v>
      </c>
      <c r="S95" s="55"/>
      <c r="T95" s="179">
        <f>SUM(T92*T93)</f>
        <v>13.17184</v>
      </c>
      <c r="U95" s="372"/>
      <c r="V95" s="441">
        <f>SUM(V92*V93)</f>
        <v>12.636430000000001</v>
      </c>
      <c r="W95" s="372"/>
      <c r="X95" s="443">
        <f>SUM(X92*X93)</f>
        <v>12.825976449999997</v>
      </c>
      <c r="Y95" s="372"/>
      <c r="Z95" s="443">
        <f>SUM(Z92*Z93)</f>
        <v>13.082495978999999</v>
      </c>
      <c r="AA95" s="443">
        <f t="shared" si="54"/>
        <v>13.344145898580001</v>
      </c>
      <c r="AB95" s="443">
        <f>SUM(AB92*AB93)</f>
        <v>13.611028816551599</v>
      </c>
      <c r="AC95" s="443">
        <f>SUM(AC92*AC93)</f>
        <v>13.883249392882632</v>
      </c>
      <c r="AD95" s="472" t="s">
        <v>231</v>
      </c>
    </row>
    <row r="96" spans="1:30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  <c r="AC96" s="171"/>
    </row>
    <row r="97" spans="1:30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120" t="s">
        <v>74</v>
      </c>
      <c r="W97" s="174"/>
      <c r="X97" s="301" t="s">
        <v>136</v>
      </c>
      <c r="Y97" s="174"/>
      <c r="Z97" s="301" t="str">
        <f>Z77</f>
        <v>21/22 Estimate</v>
      </c>
      <c r="AA97" s="301" t="str">
        <f>AA77</f>
        <v>22/23 Estimate</v>
      </c>
      <c r="AB97" s="301" t="str">
        <f>AB77</f>
        <v>23/24 Estimate</v>
      </c>
      <c r="AC97" s="301" t="str">
        <f>AC77</f>
        <v>24/25 Estimate</v>
      </c>
    </row>
    <row r="98" spans="1:30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42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  <c r="AC98" s="308" t="s">
        <v>78</v>
      </c>
    </row>
    <row r="99" spans="1:30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42"/>
      <c r="W99" s="47"/>
      <c r="X99" s="308"/>
      <c r="Y99" s="47"/>
      <c r="Z99" s="308"/>
      <c r="AA99" s="308"/>
      <c r="AB99" s="308"/>
      <c r="AC99" s="308"/>
    </row>
    <row r="100" spans="1:30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46"/>
      <c r="W100" s="47"/>
      <c r="X100" s="308"/>
      <c r="Y100" s="47"/>
      <c r="Z100" s="308"/>
      <c r="AA100" s="308"/>
      <c r="AB100" s="308"/>
      <c r="AC100" s="308"/>
    </row>
    <row r="101" spans="1:30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197">
        <f>197600-V80</f>
        <v>196223</v>
      </c>
      <c r="W101" s="175"/>
      <c r="X101" s="503">
        <f>210000-X80</f>
        <v>208623</v>
      </c>
      <c r="Y101" s="175"/>
      <c r="Z101" s="329">
        <f>SUM(X101:X103)</f>
        <v>208623</v>
      </c>
      <c r="AA101" s="329">
        <f t="shared" ref="AA101" si="56">SUM(Z101:Z103)</f>
        <v>208623</v>
      </c>
      <c r="AB101" s="329">
        <f>SUM(AA101:AA103)</f>
        <v>208623</v>
      </c>
      <c r="AC101" s="329">
        <f>SUM(AB101:AB103)</f>
        <v>208623</v>
      </c>
    </row>
    <row r="102" spans="1:30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70">
        <v>0</v>
      </c>
      <c r="W102" s="73"/>
      <c r="X102" s="461">
        <v>0</v>
      </c>
      <c r="Y102" s="73"/>
      <c r="Z102" s="313">
        <v>0</v>
      </c>
      <c r="AA102" s="313">
        <v>0</v>
      </c>
      <c r="AB102" s="313">
        <v>0</v>
      </c>
      <c r="AC102" s="313">
        <v>0</v>
      </c>
    </row>
    <row r="103" spans="1:30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70">
        <v>0</v>
      </c>
      <c r="W103" s="73"/>
      <c r="X103" s="461">
        <v>0</v>
      </c>
      <c r="Y103" s="73"/>
      <c r="Z103" s="313">
        <v>0</v>
      </c>
      <c r="AA103" s="313">
        <v>0</v>
      </c>
      <c r="AB103" s="313">
        <v>0</v>
      </c>
      <c r="AC103" s="313">
        <v>0</v>
      </c>
    </row>
    <row r="104" spans="1:30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204">
        <v>0</v>
      </c>
      <c r="W104" s="73"/>
      <c r="X104" s="520">
        <v>0</v>
      </c>
      <c r="Y104" s="73"/>
      <c r="Z104" s="330">
        <v>0</v>
      </c>
      <c r="AA104" s="330">
        <v>0</v>
      </c>
      <c r="AB104" s="330">
        <v>0</v>
      </c>
      <c r="AC104" s="330">
        <v>0</v>
      </c>
    </row>
    <row r="105" spans="1:30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208" t="s">
        <v>81</v>
      </c>
      <c r="W105" s="174"/>
      <c r="X105" s="521" t="s">
        <v>81</v>
      </c>
      <c r="Y105" s="174"/>
      <c r="Z105" s="331" t="s">
        <v>81</v>
      </c>
      <c r="AA105" s="331" t="s">
        <v>81</v>
      </c>
      <c r="AB105" s="331" t="s">
        <v>81</v>
      </c>
      <c r="AC105" s="331" t="s">
        <v>81</v>
      </c>
    </row>
    <row r="106" spans="1:30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212">
        <v>0</v>
      </c>
      <c r="W106" s="152"/>
      <c r="X106" s="522">
        <v>0</v>
      </c>
      <c r="Y106" s="152"/>
      <c r="Z106" s="332">
        <v>0</v>
      </c>
      <c r="AA106" s="332">
        <v>0</v>
      </c>
      <c r="AB106" s="332">
        <v>0</v>
      </c>
      <c r="AC106" s="332">
        <v>0</v>
      </c>
    </row>
    <row r="107" spans="1:30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216"/>
      <c r="W107" s="152"/>
      <c r="X107" s="523"/>
      <c r="Y107" s="152"/>
      <c r="Z107" s="333"/>
      <c r="AA107" s="333"/>
      <c r="AB107" s="333"/>
      <c r="AC107" s="333"/>
    </row>
    <row r="108" spans="1:30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232">
        <f>SUM((V108-T108)/T108)</f>
        <v>-2.7004141355659494E-2</v>
      </c>
      <c r="V108" s="293">
        <f>3280.90311/V101</f>
        <v>1.6720278000030578E-2</v>
      </c>
      <c r="W108" s="305">
        <f>$W$30</f>
        <v>1.4999999999999999E-2</v>
      </c>
      <c r="X108" s="318">
        <f>SUM(V108*(1+W108))</f>
        <v>1.6971082170031036E-2</v>
      </c>
      <c r="Y108" s="305">
        <f>$Y$30</f>
        <v>0.02</v>
      </c>
      <c r="Z108" s="318">
        <f>SUM(X108*(1+Y108))</f>
        <v>1.7310503813431657E-2</v>
      </c>
      <c r="AA108" s="318">
        <f>SUM(Z108*(1+Y108))</f>
        <v>1.765671388970029E-2</v>
      </c>
      <c r="AB108" s="318">
        <f>SUM(AA108*(1+Y108))</f>
        <v>1.8009848167494295E-2</v>
      </c>
      <c r="AC108" s="318">
        <f>SUM(AB108*(1+$Y$108))</f>
        <v>1.8370045130844181E-2</v>
      </c>
    </row>
    <row r="109" spans="1:30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220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  <c r="AC109" s="334">
        <v>1</v>
      </c>
    </row>
    <row r="110" spans="1:30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222"/>
      <c r="W110" s="55"/>
      <c r="X110" s="335"/>
      <c r="Y110" s="55"/>
      <c r="Z110" s="335"/>
      <c r="AA110" s="335"/>
      <c r="AB110" s="335"/>
      <c r="AC110" s="335"/>
    </row>
    <row r="111" spans="1:30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57">SUM(G101:G105)*G108*G109</f>
        <v>1918.901132</v>
      </c>
      <c r="I111" s="178">
        <f t="shared" si="57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58">SUM(N101:N105)*N108*N109</f>
        <v>2707.3523175999999</v>
      </c>
      <c r="O111" s="183"/>
      <c r="P111" s="179">
        <f t="shared" ref="P111" si="59">SUM(P101:P105)*P108*P109</f>
        <v>2514.9974500000003</v>
      </c>
      <c r="Q111" s="55"/>
      <c r="R111" s="179">
        <f t="shared" ref="R111" si="60">SUM(R101:R105)*R108*R109</f>
        <v>2956.1579400000001</v>
      </c>
      <c r="S111" s="55"/>
      <c r="T111" s="179">
        <f>SUM(T101:T105)*T108*T109</f>
        <v>3479.2761100000002</v>
      </c>
      <c r="U111" s="372"/>
      <c r="V111" s="441">
        <f>SUM(V101:V105)*V108*V109</f>
        <v>3280.9031100000002</v>
      </c>
      <c r="W111" s="372"/>
      <c r="X111" s="444">
        <f>SUM(X101:X105)*X108*X109</f>
        <v>3540.5580755583851</v>
      </c>
      <c r="Y111" s="372"/>
      <c r="Z111" s="444">
        <f t="shared" ref="Z111" si="61">SUM(Z101:Z105)*Z108*Z109</f>
        <v>3611.3692370695526</v>
      </c>
      <c r="AA111" s="444">
        <f>SUM(AA101:AA105)*AA108*AA109</f>
        <v>3683.5966218109438</v>
      </c>
      <c r="AB111" s="444">
        <f>SUM(AB101:AB105)*AB108*AB109</f>
        <v>3757.2685542471622</v>
      </c>
      <c r="AC111" s="444">
        <f>SUM(AC101:AC105)*AC108*AC109</f>
        <v>3832.4139253321055</v>
      </c>
      <c r="AD111" s="472" t="s">
        <v>232</v>
      </c>
    </row>
    <row r="112" spans="1:30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  <c r="AC112" s="171"/>
    </row>
    <row r="113" spans="1:29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547">
        <f>X111+X95</f>
        <v>3553.384052008385</v>
      </c>
      <c r="Y113" s="145"/>
      <c r="Z113" s="144"/>
      <c r="AA113" s="144"/>
      <c r="AB113" s="144"/>
      <c r="AC113" s="144"/>
    </row>
    <row r="114" spans="1:29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120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  <c r="AC114" s="301" t="str">
        <f>$AB$10</f>
        <v>2023 Estimate</v>
      </c>
    </row>
    <row r="115" spans="1:29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65"/>
      <c r="W115" s="64"/>
      <c r="X115" s="321"/>
      <c r="Y115" s="64"/>
      <c r="Z115" s="321"/>
      <c r="AA115" s="321"/>
      <c r="AB115" s="321"/>
      <c r="AC115" s="321"/>
    </row>
    <row r="116" spans="1:29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63"/>
      <c r="W116" s="175"/>
      <c r="X116" s="321"/>
      <c r="Y116" s="175"/>
      <c r="Z116" s="321"/>
      <c r="AA116" s="321"/>
      <c r="AB116" s="321"/>
      <c r="AC116" s="321"/>
    </row>
    <row r="117" spans="1:29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70">
        <v>700000</v>
      </c>
      <c r="W117" s="73"/>
      <c r="X117" s="461">
        <v>760000</v>
      </c>
      <c r="Y117" s="73"/>
      <c r="Z117" s="313">
        <f>SUM(X117:X119)</f>
        <v>760000</v>
      </c>
      <c r="AA117" s="313">
        <f>SUM(Z117:Z119)</f>
        <v>858739</v>
      </c>
      <c r="AB117" s="313">
        <f>SUM(AA117:AA119)</f>
        <v>955944</v>
      </c>
      <c r="AC117" s="313">
        <f>SUM(AB117:AB119)</f>
        <v>1056519</v>
      </c>
    </row>
    <row r="118" spans="1:29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70"/>
      <c r="W118" s="73"/>
      <c r="X118" s="461"/>
      <c r="Y118" s="73"/>
      <c r="Z118" s="154">
        <f>76162+22577</f>
        <v>98739</v>
      </c>
      <c r="AA118" s="154">
        <f>77486+19719</f>
        <v>97205</v>
      </c>
      <c r="AB118" s="154">
        <f>92514+8061</f>
        <v>100575</v>
      </c>
      <c r="AC118" s="154">
        <f>75072+20227</f>
        <v>95299</v>
      </c>
    </row>
    <row r="119" spans="1:29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70"/>
      <c r="W119" s="73"/>
      <c r="X119" s="461"/>
      <c r="Y119" s="73"/>
      <c r="Z119" s="154">
        <f>X119</f>
        <v>0</v>
      </c>
      <c r="AA119" s="154">
        <f>Z119</f>
        <v>0</v>
      </c>
      <c r="AB119" s="154">
        <f>AA119</f>
        <v>0</v>
      </c>
      <c r="AC119" s="154">
        <f>AB119</f>
        <v>0</v>
      </c>
    </row>
    <row r="120" spans="1:29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87">
        <v>0.91990911480638227</v>
      </c>
      <c r="W120" s="73"/>
      <c r="X120" s="463">
        <v>0.90510000000000002</v>
      </c>
      <c r="Y120" s="73"/>
      <c r="Z120" s="314">
        <f t="shared" ref="Z120:Z121" si="62">SUM(X120)</f>
        <v>0.90510000000000002</v>
      </c>
      <c r="AA120" s="314">
        <f t="shared" ref="AA120:AC121" si="63">SUM(Z120)</f>
        <v>0.90510000000000002</v>
      </c>
      <c r="AB120" s="314">
        <f t="shared" si="63"/>
        <v>0.90510000000000002</v>
      </c>
      <c r="AC120" s="314">
        <f t="shared" si="63"/>
        <v>0.90510000000000002</v>
      </c>
    </row>
    <row r="121" spans="1:29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91">
        <v>0.50019043891570614</v>
      </c>
      <c r="W121" s="84"/>
      <c r="X121" s="464">
        <v>0.55003000000000002</v>
      </c>
      <c r="Y121" s="84"/>
      <c r="Z121" s="315">
        <f t="shared" si="62"/>
        <v>0.55003000000000002</v>
      </c>
      <c r="AA121" s="315">
        <f t="shared" si="63"/>
        <v>0.55003000000000002</v>
      </c>
      <c r="AB121" s="315">
        <f t="shared" si="63"/>
        <v>0.55003000000000002</v>
      </c>
      <c r="AC121" s="315">
        <f t="shared" si="63"/>
        <v>0.55003000000000002</v>
      </c>
    </row>
    <row r="122" spans="1:29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4">SUM(G117+G118+G119)*G120*G121</f>
        <v>188890.26799999998</v>
      </c>
      <c r="I122" s="69">
        <f t="shared" si="64"/>
        <v>199575.79679677499</v>
      </c>
      <c r="J122" s="70"/>
      <c r="K122" s="71"/>
      <c r="L122" s="69">
        <f t="shared" ref="L122:N122" si="65">SUM(L117+L118+L119)*L120*L121</f>
        <v>234774.02500000002</v>
      </c>
      <c r="M122" s="72"/>
      <c r="N122" s="69">
        <f t="shared" si="65"/>
        <v>230552.66500000001</v>
      </c>
      <c r="O122" s="70"/>
      <c r="P122" s="70">
        <f t="shared" ref="P122:Z122" si="66">SUM(P117+P118+P119)*P120*P121</f>
        <v>229911.818</v>
      </c>
      <c r="Q122" s="73"/>
      <c r="R122" s="70">
        <f t="shared" ref="R122" si="67">SUM(R117+R118+R119)*R120*R121</f>
        <v>246152.10861059991</v>
      </c>
      <c r="S122" s="73"/>
      <c r="T122" s="70">
        <f>SUM(T117+T118+T119)*T120*T121</f>
        <v>306718.19200000004</v>
      </c>
      <c r="U122" s="73"/>
      <c r="V122" s="70">
        <f>SUM(V117+V118+V119)*V120*V121</f>
        <v>322090.82072829414</v>
      </c>
      <c r="W122" s="73"/>
      <c r="X122" s="461">
        <f>SUM(X117+X118+X119)*X120*X121-(2)</f>
        <v>378350.43628000002</v>
      </c>
      <c r="Y122" s="73"/>
      <c r="Z122" s="313">
        <f t="shared" si="66"/>
        <v>427507.88523506705</v>
      </c>
      <c r="AA122" s="313">
        <f>SUM(AA117+AA118+AA119)*AA120*AA121</f>
        <v>475899.65966743202</v>
      </c>
      <c r="AB122" s="313">
        <f>SUM(AB117+AB118+AB119)*AB120*AB121</f>
        <v>525969.12845540699</v>
      </c>
      <c r="AC122" s="313">
        <f>SUM(AC117+AC118+AC119)*AC120*AC121</f>
        <v>573412.03480415407</v>
      </c>
    </row>
    <row r="123" spans="1:29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70"/>
      <c r="W123" s="73"/>
      <c r="X123" s="461"/>
      <c r="Y123" s="73"/>
      <c r="Z123" s="313"/>
      <c r="AA123" s="313"/>
      <c r="AB123" s="313"/>
      <c r="AC123" s="313"/>
    </row>
    <row r="124" spans="1:29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68">SUM(G122)</f>
        <v>188890.26799999998</v>
      </c>
      <c r="I124" s="69">
        <f t="shared" si="68"/>
        <v>199575.79679677499</v>
      </c>
      <c r="J124" s="70"/>
      <c r="K124" s="71"/>
      <c r="L124" s="69">
        <f t="shared" ref="L124:AA124" si="69">SUM(L122)</f>
        <v>234774.02500000002</v>
      </c>
      <c r="M124" s="72"/>
      <c r="N124" s="69">
        <f t="shared" si="69"/>
        <v>230552.66500000001</v>
      </c>
      <c r="O124" s="70"/>
      <c r="P124" s="70">
        <f t="shared" si="69"/>
        <v>229911.818</v>
      </c>
      <c r="Q124" s="73"/>
      <c r="R124" s="70">
        <f t="shared" ref="R124" si="70">SUM(R122)</f>
        <v>246152.10861059991</v>
      </c>
      <c r="S124" s="73"/>
      <c r="T124" s="70">
        <f t="shared" si="69"/>
        <v>306718.19200000004</v>
      </c>
      <c r="U124" s="73"/>
      <c r="V124" s="70">
        <f t="shared" si="69"/>
        <v>322090.82072829414</v>
      </c>
      <c r="W124" s="73"/>
      <c r="X124" s="461">
        <f>SUM(X122)</f>
        <v>378350.43628000002</v>
      </c>
      <c r="Y124" s="73"/>
      <c r="Z124" s="313">
        <f t="shared" si="69"/>
        <v>427507.88523506705</v>
      </c>
      <c r="AA124" s="313">
        <f t="shared" si="69"/>
        <v>475899.65966743202</v>
      </c>
      <c r="AB124" s="313">
        <f>SUM(AB122)</f>
        <v>525969.12845540699</v>
      </c>
      <c r="AC124" s="313">
        <f>SUM(AC122)</f>
        <v>573412.03480415407</v>
      </c>
    </row>
    <row r="125" spans="1:29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487">
        <v>293289.11</v>
      </c>
      <c r="U125" s="73"/>
      <c r="V125" s="488">
        <f>306603.362-264.563</f>
        <v>306338.799</v>
      </c>
      <c r="W125" s="73"/>
      <c r="X125" s="313"/>
      <c r="Y125" s="73"/>
      <c r="Z125" s="313"/>
      <c r="AA125" s="313"/>
      <c r="AB125" s="313"/>
      <c r="AC125" s="313"/>
    </row>
    <row r="126" spans="1:29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490">
        <f>V125/V124</f>
        <v>0.95109447176210571</v>
      </c>
      <c r="W126" s="230"/>
      <c r="X126" s="337">
        <f>SUM(V126)</f>
        <v>0.95109447176210571</v>
      </c>
      <c r="Y126" s="230"/>
      <c r="Z126" s="337">
        <f>SUM(X126)</f>
        <v>0.95109447176210571</v>
      </c>
      <c r="AA126" s="337">
        <f t="shared" ref="AA126" si="71">SUM(Z126)</f>
        <v>0.95109447176210571</v>
      </c>
      <c r="AB126" s="337">
        <f>SUM(AA126)</f>
        <v>0.95109447176210571</v>
      </c>
      <c r="AC126" s="337">
        <f>SUM(AB126)</f>
        <v>0.95109447176210571</v>
      </c>
    </row>
    <row r="127" spans="1:29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2">SUM(G124*G126)</f>
        <v>173804.16659564062</v>
      </c>
      <c r="I127" s="69">
        <f t="shared" si="72"/>
        <v>189501.07105461584</v>
      </c>
      <c r="J127" s="70"/>
      <c r="K127" s="71"/>
      <c r="L127" s="69">
        <f t="shared" ref="L127:AA127" si="73">SUM(L124*L126)</f>
        <v>223370.065</v>
      </c>
      <c r="M127" s="72"/>
      <c r="N127" s="69">
        <f t="shared" si="73"/>
        <v>216345.522</v>
      </c>
      <c r="O127" s="231"/>
      <c r="P127" s="70">
        <f t="shared" si="73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461">
        <f>SUM(V124*V126)</f>
        <v>306338.799</v>
      </c>
      <c r="W127" s="232"/>
      <c r="X127" s="313">
        <f>SUM(X124*X126)</f>
        <v>359847.00833468884</v>
      </c>
      <c r="Y127" s="232"/>
      <c r="Z127" s="313">
        <f t="shared" si="73"/>
        <v>406600.38628178101</v>
      </c>
      <c r="AA127" s="313">
        <f t="shared" si="73"/>
        <v>452625.53542316216</v>
      </c>
      <c r="AB127" s="313">
        <f>SUM(AB124*AB126)</f>
        <v>500246.3303914704</v>
      </c>
      <c r="AC127" s="313">
        <f>SUM(AC124*AC126)</f>
        <v>545369.01634409104</v>
      </c>
    </row>
    <row r="128" spans="1:29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459">
        <f>SUM((V128-T128)/T128)</f>
        <v>1.6036071362445833E-2</v>
      </c>
      <c r="V128" s="456">
        <f>3563960.29/306338799</f>
        <v>1.1634047994031602E-2</v>
      </c>
      <c r="W128" s="305">
        <f>$W$30</f>
        <v>1.4999999999999999E-2</v>
      </c>
      <c r="X128" s="318">
        <f>SUM(V128*(1+W128))</f>
        <v>1.1808558713942074E-2</v>
      </c>
      <c r="Y128" s="305">
        <f>$Y$30</f>
        <v>0.02</v>
      </c>
      <c r="Z128" s="318">
        <f>SUM(X128*(1+Y128))</f>
        <v>1.2044729888220916E-2</v>
      </c>
      <c r="AA128" s="318">
        <f>SUM(Z128*(1+Y128))</f>
        <v>1.2285624485985334E-2</v>
      </c>
      <c r="AB128" s="318">
        <f>SUM(AA128*(1+Y128))</f>
        <v>1.253133697570504E-2</v>
      </c>
      <c r="AC128" s="318">
        <f>SUM(AB128*(1+$Y$128))</f>
        <v>1.2781963715219141E-2</v>
      </c>
    </row>
    <row r="129" spans="1:39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461"/>
      <c r="W129" s="420"/>
      <c r="X129" s="313"/>
      <c r="Y129" s="420"/>
      <c r="Z129" s="313"/>
      <c r="AA129" s="313"/>
      <c r="AB129" s="313"/>
      <c r="AC129" s="313"/>
      <c r="AG129" s="572" t="s">
        <v>250</v>
      </c>
      <c r="AH129" s="572"/>
      <c r="AI129" s="572"/>
      <c r="AJ129" s="572"/>
      <c r="AK129" s="572"/>
      <c r="AL129" s="572"/>
      <c r="AM129" s="572"/>
    </row>
    <row r="130" spans="1:39" ht="15" thickBot="1" x14ac:dyDescent="0.35">
      <c r="C130" s="112">
        <v>1843</v>
      </c>
      <c r="E130" s="112">
        <f>SUM(E127*E128)</f>
        <v>1939.7429074619999</v>
      </c>
      <c r="G130" s="112">
        <f t="shared" ref="G130" si="74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75">SUM(R127*R128)</f>
        <v>3018.7944147768244</v>
      </c>
      <c r="S130" s="114"/>
      <c r="T130" s="141">
        <f>SUM(T127*T128)</f>
        <v>3358.2858700000002</v>
      </c>
      <c r="U130" s="370"/>
      <c r="V130" s="508">
        <f>SUM(V127*V128)</f>
        <v>3563.96029</v>
      </c>
      <c r="W130" s="370"/>
      <c r="X130" s="392">
        <f>SUM(X127*X128)</f>
        <v>4249.2745259565763</v>
      </c>
      <c r="Y130" s="370"/>
      <c r="Z130" s="392">
        <f>SUM(Z127*Z128)</f>
        <v>4897.3918252103376</v>
      </c>
      <c r="AA130" s="392">
        <f>SUM(AA127*AA128)</f>
        <v>5560.7873609770231</v>
      </c>
      <c r="AB130" s="392">
        <f>SUM(AB127*AB128)</f>
        <v>6268.755336995393</v>
      </c>
      <c r="AC130" s="392">
        <f>SUM(AC127*AC128)</f>
        <v>6970.8869783149266</v>
      </c>
      <c r="AD130" s="472" t="s">
        <v>233</v>
      </c>
      <c r="AG130" s="572" t="s">
        <v>251</v>
      </c>
      <c r="AH130" s="572"/>
      <c r="AI130" s="572"/>
      <c r="AJ130" s="572"/>
      <c r="AK130" s="573">
        <f>X130-(1000)</f>
        <v>3249.2745259565763</v>
      </c>
      <c r="AL130" s="572"/>
      <c r="AM130" s="572"/>
    </row>
    <row r="131" spans="1:39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491"/>
      <c r="W131" s="239"/>
      <c r="X131" s="238"/>
      <c r="Y131" s="239"/>
      <c r="Z131" s="238"/>
      <c r="AA131" s="238"/>
      <c r="AB131" s="238"/>
      <c r="AC131" s="238"/>
    </row>
    <row r="132" spans="1:39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120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  <c r="AC132" s="301" t="str">
        <f>$AC$10</f>
        <v>2024 Estimate</v>
      </c>
    </row>
    <row r="133" spans="1:39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65"/>
      <c r="W133" s="64"/>
      <c r="X133" s="321"/>
      <c r="Y133" s="64"/>
      <c r="Z133" s="321"/>
      <c r="AA133" s="321"/>
      <c r="AB133" s="321"/>
      <c r="AC133" s="321"/>
    </row>
    <row r="134" spans="1:39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65"/>
      <c r="W134" s="64"/>
      <c r="X134" s="321"/>
      <c r="Y134" s="64"/>
      <c r="Z134" s="321"/>
      <c r="AA134" s="321"/>
      <c r="AB134" s="321"/>
      <c r="AC134" s="321"/>
    </row>
    <row r="135" spans="1:39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70">
        <v>742683.92599999998</v>
      </c>
      <c r="W135" s="73"/>
      <c r="X135" s="461">
        <v>866106.81</v>
      </c>
      <c r="Y135" s="73"/>
      <c r="Z135" s="313">
        <f>SUM(X135:X137)</f>
        <v>866106.81</v>
      </c>
      <c r="AA135" s="313">
        <f>SUM(Z135:Z137)</f>
        <v>964845.81</v>
      </c>
      <c r="AB135" s="313">
        <f>SUM(AA135:AA137)</f>
        <v>1062050.81</v>
      </c>
      <c r="AC135" s="313">
        <f>SUM(AB135:AB137)</f>
        <v>1162625.81</v>
      </c>
    </row>
    <row r="136" spans="1:39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70"/>
      <c r="W136" s="73"/>
      <c r="X136" s="461"/>
      <c r="Y136" s="73"/>
      <c r="Z136" s="313">
        <f t="shared" ref="Z136:AA137" si="76">SUM(Z118)</f>
        <v>98739</v>
      </c>
      <c r="AA136" s="313">
        <f t="shared" si="76"/>
        <v>97205</v>
      </c>
      <c r="AB136" s="313">
        <f>SUM(AB118)</f>
        <v>100575</v>
      </c>
      <c r="AC136" s="313">
        <f>SUM(AC118)</f>
        <v>95299</v>
      </c>
    </row>
    <row r="137" spans="1:39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70"/>
      <c r="W137" s="73"/>
      <c r="X137" s="461"/>
      <c r="Y137" s="73"/>
      <c r="Z137" s="313">
        <f t="shared" si="76"/>
        <v>0</v>
      </c>
      <c r="AA137" s="313">
        <f t="shared" si="76"/>
        <v>0</v>
      </c>
      <c r="AB137" s="313">
        <f>SUM(AB119)</f>
        <v>0</v>
      </c>
      <c r="AC137" s="313">
        <f>SUM(AC119)</f>
        <v>0</v>
      </c>
    </row>
    <row r="138" spans="1:39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87">
        <v>1</v>
      </c>
      <c r="W138" s="73"/>
      <c r="X138" s="463">
        <v>1</v>
      </c>
      <c r="Y138" s="73"/>
      <c r="Z138" s="314">
        <v>1</v>
      </c>
      <c r="AA138" s="314">
        <v>1</v>
      </c>
      <c r="AB138" s="314">
        <v>1</v>
      </c>
      <c r="AC138" s="314">
        <v>1</v>
      </c>
    </row>
    <row r="139" spans="1:39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91">
        <v>0.18293040999999999</v>
      </c>
      <c r="W139" s="84"/>
      <c r="X139" s="464">
        <v>0.18316082</v>
      </c>
      <c r="Y139" s="84"/>
      <c r="Z139" s="315">
        <f>SUM(X139)</f>
        <v>0.18316082</v>
      </c>
      <c r="AA139" s="315">
        <f t="shared" ref="AA139:AC139" si="77">SUM(Z139)</f>
        <v>0.18316082</v>
      </c>
      <c r="AB139" s="315">
        <f t="shared" si="77"/>
        <v>0.18316082</v>
      </c>
      <c r="AC139" s="315">
        <f t="shared" si="77"/>
        <v>0.18316082</v>
      </c>
    </row>
    <row r="140" spans="1:39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78">SUM((G135+G136+G137)*G138*G139)</f>
        <v>79213.073000000004</v>
      </c>
      <c r="I140" s="99">
        <f t="shared" si="78"/>
        <v>85831.54</v>
      </c>
      <c r="J140" s="100"/>
      <c r="K140" s="101"/>
      <c r="L140" s="99">
        <f t="shared" ref="L140:T140" si="79">SUM((L135+L136+L137)*L138*L139)</f>
        <v>92701.07758538505</v>
      </c>
      <c r="M140" s="102"/>
      <c r="N140" s="99">
        <f t="shared" si="79"/>
        <v>96666.592999999993</v>
      </c>
      <c r="O140" s="100"/>
      <c r="P140" s="100">
        <f t="shared" si="79"/>
        <v>103095.598</v>
      </c>
      <c r="Q140" s="177"/>
      <c r="R140" s="100">
        <f t="shared" ref="R140" si="80">SUM((R135+R136+R137)*R138*R139)</f>
        <v>115955.848</v>
      </c>
      <c r="S140" s="177"/>
      <c r="T140" s="100">
        <f t="shared" si="79"/>
        <v>134625.429</v>
      </c>
      <c r="U140" s="177"/>
      <c r="V140" s="100">
        <f>SUM((V135+V136+V137)*V138*V139)</f>
        <v>135859.47508358964</v>
      </c>
      <c r="W140" s="177"/>
      <c r="X140" s="468">
        <f>SUM((X135+X136+X137)*X138*X139)</f>
        <v>158636.83352718421</v>
      </c>
      <c r="Y140" s="177"/>
      <c r="Z140" s="317">
        <f>SUM((Z135+Z136+Z137)*Z138*Z139)</f>
        <v>176721.94973316422</v>
      </c>
      <c r="AA140" s="317">
        <f>SUM((AA135+AA136+AA137)*AA138*AA139)</f>
        <v>194526.09724126421</v>
      </c>
      <c r="AB140" s="317">
        <f>SUM((AB135+AB136+AB137)*AB138*AB139)</f>
        <v>212947.4967127642</v>
      </c>
      <c r="AC140" s="317">
        <f>SUM((AC135+AC136+AC137)*AC138*AC139)</f>
        <v>230402.53969794422</v>
      </c>
    </row>
    <row r="141" spans="1:39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83">
        <v>-100</v>
      </c>
      <c r="W141" s="84"/>
      <c r="X141" s="462">
        <v>-100</v>
      </c>
      <c r="Y141" s="84"/>
      <c r="Z141" s="323"/>
      <c r="AA141" s="323"/>
      <c r="AB141" s="323"/>
      <c r="AC141" s="323"/>
    </row>
    <row r="142" spans="1:39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1">SUM(G140)</f>
        <v>79213.073000000004</v>
      </c>
      <c r="I142" s="69">
        <f t="shared" si="81"/>
        <v>85831.54</v>
      </c>
      <c r="J142" s="70"/>
      <c r="K142" s="71"/>
      <c r="L142" s="69">
        <f t="shared" ref="L142:AA142" si="82">SUM(L140)</f>
        <v>92701.07758538505</v>
      </c>
      <c r="M142" s="72"/>
      <c r="N142" s="69">
        <f t="shared" si="82"/>
        <v>96666.592999999993</v>
      </c>
      <c r="O142" s="70"/>
      <c r="P142" s="70">
        <f t="shared" si="82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70">
        <f>SUM(V140:V141)</f>
        <v>135759.47508358964</v>
      </c>
      <c r="W142" s="73"/>
      <c r="X142" s="461">
        <f>SUM(X140:X141)-1</f>
        <v>158535.83352718421</v>
      </c>
      <c r="Y142" s="73"/>
      <c r="Z142" s="313">
        <f t="shared" si="82"/>
        <v>176721.94973316422</v>
      </c>
      <c r="AA142" s="313">
        <f t="shared" si="82"/>
        <v>194526.09724126421</v>
      </c>
      <c r="AB142" s="313">
        <f>SUM(AB140)</f>
        <v>212947.4967127642</v>
      </c>
      <c r="AC142" s="313">
        <f>SUM(AC140)</f>
        <v>230402.53969794422</v>
      </c>
    </row>
    <row r="143" spans="1:39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134">
        <v>1</v>
      </c>
      <c r="W143" s="84"/>
      <c r="X143" s="504">
        <v>1</v>
      </c>
      <c r="Y143" s="84"/>
      <c r="Z143" s="324">
        <v>1</v>
      </c>
      <c r="AA143" s="324">
        <v>1</v>
      </c>
      <c r="AB143" s="324">
        <v>1</v>
      </c>
      <c r="AC143" s="324">
        <v>1</v>
      </c>
    </row>
    <row r="144" spans="1:39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3">SUM(G142*G143)</f>
        <v>77458.071382651833</v>
      </c>
      <c r="I144" s="69">
        <f t="shared" si="83"/>
        <v>85831.54</v>
      </c>
      <c r="J144" s="70"/>
      <c r="K144" s="71"/>
      <c r="L144" s="69">
        <f t="shared" ref="L144:AA144" si="84">SUM(L142*L143)</f>
        <v>92701.07758538505</v>
      </c>
      <c r="M144" s="72"/>
      <c r="N144" s="69">
        <f t="shared" si="84"/>
        <v>96666.592999999993</v>
      </c>
      <c r="O144" s="70"/>
      <c r="P144" s="70">
        <f t="shared" si="84"/>
        <v>103095.598</v>
      </c>
      <c r="Q144" s="73"/>
      <c r="R144" s="70">
        <f t="shared" ref="R144" si="85">SUM(R142*R143)</f>
        <v>115955.848</v>
      </c>
      <c r="S144" s="73"/>
      <c r="T144" s="70">
        <f t="shared" si="84"/>
        <v>134525.429</v>
      </c>
      <c r="U144" s="73"/>
      <c r="V144" s="70">
        <f>SUM(V142*V143)</f>
        <v>135759.47508358964</v>
      </c>
      <c r="W144" s="73"/>
      <c r="X144" s="461">
        <f t="shared" si="84"/>
        <v>158535.83352718421</v>
      </c>
      <c r="Y144" s="73"/>
      <c r="Z144" s="313">
        <f t="shared" si="84"/>
        <v>176721.94973316422</v>
      </c>
      <c r="AA144" s="313">
        <f t="shared" si="84"/>
        <v>194526.09724126421</v>
      </c>
      <c r="AB144" s="313">
        <f>SUM(AB142*AB143)</f>
        <v>212947.4967127642</v>
      </c>
      <c r="AC144" s="313">
        <f>SUM(AC142*AC143)</f>
        <v>230402.53969794422</v>
      </c>
    </row>
    <row r="145" spans="1:30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459">
        <f>SUM((V145-T145)/T145)</f>
        <v>-7.0861224244611554E-2</v>
      </c>
      <c r="V145" s="456">
        <f>1655.63895/V144</f>
        <v>1.2195384145236214E-2</v>
      </c>
      <c r="W145" s="305">
        <f>$W$30</f>
        <v>1.4999999999999999E-2</v>
      </c>
      <c r="X145" s="318">
        <f>SUM(V145*(1+W145))</f>
        <v>1.2378314907414756E-2</v>
      </c>
      <c r="Y145" s="305">
        <f>$Y$30</f>
        <v>0.02</v>
      </c>
      <c r="Z145" s="318">
        <f>SUM(X145*(1+Y145))</f>
        <v>1.2625881205563051E-2</v>
      </c>
      <c r="AA145" s="318">
        <f>SUM(Z145*(1+Y145))</f>
        <v>1.2878398829674313E-2</v>
      </c>
      <c r="AB145" s="318">
        <f>SUM(AA145*(1+Y145))</f>
        <v>1.31359668062678E-2</v>
      </c>
      <c r="AC145" s="318">
        <f>SUM(AB145*(1+$Y$145))</f>
        <v>1.3398686142393156E-2</v>
      </c>
    </row>
    <row r="146" spans="1:30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468"/>
      <c r="W146" s="101"/>
      <c r="X146" s="317"/>
      <c r="Y146" s="101"/>
      <c r="Z146" s="317"/>
      <c r="AA146" s="317"/>
      <c r="AB146" s="317"/>
      <c r="AC146" s="317"/>
    </row>
    <row r="147" spans="1:30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86">SUM(G144*G145)</f>
        <v>1112.580366038414</v>
      </c>
      <c r="I147" s="178">
        <f t="shared" si="86"/>
        <v>1255.1733400000001</v>
      </c>
      <c r="J147" s="179"/>
      <c r="K147" s="180"/>
      <c r="L147" s="178">
        <f t="shared" ref="L147:P147" si="87">SUM(L144*L145)</f>
        <v>1336.7211187574665</v>
      </c>
      <c r="M147" s="181"/>
      <c r="N147" s="178">
        <f t="shared" si="87"/>
        <v>1396.8021189769413</v>
      </c>
      <c r="O147" s="181"/>
      <c r="P147" s="179">
        <f t="shared" si="87"/>
        <v>1470.0476900000001</v>
      </c>
      <c r="Q147" s="180"/>
      <c r="R147" s="179">
        <f t="shared" ref="R147" si="88">SUM(R144*R145)</f>
        <v>1640.8960900000002</v>
      </c>
      <c r="S147" s="180"/>
      <c r="T147" s="179">
        <f>SUM(T144*T145)</f>
        <v>1765.7096300000001</v>
      </c>
      <c r="U147" s="373"/>
      <c r="V147" s="509">
        <f>SUM(V144*V145)</f>
        <v>1655.63895</v>
      </c>
      <c r="W147" s="373"/>
      <c r="X147" s="443">
        <f>SUM(X144*X145)</f>
        <v>1962.4064715089683</v>
      </c>
      <c r="Y147" s="373"/>
      <c r="Z147" s="443">
        <f>SUM(Z144*Z145)</f>
        <v>2231.2703437464165</v>
      </c>
      <c r="AA147" s="443">
        <f>SUM(AA144*AA145)</f>
        <v>2505.1846630530085</v>
      </c>
      <c r="AB147" s="443">
        <f>SUM(AB144*AB145)</f>
        <v>2797.2712482966917</v>
      </c>
      <c r="AC147" s="443">
        <f>SUM(AC144*AC145)</f>
        <v>3087.0913158230342</v>
      </c>
      <c r="AD147" s="472" t="s">
        <v>207</v>
      </c>
    </row>
    <row r="148" spans="1:30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  <c r="AC148" s="144"/>
    </row>
    <row r="149" spans="1:30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187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">
        <v>178</v>
      </c>
      <c r="AC149" s="301" t="s">
        <v>179</v>
      </c>
    </row>
    <row r="150" spans="1:30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65"/>
      <c r="W150" s="64"/>
      <c r="X150" s="321"/>
      <c r="Y150" s="64"/>
      <c r="Z150" s="321"/>
      <c r="AA150" s="321"/>
      <c r="AB150" s="321"/>
      <c r="AC150" s="321"/>
    </row>
    <row r="151" spans="1:30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65"/>
      <c r="W151" s="64"/>
      <c r="X151" s="321"/>
      <c r="Y151" s="64"/>
      <c r="Z151" s="321"/>
      <c r="AA151" s="321"/>
      <c r="AB151" s="321"/>
      <c r="AC151" s="321"/>
    </row>
    <row r="152" spans="1:30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70">
        <v>324700</v>
      </c>
      <c r="W152" s="73"/>
      <c r="X152" s="461">
        <v>358400</v>
      </c>
      <c r="Y152" s="73"/>
      <c r="Z152" s="313">
        <f>SUM(X152:X154)</f>
        <v>358400</v>
      </c>
      <c r="AA152" s="313">
        <f t="shared" ref="AA152" si="89">SUM(Z152:Z154)</f>
        <v>380977</v>
      </c>
      <c r="AB152" s="313">
        <f>SUM(AA152:AA154)</f>
        <v>400696</v>
      </c>
      <c r="AC152" s="313">
        <f>SUM(AB152:AB154)</f>
        <v>422361</v>
      </c>
    </row>
    <row r="153" spans="1:30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70">
        <v>0</v>
      </c>
      <c r="W153" s="73"/>
      <c r="X153" s="461">
        <v>0</v>
      </c>
      <c r="Y153" s="73"/>
      <c r="Z153" s="154">
        <v>22577</v>
      </c>
      <c r="AA153" s="154">
        <v>19719</v>
      </c>
      <c r="AB153" s="154">
        <v>21665</v>
      </c>
      <c r="AC153" s="154">
        <v>20227</v>
      </c>
    </row>
    <row r="154" spans="1:30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70">
        <v>0</v>
      </c>
      <c r="W154" s="73"/>
      <c r="X154" s="461">
        <v>0</v>
      </c>
      <c r="Y154" s="73"/>
      <c r="Z154" s="154">
        <f>X154</f>
        <v>0</v>
      </c>
      <c r="AA154" s="154">
        <f>Z154</f>
        <v>0</v>
      </c>
      <c r="AB154" s="154">
        <f>AA154</f>
        <v>0</v>
      </c>
      <c r="AC154" s="154">
        <f>AB154</f>
        <v>0</v>
      </c>
    </row>
    <row r="155" spans="1:30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87">
        <v>1</v>
      </c>
      <c r="W155" s="73"/>
      <c r="X155" s="463">
        <v>1</v>
      </c>
      <c r="Y155" s="73"/>
      <c r="Z155" s="314">
        <v>1</v>
      </c>
      <c r="AA155" s="314">
        <v>1</v>
      </c>
      <c r="AB155" s="314">
        <v>1</v>
      </c>
      <c r="AC155" s="314">
        <v>1</v>
      </c>
    </row>
    <row r="156" spans="1:30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91">
        <v>1</v>
      </c>
      <c r="W156" s="84"/>
      <c r="X156" s="464">
        <v>1</v>
      </c>
      <c r="Y156" s="84"/>
      <c r="Z156" s="315">
        <v>1</v>
      </c>
      <c r="AA156" s="315">
        <v>1</v>
      </c>
      <c r="AB156" s="315">
        <v>1</v>
      </c>
      <c r="AC156" s="315">
        <v>1</v>
      </c>
    </row>
    <row r="157" spans="1:30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0">SUM((G152+G153+G154)*G155*G156)</f>
        <v>160600</v>
      </c>
      <c r="I157" s="99">
        <f t="shared" si="90"/>
        <v>168937</v>
      </c>
      <c r="J157" s="100"/>
      <c r="K157" s="101"/>
      <c r="L157" s="99">
        <f t="shared" ref="L157:AA157" si="91">SUM((L152+L153+L154)*L155*L156)</f>
        <v>184700</v>
      </c>
      <c r="M157" s="102"/>
      <c r="N157" s="99">
        <f t="shared" si="91"/>
        <v>209500</v>
      </c>
      <c r="O157" s="100"/>
      <c r="P157" s="100">
        <f t="shared" ref="P157" si="92">SUM((P152+P153+P154)*P155*P156)</f>
        <v>243796.47</v>
      </c>
      <c r="Q157" s="177"/>
      <c r="R157" s="100">
        <f t="shared" ref="R157" si="93">SUM((R152+R153+R154)*R155*R156)</f>
        <v>282611.34999999998</v>
      </c>
      <c r="S157" s="177"/>
      <c r="T157" s="100">
        <f t="shared" si="91"/>
        <v>340600</v>
      </c>
      <c r="U157" s="177"/>
      <c r="V157" s="100">
        <f>SUM((V152+V153+V154)*V155*V156)</f>
        <v>324700</v>
      </c>
      <c r="W157" s="177"/>
      <c r="X157" s="468">
        <f>SUM((X152+X153+X154)*X155*X156)</f>
        <v>358400</v>
      </c>
      <c r="Y157" s="177"/>
      <c r="Z157" s="317">
        <f t="shared" si="91"/>
        <v>380977</v>
      </c>
      <c r="AA157" s="317">
        <f t="shared" si="91"/>
        <v>400696</v>
      </c>
      <c r="AB157" s="317">
        <f>SUM((AB152+AB153+AB154)*AB155*AB156)</f>
        <v>422361</v>
      </c>
      <c r="AC157" s="317">
        <f>SUM((AC152+AC153+AC154)*AC155*AC156)</f>
        <v>442588</v>
      </c>
    </row>
    <row r="158" spans="1:30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70"/>
      <c r="W158" s="73"/>
      <c r="X158" s="461"/>
      <c r="Y158" s="73"/>
      <c r="Z158" s="313"/>
      <c r="AA158" s="313"/>
      <c r="AB158" s="313"/>
      <c r="AC158" s="313"/>
    </row>
    <row r="159" spans="1:30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245">
        <v>1</v>
      </c>
      <c r="W159" s="73"/>
      <c r="X159" s="506">
        <v>1</v>
      </c>
      <c r="Y159" s="73"/>
      <c r="Z159" s="339">
        <v>1</v>
      </c>
      <c r="AA159" s="339">
        <v>1</v>
      </c>
      <c r="AB159" s="339">
        <v>1</v>
      </c>
      <c r="AC159" s="339">
        <v>1</v>
      </c>
    </row>
    <row r="160" spans="1:30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94">SUM(G157*G159)</f>
        <v>160600</v>
      </c>
      <c r="I160" s="69">
        <f t="shared" si="94"/>
        <v>168937</v>
      </c>
      <c r="J160" s="70"/>
      <c r="K160" s="71"/>
      <c r="L160" s="69">
        <f t="shared" ref="L160:AA160" si="95">SUM(L157*L159)</f>
        <v>184700</v>
      </c>
      <c r="M160" s="72"/>
      <c r="N160" s="69">
        <f t="shared" si="95"/>
        <v>209500</v>
      </c>
      <c r="O160" s="70"/>
      <c r="P160" s="70">
        <f t="shared" ref="P160" si="96">SUM(P157*P159)</f>
        <v>243796.47</v>
      </c>
      <c r="Q160" s="73"/>
      <c r="R160" s="70">
        <f t="shared" ref="R160" si="97">SUM(R157*R159)</f>
        <v>282611.34999999998</v>
      </c>
      <c r="S160" s="73"/>
      <c r="T160" s="70">
        <f t="shared" si="95"/>
        <v>340600</v>
      </c>
      <c r="U160" s="73"/>
      <c r="V160" s="70">
        <f t="shared" si="95"/>
        <v>324700</v>
      </c>
      <c r="W160" s="73"/>
      <c r="X160" s="461">
        <f>SUM(X157*X159)</f>
        <v>358400</v>
      </c>
      <c r="Y160" s="73"/>
      <c r="Z160" s="313">
        <f t="shared" si="95"/>
        <v>380977</v>
      </c>
      <c r="AA160" s="313">
        <f t="shared" si="95"/>
        <v>400696</v>
      </c>
      <c r="AB160" s="313">
        <f>SUM(AB157*AB159)</f>
        <v>422361</v>
      </c>
      <c r="AC160" s="313">
        <f>SUM(AC157*AC159)</f>
        <v>442588</v>
      </c>
    </row>
    <row r="161" spans="1:31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247">
        <v>1</v>
      </c>
      <c r="W161" s="84"/>
      <c r="X161" s="507">
        <v>1</v>
      </c>
      <c r="Y161" s="84"/>
      <c r="Z161" s="340">
        <v>1</v>
      </c>
      <c r="AA161" s="340">
        <v>1</v>
      </c>
      <c r="AB161" s="340">
        <v>1</v>
      </c>
      <c r="AC161" s="340">
        <v>1</v>
      </c>
    </row>
    <row r="162" spans="1:31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98">SUM(G160*G161)</f>
        <v>160600</v>
      </c>
      <c r="I162" s="69">
        <f t="shared" si="98"/>
        <v>168937</v>
      </c>
      <c r="J162" s="70"/>
      <c r="K162" s="71"/>
      <c r="L162" s="69">
        <f t="shared" ref="L162:AA162" si="99">SUM(L160*L161)</f>
        <v>184700</v>
      </c>
      <c r="M162" s="72"/>
      <c r="N162" s="69">
        <f t="shared" si="99"/>
        <v>209500</v>
      </c>
      <c r="O162" s="70"/>
      <c r="P162" s="70">
        <f t="shared" ref="P162" si="100">SUM(P160*P161)</f>
        <v>243796.47</v>
      </c>
      <c r="Q162" s="73"/>
      <c r="R162" s="70">
        <f t="shared" ref="R162" si="101">SUM(R160*R161)</f>
        <v>282611.34999999998</v>
      </c>
      <c r="S162" s="73"/>
      <c r="T162" s="70">
        <f t="shared" si="99"/>
        <v>340600</v>
      </c>
      <c r="U162" s="73"/>
      <c r="V162" s="70">
        <f>SUM(V160*V161)</f>
        <v>324700</v>
      </c>
      <c r="W162" s="73"/>
      <c r="X162" s="461">
        <f t="shared" si="99"/>
        <v>358400</v>
      </c>
      <c r="Y162" s="73"/>
      <c r="Z162" s="313">
        <f t="shared" si="99"/>
        <v>380977</v>
      </c>
      <c r="AA162" s="313">
        <f t="shared" si="99"/>
        <v>400696</v>
      </c>
      <c r="AB162" s="313">
        <f>SUM(AB160*AB161)</f>
        <v>422361</v>
      </c>
      <c r="AC162" s="313">
        <f>SUM(AC160*AC161)</f>
        <v>442588</v>
      </c>
    </row>
    <row r="163" spans="1:31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232">
        <f>SUM((V163-T163)/T163)</f>
        <v>4.6000133984343871E-3</v>
      </c>
      <c r="V163" s="293">
        <f>4225.44043/V162</f>
        <v>1.3013367508469355E-2</v>
      </c>
      <c r="W163" s="305">
        <f>$W$30</f>
        <v>1.4999999999999999E-2</v>
      </c>
      <c r="X163" s="318">
        <f>SUM(V163*(1+W163))</f>
        <v>1.3208568021096394E-2</v>
      </c>
      <c r="Y163" s="305">
        <f>$Y$30</f>
        <v>0.02</v>
      </c>
      <c r="Z163" s="318">
        <f>SUM(X163*(1+Y163))</f>
        <v>1.3472739381518323E-2</v>
      </c>
      <c r="AA163" s="318">
        <f>SUM(Z163*(1+Y163))</f>
        <v>1.3742194169148689E-2</v>
      </c>
      <c r="AB163" s="318">
        <f>SUM(AA163*(1+Y163))</f>
        <v>1.4017038052531664E-2</v>
      </c>
      <c r="AC163" s="318">
        <f>SUM(AB163*(1+$Y$163))</f>
        <v>1.4297378813582296E-2</v>
      </c>
    </row>
    <row r="164" spans="1:31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139"/>
      <c r="W164" s="73"/>
      <c r="X164" s="319"/>
      <c r="Y164" s="73"/>
      <c r="Z164" s="319"/>
      <c r="AA164" s="319"/>
      <c r="AB164" s="319"/>
      <c r="AC164" s="319"/>
    </row>
    <row r="165" spans="1:31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2">SUM(G162*G163)</f>
        <v>2030.6547399999999</v>
      </c>
      <c r="I165" s="112">
        <f t="shared" si="102"/>
        <v>2137.1771711399883</v>
      </c>
      <c r="J165" s="141"/>
      <c r="K165" s="114"/>
      <c r="L165" s="248">
        <f t="shared" ref="L165:Z165" si="103">SUM(L162*L163)</f>
        <v>2378.8604999999998</v>
      </c>
      <c r="M165" s="113"/>
      <c r="N165" s="112">
        <f t="shared" si="103"/>
        <v>2651</v>
      </c>
      <c r="O165" s="141"/>
      <c r="P165" s="141">
        <f t="shared" si="103"/>
        <v>3184.1441200000004</v>
      </c>
      <c r="Q165" s="249"/>
      <c r="R165" s="141">
        <f t="shared" ref="R165" si="104">SUM(R162*R163)</f>
        <v>3678.2691199999999</v>
      </c>
      <c r="S165" s="273"/>
      <c r="T165" s="141">
        <f>SUM(T162*T163)</f>
        <v>4412.0574500000002</v>
      </c>
      <c r="U165" s="355"/>
      <c r="V165" s="421">
        <f>SUM(V162*V163)</f>
        <v>4225.4404299999997</v>
      </c>
      <c r="W165" s="355"/>
      <c r="X165" s="533">
        <f>SUM(X162*X163)</f>
        <v>4733.9507787609473</v>
      </c>
      <c r="Y165" s="355"/>
      <c r="Z165" s="392">
        <f t="shared" si="103"/>
        <v>5132.8038313527059</v>
      </c>
      <c r="AA165" s="392">
        <f>SUM(AA162*AA163)</f>
        <v>5506.4422348012031</v>
      </c>
      <c r="AB165" s="392">
        <f>SUM(AB162*AB163)</f>
        <v>5920.250208905326</v>
      </c>
      <c r="AC165" s="392">
        <f>SUM(AC162*AC163)</f>
        <v>6327.8482943457611</v>
      </c>
      <c r="AD165" s="472" t="s">
        <v>219</v>
      </c>
    </row>
    <row r="166" spans="1:31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  <c r="AC166" s="144"/>
    </row>
    <row r="167" spans="1:31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  <c r="AC167" s="257"/>
    </row>
    <row r="168" spans="1:31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  <c r="AC168" s="257"/>
    </row>
    <row r="169" spans="1:31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  <c r="AC169" s="257"/>
    </row>
    <row r="170" spans="1:31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  <c r="AC170" s="265"/>
    </row>
    <row r="171" spans="1:31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  <c r="AC171" s="341" t="s">
        <v>103</v>
      </c>
    </row>
    <row r="172" spans="1:31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  <c r="AC172" s="301">
        <f>AB172+1</f>
        <v>2024</v>
      </c>
    </row>
    <row r="173" spans="1:31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C173" s="321"/>
      <c r="AE173" s="11"/>
    </row>
    <row r="174" spans="1:31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14133.776330000001</v>
      </c>
      <c r="W174" s="355"/>
      <c r="X174" s="342">
        <f>SUM(X32)</f>
        <v>15043.174325423746</v>
      </c>
      <c r="Y174" s="355"/>
      <c r="Z174" s="342">
        <f>SUM(Z32)</f>
        <v>16355.936467628395</v>
      </c>
      <c r="AA174" s="342">
        <f>SUM(AA32)</f>
        <v>17797.370999490118</v>
      </c>
      <c r="AB174" s="342">
        <f>SUM(AB32)</f>
        <v>19101.747678716663</v>
      </c>
      <c r="AC174" s="342">
        <f>SUM(AC32)</f>
        <v>20804.949920993251</v>
      </c>
      <c r="AE174" s="145"/>
    </row>
    <row r="175" spans="1:31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342"/>
      <c r="W175" s="271"/>
      <c r="X175" s="342"/>
      <c r="Y175" s="271"/>
      <c r="Z175" s="342"/>
      <c r="AA175" s="342"/>
      <c r="AB175" s="342"/>
      <c r="AC175" s="342"/>
      <c r="AE175" s="144"/>
    </row>
    <row r="176" spans="1:31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342">
        <f>SUM(V53)</f>
        <v>5979.1903499999999</v>
      </c>
      <c r="W176" s="273"/>
      <c r="X176" s="342">
        <f>SUM(X53)</f>
        <v>6791.9727780255489</v>
      </c>
      <c r="Y176" s="273"/>
      <c r="Z176" s="368">
        <f>SUM(Z53)</f>
        <v>7367.2900349439651</v>
      </c>
      <c r="AA176" s="368">
        <f>SUM(AA53)</f>
        <v>7996.705398921521</v>
      </c>
      <c r="AB176" s="368">
        <f>SUM(AB53)</f>
        <v>8566.9440882147428</v>
      </c>
      <c r="AC176" s="368">
        <f>SUM(AC53)</f>
        <v>9309.8395578409763</v>
      </c>
      <c r="AE176" s="145"/>
    </row>
    <row r="177" spans="1:31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342">
        <f>SUM(V75)</f>
        <v>11537.7201</v>
      </c>
      <c r="W177" s="273"/>
      <c r="X177" s="342">
        <f>SUM(X75)</f>
        <v>11703.932587568341</v>
      </c>
      <c r="Y177" s="273"/>
      <c r="Z177" s="342">
        <f>SUM(Z75)</f>
        <v>12618.05144052687</v>
      </c>
      <c r="AA177" s="342">
        <f>SUM(AA75)</f>
        <v>13582.436919467216</v>
      </c>
      <c r="AB177" s="342">
        <f>SUM(AB75)</f>
        <v>14511.46722538324</v>
      </c>
      <c r="AC177" s="342">
        <f>SUM(AC75)</f>
        <v>15604.245792820951</v>
      </c>
      <c r="AE177" s="145"/>
    </row>
    <row r="178" spans="1:31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343">
        <f>SUM(V95)</f>
        <v>12.636430000000001</v>
      </c>
      <c r="W178" s="273"/>
      <c r="X178" s="343">
        <f>SUM(X95)</f>
        <v>12.825976449999997</v>
      </c>
      <c r="Y178" s="273"/>
      <c r="Z178" s="343">
        <f>SUM(Z95)</f>
        <v>13.082495978999999</v>
      </c>
      <c r="AA178" s="343">
        <f>SUM(AA95)</f>
        <v>13.344145898580001</v>
      </c>
      <c r="AB178" s="343">
        <f>SUM(AB95)</f>
        <v>13.611028816551599</v>
      </c>
      <c r="AC178" s="343">
        <f>SUM(AC95)</f>
        <v>13.883249392882632</v>
      </c>
      <c r="AE178" s="145"/>
    </row>
    <row r="179" spans="1:31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175"/>
      <c r="T179" s="179">
        <f>SUM(T111)</f>
        <v>3479.2761100000002</v>
      </c>
      <c r="U179" s="273"/>
      <c r="V179" s="338">
        <f>SUM(V111)</f>
        <v>3280.9031100000002</v>
      </c>
      <c r="W179" s="273"/>
      <c r="X179" s="338">
        <f>SUM(X111)</f>
        <v>3540.5580755583851</v>
      </c>
      <c r="Y179" s="273"/>
      <c r="Z179" s="338">
        <f>SUM(Z111)</f>
        <v>3611.3692370695526</v>
      </c>
      <c r="AA179" s="338">
        <f>SUM(AA111)</f>
        <v>3683.5966218109438</v>
      </c>
      <c r="AB179" s="338">
        <f>SUM(AB111)</f>
        <v>3757.2685542471622</v>
      </c>
      <c r="AC179" s="338">
        <f>SUM(AC111)</f>
        <v>3832.4139253321055</v>
      </c>
      <c r="AE179" s="145"/>
    </row>
    <row r="180" spans="1:31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175"/>
      <c r="T180" s="272"/>
      <c r="U180" s="271"/>
      <c r="V180" s="342"/>
      <c r="W180" s="271"/>
      <c r="X180" s="342"/>
      <c r="Y180" s="271"/>
      <c r="Z180" s="342"/>
      <c r="AA180" s="342"/>
      <c r="AB180" s="342"/>
      <c r="AC180" s="342"/>
      <c r="AE180" s="144"/>
    </row>
    <row r="181" spans="1:31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05">SUM(G174:G179)</f>
        <v>22467.722571320119</v>
      </c>
      <c r="H181" s="3"/>
      <c r="I181" s="178">
        <f t="shared" si="105"/>
        <v>25222.541358363891</v>
      </c>
      <c r="J181" s="181"/>
      <c r="K181" s="180"/>
      <c r="L181" s="178">
        <f t="shared" ref="L181:AA181" si="106">SUM(L174:L179)</f>
        <v>27721.837982187997</v>
      </c>
      <c r="M181" s="181"/>
      <c r="N181" s="178">
        <f t="shared" ref="N181" si="107">SUM(N174:N179)</f>
        <v>29497.728188102526</v>
      </c>
      <c r="O181" s="280"/>
      <c r="P181" s="179">
        <f t="shared" si="106"/>
        <v>30629.426470680279</v>
      </c>
      <c r="Q181" s="281"/>
      <c r="R181" s="179">
        <f>SUM(R174:R179)</f>
        <v>33603.611274662006</v>
      </c>
      <c r="S181" s="175"/>
      <c r="T181" s="179">
        <f>SUM(T174:T179)</f>
        <v>33724.400079999999</v>
      </c>
      <c r="U181" s="273"/>
      <c r="V181" s="338">
        <f t="shared" si="106"/>
        <v>34944.226320000002</v>
      </c>
      <c r="W181" s="273"/>
      <c r="X181" s="338">
        <f t="shared" si="106"/>
        <v>37092.463743026026</v>
      </c>
      <c r="Y181" s="273"/>
      <c r="Z181" s="338">
        <f t="shared" si="106"/>
        <v>39965.729676147777</v>
      </c>
      <c r="AA181" s="338">
        <f t="shared" si="106"/>
        <v>43073.454085588382</v>
      </c>
      <c r="AB181" s="338">
        <f>SUM(AB174:AB179)</f>
        <v>45951.038575378356</v>
      </c>
      <c r="AC181" s="338">
        <f>SUM(AC174:AC179)</f>
        <v>49565.332446380169</v>
      </c>
      <c r="AE181" s="144"/>
    </row>
    <row r="182" spans="1:31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175"/>
      <c r="T182" s="272"/>
      <c r="U182" s="271"/>
      <c r="V182" s="342"/>
      <c r="W182" s="271"/>
      <c r="X182" s="342"/>
      <c r="Y182" s="271"/>
      <c r="Z182" s="342"/>
      <c r="AA182" s="342"/>
      <c r="AB182" s="342"/>
      <c r="AC182" s="342"/>
      <c r="AE182" s="144"/>
    </row>
    <row r="183" spans="1:31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175"/>
      <c r="T183" s="272"/>
      <c r="U183" s="271"/>
      <c r="V183" s="342"/>
      <c r="W183" s="271"/>
      <c r="X183" s="342"/>
      <c r="Y183" s="271"/>
      <c r="Z183" s="342"/>
      <c r="AA183" s="342"/>
      <c r="AB183" s="342"/>
      <c r="AC183" s="342"/>
      <c r="AE183" s="144"/>
    </row>
    <row r="184" spans="1:31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175"/>
      <c r="T184" s="276">
        <f>SUM(T130)</f>
        <v>3358.2858700000002</v>
      </c>
      <c r="U184" s="273"/>
      <c r="V184" s="342">
        <f>SUM(V130)</f>
        <v>3563.96029</v>
      </c>
      <c r="W184" s="355"/>
      <c r="X184" s="342">
        <f>SUM(X130)</f>
        <v>4249.2745259565763</v>
      </c>
      <c r="Y184" s="355"/>
      <c r="Z184" s="342">
        <f>SUM(Z130)</f>
        <v>4897.3918252103376</v>
      </c>
      <c r="AA184" s="342">
        <f>SUM(AA130)</f>
        <v>5560.7873609770231</v>
      </c>
      <c r="AB184" s="342">
        <f>SUM(AB130)</f>
        <v>6268.755336995393</v>
      </c>
      <c r="AC184" s="342">
        <f>SUM(AC130)</f>
        <v>6970.8869783149266</v>
      </c>
      <c r="AE184" s="145"/>
    </row>
    <row r="185" spans="1:31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175"/>
      <c r="T185" s="276">
        <f>SUM(T147)</f>
        <v>1765.7096300000001</v>
      </c>
      <c r="U185" s="273"/>
      <c r="V185" s="342">
        <f>SUM(V147)</f>
        <v>1655.63895</v>
      </c>
      <c r="W185" s="273"/>
      <c r="X185" s="342">
        <f>SUM(X147)</f>
        <v>1962.4064715089683</v>
      </c>
      <c r="Y185" s="273"/>
      <c r="Z185" s="342">
        <f>SUM(Z147)</f>
        <v>2231.2703437464165</v>
      </c>
      <c r="AA185" s="342">
        <f>SUM(AA147)</f>
        <v>2505.1846630530085</v>
      </c>
      <c r="AB185" s="342">
        <f>SUM(AB147)</f>
        <v>2797.2712482966917</v>
      </c>
      <c r="AC185" s="342">
        <f>SUM(AC147)</f>
        <v>3087.0913158230342</v>
      </c>
      <c r="AE185" s="145"/>
    </row>
    <row r="186" spans="1:31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342">
        <f>SUM(V165)</f>
        <v>4225.4404299999997</v>
      </c>
      <c r="W186" s="273"/>
      <c r="X186" s="342">
        <f>SUM(X165)</f>
        <v>4733.9507787609473</v>
      </c>
      <c r="Y186" s="273"/>
      <c r="Z186" s="342">
        <f>SUM(Z165)</f>
        <v>5132.8038313527059</v>
      </c>
      <c r="AA186" s="342">
        <f>SUM(AA165)</f>
        <v>5506.4422348012031</v>
      </c>
      <c r="AB186" s="342">
        <f>SUM(AB165)</f>
        <v>5920.250208905326</v>
      </c>
      <c r="AC186" s="342">
        <f>SUM(AC165)</f>
        <v>6327.8482943457611</v>
      </c>
      <c r="AE186" s="145"/>
    </row>
    <row r="187" spans="1:31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75"/>
      <c r="T187" s="179">
        <v>0</v>
      </c>
      <c r="U187" s="273"/>
      <c r="V187" s="338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C187" s="338">
        <v>0</v>
      </c>
      <c r="AE187" s="144"/>
    </row>
    <row r="188" spans="1:31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175"/>
      <c r="T188" s="272"/>
      <c r="U188" s="271"/>
      <c r="V188" s="342"/>
      <c r="W188" s="271"/>
      <c r="X188" s="342"/>
      <c r="Y188" s="271"/>
      <c r="Z188" s="342"/>
      <c r="AA188" s="342"/>
      <c r="AB188" s="342"/>
      <c r="AC188" s="342"/>
      <c r="AE188" s="27"/>
    </row>
    <row r="189" spans="1:31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08">SUM(G184:G186)</f>
        <v>5381.658967623669</v>
      </c>
      <c r="H189" s="3"/>
      <c r="I189" s="178">
        <f t="shared" si="108"/>
        <v>5836.652431139988</v>
      </c>
      <c r="J189" s="181"/>
      <c r="K189" s="180"/>
      <c r="L189" s="178">
        <f t="shared" ref="L189:AC189" si="109">SUM(L184:L186)</f>
        <v>6656.9436187574665</v>
      </c>
      <c r="M189" s="181"/>
      <c r="N189" s="178">
        <f t="shared" ref="N189" si="110">SUM(N184:N186)</f>
        <v>6826.5169189769413</v>
      </c>
      <c r="O189" s="181"/>
      <c r="P189" s="179">
        <f t="shared" si="109"/>
        <v>7377.2878482527303</v>
      </c>
      <c r="Q189" s="180"/>
      <c r="R189" s="179">
        <f>SUM(R184:R186)</f>
        <v>8337.9596247768241</v>
      </c>
      <c r="S189" s="175"/>
      <c r="T189" s="179">
        <f>SUM(T184:T186)</f>
        <v>9536.0529500000011</v>
      </c>
      <c r="U189" s="273"/>
      <c r="V189" s="338">
        <f>SUM(V184:V186)</f>
        <v>9445.0396699999983</v>
      </c>
      <c r="W189" s="273"/>
      <c r="X189" s="338">
        <f t="shared" si="109"/>
        <v>10945.631776226492</v>
      </c>
      <c r="Y189" s="273"/>
      <c r="Z189" s="338">
        <f t="shared" si="109"/>
        <v>12261.466000309461</v>
      </c>
      <c r="AA189" s="338">
        <f t="shared" si="109"/>
        <v>13572.414258831235</v>
      </c>
      <c r="AB189" s="338">
        <f t="shared" si="109"/>
        <v>14986.276794197413</v>
      </c>
      <c r="AC189" s="338">
        <f t="shared" si="109"/>
        <v>16385.82658848372</v>
      </c>
    </row>
    <row r="190" spans="1:31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175"/>
      <c r="T190" s="270"/>
      <c r="U190" s="271"/>
      <c r="V190" s="342"/>
      <c r="W190" s="271"/>
      <c r="X190" s="342"/>
      <c r="Y190" s="271"/>
      <c r="Z190" s="342"/>
      <c r="AA190" s="342"/>
      <c r="AB190" s="342"/>
      <c r="AC190" s="342"/>
    </row>
    <row r="191" spans="1:31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75"/>
      <c r="T191" s="141">
        <f>SUM(T181+T189)</f>
        <v>43260.453030000004</v>
      </c>
      <c r="U191" s="355"/>
      <c r="V191" s="320">
        <f>SUM(V181+V189)</f>
        <v>44389.26599</v>
      </c>
      <c r="W191" s="355"/>
      <c r="X191" s="320">
        <f>SUM(X181+X189)</f>
        <v>48038.095519252514</v>
      </c>
      <c r="Y191" s="355"/>
      <c r="Z191" s="320">
        <f>SUM(Z181+Z189)</f>
        <v>52227.195676457239</v>
      </c>
      <c r="AA191" s="320">
        <f>SUM(AA181+AA189)</f>
        <v>56645.868344419621</v>
      </c>
      <c r="AB191" s="320">
        <f>SUM(AB181+AB189)</f>
        <v>60937.315369575765</v>
      </c>
      <c r="AC191" s="320">
        <f>SUM(AC181+AC189)</f>
        <v>65951.159034863886</v>
      </c>
    </row>
    <row r="192" spans="1:31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175"/>
      <c r="T192" s="285"/>
      <c r="U192" s="286"/>
      <c r="V192" s="285"/>
      <c r="W192" s="286"/>
      <c r="X192" s="285"/>
      <c r="Y192" s="286"/>
      <c r="Z192" s="285"/>
      <c r="AA192" s="285"/>
      <c r="AB192" s="285"/>
      <c r="AC192" s="285"/>
    </row>
    <row r="193" spans="1:29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175"/>
      <c r="T193" s="289">
        <f>SUM(T191-R191)</f>
        <v>1318.8821305611782</v>
      </c>
      <c r="U193" s="175"/>
      <c r="V193" s="289">
        <f>SUM(V191-T191)</f>
        <v>1128.8129599999957</v>
      </c>
      <c r="W193" s="175"/>
      <c r="X193" s="289">
        <f>SUM(X191-V191)</f>
        <v>3648.8295292525145</v>
      </c>
      <c r="Y193" s="175"/>
      <c r="Z193" s="289">
        <f>SUM(Z191-X191)</f>
        <v>4189.1001572047244</v>
      </c>
      <c r="AA193" s="289">
        <f>SUM(AA191-Z191)</f>
        <v>4418.6726679623825</v>
      </c>
      <c r="AB193" s="289">
        <f>SUM(AB191-AA191)</f>
        <v>4291.4470251561434</v>
      </c>
      <c r="AC193" s="289">
        <f>SUM(AC191-AB191)</f>
        <v>5013.843665288121</v>
      </c>
    </row>
    <row r="194" spans="1:29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S194" s="12"/>
      <c r="U194" s="12"/>
      <c r="W194" s="12"/>
      <c r="Y194" s="12"/>
    </row>
    <row r="195" spans="1:29" x14ac:dyDescent="0.3">
      <c r="L195" s="10">
        <f>(L191-I191)/I191</f>
        <v>0.10687939403512148</v>
      </c>
      <c r="N195" s="10">
        <f>(N191-L191)/L191</f>
        <v>5.6589076620461323E-2</v>
      </c>
      <c r="P195" s="10">
        <f>(P191-N191)/N191</f>
        <v>4.631807782636152E-2</v>
      </c>
      <c r="R195" s="10">
        <f>(R191-P191)/P191</f>
        <v>0.10353056429678457</v>
      </c>
      <c r="T195" s="10">
        <f>(T191-R191)/R191</f>
        <v>3.1445701776964791E-2</v>
      </c>
      <c r="U195" s="10"/>
      <c r="V195" s="10">
        <f>(V191-T191)/T191</f>
        <v>2.6093415138699384E-2</v>
      </c>
      <c r="W195" s="10"/>
      <c r="X195" s="10">
        <f>(X191-V191)/V191</f>
        <v>8.2200717850899399E-2</v>
      </c>
      <c r="Y195" s="10"/>
      <c r="Z195" s="10">
        <f>(Z191-X191)/X191</f>
        <v>8.7203710137214618E-2</v>
      </c>
      <c r="AA195" s="10">
        <f>(AA191-Z191)/Z191</f>
        <v>8.4604823420649664E-2</v>
      </c>
      <c r="AB195" s="10">
        <f>(AB191-AA191)/AA191</f>
        <v>7.5759223939567494E-2</v>
      </c>
      <c r="AC195" s="10">
        <f>(AC191-AB191)/AB191</f>
        <v>8.2278709439034259E-2</v>
      </c>
    </row>
    <row r="232" spans="20:22" x14ac:dyDescent="0.3">
      <c r="T232" s="354"/>
      <c r="V232" s="354"/>
    </row>
    <row r="233" spans="20:22" x14ac:dyDescent="0.3">
      <c r="T233" s="354"/>
      <c r="V233" s="354"/>
    </row>
    <row r="234" spans="20:22" x14ac:dyDescent="0.3">
      <c r="T234" s="354"/>
      <c r="V234" s="354"/>
    </row>
    <row r="236" spans="20:22" x14ac:dyDescent="0.3">
      <c r="T236" s="357"/>
      <c r="V236" s="357"/>
    </row>
  </sheetData>
  <pageMargins left="0.7" right="0.7" top="0.75" bottom="0.75" header="0.3" footer="0.3"/>
  <pageSetup paperSize="5" scale="60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W54"/>
  <sheetViews>
    <sheetView zoomScaleNormal="100" workbookViewId="0">
      <pane ySplit="5" topLeftCell="A24" activePane="bottomLeft" state="frozen"/>
      <selection activeCell="AB26" sqref="AB26"/>
      <selection pane="bottomLeft" activeCell="F27" sqref="F27"/>
    </sheetView>
  </sheetViews>
  <sheetFormatPr defaultRowHeight="14.4" x14ac:dyDescent="0.3"/>
  <cols>
    <col min="2" max="2" width="7.109375" customWidth="1"/>
    <col min="3" max="3" width="12.88671875" customWidth="1"/>
    <col min="4" max="4" width="13.33203125" bestFit="1" customWidth="1"/>
    <col min="5" max="5" width="11.5546875" bestFit="1" customWidth="1"/>
    <col min="6" max="6" width="10.109375" customWidth="1"/>
    <col min="7" max="7" width="11.109375" customWidth="1"/>
    <col min="8" max="8" width="13.5546875" customWidth="1"/>
    <col min="9" max="9" width="11.109375" customWidth="1"/>
    <col min="10" max="10" width="12" customWidth="1"/>
    <col min="11" max="11" width="11.33203125" bestFit="1" customWidth="1"/>
    <col min="12" max="12" width="9.6640625" customWidth="1"/>
    <col min="15" max="15" width="9.88671875" customWidth="1"/>
    <col min="17" max="17" width="9.5546875" bestFit="1" customWidth="1"/>
  </cols>
  <sheetData>
    <row r="1" spans="2:23" x14ac:dyDescent="0.3">
      <c r="B1" s="345" t="s">
        <v>155</v>
      </c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</row>
    <row r="2" spans="2:23" x14ac:dyDescent="0.3"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</row>
    <row r="3" spans="2:23" ht="15" customHeight="1" x14ac:dyDescent="0.3">
      <c r="D3" s="628" t="s">
        <v>248</v>
      </c>
      <c r="E3" s="628"/>
      <c r="F3" s="628"/>
      <c r="G3" s="628"/>
      <c r="H3" s="628"/>
      <c r="I3" s="524"/>
      <c r="J3" s="524"/>
      <c r="K3" s="627" t="s">
        <v>202</v>
      </c>
      <c r="L3" s="627"/>
      <c r="M3" s="627"/>
      <c r="N3" s="627"/>
      <c r="O3" s="627"/>
      <c r="Q3" s="627" t="s">
        <v>197</v>
      </c>
      <c r="R3" s="627"/>
      <c r="S3" s="627"/>
      <c r="T3" s="627"/>
      <c r="U3" s="627"/>
      <c r="V3" s="627"/>
      <c r="W3" s="627"/>
    </row>
    <row r="4" spans="2:23" x14ac:dyDescent="0.3">
      <c r="I4" s="375"/>
      <c r="J4" s="375"/>
    </row>
    <row r="5" spans="2:23" x14ac:dyDescent="0.3">
      <c r="D5" s="519">
        <v>2020</v>
      </c>
      <c r="E5" s="519">
        <v>2021</v>
      </c>
      <c r="F5" s="519">
        <v>2022</v>
      </c>
      <c r="G5" s="519">
        <v>2023</v>
      </c>
      <c r="H5" s="519">
        <v>2024</v>
      </c>
      <c r="I5" s="499"/>
      <c r="J5" s="415"/>
      <c r="K5" s="519">
        <v>2020</v>
      </c>
      <c r="L5" s="519">
        <f>K5+1</f>
        <v>2021</v>
      </c>
      <c r="M5" s="518">
        <f>L5+1</f>
        <v>2022</v>
      </c>
      <c r="N5" s="518">
        <f>M5+1</f>
        <v>2023</v>
      </c>
      <c r="O5" s="518">
        <f>N5+1</f>
        <v>2024</v>
      </c>
      <c r="Q5" s="518">
        <v>2019</v>
      </c>
      <c r="R5" s="518"/>
      <c r="S5" s="518">
        <v>2020</v>
      </c>
      <c r="T5" s="518">
        <v>2021</v>
      </c>
      <c r="U5" s="518">
        <v>2022</v>
      </c>
      <c r="V5" s="518">
        <v>2023</v>
      </c>
      <c r="W5" s="518">
        <v>2024</v>
      </c>
    </row>
    <row r="6" spans="2:23" x14ac:dyDescent="0.3">
      <c r="B6" t="s">
        <v>157</v>
      </c>
      <c r="D6" s="383"/>
      <c r="E6" s="383"/>
      <c r="F6" s="383"/>
      <c r="G6" s="383"/>
      <c r="H6" s="383"/>
      <c r="I6" s="415"/>
      <c r="J6" s="415"/>
      <c r="K6" s="383"/>
      <c r="L6" s="383"/>
    </row>
    <row r="7" spans="2:23" x14ac:dyDescent="0.3">
      <c r="C7" t="s">
        <v>158</v>
      </c>
      <c r="D7" s="386">
        <f>'Revision 08.20.20'!X174</f>
        <v>14382.815357509968</v>
      </c>
      <c r="E7" s="386">
        <f>'Revision 08.20.20'!Z174</f>
        <v>15678.317793054683</v>
      </c>
      <c r="F7" s="386">
        <f>'Revision 08.20.20'!AA174</f>
        <v>17101.668684942557</v>
      </c>
      <c r="G7" s="386">
        <f>'Revision 08.20.20'!AB174</f>
        <v>18388.274614326419</v>
      </c>
      <c r="H7" s="386">
        <f>'Revision 08.20.20'!AC174</f>
        <v>20071.834985591293</v>
      </c>
      <c r="I7" s="525"/>
      <c r="J7" s="415"/>
      <c r="K7" s="475">
        <f>'Revision 04.23.20'!X174</f>
        <v>14053.645011972199</v>
      </c>
      <c r="L7" s="386">
        <f>'Revision 04.23.20'!Z174</f>
        <v>14569.035117258458</v>
      </c>
      <c r="M7" s="348">
        <f>'Revision 04.23.20'!AA174</f>
        <v>15978.870275258629</v>
      </c>
      <c r="N7" s="348">
        <f>'Revision 04.23.20'!AB174</f>
        <v>17250.399477981708</v>
      </c>
      <c r="O7" s="348">
        <f>'Revision 04.23.20'!AC174</f>
        <v>18921.481671449554</v>
      </c>
      <c r="Q7" s="348">
        <v>14808.461660383624</v>
      </c>
      <c r="R7" s="1">
        <v>0</v>
      </c>
      <c r="S7" s="475">
        <v>14688.082901149826</v>
      </c>
      <c r="T7" s="348">
        <v>15264.497818942384</v>
      </c>
      <c r="U7" s="348">
        <v>16741.632407551399</v>
      </c>
      <c r="V7" s="348">
        <v>18073.858912976993</v>
      </c>
      <c r="W7" s="348">
        <v>19824.711340207843</v>
      </c>
    </row>
    <row r="8" spans="2:23" x14ac:dyDescent="0.3">
      <c r="C8" t="s">
        <v>159</v>
      </c>
      <c r="D8" s="386">
        <f>'Revision 08.20.20'!X176</f>
        <v>6791.9727780255489</v>
      </c>
      <c r="E8" s="386">
        <f>'Revision 08.20.20'!Z176</f>
        <v>7367.2900349439651</v>
      </c>
      <c r="F8" s="386">
        <f>'Revision 08.20.20'!AA176</f>
        <v>7996.705398921521</v>
      </c>
      <c r="G8" s="386">
        <f>'Revision 08.20.20'!AB176</f>
        <v>8566.9440882147428</v>
      </c>
      <c r="H8" s="386">
        <f>'Revision 08.20.20'!AC176</f>
        <v>9309.8395578409763</v>
      </c>
      <c r="I8" s="390"/>
      <c r="J8" s="415"/>
      <c r="K8" s="386">
        <f>'Revision 04.23.20'!X176</f>
        <v>6485.9689935238766</v>
      </c>
      <c r="L8" s="386">
        <f>'Revision 04.23.20'!Z176</f>
        <v>7049.1565542400222</v>
      </c>
      <c r="M8" s="348">
        <f>'Revision 04.23.20'!AA176</f>
        <v>7665.6285653430778</v>
      </c>
      <c r="N8" s="348">
        <f>'Revision 04.23.20'!AB176</f>
        <v>8223.6446912756182</v>
      </c>
      <c r="O8" s="348">
        <f>'Revision 04.23.20'!AC176</f>
        <v>8951.8719113049247</v>
      </c>
      <c r="Q8" s="348">
        <v>5979.1903499999999</v>
      </c>
      <c r="R8" s="1">
        <v>-7.1119664264741519E-2</v>
      </c>
      <c r="S8" s="386">
        <v>6485.9689935238766</v>
      </c>
      <c r="T8" s="348">
        <v>7049.1565542400222</v>
      </c>
      <c r="U8" s="348">
        <v>7665.6285653430778</v>
      </c>
      <c r="V8" s="348">
        <v>8223.6446912756182</v>
      </c>
      <c r="W8" s="348">
        <v>8951.8719113049247</v>
      </c>
    </row>
    <row r="9" spans="2:23" x14ac:dyDescent="0.3">
      <c r="C9" t="s">
        <v>160</v>
      </c>
      <c r="D9" s="386">
        <f>'Revision 08.20.20'!X177</f>
        <v>11703.932587568341</v>
      </c>
      <c r="E9" s="386">
        <f>'Revision 08.20.20'!Z177</f>
        <v>12618.05144052687</v>
      </c>
      <c r="F9" s="386">
        <f>'Revision 08.20.20'!AA177</f>
        <v>13582.436919467216</v>
      </c>
      <c r="G9" s="386">
        <f>'Revision 08.20.20'!AB177</f>
        <v>14511.46722538324</v>
      </c>
      <c r="H9" s="386">
        <f>'Revision 08.20.20'!AC177</f>
        <v>15604.245792820951</v>
      </c>
      <c r="I9" s="390"/>
      <c r="J9" s="415"/>
      <c r="K9" s="386">
        <f>'Revision 04.23.20'!X177</f>
        <v>11452.9005610898</v>
      </c>
      <c r="L9" s="386">
        <f>'Revision 04.23.20'!Z177</f>
        <v>12309.744715542563</v>
      </c>
      <c r="M9" s="348">
        <f>'Revision 04.23.20'!AA177</f>
        <v>13199.841952346265</v>
      </c>
      <c r="N9" s="348">
        <f>'Revision 04.23.20'!AB177</f>
        <v>14049.579563719695</v>
      </c>
      <c r="O9" s="348">
        <f>'Revision 04.23.20'!AC177</f>
        <v>15064.179368989671</v>
      </c>
      <c r="Q9" s="348">
        <v>11537.7201</v>
      </c>
      <c r="R9" s="1">
        <v>-1.0941844034232805E-2</v>
      </c>
      <c r="S9" s="386">
        <v>11452.9005610898</v>
      </c>
      <c r="T9" s="348">
        <v>12309.744715542563</v>
      </c>
      <c r="U9" s="348">
        <v>13199.841952346265</v>
      </c>
      <c r="V9" s="348">
        <v>14049.579563719695</v>
      </c>
      <c r="W9" s="348">
        <v>15064.179368989671</v>
      </c>
    </row>
    <row r="10" spans="2:23" x14ac:dyDescent="0.3">
      <c r="C10" t="s">
        <v>161</v>
      </c>
      <c r="D10" s="386">
        <f>'Revision 08.20.20'!X178+'Revision 08.20.20'!X179</f>
        <v>3553.384052008385</v>
      </c>
      <c r="E10" s="386">
        <f>'Revision 08.20.20'!Z178+'Revision 08.20.20'!Z179</f>
        <v>3624.4517330485528</v>
      </c>
      <c r="F10" s="386">
        <f>'Revision 08.20.20'!AA178+'Revision 08.20.20'!AA179</f>
        <v>3696.9407677095237</v>
      </c>
      <c r="G10" s="386">
        <f>'Revision 08.20.20'!AB178+'Revision 08.20.20'!AB179</f>
        <v>3770.8795830637137</v>
      </c>
      <c r="H10" s="386">
        <f>'Revision 08.20.20'!AC178+'Revision 08.20.20'!AC179</f>
        <v>3846.2971747249881</v>
      </c>
      <c r="I10" s="390"/>
      <c r="J10" s="415"/>
      <c r="K10" s="386">
        <f>'Revision 04.23.20'!X178+'Revision 04.23.20'!X179</f>
        <v>3342.9426331</v>
      </c>
      <c r="L10" s="386">
        <f>'Revision 04.23.20'!Z178+'Revision 04.23.20'!Z179</f>
        <v>3409.8014857620001</v>
      </c>
      <c r="M10" s="348">
        <f>'Revision 04.23.20'!AA178+'Revision 04.23.20'!AA179</f>
        <v>3477.9975154772401</v>
      </c>
      <c r="N10" s="348">
        <f>'Revision 04.23.20'!AB178+'Revision 04.23.20'!AB179</f>
        <v>3547.5574657867842</v>
      </c>
      <c r="O10" s="348">
        <f>'Revision 04.23.20'!AC178+'Revision 04.23.20'!AC179</f>
        <v>3618.5086151025203</v>
      </c>
      <c r="Q10" s="348">
        <v>3293.5395400000002</v>
      </c>
      <c r="R10" s="1">
        <v>-3.6421294047271277E-2</v>
      </c>
      <c r="S10" s="348">
        <v>3342.9426331</v>
      </c>
      <c r="T10" s="348">
        <v>3409.8014857620001</v>
      </c>
      <c r="U10" s="348">
        <v>3477.9975154772401</v>
      </c>
      <c r="V10" s="348">
        <v>3547.5574657867842</v>
      </c>
      <c r="W10" s="348">
        <v>3618.5086151025203</v>
      </c>
    </row>
    <row r="11" spans="2:23" x14ac:dyDescent="0.3">
      <c r="B11" t="s">
        <v>162</v>
      </c>
      <c r="D11" s="389">
        <f>SUM(D7:D10)</f>
        <v>36432.104775112239</v>
      </c>
      <c r="E11" s="389">
        <f t="shared" ref="E11:G11" si="0">SUM(E7:E10)</f>
        <v>39288.111001574071</v>
      </c>
      <c r="F11" s="389">
        <f t="shared" si="0"/>
        <v>42377.751771040814</v>
      </c>
      <c r="G11" s="389">
        <f t="shared" si="0"/>
        <v>45237.565510988119</v>
      </c>
      <c r="H11" s="389">
        <f>SUM(H7:H10)</f>
        <v>48832.217510978211</v>
      </c>
      <c r="I11" s="390"/>
      <c r="J11" s="415"/>
      <c r="K11" s="389">
        <f>SUM(K7:K10)</f>
        <v>35335.457199685879</v>
      </c>
      <c r="L11" s="389">
        <f t="shared" ref="L11:O11" si="1">SUM(L7:L10)</f>
        <v>37337.737872803045</v>
      </c>
      <c r="M11" s="349">
        <f t="shared" si="1"/>
        <v>40322.338308425213</v>
      </c>
      <c r="N11" s="349">
        <f t="shared" si="1"/>
        <v>43071.181198763807</v>
      </c>
      <c r="O11" s="349">
        <f t="shared" si="1"/>
        <v>46556.041566846667</v>
      </c>
      <c r="Q11" s="349">
        <v>35618.911650383619</v>
      </c>
      <c r="R11" s="1">
        <v>-1.9541663306421361E-2</v>
      </c>
      <c r="S11" s="349">
        <v>35969.895088863501</v>
      </c>
      <c r="T11" s="349">
        <v>38033.200574486968</v>
      </c>
      <c r="U11" s="349">
        <v>41085.100440717986</v>
      </c>
      <c r="V11" s="349">
        <v>43894.640633759089</v>
      </c>
      <c r="W11" s="349">
        <v>47459.27123560496</v>
      </c>
    </row>
    <row r="12" spans="2:23" x14ac:dyDescent="0.3">
      <c r="D12" s="384">
        <f>(D11-K11)/K11</f>
        <v>3.1035330015090568E-2</v>
      </c>
      <c r="E12" s="384">
        <f>(E11-L11)/L11</f>
        <v>5.2235974643543806E-2</v>
      </c>
      <c r="F12" s="384">
        <f>(F11-M11)/M11</f>
        <v>5.0974560227478906E-2</v>
      </c>
      <c r="G12" s="384">
        <f>(G11-N11)/N11</f>
        <v>5.0297768761598076E-2</v>
      </c>
      <c r="H12" s="384">
        <f>(H11-O11)/O11</f>
        <v>4.8891096998943465E-2</v>
      </c>
      <c r="I12" s="526"/>
      <c r="J12" s="415"/>
      <c r="K12" s="384"/>
      <c r="L12" s="384"/>
      <c r="M12" s="10"/>
      <c r="N12" s="10"/>
      <c r="O12" s="10"/>
      <c r="R12" s="411"/>
      <c r="S12" s="10">
        <v>-8.7779725846139578E-2</v>
      </c>
      <c r="T12" s="10">
        <v>-9.6594985209496345E-2</v>
      </c>
      <c r="U12" s="10">
        <v>-8.9942290785500506E-2</v>
      </c>
      <c r="V12" s="10">
        <v>-8.713365866655598E-2</v>
      </c>
      <c r="W12" s="10">
        <v>-8.3433050665492378E-2</v>
      </c>
    </row>
    <row r="13" spans="2:23" x14ac:dyDescent="0.3">
      <c r="B13" t="s">
        <v>163</v>
      </c>
      <c r="J13" s="383"/>
      <c r="R13" s="411"/>
    </row>
    <row r="14" spans="2:23" x14ac:dyDescent="0.3">
      <c r="C14" t="s">
        <v>158</v>
      </c>
      <c r="D14" s="348">
        <f>'Revision 08.20.20'!X184</f>
        <v>3619.4816909709975</v>
      </c>
      <c r="E14" s="348">
        <f>'Revision 08.20.20'!Z184</f>
        <v>4191.2297942951855</v>
      </c>
      <c r="F14" s="348">
        <f>'Revision 08.20.20'!AA184</f>
        <v>4776.4868821931132</v>
      </c>
      <c r="G14" s="348">
        <f>'Revision 08.20.20'!AB184</f>
        <v>5401.2096072531731</v>
      </c>
      <c r="H14" s="348">
        <f>'Revision 08.20.20'!AC184</f>
        <v>6020.6948360169954</v>
      </c>
      <c r="I14" s="500"/>
      <c r="J14" s="383"/>
      <c r="K14" s="475">
        <f>'Revision 04.23.20'!X184</f>
        <v>4096.8414941846258</v>
      </c>
      <c r="L14" s="348">
        <f>'Revision 04.23.20'!Z184</f>
        <v>4520.6089819571316</v>
      </c>
      <c r="M14" s="348">
        <f>'Revision 04.23.20'!AA184</f>
        <v>4951.4408521681462</v>
      </c>
      <c r="N14" s="348">
        <f>'Revision 04.23.20'!AB184</f>
        <v>5416.1790007420122</v>
      </c>
      <c r="O14" s="348">
        <f>'Revision 04.23.20'!AC184</f>
        <v>5868.0135763222479</v>
      </c>
      <c r="Q14" s="348">
        <v>3843.9964030509846</v>
      </c>
      <c r="R14" s="1">
        <v>0</v>
      </c>
      <c r="S14" s="475">
        <v>4418.748438837325</v>
      </c>
      <c r="T14" s="348">
        <v>4875.8132112193616</v>
      </c>
      <c r="U14" s="348">
        <v>5340.4974457933859</v>
      </c>
      <c r="V14" s="348">
        <v>5841.7521248904177</v>
      </c>
      <c r="W14" s="348">
        <v>6329.0893402286101</v>
      </c>
    </row>
    <row r="15" spans="2:23" x14ac:dyDescent="0.3">
      <c r="C15" t="s">
        <v>159</v>
      </c>
      <c r="D15" s="348">
        <f>'Revision 08.20.20'!X185</f>
        <v>1962.4064715089683</v>
      </c>
      <c r="E15" s="348">
        <f>'Revision 08.20.20'!Z185</f>
        <v>2231.2703437464165</v>
      </c>
      <c r="F15" s="348">
        <f>'Revision 08.20.20'!AA185</f>
        <v>2505.1846630530085</v>
      </c>
      <c r="G15" s="348">
        <f>'Revision 08.20.20'!AB185</f>
        <v>2797.2712482966917</v>
      </c>
      <c r="H15" s="348">
        <f>'Revision 08.20.20'!AC185</f>
        <v>3087.0913158230342</v>
      </c>
      <c r="I15" s="348"/>
      <c r="J15" s="383"/>
      <c r="K15" s="348">
        <f>'Revision 04.23.20'!X185</f>
        <v>1891.7815198947171</v>
      </c>
      <c r="L15" s="348">
        <f>'Revision 04.23.20'!Z185</f>
        <v>2079.3984473092009</v>
      </c>
      <c r="M15" s="348">
        <f>'Revision 04.23.20'!AA185</f>
        <v>2270.1494641187687</v>
      </c>
      <c r="N15" s="348">
        <f>'Revision 04.23.20'!AB185</f>
        <v>2475.796763686285</v>
      </c>
      <c r="O15" s="348">
        <f>'Revision 04.23.20'!AC185</f>
        <v>2675.8302762101484</v>
      </c>
      <c r="Q15" s="348">
        <v>1655.63895</v>
      </c>
      <c r="R15" s="1">
        <v>-8.0060618063971814E-2</v>
      </c>
      <c r="S15" s="348">
        <v>1891.7815198947171</v>
      </c>
      <c r="T15" s="348">
        <v>2079.3984473092009</v>
      </c>
      <c r="U15" s="348">
        <v>2270.1494641187687</v>
      </c>
      <c r="V15" s="348">
        <v>2475.796763686285</v>
      </c>
      <c r="W15" s="348">
        <v>2675.8302762101484</v>
      </c>
    </row>
    <row r="16" spans="2:23" x14ac:dyDescent="0.3">
      <c r="C16" t="s">
        <v>161</v>
      </c>
      <c r="D16" s="348">
        <f>'Revision 08.20.20'!X186</f>
        <v>4733.9507787609473</v>
      </c>
      <c r="E16" s="348">
        <f>'Revision 08.20.20'!Z186</f>
        <v>5132.8038313527059</v>
      </c>
      <c r="F16" s="348">
        <f>'Revision 08.20.20'!AA186</f>
        <v>5506.4422348012031</v>
      </c>
      <c r="G16" s="348">
        <f>'Revision 08.20.20'!AB186</f>
        <v>5920.250208905326</v>
      </c>
      <c r="H16" s="348">
        <f>'Revision 08.20.20'!AC186</f>
        <v>6327.8482943457611</v>
      </c>
      <c r="I16" s="348"/>
      <c r="J16" s="383"/>
      <c r="K16" s="348">
        <f>'Revision 04.23.20'!X186</f>
        <v>4631.5051251893237</v>
      </c>
      <c r="L16" s="348">
        <f>'Revision 04.23.20'!Z186</f>
        <v>4900.6281135910012</v>
      </c>
      <c r="M16" s="348">
        <f>'Revision 04.23.20'!AA186</f>
        <v>5139.3882285432419</v>
      </c>
      <c r="N16" s="348">
        <f>'Revision 04.23.20'!AB186</f>
        <v>5413.0156528983625</v>
      </c>
      <c r="O16" s="348">
        <f>'Revision 04.23.20'!AC186</f>
        <v>5674.9727882023399</v>
      </c>
      <c r="Q16" s="348">
        <v>4225.4404299999997</v>
      </c>
      <c r="R16" s="1">
        <v>-5.346521387688671E-3</v>
      </c>
      <c r="S16" s="348">
        <v>4631.5051251893237</v>
      </c>
      <c r="T16" s="348">
        <v>4900.6281135910012</v>
      </c>
      <c r="U16" s="348">
        <v>5139.3882285432419</v>
      </c>
      <c r="V16" s="348">
        <v>5413.0156528983625</v>
      </c>
      <c r="W16" s="348">
        <v>5674.9727882023399</v>
      </c>
    </row>
    <row r="17" spans="2:23" x14ac:dyDescent="0.3">
      <c r="B17" t="s">
        <v>164</v>
      </c>
      <c r="D17" s="349">
        <f>SUM(D13:D16)</f>
        <v>10315.838941240912</v>
      </c>
      <c r="E17" s="349">
        <f t="shared" ref="E17" si="2">SUM(E13:E16)</f>
        <v>11555.303969394306</v>
      </c>
      <c r="F17" s="349">
        <f>SUM(F13:F16)</f>
        <v>12788.113780047324</v>
      </c>
      <c r="G17" s="349">
        <f>SUM(G13:G16)</f>
        <v>14118.731064455191</v>
      </c>
      <c r="H17" s="349">
        <f>SUM(H13:H16)</f>
        <v>15435.634446185792</v>
      </c>
      <c r="I17" s="377"/>
      <c r="J17" s="383"/>
      <c r="K17" s="349">
        <f>SUM(K13:K16)</f>
        <v>10620.128139268667</v>
      </c>
      <c r="L17" s="349">
        <f t="shared" ref="L17:O17" si="3">SUM(L13:L16)</f>
        <v>11500.635542857333</v>
      </c>
      <c r="M17" s="349">
        <f t="shared" si="3"/>
        <v>12360.978544830155</v>
      </c>
      <c r="N17" s="349">
        <f t="shared" si="3"/>
        <v>13304.991417326659</v>
      </c>
      <c r="O17" s="349">
        <f t="shared" si="3"/>
        <v>14218.816640734736</v>
      </c>
      <c r="Q17" s="349">
        <v>9725.0757830509829</v>
      </c>
      <c r="R17" s="1">
        <v>-1.6862325443410025E-2</v>
      </c>
      <c r="S17" s="349">
        <v>10942.035083921366</v>
      </c>
      <c r="T17" s="349">
        <v>11855.839772119563</v>
      </c>
      <c r="U17" s="349">
        <v>12750.035138455398</v>
      </c>
      <c r="V17" s="349">
        <v>13730.564541475065</v>
      </c>
      <c r="W17" s="349">
        <v>14679.892404641098</v>
      </c>
    </row>
    <row r="18" spans="2:23" x14ac:dyDescent="0.3">
      <c r="D18" s="10">
        <f>(D17-K17)/K17</f>
        <v>-2.8652121145565462E-2</v>
      </c>
      <c r="E18" s="10">
        <f>(E17-L17)/L17</f>
        <v>4.75351351960074E-3</v>
      </c>
      <c r="F18" s="10">
        <f>(F17-M17)/M17</f>
        <v>3.4555131187070424E-2</v>
      </c>
      <c r="G18" s="10">
        <f>(G17-N17)/N17</f>
        <v>6.1160478921378721E-2</v>
      </c>
      <c r="H18" s="10">
        <f>(H17-O17)/O17</f>
        <v>8.5577994019914311E-2</v>
      </c>
      <c r="I18" s="10"/>
      <c r="J18" s="383"/>
      <c r="K18" s="10"/>
      <c r="L18" s="10"/>
      <c r="M18" s="10"/>
      <c r="N18" s="10"/>
      <c r="O18" s="10"/>
      <c r="R18" s="411"/>
      <c r="S18" s="10">
        <v>-3.5013142974896663E-3</v>
      </c>
      <c r="T18" s="10">
        <v>-6.1445214326053144E-3</v>
      </c>
      <c r="U18" s="10">
        <v>-1.2120326112082042E-2</v>
      </c>
      <c r="V18" s="10">
        <v>-1.3811844196483587E-2</v>
      </c>
      <c r="W18" s="10">
        <v>-1.5142697231862233E-2</v>
      </c>
    </row>
    <row r="19" spans="2:23" x14ac:dyDescent="0.3">
      <c r="D19" s="10"/>
      <c r="E19" s="10"/>
      <c r="F19" s="10"/>
      <c r="G19" s="10"/>
      <c r="H19" s="10"/>
      <c r="I19" s="10"/>
      <c r="J19" s="383"/>
      <c r="K19" s="10"/>
      <c r="L19" s="10"/>
      <c r="M19" s="10"/>
      <c r="N19" s="10"/>
      <c r="O19" s="10"/>
      <c r="R19" s="411"/>
      <c r="S19" s="10"/>
      <c r="T19" s="10"/>
      <c r="U19" s="10"/>
      <c r="V19" s="10"/>
      <c r="W19" s="10"/>
    </row>
    <row r="20" spans="2:23" x14ac:dyDescent="0.3">
      <c r="B20" s="345" t="s">
        <v>165</v>
      </c>
      <c r="C20" s="345"/>
      <c r="D20" s="350">
        <f>D11+D17</f>
        <v>46747.943716353155</v>
      </c>
      <c r="E20" s="350">
        <f>E11+E17</f>
        <v>50843.414970968377</v>
      </c>
      <c r="F20" s="350">
        <f>F11+F17</f>
        <v>55165.865551088136</v>
      </c>
      <c r="G20" s="350">
        <f>G11+G17</f>
        <v>59356.29657544331</v>
      </c>
      <c r="H20" s="350">
        <f>H11+H17</f>
        <v>64267.851957164006</v>
      </c>
      <c r="I20" s="350"/>
      <c r="J20" s="383"/>
      <c r="K20" s="350">
        <f>K11+K17</f>
        <v>45955.585338954545</v>
      </c>
      <c r="L20" s="350">
        <f>L11+L17</f>
        <v>48838.373415660375</v>
      </c>
      <c r="M20" s="350">
        <f>M11+M17</f>
        <v>52683.316853255368</v>
      </c>
      <c r="N20" s="350">
        <f>N11+N17</f>
        <v>56376.172616090465</v>
      </c>
      <c r="O20" s="350">
        <f>O11+O17</f>
        <v>60774.858207581405</v>
      </c>
      <c r="Q20" s="350">
        <v>45343.987433434602</v>
      </c>
      <c r="R20" s="351">
        <v>-1.8968247721396644E-2</v>
      </c>
      <c r="S20" s="350">
        <v>46911.930172784865</v>
      </c>
      <c r="T20" s="350">
        <v>49889.040346606533</v>
      </c>
      <c r="U20" s="350">
        <v>53835.13557917338</v>
      </c>
      <c r="V20" s="350">
        <v>57625.20517523415</v>
      </c>
      <c r="W20" s="350">
        <v>62139.163640246057</v>
      </c>
    </row>
    <row r="21" spans="2:23" x14ac:dyDescent="0.3">
      <c r="B21" s="364" t="s">
        <v>215</v>
      </c>
      <c r="C21" s="345"/>
      <c r="D21" s="366">
        <f>D20-K20</f>
        <v>792.35837739861017</v>
      </c>
      <c r="E21" s="366">
        <f>E20-L20</f>
        <v>2005.041555308002</v>
      </c>
      <c r="F21" s="366">
        <f>F20-M20</f>
        <v>2482.5486978327681</v>
      </c>
      <c r="G21" s="366">
        <f>G20-N20</f>
        <v>2980.1239593528444</v>
      </c>
      <c r="H21" s="366">
        <f>H20-O20</f>
        <v>3492.9937495826016</v>
      </c>
      <c r="I21" s="366"/>
      <c r="J21" s="383"/>
      <c r="K21" s="10"/>
      <c r="L21" s="10"/>
      <c r="M21" s="10"/>
      <c r="N21" s="10"/>
      <c r="O21" s="10"/>
      <c r="Q21" s="366"/>
      <c r="R21" s="365"/>
      <c r="S21" s="366"/>
      <c r="T21" s="366"/>
      <c r="U21" s="366"/>
      <c r="V21" s="366"/>
      <c r="W21" s="366"/>
    </row>
    <row r="22" spans="2:23" x14ac:dyDescent="0.3">
      <c r="D22" s="10">
        <f>(D20-K20)/K20</f>
        <v>1.7241829726559105E-2</v>
      </c>
      <c r="E22" s="10">
        <f>(E20-L20)/L20</f>
        <v>4.105463419600848E-2</v>
      </c>
      <c r="F22" s="10">
        <f>(F20-M20)/M20</f>
        <v>4.7122103278874485E-2</v>
      </c>
      <c r="G22" s="10">
        <f>(G20-N20)/N20</f>
        <v>5.2861409724403313E-2</v>
      </c>
      <c r="H22" s="10">
        <f>(H20-O20)/O20</f>
        <v>5.747432166196096E-2</v>
      </c>
      <c r="I22" s="10"/>
      <c r="J22" s="383"/>
      <c r="K22" s="10"/>
      <c r="L22" s="10"/>
      <c r="M22" s="10"/>
      <c r="N22" s="10"/>
      <c r="O22" s="10"/>
      <c r="Q22" s="10"/>
      <c r="S22" s="10"/>
      <c r="T22" s="10"/>
      <c r="U22" s="10"/>
      <c r="V22" s="10"/>
      <c r="W22" s="10"/>
    </row>
    <row r="23" spans="2:23" x14ac:dyDescent="0.3">
      <c r="L23" s="411"/>
      <c r="M23" s="10"/>
      <c r="N23" s="10"/>
      <c r="O23" s="10"/>
    </row>
    <row r="24" spans="2:23" x14ac:dyDescent="0.3">
      <c r="D24" s="413"/>
      <c r="F24" s="10"/>
      <c r="G24" s="10"/>
      <c r="H24" s="10"/>
      <c r="I24" s="10"/>
      <c r="J24" s="10"/>
      <c r="L24" s="411"/>
      <c r="M24" s="10"/>
      <c r="N24" s="10"/>
      <c r="O24" s="10"/>
      <c r="R24" s="382"/>
      <c r="S24" s="381"/>
      <c r="T24" s="381"/>
      <c r="U24" s="381"/>
      <c r="V24" s="381"/>
      <c r="W24" s="381"/>
    </row>
    <row r="25" spans="2:23" x14ac:dyDescent="0.3">
      <c r="B25" s="472"/>
      <c r="C25" s="410"/>
      <c r="D25" s="531">
        <v>44018</v>
      </c>
      <c r="E25" s="531">
        <v>43944</v>
      </c>
      <c r="F25" s="532" t="s">
        <v>184</v>
      </c>
      <c r="L25" s="411"/>
      <c r="R25" s="383"/>
      <c r="S25" s="384"/>
      <c r="T25" s="384"/>
      <c r="U25" s="384"/>
      <c r="V25" s="384"/>
      <c r="W25" s="384"/>
    </row>
    <row r="26" spans="2:23" x14ac:dyDescent="0.3">
      <c r="B26" s="472">
        <v>2020</v>
      </c>
      <c r="C26" s="501" t="s">
        <v>203</v>
      </c>
      <c r="D26" s="529">
        <f>+D7</f>
        <v>14382.815357509968</v>
      </c>
      <c r="E26" s="529">
        <f>S7</f>
        <v>14688.082901149826</v>
      </c>
      <c r="F26" s="530">
        <f>+D26-E26</f>
        <v>-305.26754363985856</v>
      </c>
      <c r="G26" s="472" t="s">
        <v>227</v>
      </c>
      <c r="J26" s="472" t="s">
        <v>228</v>
      </c>
      <c r="L26" s="411"/>
    </row>
    <row r="27" spans="2:23" x14ac:dyDescent="0.3">
      <c r="B27" s="472">
        <v>2020</v>
      </c>
      <c r="C27" s="401" t="s">
        <v>204</v>
      </c>
      <c r="D27" s="471">
        <f>+D14</f>
        <v>3619.4816909709975</v>
      </c>
      <c r="E27" s="471">
        <f>S14</f>
        <v>4418.748438837325</v>
      </c>
      <c r="F27" s="496">
        <f>+D27-E27</f>
        <v>-799.26674786632748</v>
      </c>
      <c r="G27" s="472" t="s">
        <v>227</v>
      </c>
      <c r="J27" s="472" t="s">
        <v>228</v>
      </c>
      <c r="L27" s="411"/>
    </row>
    <row r="28" spans="2:23" ht="6" customHeight="1" x14ac:dyDescent="0.3">
      <c r="B28" s="472"/>
      <c r="C28" s="401"/>
      <c r="D28" s="471"/>
      <c r="E28" s="471"/>
      <c r="F28" s="496"/>
      <c r="L28" s="411"/>
    </row>
    <row r="29" spans="2:23" x14ac:dyDescent="0.3">
      <c r="B29" s="472">
        <v>2020</v>
      </c>
      <c r="C29" s="401" t="s">
        <v>210</v>
      </c>
      <c r="D29" s="471">
        <f>+D8</f>
        <v>6791.9727780255489</v>
      </c>
      <c r="E29" s="471">
        <f>K8</f>
        <v>6485.9689935238766</v>
      </c>
      <c r="F29" s="496">
        <f>+D29-E29</f>
        <v>306.00378450167227</v>
      </c>
      <c r="G29" s="472" t="s">
        <v>249</v>
      </c>
      <c r="J29" s="472"/>
      <c r="L29" s="411"/>
    </row>
    <row r="30" spans="2:23" x14ac:dyDescent="0.3">
      <c r="B30" s="472">
        <v>2020</v>
      </c>
      <c r="C30" s="401" t="s">
        <v>211</v>
      </c>
      <c r="D30" s="390">
        <f>+D15</f>
        <v>1962.4064715089683</v>
      </c>
      <c r="E30" s="471">
        <f>K15</f>
        <v>1891.7815198947171</v>
      </c>
      <c r="F30" s="527">
        <f>+D30-E30</f>
        <v>70.624951614251131</v>
      </c>
      <c r="G30" s="472" t="s">
        <v>216</v>
      </c>
      <c r="J30" s="472" t="s">
        <v>229</v>
      </c>
    </row>
    <row r="31" spans="2:23" ht="6" customHeight="1" x14ac:dyDescent="0.3">
      <c r="B31" s="472"/>
      <c r="C31" s="401"/>
      <c r="D31" s="471"/>
      <c r="E31" s="471"/>
      <c r="F31" s="496"/>
    </row>
    <row r="32" spans="2:23" x14ac:dyDescent="0.3">
      <c r="B32" s="472">
        <v>2020</v>
      </c>
      <c r="C32" s="401" t="s">
        <v>212</v>
      </c>
      <c r="D32" s="471">
        <f>+D10</f>
        <v>3553.384052008385</v>
      </c>
      <c r="E32" s="471">
        <f>K10</f>
        <v>3342.9426331</v>
      </c>
      <c r="F32" s="496">
        <f>+D32-E32</f>
        <v>210.441418908385</v>
      </c>
      <c r="G32" s="472" t="s">
        <v>224</v>
      </c>
    </row>
    <row r="33" spans="2:14" x14ac:dyDescent="0.3">
      <c r="B33" s="472">
        <v>2020</v>
      </c>
      <c r="C33" s="401" t="s">
        <v>213</v>
      </c>
      <c r="D33" s="471">
        <f>+D16</f>
        <v>4733.9507787609473</v>
      </c>
      <c r="E33" s="471">
        <f>K16</f>
        <v>4631.5051251893237</v>
      </c>
      <c r="F33" s="496">
        <f>+D33-E33</f>
        <v>102.44565357162355</v>
      </c>
      <c r="G33" s="472" t="s">
        <v>225</v>
      </c>
    </row>
    <row r="34" spans="2:14" ht="6" customHeight="1" x14ac:dyDescent="0.3">
      <c r="B34" s="472"/>
      <c r="C34" s="401"/>
      <c r="D34" s="471"/>
      <c r="E34" s="471"/>
      <c r="F34" s="496"/>
    </row>
    <row r="35" spans="2:14" x14ac:dyDescent="0.3">
      <c r="B35" s="472">
        <v>2020</v>
      </c>
      <c r="C35" s="494" t="s">
        <v>214</v>
      </c>
      <c r="D35" s="528">
        <f>+D9</f>
        <v>11703.932587568341</v>
      </c>
      <c r="E35" s="528">
        <f>K9</f>
        <v>11452.9005610898</v>
      </c>
      <c r="F35" s="497">
        <f>+D35-E35</f>
        <v>251.0320264785405</v>
      </c>
      <c r="G35" s="472" t="s">
        <v>218</v>
      </c>
    </row>
    <row r="37" spans="2:14" x14ac:dyDescent="0.3">
      <c r="D37" s="348">
        <f>SUM(D26:D35)</f>
        <v>46747.943716353162</v>
      </c>
      <c r="E37" s="348">
        <f t="shared" ref="E37" si="4">SUM(E26:E35)</f>
        <v>46911.930172784865</v>
      </c>
      <c r="F37" s="348">
        <f>SUM(F26:F35)</f>
        <v>-163.98645643171358</v>
      </c>
    </row>
    <row r="38" spans="2:14" x14ac:dyDescent="0.3">
      <c r="D38" s="535" t="b">
        <f>D37=D20</f>
        <v>1</v>
      </c>
      <c r="E38" s="535" t="b">
        <f>E37=S20</f>
        <v>1</v>
      </c>
    </row>
    <row r="39" spans="2:14" x14ac:dyDescent="0.3">
      <c r="D39" s="535"/>
      <c r="E39" s="535"/>
    </row>
    <row r="40" spans="2:14" x14ac:dyDescent="0.3">
      <c r="E40" s="534"/>
    </row>
    <row r="41" spans="2:14" x14ac:dyDescent="0.3">
      <c r="E41" s="534"/>
    </row>
    <row r="42" spans="2:14" x14ac:dyDescent="0.3">
      <c r="C42" s="537"/>
      <c r="D42" s="622" t="s">
        <v>242</v>
      </c>
      <c r="E42" s="623"/>
      <c r="F42" s="623"/>
      <c r="G42" s="624" t="s">
        <v>241</v>
      </c>
      <c r="H42" s="625"/>
      <c r="I42" s="625"/>
      <c r="J42" s="626"/>
      <c r="K42" s="624" t="s">
        <v>234</v>
      </c>
      <c r="L42" s="626"/>
      <c r="N42" s="549" t="s">
        <v>247</v>
      </c>
    </row>
    <row r="43" spans="2:14" x14ac:dyDescent="0.3">
      <c r="C43" s="536"/>
      <c r="D43" s="494" t="s">
        <v>240</v>
      </c>
      <c r="E43" s="510" t="s">
        <v>221</v>
      </c>
      <c r="F43" s="409" t="s">
        <v>237</v>
      </c>
      <c r="G43" s="394" t="s">
        <v>239</v>
      </c>
      <c r="H43" s="494" t="s">
        <v>240</v>
      </c>
      <c r="I43" s="510" t="s">
        <v>221</v>
      </c>
      <c r="J43" s="409" t="s">
        <v>222</v>
      </c>
      <c r="K43" s="401" t="s">
        <v>220</v>
      </c>
      <c r="L43" s="548" t="s">
        <v>221</v>
      </c>
      <c r="N43" s="549" t="s">
        <v>243</v>
      </c>
    </row>
    <row r="44" spans="2:14" x14ac:dyDescent="0.3">
      <c r="B44" s="472">
        <v>2020</v>
      </c>
      <c r="C44" s="501" t="s">
        <v>203</v>
      </c>
      <c r="D44" s="540">
        <v>1371849</v>
      </c>
      <c r="E44" s="554" t="s">
        <v>235</v>
      </c>
      <c r="F44" s="555" t="s">
        <v>235</v>
      </c>
      <c r="G44" s="541">
        <v>14688.082901149826</v>
      </c>
      <c r="H44" s="540">
        <v>15043.174325423746</v>
      </c>
      <c r="I44" s="554" t="s">
        <v>235</v>
      </c>
      <c r="J44" s="554" t="s">
        <v>235</v>
      </c>
      <c r="K44" s="565" t="s">
        <v>236</v>
      </c>
      <c r="L44" s="559" t="s">
        <v>235</v>
      </c>
      <c r="N44" s="550" t="s">
        <v>235</v>
      </c>
    </row>
    <row r="45" spans="2:14" x14ac:dyDescent="0.3">
      <c r="B45" s="472">
        <v>2020</v>
      </c>
      <c r="C45" s="401" t="s">
        <v>204</v>
      </c>
      <c r="D45" s="540">
        <v>378350</v>
      </c>
      <c r="E45" s="554" t="s">
        <v>235</v>
      </c>
      <c r="F45" s="555" t="s">
        <v>235</v>
      </c>
      <c r="G45" s="541">
        <v>4418.748438837325</v>
      </c>
      <c r="H45" s="540">
        <v>4249.2745259565763</v>
      </c>
      <c r="I45" s="554" t="s">
        <v>235</v>
      </c>
      <c r="J45" s="554" t="s">
        <v>235</v>
      </c>
      <c r="K45" s="566" t="s">
        <v>236</v>
      </c>
      <c r="L45" s="560" t="s">
        <v>235</v>
      </c>
      <c r="N45" s="550" t="s">
        <v>235</v>
      </c>
    </row>
    <row r="46" spans="2:14" x14ac:dyDescent="0.3">
      <c r="B46" s="472"/>
      <c r="C46" s="401"/>
      <c r="D46" s="539"/>
      <c r="E46" s="556"/>
      <c r="F46" s="557"/>
      <c r="G46" s="406"/>
      <c r="H46" s="539"/>
      <c r="I46" s="556"/>
      <c r="J46" s="558"/>
      <c r="K46" s="567"/>
      <c r="L46" s="561"/>
      <c r="N46" s="551"/>
    </row>
    <row r="47" spans="2:14" x14ac:dyDescent="0.3">
      <c r="B47" s="472">
        <v>2020</v>
      </c>
      <c r="C47" s="401" t="s">
        <v>210</v>
      </c>
      <c r="D47" s="540">
        <v>670323.90500000003</v>
      </c>
      <c r="E47" s="554">
        <v>660017</v>
      </c>
      <c r="F47" s="542">
        <f>D47-E47</f>
        <v>10306.905000000028</v>
      </c>
      <c r="G47" s="541">
        <v>6485.9689935238766</v>
      </c>
      <c r="H47" s="540">
        <v>6898.0322659984113</v>
      </c>
      <c r="I47" s="554">
        <v>6791.9727780255489</v>
      </c>
      <c r="J47" s="541">
        <f>H47-I47</f>
        <v>106.05948797286237</v>
      </c>
      <c r="K47" s="568" t="s">
        <v>238</v>
      </c>
      <c r="L47" s="571">
        <v>44021</v>
      </c>
      <c r="N47" s="550" t="s">
        <v>235</v>
      </c>
    </row>
    <row r="48" spans="2:14" x14ac:dyDescent="0.3">
      <c r="B48" s="472">
        <v>2020</v>
      </c>
      <c r="C48" s="401" t="s">
        <v>211</v>
      </c>
      <c r="D48" s="540">
        <v>158536</v>
      </c>
      <c r="E48" s="554" t="s">
        <v>235</v>
      </c>
      <c r="F48" s="555" t="s">
        <v>235</v>
      </c>
      <c r="G48" s="541">
        <v>1891.7815198947171</v>
      </c>
      <c r="H48" s="540">
        <v>1962.4064715089683</v>
      </c>
      <c r="I48" s="554" t="s">
        <v>235</v>
      </c>
      <c r="J48" s="554" t="s">
        <v>235</v>
      </c>
      <c r="K48" s="568" t="s">
        <v>244</v>
      </c>
      <c r="L48" s="560" t="s">
        <v>235</v>
      </c>
      <c r="N48" s="550" t="s">
        <v>235</v>
      </c>
    </row>
    <row r="49" spans="2:14" x14ac:dyDescent="0.3">
      <c r="B49" s="472"/>
      <c r="C49" s="401"/>
      <c r="D49" s="539"/>
      <c r="E49" s="543"/>
      <c r="F49" s="545"/>
      <c r="G49" s="543"/>
      <c r="H49" s="544"/>
      <c r="I49" s="543"/>
      <c r="J49" s="543"/>
      <c r="K49" s="569"/>
      <c r="L49" s="538"/>
      <c r="N49" s="551"/>
    </row>
    <row r="50" spans="2:14" x14ac:dyDescent="0.3">
      <c r="B50" s="472">
        <v>2020</v>
      </c>
      <c r="C50" s="401" t="s">
        <v>212</v>
      </c>
      <c r="D50" s="540">
        <v>215400</v>
      </c>
      <c r="E50" s="541">
        <v>210000</v>
      </c>
      <c r="F50" s="542">
        <f>D50-E50</f>
        <v>5400</v>
      </c>
      <c r="G50" s="541">
        <v>3342.9426331</v>
      </c>
      <c r="H50" s="540">
        <v>3645.0278957265523</v>
      </c>
      <c r="I50" s="541">
        <v>3553.384052008385</v>
      </c>
      <c r="J50" s="541">
        <f>H50-I50</f>
        <v>91.643843718167318</v>
      </c>
      <c r="K50" s="568" t="s">
        <v>238</v>
      </c>
      <c r="L50" s="562" t="s">
        <v>236</v>
      </c>
      <c r="M50" s="383"/>
      <c r="N50" s="550">
        <f>I50-G50</f>
        <v>210.441418908385</v>
      </c>
    </row>
    <row r="51" spans="2:14" x14ac:dyDescent="0.3">
      <c r="B51" s="472">
        <v>2020</v>
      </c>
      <c r="C51" s="401" t="s">
        <v>213</v>
      </c>
      <c r="D51" s="540">
        <v>358400</v>
      </c>
      <c r="E51" s="541">
        <v>358400</v>
      </c>
      <c r="F51" s="542">
        <f>D51-E51</f>
        <v>0</v>
      </c>
      <c r="G51" s="541">
        <v>4631.5051251893237</v>
      </c>
      <c r="H51" s="540">
        <v>4733.9507787609473</v>
      </c>
      <c r="I51" s="541">
        <f>H51</f>
        <v>4733.9507787609473</v>
      </c>
      <c r="J51" s="541">
        <f>H51-I51</f>
        <v>0</v>
      </c>
      <c r="K51" s="568" t="s">
        <v>238</v>
      </c>
      <c r="L51" s="563" t="s">
        <v>238</v>
      </c>
      <c r="M51" s="383"/>
      <c r="N51" s="550">
        <f>I51-G51</f>
        <v>102.44565357162355</v>
      </c>
    </row>
    <row r="52" spans="2:14" x14ac:dyDescent="0.3">
      <c r="B52" s="472"/>
      <c r="C52" s="401"/>
      <c r="D52" s="539"/>
      <c r="E52" s="543"/>
      <c r="F52" s="545"/>
      <c r="G52" s="543"/>
      <c r="H52" s="544"/>
      <c r="I52" s="543"/>
      <c r="J52" s="543"/>
      <c r="K52" s="569"/>
      <c r="L52" s="561"/>
      <c r="M52" s="383"/>
      <c r="N52" s="551"/>
    </row>
    <row r="53" spans="2:14" x14ac:dyDescent="0.3">
      <c r="B53" s="472">
        <v>2020</v>
      </c>
      <c r="C53" s="494" t="s">
        <v>214</v>
      </c>
      <c r="D53" s="552">
        <v>514682.076</v>
      </c>
      <c r="E53" s="546">
        <v>488550.82199999999</v>
      </c>
      <c r="F53" s="553">
        <f>D53-E53</f>
        <v>26131.254000000015</v>
      </c>
      <c r="G53" s="546">
        <v>11452.9005610898</v>
      </c>
      <c r="H53" s="552">
        <v>12329.947483530068</v>
      </c>
      <c r="I53" s="546">
        <v>11703.935790576774</v>
      </c>
      <c r="J53" s="546">
        <f>H53-I53</f>
        <v>626.01169295329419</v>
      </c>
      <c r="K53" s="570" t="s">
        <v>246</v>
      </c>
      <c r="L53" s="564" t="s">
        <v>245</v>
      </c>
      <c r="M53" s="383"/>
      <c r="N53" s="550">
        <f>I53-G53</f>
        <v>251.03522948697355</v>
      </c>
    </row>
    <row r="54" spans="2:14" x14ac:dyDescent="0.3">
      <c r="N54" s="551"/>
    </row>
  </sheetData>
  <mergeCells count="6">
    <mergeCell ref="K3:O3"/>
    <mergeCell ref="D3:H3"/>
    <mergeCell ref="Q3:W3"/>
    <mergeCell ref="D42:F42"/>
    <mergeCell ref="G42:J42"/>
    <mergeCell ref="K42:L42"/>
  </mergeCells>
  <phoneticPr fontId="28" type="noConversion"/>
  <pageMargins left="0.7" right="0.7" top="0.75" bottom="0.75" header="0.3" footer="0.3"/>
  <pageSetup scale="54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36"/>
  <sheetViews>
    <sheetView zoomScale="85" zoomScaleNormal="85" workbookViewId="0">
      <pane xSplit="1" ySplit="9" topLeftCell="U10" activePane="bottomRight" state="frozen"/>
      <selection pane="topRight" activeCell="B1" sqref="B1"/>
      <selection pane="bottomLeft" activeCell="A10" sqref="A10"/>
      <selection pane="bottomRight" activeCell="V11" sqref="V11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8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customWidth="1" collapsed="1"/>
    <col min="19" max="19" width="7.6640625" style="2" customWidth="1"/>
    <col min="20" max="20" width="18.6640625" style="12" customWidth="1"/>
    <col min="21" max="21" width="7.6640625" style="2" customWidth="1"/>
    <col min="22" max="22" width="18.6640625" style="12" customWidth="1"/>
    <col min="23" max="23" width="7.6640625" style="2" customWidth="1"/>
    <col min="24" max="24" width="18.6640625" style="12" customWidth="1"/>
    <col min="25" max="25" width="7.6640625" style="2" customWidth="1"/>
    <col min="26" max="29" width="18.6640625" style="12" customWidth="1"/>
    <col min="30" max="31" width="9.109375" style="12"/>
    <col min="32" max="33" width="10.5546875" style="12" bestFit="1" customWidth="1"/>
    <col min="34" max="16384" width="9.109375" style="12"/>
  </cols>
  <sheetData>
    <row r="1" spans="1:32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C1" s="298" t="s">
        <v>0</v>
      </c>
      <c r="AE1" s="300"/>
      <c r="AF1" s="12" t="s">
        <v>103</v>
      </c>
    </row>
    <row r="2" spans="1:32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/>
      <c r="W2" s="4"/>
      <c r="X2" s="299"/>
      <c r="Y2" s="4"/>
      <c r="Z2" s="299"/>
      <c r="AA2" s="299"/>
      <c r="AB2" s="299"/>
      <c r="AC2" s="299"/>
    </row>
    <row r="3" spans="1:32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201</v>
      </c>
      <c r="W3" s="36"/>
      <c r="X3" s="264" t="s">
        <v>206</v>
      </c>
      <c r="Y3" s="36"/>
      <c r="Z3" s="264" t="str">
        <f>X3</f>
        <v>at 06/16/2020</v>
      </c>
      <c r="AA3" s="264" t="str">
        <f>Z3</f>
        <v>at 06/16/2020</v>
      </c>
      <c r="AB3" s="264" t="str">
        <f>Z3</f>
        <v>at 06/16/2020</v>
      </c>
      <c r="AC3" s="264" t="str">
        <f>Z3</f>
        <v>at 06/16/2020</v>
      </c>
    </row>
    <row r="4" spans="1:32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  <c r="AC4" s="16" t="s">
        <v>3</v>
      </c>
    </row>
    <row r="5" spans="1:32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9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C7" si="0">Z5+1</f>
        <v>2021</v>
      </c>
      <c r="AB5" s="307">
        <f t="shared" si="0"/>
        <v>2022</v>
      </c>
      <c r="AC5" s="307">
        <f t="shared" si="0"/>
        <v>2023</v>
      </c>
    </row>
    <row r="6" spans="1:32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42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  <c r="AC6" s="308">
        <f t="shared" si="0"/>
        <v>2024</v>
      </c>
    </row>
    <row r="7" spans="1:32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46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  <c r="AC7" s="309">
        <f t="shared" si="0"/>
        <v>2024</v>
      </c>
    </row>
    <row r="8" spans="1:32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5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  <c r="AC8" s="310" t="s">
        <v>176</v>
      </c>
    </row>
    <row r="9" spans="1:32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54"/>
      <c r="W9" s="55"/>
      <c r="X9" s="311"/>
      <c r="Y9" s="55"/>
      <c r="Z9" s="311"/>
      <c r="AA9" s="311"/>
      <c r="AB9" s="311"/>
      <c r="AC9" s="311"/>
    </row>
    <row r="10" spans="1:32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120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  <c r="AC10" s="301" t="s">
        <v>177</v>
      </c>
    </row>
    <row r="11" spans="1:32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42"/>
      <c r="W11" s="43"/>
      <c r="X11" s="308"/>
      <c r="Y11" s="43"/>
      <c r="Z11" s="308"/>
      <c r="AA11" s="308"/>
      <c r="AB11" s="308"/>
      <c r="AC11" s="308"/>
    </row>
    <row r="12" spans="1:32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68"/>
      <c r="W12" s="47"/>
      <c r="X12" s="312"/>
      <c r="Y12" s="47"/>
      <c r="Z12" s="312"/>
      <c r="AA12" s="312"/>
      <c r="AB12" s="312"/>
      <c r="AC12" s="312"/>
    </row>
    <row r="13" spans="1:32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70">
        <v>2400000</v>
      </c>
      <c r="W13" s="73"/>
      <c r="X13" s="313">
        <v>2200000</v>
      </c>
      <c r="Y13" s="73"/>
      <c r="Z13" s="313">
        <f>SUM(X13:X19)</f>
        <v>2200000</v>
      </c>
      <c r="AA13" s="313">
        <f>SUM(Z13:Z19)</f>
        <v>2365553</v>
      </c>
      <c r="AB13" s="313">
        <f>SUM(AA13:AA19)</f>
        <v>2543594</v>
      </c>
      <c r="AC13" s="313">
        <f>SUM(AB13:AB19)</f>
        <v>2692159</v>
      </c>
    </row>
    <row r="14" spans="1:32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153"/>
      <c r="W14" s="73"/>
      <c r="X14" s="313"/>
      <c r="Y14" s="73"/>
      <c r="Z14" s="313"/>
      <c r="AA14" s="313"/>
      <c r="AB14" s="313"/>
      <c r="AC14" s="313"/>
    </row>
    <row r="15" spans="1:32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153"/>
      <c r="W15" s="73"/>
      <c r="X15" s="313"/>
      <c r="Y15" s="73"/>
      <c r="Z15" s="154">
        <v>303587</v>
      </c>
      <c r="AA15" s="154">
        <v>310788</v>
      </c>
      <c r="AB15" s="154">
        <v>280335</v>
      </c>
      <c r="AC15" s="154">
        <v>329161</v>
      </c>
    </row>
    <row r="16" spans="1:32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153"/>
      <c r="W16" s="73"/>
      <c r="X16" s="313"/>
      <c r="Y16" s="73"/>
      <c r="Z16" s="154">
        <v>-18675</v>
      </c>
      <c r="AA16" s="154">
        <v>-13145</v>
      </c>
      <c r="AB16" s="154">
        <v>-12168</v>
      </c>
      <c r="AC16" s="154">
        <v>-5895</v>
      </c>
    </row>
    <row r="17" spans="1:34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153"/>
      <c r="W17" s="73"/>
      <c r="X17" s="313"/>
      <c r="Y17" s="73"/>
      <c r="Z17" s="154"/>
      <c r="AA17" s="154"/>
      <c r="AB17" s="154"/>
      <c r="AC17" s="154"/>
    </row>
    <row r="18" spans="1:34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153"/>
      <c r="W18" s="73"/>
      <c r="X18" s="313"/>
      <c r="Y18" s="73"/>
      <c r="Z18" s="154">
        <v>-6747</v>
      </c>
      <c r="AA18" s="154">
        <v>-6990</v>
      </c>
      <c r="AB18" s="154">
        <v>-6990</v>
      </c>
      <c r="AC18" s="154">
        <v>-7760</v>
      </c>
    </row>
    <row r="19" spans="1:34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155"/>
      <c r="W19" s="84"/>
      <c r="X19" s="323"/>
      <c r="Y19" s="84"/>
      <c r="Z19" s="398">
        <f>-112612</f>
        <v>-112612</v>
      </c>
      <c r="AA19" s="398">
        <f t="shared" ref="AA19:AC19" si="1">Z19</f>
        <v>-112612</v>
      </c>
      <c r="AB19" s="398">
        <f t="shared" si="1"/>
        <v>-112612</v>
      </c>
      <c r="AC19" s="398">
        <f t="shared" si="1"/>
        <v>-112612</v>
      </c>
    </row>
    <row r="20" spans="1:34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87">
        <v>0.96493331984800101</v>
      </c>
      <c r="W20" s="73"/>
      <c r="X20" s="314">
        <v>0.9601430262821341</v>
      </c>
      <c r="Y20" s="73"/>
      <c r="Z20" s="314">
        <f>SUM(X20)</f>
        <v>0.9601430262821341</v>
      </c>
      <c r="AA20" s="314">
        <f t="shared" ref="AA20:AA21" si="2">SUM(Z20)</f>
        <v>0.9601430262821341</v>
      </c>
      <c r="AB20" s="314">
        <f>SUM(AA20)</f>
        <v>0.9601430262821341</v>
      </c>
      <c r="AC20" s="314">
        <f>SUM(AB20)</f>
        <v>0.9601430262821341</v>
      </c>
    </row>
    <row r="21" spans="1:34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91">
        <v>0.56470299999999995</v>
      </c>
      <c r="W21" s="84"/>
      <c r="X21" s="315">
        <v>0.57349399999999995</v>
      </c>
      <c r="Y21" s="84"/>
      <c r="Z21" s="315">
        <f>SUM(X21)</f>
        <v>0.57349399999999995</v>
      </c>
      <c r="AA21" s="315">
        <f t="shared" si="2"/>
        <v>0.57349399999999995</v>
      </c>
      <c r="AB21" s="315">
        <f>SUM(AA21)</f>
        <v>0.57349399999999995</v>
      </c>
      <c r="AC21" s="315">
        <f>SUM(AB21)</f>
        <v>0.57349399999999995</v>
      </c>
    </row>
    <row r="22" spans="1:34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3">SUM(G13:G19)*G20*G21</f>
        <v>749495.24554680008</v>
      </c>
      <c r="I22" s="69">
        <f t="shared" si="3"/>
        <v>822232.32062400004</v>
      </c>
      <c r="J22" s="70"/>
      <c r="K22" s="71"/>
      <c r="L22" s="69">
        <f t="shared" ref="L22:N22" si="4">SUM(L13:L19)*L20*L21</f>
        <v>962461.34900000005</v>
      </c>
      <c r="M22" s="72"/>
      <c r="N22" s="69">
        <f t="shared" si="4"/>
        <v>1154211.1569999997</v>
      </c>
      <c r="O22" s="70"/>
      <c r="P22" s="70">
        <f t="shared" ref="P22" si="5">SUM(P13:P19)*P20*P21</f>
        <v>1162234.5759999999</v>
      </c>
      <c r="Q22" s="73"/>
      <c r="R22" s="70">
        <f>SUM(R13:R19)*R20*R21</f>
        <v>1207497.787</v>
      </c>
      <c r="S22" s="73"/>
      <c r="T22" s="70">
        <f>SUM(T13:T19)*T20*T21</f>
        <v>1238307.8730000001</v>
      </c>
      <c r="U22" s="73"/>
      <c r="V22" s="70">
        <f>SUM(V13:V19)*V20*V21</f>
        <v>1307761.7772435015</v>
      </c>
      <c r="W22" s="73"/>
      <c r="X22" s="313">
        <f>SUM(X13:X19)*X20*X21</f>
        <v>1211399.7823722216</v>
      </c>
      <c r="Y22" s="73"/>
      <c r="Z22" s="313">
        <f>SUM(Z13:Z19)*Z20*Z21</f>
        <v>1302559.2679045252</v>
      </c>
      <c r="AA22" s="313">
        <f>SUM(AA13:AA19)*AA20*AA21</f>
        <v>1400595.0991105856</v>
      </c>
      <c r="AB22" s="313">
        <f>SUM(AB13:AB19)*AB20*AB21</f>
        <v>1482400.3757779172</v>
      </c>
      <c r="AC22" s="313">
        <f>SUM(AC13:AC19)*AC20*AC21</f>
        <v>1594121.1700709306</v>
      </c>
    </row>
    <row r="23" spans="1:34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70">
        <v>489.39157803826998</v>
      </c>
      <c r="W23" s="73"/>
      <c r="X23" s="313">
        <v>629</v>
      </c>
      <c r="Y23" s="73"/>
      <c r="Z23" s="313"/>
      <c r="AA23" s="313"/>
      <c r="AB23" s="313"/>
      <c r="AC23" s="313"/>
    </row>
    <row r="24" spans="1:34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6">SUM(I22)</f>
        <v>822232.32062400004</v>
      </c>
      <c r="J24" s="70"/>
      <c r="K24" s="71"/>
      <c r="L24" s="69">
        <f t="shared" ref="L24" si="7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70">
        <f>SUM(V22:V23)</f>
        <v>1308251.1688215397</v>
      </c>
      <c r="W24" s="73"/>
      <c r="X24" s="313">
        <f>SUM(X22:X23)</f>
        <v>1212028.7823722216</v>
      </c>
      <c r="Y24" s="73"/>
      <c r="Z24" s="313">
        <f t="shared" ref="Z24:AA24" si="8">SUM(Z22)</f>
        <v>1302559.2679045252</v>
      </c>
      <c r="AA24" s="313">
        <f t="shared" si="8"/>
        <v>1400595.0991105856</v>
      </c>
      <c r="AB24" s="313">
        <f>SUM(AB22)</f>
        <v>1482400.3757779172</v>
      </c>
      <c r="AC24" s="313">
        <f>SUM(AC22)</f>
        <v>1594121.1700709306</v>
      </c>
    </row>
    <row r="25" spans="1:34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453">
        <v>1064023.335</v>
      </c>
      <c r="Q25" s="73"/>
      <c r="R25" s="70">
        <v>1117051.1471780001</v>
      </c>
      <c r="S25" s="73"/>
      <c r="T25" s="70">
        <v>1153650.0430000001</v>
      </c>
      <c r="U25" s="73"/>
      <c r="V25" s="483">
        <f>1234752.192-3489.148</f>
        <v>1231263.044</v>
      </c>
      <c r="W25" s="73"/>
      <c r="X25" s="313"/>
      <c r="Y25" s="73"/>
      <c r="Z25" s="313"/>
      <c r="AA25" s="313"/>
      <c r="AB25" s="313"/>
      <c r="AC25" s="313"/>
    </row>
    <row r="26" spans="1:34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484">
        <f>V25/V24</f>
        <v>0.94115187766972153</v>
      </c>
      <c r="W26" s="81"/>
      <c r="X26" s="316">
        <f>SUM(V26)</f>
        <v>0.94115187766972153</v>
      </c>
      <c r="Y26" s="81"/>
      <c r="Z26" s="316">
        <f>SUM(X26)</f>
        <v>0.94115187766972153</v>
      </c>
      <c r="AA26" s="316">
        <f t="shared" ref="AA26" si="9">SUM(Z26)</f>
        <v>0.94115187766972153</v>
      </c>
      <c r="AB26" s="316">
        <f>SUM(AA26)</f>
        <v>0.94115187766972153</v>
      </c>
      <c r="AC26" s="316">
        <f>SUM(AB26)</f>
        <v>0.94115187766972153</v>
      </c>
    </row>
    <row r="27" spans="1:34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0">SUM(G24*G26)</f>
        <v>681556.79615745938</v>
      </c>
      <c r="I27" s="69">
        <f t="shared" si="10"/>
        <v>765508.78650503687</v>
      </c>
      <c r="J27" s="70"/>
      <c r="K27" s="71"/>
      <c r="L27" s="69">
        <f t="shared" ref="L27:AA27" si="11">SUM(L24*L26)</f>
        <v>898630</v>
      </c>
      <c r="M27" s="72"/>
      <c r="N27" s="69">
        <f t="shared" si="11"/>
        <v>1070854.5930000001</v>
      </c>
      <c r="O27" s="72"/>
      <c r="P27" s="70">
        <f>SUM(P24*P26)</f>
        <v>1064023.335</v>
      </c>
      <c r="R27" s="70">
        <f>SUM(R24*R26)</f>
        <v>1117051.1471780001</v>
      </c>
      <c r="T27" s="70">
        <f>SUM(T24*T26)</f>
        <v>1153650.0430000001</v>
      </c>
      <c r="U27" s="71"/>
      <c r="V27" s="483">
        <f>SUM(V24*V26)</f>
        <v>1231263.044</v>
      </c>
      <c r="W27" s="71"/>
      <c r="X27" s="313">
        <f>SUM(X24*X26)</f>
        <v>1140703.1643193627</v>
      </c>
      <c r="Y27" s="71"/>
      <c r="Z27" s="313">
        <f t="shared" si="11"/>
        <v>1225906.1007644418</v>
      </c>
      <c r="AA27" s="313">
        <f t="shared" si="11"/>
        <v>1318172.7073829374</v>
      </c>
      <c r="AB27" s="313">
        <f>SUM(AB24*AB26)</f>
        <v>1395163.8971216877</v>
      </c>
      <c r="AC27" s="313">
        <f>SUM(AC24*AC26)</f>
        <v>1500310.1324453098</v>
      </c>
    </row>
    <row r="28" spans="1:34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483">
        <v>0</v>
      </c>
      <c r="W28" s="71"/>
      <c r="X28" s="477">
        <f>763/X30</f>
        <v>65486.401419318441</v>
      </c>
      <c r="Y28" s="71"/>
      <c r="Z28" s="313">
        <v>0</v>
      </c>
      <c r="AA28" s="313">
        <v>0</v>
      </c>
      <c r="AB28" s="313">
        <v>0</v>
      </c>
      <c r="AC28" s="313">
        <v>0</v>
      </c>
    </row>
    <row r="29" spans="1:34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2">SUM(G27:G28)</f>
        <v>681556.79615745938</v>
      </c>
      <c r="I29" s="99">
        <f t="shared" si="12"/>
        <v>765508.78650503687</v>
      </c>
      <c r="J29" s="100"/>
      <c r="K29" s="101"/>
      <c r="L29" s="99">
        <f t="shared" ref="L29:AA29" si="13">SUM(L27:L28)</f>
        <v>898630</v>
      </c>
      <c r="M29" s="102"/>
      <c r="N29" s="99">
        <f t="shared" si="13"/>
        <v>1070854.5930000001</v>
      </c>
      <c r="O29" s="102"/>
      <c r="P29" s="100">
        <f t="shared" si="13"/>
        <v>1064023.335</v>
      </c>
      <c r="Q29" s="101"/>
      <c r="R29" s="100">
        <f>SUM(R27:R28)</f>
        <v>1117051.1471780001</v>
      </c>
      <c r="S29" s="101"/>
      <c r="T29" s="100">
        <f>SUM(T27:T28)</f>
        <v>1153650.0430000001</v>
      </c>
      <c r="U29" s="101"/>
      <c r="V29" s="485">
        <f>SUM(V27:V28)</f>
        <v>1231263.044</v>
      </c>
      <c r="W29" s="101"/>
      <c r="X29" s="317">
        <f>SUM(X27:X28)</f>
        <v>1206189.5657386812</v>
      </c>
      <c r="Y29" s="101"/>
      <c r="Z29" s="317">
        <f t="shared" si="13"/>
        <v>1225906.1007644418</v>
      </c>
      <c r="AA29" s="317">
        <f t="shared" si="13"/>
        <v>1318172.7073829374</v>
      </c>
      <c r="AB29" s="317">
        <f>SUM(AB27:AB28)</f>
        <v>1395163.8971216877</v>
      </c>
      <c r="AC29" s="317">
        <f>SUM(AC27:AC28)</f>
        <v>1500310.1324453098</v>
      </c>
      <c r="AF29" s="480"/>
    </row>
    <row r="30" spans="1:34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459">
        <f>SUM((V30-T30)/T30)</f>
        <v>2.9527532068075697E-2</v>
      </c>
      <c r="V30" s="456">
        <f>14133776.33/1231263044</f>
        <v>1.1479087591294587E-2</v>
      </c>
      <c r="W30" s="305">
        <v>1.4999999999999999E-2</v>
      </c>
      <c r="X30" s="318">
        <f>SUM(V30*(1+W30))</f>
        <v>1.1651273905164005E-2</v>
      </c>
      <c r="Y30" s="305">
        <v>0.02</v>
      </c>
      <c r="Z30" s="318">
        <f>SUM(X30*(1+Y30))</f>
        <v>1.1884299383267285E-2</v>
      </c>
      <c r="AA30" s="318">
        <f>SUM(Z30*(1+Y30))</f>
        <v>1.2121985370932632E-2</v>
      </c>
      <c r="AB30" s="318">
        <f>SUM(AA30*(1+Y30))</f>
        <v>1.2364425078351286E-2</v>
      </c>
      <c r="AC30" s="318">
        <f>SUM(AB30*(1+$Y$30))</f>
        <v>1.2611713579918311E-2</v>
      </c>
    </row>
    <row r="31" spans="1:34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457"/>
      <c r="W31" s="71"/>
      <c r="X31" s="319"/>
      <c r="Y31" s="71"/>
      <c r="Z31" s="319"/>
      <c r="AA31" s="319"/>
      <c r="AB31" s="319"/>
      <c r="AC31" s="319"/>
    </row>
    <row r="32" spans="1:34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4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P32" si="15">SUM(N29*N30)</f>
        <v>12999.765589175515</v>
      </c>
      <c r="O32" s="113"/>
      <c r="P32" s="141">
        <f t="shared" si="15"/>
        <v>12677.752</v>
      </c>
      <c r="Q32" s="114"/>
      <c r="R32" s="141">
        <f>SUM(R29*R30)</f>
        <v>14080.649957033333</v>
      </c>
      <c r="S32" s="114"/>
      <c r="T32" s="141">
        <f>SUM(T29*T30)</f>
        <v>12863.036179999999</v>
      </c>
      <c r="U32" s="114"/>
      <c r="V32" s="508">
        <f>SUM(V29*V30)</f>
        <v>14133.776330000001</v>
      </c>
      <c r="W32" s="370"/>
      <c r="X32" s="320">
        <f>SUM(X29*X30)</f>
        <v>14053.645011972199</v>
      </c>
      <c r="Y32" s="440"/>
      <c r="Z32" s="320">
        <f>SUM(Z29*Z30)</f>
        <v>14569.035117258458</v>
      </c>
      <c r="AA32" s="320">
        <f>SUM(AA29*AA30)</f>
        <v>15978.870275258629</v>
      </c>
      <c r="AB32" s="320">
        <f>SUM(AB29*AB30)</f>
        <v>17250.399477981708</v>
      </c>
      <c r="AC32" s="320">
        <f>SUM(AC29*AC30)</f>
        <v>18921.481671449554</v>
      </c>
      <c r="AD32" s="472" t="s">
        <v>205</v>
      </c>
      <c r="AF32" s="478"/>
      <c r="AG32" s="479"/>
      <c r="AH32" s="479"/>
    </row>
    <row r="33" spans="1:33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489"/>
      <c r="W33" s="117"/>
      <c r="X33" s="116"/>
      <c r="Y33" s="117"/>
      <c r="Z33" s="116"/>
      <c r="AA33" s="116"/>
      <c r="AB33" s="116"/>
      <c r="AC33" s="116"/>
      <c r="AG33" s="479"/>
    </row>
    <row r="34" spans="1:33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120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  <c r="AC34" s="301" t="str">
        <f>$AC$10</f>
        <v>2024 Estimate</v>
      </c>
    </row>
    <row r="35" spans="1:33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65"/>
      <c r="W35" s="64"/>
      <c r="X35" s="321"/>
      <c r="Y35" s="64"/>
      <c r="Z35" s="321"/>
      <c r="AA35" s="321"/>
      <c r="AB35" s="321"/>
      <c r="AC35" s="321"/>
    </row>
    <row r="36" spans="1:33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65"/>
      <c r="W36" s="64"/>
      <c r="X36" s="321"/>
      <c r="Y36" s="64"/>
      <c r="Z36" s="321"/>
      <c r="AA36" s="321"/>
      <c r="AB36" s="321"/>
      <c r="AC36" s="321"/>
    </row>
    <row r="37" spans="1:33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70">
        <v>2481598.6882600002</v>
      </c>
      <c r="W37" s="73"/>
      <c r="X37" s="461">
        <v>2701627.8149600001</v>
      </c>
      <c r="Y37" s="73"/>
      <c r="Z37" s="313">
        <f>SUM(X37:X42)</f>
        <v>2701627.8149600001</v>
      </c>
      <c r="AA37" s="313">
        <f>SUM(Z37:Z42)</f>
        <v>2867180.8149600001</v>
      </c>
      <c r="AB37" s="313">
        <f>SUM(AA37:AA42)</f>
        <v>3045221.8149600001</v>
      </c>
      <c r="AC37" s="313">
        <f>SUM(AB37:AB42)</f>
        <v>3193786.8149600001</v>
      </c>
    </row>
    <row r="38" spans="1:33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124"/>
      <c r="W38" s="73"/>
      <c r="X38" s="505"/>
      <c r="Y38" s="73"/>
      <c r="Z38" s="322"/>
      <c r="AA38" s="322"/>
      <c r="AB38" s="322"/>
      <c r="AC38" s="322"/>
    </row>
    <row r="39" spans="1:33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153"/>
      <c r="W39" s="73"/>
      <c r="X39" s="483"/>
      <c r="Y39" s="73"/>
      <c r="Z39" s="344">
        <f>SUM(Z15)</f>
        <v>303587</v>
      </c>
      <c r="AA39" s="344">
        <f t="shared" ref="Z39:AA40" si="16">SUM(AA15)</f>
        <v>310788</v>
      </c>
      <c r="AB39" s="344">
        <f>SUM(AB15)</f>
        <v>280335</v>
      </c>
      <c r="AC39" s="344">
        <f>SUM(AC15)</f>
        <v>329161</v>
      </c>
    </row>
    <row r="40" spans="1:33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126"/>
      <c r="W40" s="73"/>
      <c r="X40" s="483"/>
      <c r="Y40" s="73"/>
      <c r="Z40" s="344">
        <f t="shared" si="16"/>
        <v>-18675</v>
      </c>
      <c r="AA40" s="344">
        <f t="shared" si="16"/>
        <v>-13145</v>
      </c>
      <c r="AB40" s="344">
        <f>SUM(AB16)</f>
        <v>-12168</v>
      </c>
      <c r="AC40" s="344">
        <f>SUM(AC16)</f>
        <v>-5895</v>
      </c>
    </row>
    <row r="41" spans="1:33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126"/>
      <c r="W41" s="73"/>
      <c r="X41" s="483"/>
      <c r="Y41" s="73"/>
      <c r="Z41" s="344">
        <f t="shared" ref="Z41:AA42" si="17">SUM(Z18)</f>
        <v>-6747</v>
      </c>
      <c r="AA41" s="344">
        <f t="shared" si="17"/>
        <v>-6990</v>
      </c>
      <c r="AB41" s="344">
        <f>SUM(AB18)</f>
        <v>-6990</v>
      </c>
      <c r="AC41" s="344">
        <f>SUM(AC18)</f>
        <v>-7760</v>
      </c>
    </row>
    <row r="42" spans="1:33" x14ac:dyDescent="0.3">
      <c r="A42" s="56" t="s">
        <v>36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126"/>
      <c r="W42" s="73"/>
      <c r="X42" s="461"/>
      <c r="Y42" s="73"/>
      <c r="Z42" s="344">
        <f>SUM(Z19)</f>
        <v>-112612</v>
      </c>
      <c r="AA42" s="344">
        <f t="shared" si="17"/>
        <v>-112612</v>
      </c>
      <c r="AB42" s="344">
        <f>SUM(AB19)</f>
        <v>-112612</v>
      </c>
      <c r="AC42" s="344">
        <f>SUM(AC19)</f>
        <v>-112612</v>
      </c>
    </row>
    <row r="43" spans="1:33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83"/>
      <c r="W43" s="84"/>
      <c r="X43" s="462"/>
      <c r="Y43" s="84"/>
      <c r="Z43" s="323"/>
      <c r="AA43" s="323"/>
      <c r="AB43" s="323"/>
      <c r="AC43" s="323"/>
    </row>
    <row r="44" spans="1:33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87">
        <v>1</v>
      </c>
      <c r="W44" s="73"/>
      <c r="X44" s="463">
        <v>1</v>
      </c>
      <c r="Y44" s="73"/>
      <c r="Z44" s="314">
        <v>1</v>
      </c>
      <c r="AA44" s="314">
        <v>1</v>
      </c>
      <c r="AB44" s="314">
        <v>1</v>
      </c>
      <c r="AC44" s="314">
        <v>1</v>
      </c>
    </row>
    <row r="45" spans="1:33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91">
        <f>619029054/2481598688.26</f>
        <v>0.24944768746393839</v>
      </c>
      <c r="W45" s="84"/>
      <c r="X45" s="464">
        <v>0.25338158086937901</v>
      </c>
      <c r="Y45" s="84"/>
      <c r="Z45" s="315">
        <f>SUM(X45)</f>
        <v>0.25338158086937901</v>
      </c>
      <c r="AA45" s="315">
        <f t="shared" ref="AA45" si="18">SUM(Z45)</f>
        <v>0.25338158086937901</v>
      </c>
      <c r="AB45" s="315">
        <f>SUM(AA45)</f>
        <v>0.25338158086937901</v>
      </c>
      <c r="AC45" s="315">
        <f>SUM(AB45)</f>
        <v>0.25338158086937901</v>
      </c>
    </row>
    <row r="46" spans="1:33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70">
        <f>SUM(V37:V43)*V44*V45</f>
        <v>619029.054</v>
      </c>
      <c r="W46" s="73"/>
      <c r="X46" s="461">
        <f>SUM(X37:X43)*X44*X45</f>
        <v>684542.72667525092</v>
      </c>
      <c r="Y46" s="73"/>
      <c r="Z46" s="313">
        <f>SUM(Z37:Z43)*Z44*Z45</f>
        <v>726490.80753291922</v>
      </c>
      <c r="AA46" s="313">
        <f>SUM(AA37:AA43)*AA44*AA45</f>
        <v>771603.11757248442</v>
      </c>
      <c r="AB46" s="313">
        <f>SUM(AB37:AB43)*AB44*AB45</f>
        <v>809246.75213434373</v>
      </c>
      <c r="AC46" s="313">
        <f>SUM(AC37:AC43)*AC44*AC45</f>
        <v>860656.35460325552</v>
      </c>
    </row>
    <row r="47" spans="1:33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83">
        <f>589749.943-V46</f>
        <v>-29279.111000000034</v>
      </c>
      <c r="W47" s="84"/>
      <c r="X47" s="462">
        <f>-12618.4169241524-347.111139478999-900-353.294</f>
        <v>-14218.822063631398</v>
      </c>
      <c r="Y47" s="84"/>
      <c r="Z47" s="323">
        <f>SUM(X47)</f>
        <v>-14218.822063631398</v>
      </c>
      <c r="AA47" s="323">
        <f t="shared" ref="AA47" si="19">SUM(Z47)</f>
        <v>-14218.822063631398</v>
      </c>
      <c r="AB47" s="323">
        <f>SUM(AA47)</f>
        <v>-14218.822063631398</v>
      </c>
      <c r="AC47" s="323">
        <f>SUM(AB47)</f>
        <v>-14218.822063631398</v>
      </c>
    </row>
    <row r="48" spans="1:33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0">SUM(L46:L47)</f>
        <v>469394.93499999994</v>
      </c>
      <c r="M48" s="72"/>
      <c r="N48" s="69">
        <f t="shared" si="20"/>
        <v>504910.23699999996</v>
      </c>
      <c r="O48" s="70"/>
      <c r="P48" s="70">
        <f t="shared" si="20"/>
        <v>504754.00099999999</v>
      </c>
      <c r="Q48" s="73"/>
      <c r="R48" s="70">
        <f>SUM(R46:R47)</f>
        <v>549171.69446199993</v>
      </c>
      <c r="S48" s="73"/>
      <c r="T48" s="70">
        <f t="shared" si="20"/>
        <v>573846.04099999997</v>
      </c>
      <c r="U48" s="73"/>
      <c r="V48" s="70">
        <f>SUM(V46:V47)</f>
        <v>589749.94299999997</v>
      </c>
      <c r="W48" s="73"/>
      <c r="X48" s="461">
        <f t="shared" si="20"/>
        <v>670323.90461161954</v>
      </c>
      <c r="Y48" s="73"/>
      <c r="Z48" s="313">
        <f>SUM(Z46:Z47)</f>
        <v>712271.98546928784</v>
      </c>
      <c r="AA48" s="313">
        <f t="shared" si="20"/>
        <v>757384.29550885304</v>
      </c>
      <c r="AB48" s="313">
        <f>SUM(AB46:AB47)</f>
        <v>795027.93007071235</v>
      </c>
      <c r="AC48" s="313">
        <f>SUM(AC46:AC47)</f>
        <v>846437.53253962414</v>
      </c>
    </row>
    <row r="49" spans="1:30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134">
        <v>1</v>
      </c>
      <c r="W49" s="84"/>
      <c r="X49" s="504">
        <v>1</v>
      </c>
      <c r="Y49" s="84"/>
      <c r="Z49" s="324">
        <v>1</v>
      </c>
      <c r="AA49" s="324">
        <v>1</v>
      </c>
      <c r="AB49" s="324">
        <v>1</v>
      </c>
      <c r="AC49" s="324">
        <v>1</v>
      </c>
    </row>
    <row r="50" spans="1:30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1">SUM(G48*G49)</f>
        <v>426852.43202319462</v>
      </c>
      <c r="I50" s="69">
        <f t="shared" si="21"/>
        <v>468663.26434402453</v>
      </c>
      <c r="J50" s="70"/>
      <c r="K50" s="71"/>
      <c r="L50" s="69">
        <f t="shared" ref="L50:AA50" si="22">SUM(L48*L49)</f>
        <v>469394.93499999994</v>
      </c>
      <c r="M50" s="72"/>
      <c r="N50" s="69">
        <f t="shared" si="22"/>
        <v>504910.23699999996</v>
      </c>
      <c r="O50" s="70"/>
      <c r="P50" s="70">
        <f t="shared" si="22"/>
        <v>504754.00099999999</v>
      </c>
      <c r="Q50" s="73"/>
      <c r="R50" s="70">
        <f>SUM(R48*R49)</f>
        <v>549171.69446199993</v>
      </c>
      <c r="S50" s="73"/>
      <c r="T50" s="70">
        <f t="shared" si="22"/>
        <v>573846.04099999997</v>
      </c>
      <c r="U50" s="73"/>
      <c r="V50" s="70">
        <f>SUM(V48*V49)</f>
        <v>589749.94299999997</v>
      </c>
      <c r="W50" s="73"/>
      <c r="X50" s="461">
        <f t="shared" si="22"/>
        <v>670323.90461161954</v>
      </c>
      <c r="Y50" s="73"/>
      <c r="Z50" s="313">
        <f>SUM(Z48*Z49)</f>
        <v>712271.98546928784</v>
      </c>
      <c r="AA50" s="313">
        <f t="shared" si="22"/>
        <v>757384.29550885304</v>
      </c>
      <c r="AB50" s="313">
        <f>SUM(AB48*AB49)</f>
        <v>795027.93007071235</v>
      </c>
      <c r="AC50" s="313">
        <f>SUM(AC48*AC49)</f>
        <v>846437.53253962414</v>
      </c>
    </row>
    <row r="51" spans="1:30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466">
        <f>SUM((V51-T51)/T51)</f>
        <v>-6.1830860907388874E-2</v>
      </c>
      <c r="V51" s="456">
        <f>5979.19035/V50</f>
        <v>1.0138517893845731E-2</v>
      </c>
      <c r="W51" s="305">
        <f>$W$30</f>
        <v>1.4999999999999999E-2</v>
      </c>
      <c r="X51" s="318">
        <f>SUM(V51*(1+W51))</f>
        <v>1.0290595662253417E-2</v>
      </c>
      <c r="Y51" s="305">
        <f>$Y$30</f>
        <v>0.02</v>
      </c>
      <c r="Z51" s="318">
        <f>SUM(X51*(1+Y51))</f>
        <v>1.0496407575498485E-2</v>
      </c>
      <c r="AA51" s="318">
        <f>SUM(Z51*(1+Y51))</f>
        <v>1.0706335727008454E-2</v>
      </c>
      <c r="AB51" s="318">
        <f>SUM(AA51*(1+Y51))</f>
        <v>1.0920462441548623E-2</v>
      </c>
      <c r="AC51" s="318">
        <f>SUM(AB51*(1+$Y$51))</f>
        <v>1.1138871690379595E-2</v>
      </c>
    </row>
    <row r="52" spans="1:30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457"/>
      <c r="W52" s="71"/>
      <c r="X52" s="319"/>
      <c r="Y52" s="71"/>
      <c r="Z52" s="319"/>
      <c r="AA52" s="319"/>
      <c r="AB52" s="319"/>
      <c r="AC52" s="319"/>
    </row>
    <row r="53" spans="1:30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3">SUM(G50*G51)</f>
        <v>4690.254523070862</v>
      </c>
      <c r="I53" s="112">
        <f t="shared" si="23"/>
        <v>5359.0285675337436</v>
      </c>
      <c r="J53" s="141"/>
      <c r="K53" s="114"/>
      <c r="L53" s="112">
        <f t="shared" ref="L53:AA53" si="24">SUM(L50*L51)</f>
        <v>5440.7422465869995</v>
      </c>
      <c r="M53" s="113"/>
      <c r="N53" s="112">
        <f t="shared" si="24"/>
        <v>5717.717903841688</v>
      </c>
      <c r="O53" s="113"/>
      <c r="P53" s="141">
        <f t="shared" si="24"/>
        <v>5675.1669887565686</v>
      </c>
      <c r="Q53" s="114"/>
      <c r="R53" s="141">
        <f>SUM(R50*R51)</f>
        <v>6132.3038800000004</v>
      </c>
      <c r="S53" s="114"/>
      <c r="T53" s="141">
        <f>SUM(T50*T51)</f>
        <v>6201.3853499999996</v>
      </c>
      <c r="U53" s="370"/>
      <c r="V53" s="508">
        <f>SUM(V50*V51)</f>
        <v>5979.1903499999999</v>
      </c>
      <c r="W53" s="370"/>
      <c r="X53" s="320">
        <f>SUM(X50*X51)</f>
        <v>6898.0322651011047</v>
      </c>
      <c r="Y53" s="370"/>
      <c r="Z53" s="320">
        <f t="shared" si="24"/>
        <v>7476.2970640951798</v>
      </c>
      <c r="AA53" s="320">
        <f t="shared" si="24"/>
        <v>8108.8105420815618</v>
      </c>
      <c r="AB53" s="320">
        <f>SUM(AB50*AB51)</f>
        <v>8682.07265031936</v>
      </c>
      <c r="AC53" s="320">
        <f>SUM(AC50*AC51)</f>
        <v>9428.3590688803761</v>
      </c>
      <c r="AD53" s="472" t="s">
        <v>207</v>
      </c>
    </row>
    <row r="54" spans="1:30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  <c r="AC54" s="144"/>
    </row>
    <row r="55" spans="1:30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120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  <c r="AC55" s="301" t="str">
        <f>$AC$10</f>
        <v>2024 Estimate</v>
      </c>
    </row>
    <row r="56" spans="1:30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4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  <c r="AC56" s="312" t="s">
        <v>57</v>
      </c>
    </row>
    <row r="57" spans="1:30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149">
        <v>4499000</v>
      </c>
      <c r="W57" s="152"/>
      <c r="X57" s="460">
        <v>4711000</v>
      </c>
      <c r="Y57" s="152"/>
      <c r="Z57" s="325">
        <f>SUM(X57)</f>
        <v>4711000</v>
      </c>
      <c r="AA57" s="325">
        <f>SUM(Z57:Z60)</f>
        <v>4941403</v>
      </c>
      <c r="AB57" s="325">
        <f>SUM(AA57:AA60)</f>
        <v>5182760</v>
      </c>
      <c r="AC57" s="325">
        <f>SUM(AB57:AB60)</f>
        <v>5398011</v>
      </c>
    </row>
    <row r="58" spans="1:30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70">
        <v>4049000</v>
      </c>
      <c r="W58" s="73"/>
      <c r="X58" s="461">
        <v>4240000</v>
      </c>
      <c r="Y58" s="73"/>
      <c r="Z58" s="313"/>
      <c r="AA58" s="313"/>
      <c r="AB58" s="313"/>
      <c r="AC58" s="313"/>
    </row>
    <row r="59" spans="1:30" x14ac:dyDescent="0.3">
      <c r="A59" s="56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70"/>
      <c r="W59" s="73"/>
      <c r="X59" s="461"/>
      <c r="Y59" s="399"/>
      <c r="Z59" s="313">
        <f>SUM(Z15+Z16+Z17+Z18+Z118)</f>
        <v>376904</v>
      </c>
      <c r="AA59" s="313">
        <f>SUM(AA15+AA16+AA17+AA18+AA118)</f>
        <v>387858</v>
      </c>
      <c r="AB59" s="313">
        <f>SUM(AB15+AB16+AB17+AB18+AB118)</f>
        <v>361752</v>
      </c>
      <c r="AC59" s="313">
        <f>SUM(AC15+AC16+AC17+AC18+AC118)</f>
        <v>410805</v>
      </c>
    </row>
    <row r="60" spans="1:30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70"/>
      <c r="W60" s="73"/>
      <c r="X60" s="461"/>
      <c r="Y60" s="73"/>
      <c r="Z60" s="313">
        <f>SUM(Z19+Z119)</f>
        <v>-146501</v>
      </c>
      <c r="AA60" s="313">
        <f>SUM(AA19+AA119)</f>
        <v>-146501</v>
      </c>
      <c r="AB60" s="313">
        <f>SUM(AB19+AB119)</f>
        <v>-146501</v>
      </c>
      <c r="AC60" s="313">
        <f>SUM(AC19+AC119)</f>
        <v>-146501</v>
      </c>
    </row>
    <row r="61" spans="1:30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83"/>
      <c r="U61" s="84"/>
      <c r="V61" s="83"/>
      <c r="W61" s="84"/>
      <c r="X61" s="462"/>
      <c r="Y61" s="84"/>
      <c r="Z61" s="323">
        <f>SUM(Z57:Z60)*0.1*-1</f>
        <v>-494140.30000000005</v>
      </c>
      <c r="AA61" s="323">
        <f>SUM(AA57:AA60)*0.1*-1</f>
        <v>-518276</v>
      </c>
      <c r="AB61" s="323">
        <f>SUM(AB57:AB60)*0.1*-1</f>
        <v>-539801.1</v>
      </c>
      <c r="AC61" s="323">
        <f>SUM(AC57:AC60)*0.1*-1</f>
        <v>-566231.5</v>
      </c>
    </row>
    <row r="62" spans="1:30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70">
        <f>SUM(V58:V61)</f>
        <v>4049000</v>
      </c>
      <c r="W62" s="73"/>
      <c r="X62" s="461">
        <f>SUM(X58:X61)</f>
        <v>4240000</v>
      </c>
      <c r="Y62" s="73"/>
      <c r="Z62" s="313">
        <f>SUM(Z57:Z61)</f>
        <v>4447262.7</v>
      </c>
      <c r="AA62" s="313">
        <f>SUM(AA57:AA61)</f>
        <v>4664484</v>
      </c>
      <c r="AB62" s="313">
        <f>SUM(AB57:AB61)</f>
        <v>4858209.9000000004</v>
      </c>
      <c r="AC62" s="313">
        <f>SUM(AC57:AC61)</f>
        <v>5096083.5</v>
      </c>
    </row>
    <row r="63" spans="1:30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87">
        <v>1</v>
      </c>
      <c r="W63" s="73"/>
      <c r="X63" s="463">
        <v>1</v>
      </c>
      <c r="Y63" s="73"/>
      <c r="Z63" s="314">
        <v>1</v>
      </c>
      <c r="AA63" s="314">
        <v>1</v>
      </c>
      <c r="AB63" s="314">
        <v>1</v>
      </c>
      <c r="AC63" s="314">
        <v>1</v>
      </c>
    </row>
    <row r="64" spans="1:30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91">
        <f>489758686/4049000000</f>
        <v>0.12095793677451222</v>
      </c>
      <c r="W64" s="84"/>
      <c r="X64" s="464">
        <v>0.11532112098199999</v>
      </c>
      <c r="Y64" s="84"/>
      <c r="Z64" s="315">
        <f t="shared" ref="Z64" si="25">SUM(X64)</f>
        <v>0.11532112098199999</v>
      </c>
      <c r="AA64" s="315">
        <f>SUM(Z64)</f>
        <v>0.11532112098199999</v>
      </c>
      <c r="AB64" s="315">
        <f>SUM(AA64)</f>
        <v>0.11532112098199999</v>
      </c>
      <c r="AC64" s="315">
        <f>SUM(AB64)</f>
        <v>0.11532112098199999</v>
      </c>
    </row>
    <row r="65" spans="1:30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26">SUM(G62*G64)</f>
        <v>350240.37700000004</v>
      </c>
      <c r="I65" s="69">
        <f t="shared" si="26"/>
        <v>370904.02</v>
      </c>
      <c r="J65" s="70"/>
      <c r="K65" s="71"/>
      <c r="L65" s="69">
        <f t="shared" ref="L65:Z65" si="27">SUM(L62*L64)</f>
        <v>379502.29200000002</v>
      </c>
      <c r="M65" s="72"/>
      <c r="N65" s="69">
        <f t="shared" si="27"/>
        <v>345023.42800000001</v>
      </c>
      <c r="O65" s="70"/>
      <c r="P65" s="70">
        <f t="shared" si="27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70">
        <f>SUM(V62*V64)</f>
        <v>489758.68599999999</v>
      </c>
      <c r="W65" s="73"/>
      <c r="X65" s="461">
        <f>SUM(X62*X64)</f>
        <v>488961.55296367995</v>
      </c>
      <c r="Y65" s="73"/>
      <c r="Z65" s="313">
        <f t="shared" si="27"/>
        <v>512863.31986543594</v>
      </c>
      <c r="AA65" s="313">
        <f>SUM(AA62*AA64)</f>
        <v>537913.52368260326</v>
      </c>
      <c r="AB65" s="313">
        <f>SUM(AB62*AB64)</f>
        <v>560254.21163385012</v>
      </c>
      <c r="AC65" s="313">
        <f>SUM(AC62*AC64)</f>
        <v>587686.061837874</v>
      </c>
    </row>
    <row r="66" spans="1:30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70">
        <f>488836.762-V65</f>
        <v>-921.92399999999907</v>
      </c>
      <c r="W66" s="73"/>
      <c r="X66" s="461">
        <v>-410.86500000000001</v>
      </c>
      <c r="Y66" s="73"/>
      <c r="Z66" s="313">
        <v>0</v>
      </c>
      <c r="AA66" s="313">
        <v>0</v>
      </c>
      <c r="AB66" s="313">
        <v>0</v>
      </c>
      <c r="AC66" s="313">
        <v>0</v>
      </c>
    </row>
    <row r="67" spans="1:30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157">
        <v>1</v>
      </c>
      <c r="W67" s="73"/>
      <c r="X67" s="465">
        <v>1</v>
      </c>
      <c r="Y67" s="73"/>
      <c r="Z67" s="326">
        <v>1</v>
      </c>
      <c r="AA67" s="326">
        <v>1</v>
      </c>
      <c r="AB67" s="326">
        <v>1</v>
      </c>
      <c r="AC67" s="326">
        <v>1</v>
      </c>
    </row>
    <row r="68" spans="1:30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28">SUM(G65:G66)*G67</f>
        <v>349938.54100000003</v>
      </c>
      <c r="I68" s="69">
        <f t="shared" si="28"/>
        <v>370623.68800000002</v>
      </c>
      <c r="J68" s="70"/>
      <c r="K68" s="71"/>
      <c r="L68" s="69">
        <f t="shared" ref="L68:N68" si="29">SUM(L65:L66)*L67</f>
        <v>379213.82400000002</v>
      </c>
      <c r="M68" s="72"/>
      <c r="N68" s="69">
        <f t="shared" si="29"/>
        <v>344746.50900000002</v>
      </c>
      <c r="O68" s="70"/>
      <c r="P68" s="70">
        <f t="shared" ref="P68:Z68" si="30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70">
        <f>SUM(V65:V66)*V67</f>
        <v>488836.76199999999</v>
      </c>
      <c r="W68" s="73"/>
      <c r="X68" s="461">
        <f>SUM(X65:X66)*X67</f>
        <v>488550.68796367996</v>
      </c>
      <c r="Y68" s="73"/>
      <c r="Z68" s="313">
        <f t="shared" si="30"/>
        <v>512863.31986543594</v>
      </c>
      <c r="AA68" s="313">
        <f>SUM(AA65:AA66)*AA67</f>
        <v>537913.52368260326</v>
      </c>
      <c r="AB68" s="313">
        <f>SUM(AB65:AB66)*AB67</f>
        <v>560254.21163385012</v>
      </c>
      <c r="AC68" s="313">
        <f>SUM(AC65:AC66)*AC67</f>
        <v>587686.061837874</v>
      </c>
    </row>
    <row r="69" spans="1:30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176">
        <f>32120.631/V68</f>
        <v>6.5708296709485206E-2</v>
      </c>
      <c r="W69" s="164"/>
      <c r="X69" s="327">
        <f>SUM(V69)</f>
        <v>6.5708296709485206E-2</v>
      </c>
      <c r="Y69" s="164"/>
      <c r="Z69" s="327">
        <f t="shared" ref="Z69" si="31">SUM(X69)</f>
        <v>6.5708296709485206E-2</v>
      </c>
      <c r="AA69" s="327">
        <f>SUM(Z69)</f>
        <v>6.5708296709485206E-2</v>
      </c>
      <c r="AB69" s="327">
        <f>SUM(AA69)</f>
        <v>6.5708296709485206E-2</v>
      </c>
      <c r="AC69" s="327">
        <f>SUM(AB69)</f>
        <v>6.5708296709485206E-2</v>
      </c>
    </row>
    <row r="70" spans="1:30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2">SUM(G68*G69)</f>
        <v>22904.265934547748</v>
      </c>
      <c r="I70" s="69">
        <f t="shared" si="32"/>
        <v>24673.979228846489</v>
      </c>
      <c r="J70" s="153"/>
      <c r="K70" s="71"/>
      <c r="L70" s="69">
        <f t="shared" ref="L70:X70" si="33">SUM(L68*L69)</f>
        <v>24737.454518899576</v>
      </c>
      <c r="M70" s="72"/>
      <c r="N70" s="69">
        <f t="shared" si="33"/>
        <v>22376.198131038327</v>
      </c>
      <c r="O70" s="165"/>
      <c r="P70" s="131">
        <f t="shared" si="33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70">
        <f>SUM(V68*V69)</f>
        <v>32120.631000000001</v>
      </c>
      <c r="W70" s="166"/>
      <c r="X70" s="313">
        <f t="shared" si="33"/>
        <v>32101.833562340606</v>
      </c>
      <c r="Y70" s="166"/>
      <c r="Z70" s="313">
        <f>SUM(Z68*Z69)</f>
        <v>33699.375193129687</v>
      </c>
      <c r="AA70" s="313">
        <f>SUM(AA68*AA69)</f>
        <v>35345.38141818119</v>
      </c>
      <c r="AB70" s="313">
        <f>SUM(AB68*AB69)</f>
        <v>36813.349970775744</v>
      </c>
      <c r="AC70" s="313">
        <f>SUM(AC68*AC69)</f>
        <v>38615.850123271899</v>
      </c>
    </row>
    <row r="71" spans="1:30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  <c r="AC71" s="313">
        <v>0</v>
      </c>
    </row>
    <row r="72" spans="1:30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4">SUM(G70:G71)</f>
        <v>22904.265934547748</v>
      </c>
      <c r="I72" s="99">
        <f t="shared" si="34"/>
        <v>24673.979228846489</v>
      </c>
      <c r="J72" s="167"/>
      <c r="K72" s="101"/>
      <c r="L72" s="99">
        <f t="shared" ref="L72:Z72" si="35">SUM(L70:L71)</f>
        <v>24737.454518899576</v>
      </c>
      <c r="M72" s="102"/>
      <c r="N72" s="99">
        <f t="shared" si="35"/>
        <v>22376.198131038327</v>
      </c>
      <c r="O72" s="102"/>
      <c r="P72" s="100">
        <f t="shared" si="35"/>
        <v>27999.644464958154</v>
      </c>
      <c r="Q72" s="101"/>
      <c r="R72" s="100">
        <f t="shared" ref="R72" si="36">SUM(R70:R71)</f>
        <v>29277.027320712124</v>
      </c>
      <c r="S72" s="101"/>
      <c r="T72" s="100">
        <f>SUM(T70:T71)</f>
        <v>30670.574000000001</v>
      </c>
      <c r="U72" s="101"/>
      <c r="V72" s="100">
        <f>SUM(V70:V71)</f>
        <v>32120.631000000001</v>
      </c>
      <c r="W72" s="101"/>
      <c r="X72" s="317">
        <f t="shared" si="35"/>
        <v>32101.833562340606</v>
      </c>
      <c r="Y72" s="101"/>
      <c r="Z72" s="317">
        <f t="shared" si="35"/>
        <v>33699.375193129687</v>
      </c>
      <c r="AA72" s="317">
        <f>SUM(AA70:AA71)</f>
        <v>35345.38141818119</v>
      </c>
      <c r="AB72" s="317">
        <f>SUM(AB70:AB71)</f>
        <v>36813.349970775744</v>
      </c>
      <c r="AC72" s="317">
        <f>SUM(AC70:AC71)</f>
        <v>38615.850123271899</v>
      </c>
    </row>
    <row r="73" spans="1:30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294">
        <f>SUM((V73-T73)/T73)</f>
        <v>-1.3491836583370404E-2</v>
      </c>
      <c r="V73" s="293">
        <f>11537.7201/V72</f>
        <v>0.3591996713887719</v>
      </c>
      <c r="W73" s="305">
        <f>$W$30</f>
        <v>1.4999999999999999E-2</v>
      </c>
      <c r="X73" s="318">
        <f>SUM(V73*(1+W73))</f>
        <v>0.36458766645960344</v>
      </c>
      <c r="Y73" s="305">
        <f>$Y$30</f>
        <v>0.02</v>
      </c>
      <c r="Z73" s="318">
        <f>SUM(X73*(1+Y73))</f>
        <v>0.37187941978879552</v>
      </c>
      <c r="AA73" s="318">
        <f>SUM(Z73*(1+Y73))</f>
        <v>0.37931700818457142</v>
      </c>
      <c r="AB73" s="318">
        <f>SUM(AA73*(1+Y73))</f>
        <v>0.38690334834826284</v>
      </c>
      <c r="AC73" s="318">
        <f>SUM(AB73*(1+$Y$73))</f>
        <v>0.39464141531522812</v>
      </c>
    </row>
    <row r="74" spans="1:30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139"/>
      <c r="W74" s="71"/>
      <c r="X74" s="319"/>
      <c r="Y74" s="71"/>
      <c r="Z74" s="319"/>
      <c r="AA74" s="319"/>
      <c r="AB74" s="319"/>
      <c r="AC74" s="319"/>
    </row>
    <row r="75" spans="1:30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37">SUM(G72*G73)</f>
        <v>7219.74299186594</v>
      </c>
      <c r="I75" s="112">
        <f t="shared" si="37"/>
        <v>8163.043288322272</v>
      </c>
      <c r="J75" s="141"/>
      <c r="K75" s="114"/>
      <c r="L75" s="112">
        <f t="shared" ref="L75:N75" si="38">SUM(L72*L73)</f>
        <v>8456.9513856009962</v>
      </c>
      <c r="M75" s="113"/>
      <c r="N75" s="112">
        <f t="shared" si="38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141">
        <f>SUM(T72*T73)</f>
        <v>11167.5306</v>
      </c>
      <c r="U75" s="370"/>
      <c r="V75" s="141">
        <f>SUM(V72*V73)</f>
        <v>11537.7201</v>
      </c>
      <c r="W75" s="370"/>
      <c r="X75" s="320">
        <f>SUM(X72*X73)</f>
        <v>11703.932587568341</v>
      </c>
      <c r="Y75" s="370"/>
      <c r="Z75" s="320">
        <f>SUM(Z72*Z73)</f>
        <v>12532.104094065997</v>
      </c>
      <c r="AA75" s="320">
        <f>SUM(AA72*AA73)</f>
        <v>13407.104332687033</v>
      </c>
      <c r="AB75" s="320">
        <f>SUM(AB72*AB73)</f>
        <v>14243.208367609559</v>
      </c>
      <c r="AC75" s="320">
        <f>SUM(AC72*AC73)</f>
        <v>15239.413746248749</v>
      </c>
      <c r="AD75" s="472" t="s">
        <v>217</v>
      </c>
    </row>
    <row r="76" spans="1:30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  <c r="AC76" s="171"/>
    </row>
    <row r="77" spans="1:30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120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">
        <v>178</v>
      </c>
      <c r="AC77" s="301" t="s">
        <v>179</v>
      </c>
    </row>
    <row r="78" spans="1:30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65"/>
      <c r="W78" s="175"/>
      <c r="X78" s="321"/>
      <c r="Y78" s="175"/>
      <c r="Z78" s="321"/>
      <c r="AA78" s="321"/>
      <c r="AB78" s="321"/>
      <c r="AC78" s="321"/>
    </row>
    <row r="79" spans="1:30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46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  <c r="AC79" s="308" t="s">
        <v>75</v>
      </c>
    </row>
    <row r="80" spans="1:30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70">
        <v>1377</v>
      </c>
      <c r="W80" s="73"/>
      <c r="X80" s="313">
        <f>SUM(V80)</f>
        <v>1377</v>
      </c>
      <c r="Y80" s="73"/>
      <c r="Z80" s="313">
        <f>SUM(X80)</f>
        <v>1377</v>
      </c>
      <c r="AA80" s="313">
        <f t="shared" ref="AA80" si="39">SUM(Z80)</f>
        <v>1377</v>
      </c>
      <c r="AB80" s="313">
        <f>SUM(AA80)</f>
        <v>1377</v>
      </c>
      <c r="AC80" s="313">
        <f>SUM(AB80)</f>
        <v>1377</v>
      </c>
    </row>
    <row r="81" spans="1:30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70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  <c r="AC81" s="313">
        <v>0</v>
      </c>
    </row>
    <row r="82" spans="1:30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70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  <c r="AC82" s="313">
        <f>SUM(AC74)</f>
        <v>0</v>
      </c>
    </row>
    <row r="83" spans="1:30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87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  <c r="AC83" s="314">
        <v>1</v>
      </c>
    </row>
    <row r="84" spans="1:30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91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  <c r="AC84" s="315">
        <v>1</v>
      </c>
    </row>
    <row r="85" spans="1:30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0">SUM((G80+G81+G82)*G83*G84)</f>
        <v>888.3152139</v>
      </c>
      <c r="I85" s="69">
        <f t="shared" si="40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1">SUM((P80+P81+P82)*P83*P84)</f>
        <v>1137.998</v>
      </c>
      <c r="Q85" s="73"/>
      <c r="R85" s="70">
        <f t="shared" ref="R85" si="42">SUM((R80+R81+R82)*R83*R84)</f>
        <v>1221</v>
      </c>
      <c r="S85" s="73"/>
      <c r="T85" s="70">
        <f t="shared" si="41"/>
        <v>1432</v>
      </c>
      <c r="U85" s="73"/>
      <c r="V85" s="70">
        <f>SUM((V80+V81+V82)*V83*V84)</f>
        <v>1377</v>
      </c>
      <c r="W85" s="73"/>
      <c r="X85" s="313">
        <f t="shared" si="41"/>
        <v>1377</v>
      </c>
      <c r="Y85" s="73"/>
      <c r="Z85" s="313">
        <f t="shared" si="41"/>
        <v>1377</v>
      </c>
      <c r="AA85" s="313">
        <f t="shared" si="41"/>
        <v>1377</v>
      </c>
      <c r="AB85" s="313">
        <f>SUM((AB80+AB81+AB82)*AB83*AB84)</f>
        <v>1377</v>
      </c>
      <c r="AC85" s="313">
        <f>SUM((AC80+AC81+AC82)*AC83*AC84)</f>
        <v>1377</v>
      </c>
    </row>
    <row r="86" spans="1:30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124"/>
      <c r="W86" s="73"/>
      <c r="X86" s="313"/>
      <c r="Y86" s="73"/>
      <c r="Z86" s="313"/>
      <c r="AA86" s="313"/>
      <c r="AB86" s="313"/>
      <c r="AC86" s="313"/>
    </row>
    <row r="87" spans="1:30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157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  <c r="AC87" s="326">
        <v>1</v>
      </c>
    </row>
    <row r="88" spans="1:30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3">SUM(G85:G86)*G87</f>
        <v>888.3152139</v>
      </c>
      <c r="I88" s="69">
        <f t="shared" si="43"/>
        <v>1002.3308361092717</v>
      </c>
      <c r="J88" s="70"/>
      <c r="K88" s="71"/>
      <c r="L88" s="69">
        <v>1190</v>
      </c>
      <c r="M88" s="72"/>
      <c r="N88" s="69">
        <f t="shared" ref="N88" si="44">SUM(N85:N86)*N87</f>
        <v>1131</v>
      </c>
      <c r="O88" s="70"/>
      <c r="P88" s="70">
        <f t="shared" ref="P88:AA88" si="45">SUM(P85:P86)*P87</f>
        <v>1137.998</v>
      </c>
      <c r="Q88" s="73"/>
      <c r="R88" s="70">
        <f t="shared" ref="R88" si="46">SUM(R85:R86)*R87</f>
        <v>1221</v>
      </c>
      <c r="S88" s="73"/>
      <c r="T88" s="70">
        <f t="shared" si="45"/>
        <v>1432</v>
      </c>
      <c r="U88" s="73"/>
      <c r="V88" s="70">
        <f>SUM(V85:V86)*V87</f>
        <v>1377</v>
      </c>
      <c r="W88" s="73"/>
      <c r="X88" s="313">
        <f t="shared" si="45"/>
        <v>1377</v>
      </c>
      <c r="Y88" s="73"/>
      <c r="Z88" s="313">
        <f t="shared" si="45"/>
        <v>1377</v>
      </c>
      <c r="AA88" s="313">
        <f t="shared" si="45"/>
        <v>1377</v>
      </c>
      <c r="AB88" s="313">
        <f>SUM(AB85:AB86)*AB87</f>
        <v>1377</v>
      </c>
      <c r="AC88" s="313">
        <f>SUM(AC85:AC86)*AC87</f>
        <v>1377</v>
      </c>
    </row>
    <row r="89" spans="1:30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176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  <c r="AC89" s="327">
        <v>1</v>
      </c>
    </row>
    <row r="90" spans="1:30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47">SUM(G88*G89)</f>
        <v>888.3152139</v>
      </c>
      <c r="I90" s="69">
        <f t="shared" si="47"/>
        <v>1002.3308361092717</v>
      </c>
      <c r="J90" s="70"/>
      <c r="K90" s="71"/>
      <c r="L90" s="69">
        <f t="shared" ref="L90:AA90" si="48">SUM(L88*L89)</f>
        <v>1190</v>
      </c>
      <c r="M90" s="72"/>
      <c r="N90" s="69">
        <f t="shared" si="48"/>
        <v>1131</v>
      </c>
      <c r="O90" s="70"/>
      <c r="P90" s="70">
        <f t="shared" si="48"/>
        <v>1137.998</v>
      </c>
      <c r="Q90" s="73"/>
      <c r="R90" s="70">
        <f t="shared" ref="R90" si="49">SUM(R88*R89)</f>
        <v>1221</v>
      </c>
      <c r="S90" s="73"/>
      <c r="T90" s="70">
        <f t="shared" si="48"/>
        <v>1432</v>
      </c>
      <c r="U90" s="73"/>
      <c r="V90" s="70">
        <f t="shared" si="48"/>
        <v>1377</v>
      </c>
      <c r="W90" s="73"/>
      <c r="X90" s="313">
        <f t="shared" si="48"/>
        <v>1377</v>
      </c>
      <c r="Y90" s="73"/>
      <c r="Z90" s="313">
        <f t="shared" si="48"/>
        <v>1377</v>
      </c>
      <c r="AA90" s="313">
        <f t="shared" si="48"/>
        <v>1377</v>
      </c>
      <c r="AB90" s="313">
        <f>SUM(AB88*AB89)</f>
        <v>1377</v>
      </c>
      <c r="AC90" s="313">
        <f>SUM(AC88*AC89)</f>
        <v>1377</v>
      </c>
    </row>
    <row r="91" spans="1:30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70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  <c r="AC91" s="313">
        <v>0</v>
      </c>
    </row>
    <row r="92" spans="1:30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0">SUM(G90:G91)</f>
        <v>888.3152139</v>
      </c>
      <c r="I92" s="99">
        <f t="shared" si="50"/>
        <v>1002.3308361092717</v>
      </c>
      <c r="J92" s="100"/>
      <c r="K92" s="101"/>
      <c r="L92" s="99">
        <f t="shared" ref="L92:AA92" si="51">SUM(L90:L91)</f>
        <v>1190</v>
      </c>
      <c r="M92" s="111"/>
      <c r="N92" s="99">
        <f t="shared" si="51"/>
        <v>1131</v>
      </c>
      <c r="O92" s="100"/>
      <c r="P92" s="100">
        <f t="shared" si="51"/>
        <v>1137.998</v>
      </c>
      <c r="Q92" s="177"/>
      <c r="R92" s="100">
        <f t="shared" ref="R92" si="52">SUM(R90:R91)</f>
        <v>1221</v>
      </c>
      <c r="S92" s="177"/>
      <c r="T92" s="100">
        <f t="shared" si="51"/>
        <v>1432</v>
      </c>
      <c r="U92" s="177"/>
      <c r="V92" s="100">
        <f t="shared" si="51"/>
        <v>1377</v>
      </c>
      <c r="W92" s="177"/>
      <c r="X92" s="317">
        <f t="shared" si="51"/>
        <v>1377</v>
      </c>
      <c r="Y92" s="177"/>
      <c r="Z92" s="317">
        <f t="shared" si="51"/>
        <v>1377</v>
      </c>
      <c r="AA92" s="317">
        <f t="shared" si="51"/>
        <v>1377</v>
      </c>
      <c r="AB92" s="317">
        <f>SUM(AB90:AB91)</f>
        <v>1377</v>
      </c>
      <c r="AC92" s="317">
        <f>SUM(AC90:AC91)</f>
        <v>1377</v>
      </c>
    </row>
    <row r="93" spans="1:30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294">
        <f>SUM((V93-T93)/R93)</f>
        <v>-2.3244457749252265E-3</v>
      </c>
      <c r="V93" s="293">
        <f>12.63643/V92</f>
        <v>9.1767828612926653E-3</v>
      </c>
      <c r="W93" s="305">
        <f>$W$30</f>
        <v>1.4999999999999999E-2</v>
      </c>
      <c r="X93" s="318">
        <f>SUM(V93*(1+W93))</f>
        <v>9.3144346042120536E-3</v>
      </c>
      <c r="Y93" s="305">
        <f>$Y$30</f>
        <v>0.02</v>
      </c>
      <c r="Z93" s="318">
        <f>SUM(X93*(1+Y93))</f>
        <v>9.5007232962962956E-3</v>
      </c>
      <c r="AA93" s="318">
        <f>SUM(Z93*(1+Y93))</f>
        <v>9.6907377622222225E-3</v>
      </c>
      <c r="AB93" s="318">
        <f>SUM(AA93*(1+Y93))</f>
        <v>9.8845525174666663E-3</v>
      </c>
      <c r="AC93" s="318">
        <f>SUM(AB93*(1+$Y$93))</f>
        <v>1.0082243567816E-2</v>
      </c>
    </row>
    <row r="94" spans="1:30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111"/>
      <c r="W94" s="73"/>
      <c r="X94" s="319"/>
      <c r="Y94" s="73"/>
      <c r="Z94" s="319"/>
      <c r="AA94" s="319"/>
      <c r="AB94" s="319"/>
      <c r="AC94" s="319"/>
    </row>
    <row r="95" spans="1:30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3">SUM(G92*G93)</f>
        <v>8.2702146414089999</v>
      </c>
      <c r="I95" s="178">
        <f t="shared" si="53"/>
        <v>9.3172825078781703</v>
      </c>
      <c r="J95" s="179"/>
      <c r="K95" s="180"/>
      <c r="L95" s="178">
        <f t="shared" ref="L95:AA95" si="54">SUM(L92*L93)</f>
        <v>11.382350000000001</v>
      </c>
      <c r="M95" s="181"/>
      <c r="N95" s="182">
        <f t="shared" si="54"/>
        <v>10.468988399999999</v>
      </c>
      <c r="O95" s="183"/>
      <c r="P95" s="183">
        <f t="shared" si="54"/>
        <v>10.51116</v>
      </c>
      <c r="Q95" s="55"/>
      <c r="R95" s="183">
        <f t="shared" ref="R95" si="55">SUM(R92*R93)</f>
        <v>11.256590000000001</v>
      </c>
      <c r="S95" s="55"/>
      <c r="T95" s="179">
        <f>SUM(T92*T93)</f>
        <v>13.17184</v>
      </c>
      <c r="U95" s="372"/>
      <c r="V95" s="179">
        <f>SUM(V92*V93)</f>
        <v>12.636430000000001</v>
      </c>
      <c r="W95" s="372"/>
      <c r="X95" s="338">
        <f>SUM(X92*X93)</f>
        <v>12.825976449999997</v>
      </c>
      <c r="Y95" s="372"/>
      <c r="Z95" s="338">
        <f>SUM(Z92*Z93)</f>
        <v>13.082495978999999</v>
      </c>
      <c r="AA95" s="338">
        <f t="shared" si="54"/>
        <v>13.344145898580001</v>
      </c>
      <c r="AB95" s="338">
        <f>SUM(AB92*AB93)</f>
        <v>13.611028816551599</v>
      </c>
      <c r="AC95" s="338">
        <f>SUM(AC92*AC93)</f>
        <v>13.883249392882632</v>
      </c>
      <c r="AD95" s="472" t="s">
        <v>219</v>
      </c>
    </row>
    <row r="96" spans="1:30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  <c r="AC96" s="171"/>
    </row>
    <row r="97" spans="1:30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120" t="s">
        <v>74</v>
      </c>
      <c r="W97" s="174"/>
      <c r="X97" s="301" t="s">
        <v>136</v>
      </c>
      <c r="Y97" s="174"/>
      <c r="Z97" s="301" t="str">
        <f>Z77</f>
        <v>21/22 Estimate</v>
      </c>
      <c r="AA97" s="301" t="str">
        <f>AA77</f>
        <v>22/23 Estimate</v>
      </c>
      <c r="AB97" s="301" t="str">
        <f>AB77</f>
        <v>23/24 Estimate</v>
      </c>
      <c r="AC97" s="301" t="str">
        <f>AC77</f>
        <v>24/25 Estimate</v>
      </c>
    </row>
    <row r="98" spans="1:30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42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  <c r="AC98" s="308" t="s">
        <v>78</v>
      </c>
    </row>
    <row r="99" spans="1:30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42"/>
      <c r="W99" s="47"/>
      <c r="X99" s="308"/>
      <c r="Y99" s="47"/>
      <c r="Z99" s="308"/>
      <c r="AA99" s="308"/>
      <c r="AB99" s="308"/>
      <c r="AC99" s="308"/>
    </row>
    <row r="100" spans="1:30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46"/>
      <c r="W100" s="47"/>
      <c r="X100" s="308"/>
      <c r="Y100" s="47"/>
      <c r="Z100" s="308"/>
      <c r="AA100" s="308"/>
      <c r="AB100" s="308"/>
      <c r="AC100" s="308"/>
    </row>
    <row r="101" spans="1:30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197">
        <f>197600-V80</f>
        <v>196223</v>
      </c>
      <c r="W101" s="175"/>
      <c r="X101" s="503">
        <f>210000-X80</f>
        <v>208623</v>
      </c>
      <c r="Y101" s="175"/>
      <c r="Z101" s="329">
        <f>SUM(X101:X103)</f>
        <v>208623</v>
      </c>
      <c r="AA101" s="329">
        <f t="shared" ref="AA101" si="56">SUM(Z101:Z103)</f>
        <v>208623</v>
      </c>
      <c r="AB101" s="329">
        <f>SUM(AA101:AA103)</f>
        <v>208623</v>
      </c>
      <c r="AC101" s="329">
        <f>SUM(AB101:AB103)</f>
        <v>208623</v>
      </c>
    </row>
    <row r="102" spans="1:30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70">
        <v>0</v>
      </c>
      <c r="W102" s="73"/>
      <c r="X102" s="461">
        <v>0</v>
      </c>
      <c r="Y102" s="73"/>
      <c r="Z102" s="313">
        <v>0</v>
      </c>
      <c r="AA102" s="313">
        <v>0</v>
      </c>
      <c r="AB102" s="313">
        <v>0</v>
      </c>
      <c r="AC102" s="313">
        <v>0</v>
      </c>
    </row>
    <row r="103" spans="1:30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70">
        <v>0</v>
      </c>
      <c r="W103" s="73"/>
      <c r="X103" s="461">
        <v>0</v>
      </c>
      <c r="Y103" s="73"/>
      <c r="Z103" s="313">
        <v>0</v>
      </c>
      <c r="AA103" s="313">
        <v>0</v>
      </c>
      <c r="AB103" s="313">
        <v>0</v>
      </c>
      <c r="AC103" s="313">
        <v>0</v>
      </c>
    </row>
    <row r="104" spans="1:30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204">
        <v>0</v>
      </c>
      <c r="W104" s="73"/>
      <c r="X104" s="520">
        <v>0</v>
      </c>
      <c r="Y104" s="73"/>
      <c r="Z104" s="330">
        <v>0</v>
      </c>
      <c r="AA104" s="330">
        <v>0</v>
      </c>
      <c r="AB104" s="330">
        <v>0</v>
      </c>
      <c r="AC104" s="330">
        <v>0</v>
      </c>
    </row>
    <row r="105" spans="1:30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208" t="s">
        <v>81</v>
      </c>
      <c r="W105" s="174"/>
      <c r="X105" s="521" t="s">
        <v>81</v>
      </c>
      <c r="Y105" s="174"/>
      <c r="Z105" s="331" t="s">
        <v>81</v>
      </c>
      <c r="AA105" s="331" t="s">
        <v>81</v>
      </c>
      <c r="AB105" s="331" t="s">
        <v>81</v>
      </c>
      <c r="AC105" s="331" t="s">
        <v>81</v>
      </c>
    </row>
    <row r="106" spans="1:30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212">
        <v>0</v>
      </c>
      <c r="W106" s="152"/>
      <c r="X106" s="522">
        <v>0</v>
      </c>
      <c r="Y106" s="152"/>
      <c r="Z106" s="332">
        <v>0</v>
      </c>
      <c r="AA106" s="332">
        <v>0</v>
      </c>
      <c r="AB106" s="332">
        <v>0</v>
      </c>
      <c r="AC106" s="332">
        <v>0</v>
      </c>
    </row>
    <row r="107" spans="1:30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216"/>
      <c r="W107" s="152"/>
      <c r="X107" s="523"/>
      <c r="Y107" s="152"/>
      <c r="Z107" s="333"/>
      <c r="AA107" s="333"/>
      <c r="AB107" s="333"/>
      <c r="AC107" s="333"/>
    </row>
    <row r="108" spans="1:30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232">
        <f>SUM((V108-T108)/T108)</f>
        <v>-2.7004141355659494E-2</v>
      </c>
      <c r="V108" s="293">
        <f>3280.90311/V101</f>
        <v>1.6720278000030578E-2</v>
      </c>
      <c r="W108" s="305">
        <f>$W$30</f>
        <v>1.4999999999999999E-2</v>
      </c>
      <c r="X108" s="318">
        <f>SUM(V108*(1+W108))</f>
        <v>1.6971082170031036E-2</v>
      </c>
      <c r="Y108" s="305">
        <f>$Y$30</f>
        <v>0.02</v>
      </c>
      <c r="Z108" s="318">
        <f>SUM(X108*(1+Y108))</f>
        <v>1.7310503813431657E-2</v>
      </c>
      <c r="AA108" s="318">
        <f>SUM(Z108*(1+Y108))</f>
        <v>1.765671388970029E-2</v>
      </c>
      <c r="AB108" s="318">
        <f>SUM(AA108*(1+Y108))</f>
        <v>1.8009848167494295E-2</v>
      </c>
      <c r="AC108" s="318">
        <f>SUM(AB108*(1+$Y$108))</f>
        <v>1.8370045130844181E-2</v>
      </c>
    </row>
    <row r="109" spans="1:30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220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  <c r="AC109" s="334">
        <v>1</v>
      </c>
    </row>
    <row r="110" spans="1:30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222"/>
      <c r="W110" s="55"/>
      <c r="X110" s="335"/>
      <c r="Y110" s="55"/>
      <c r="Z110" s="335"/>
      <c r="AA110" s="335"/>
      <c r="AB110" s="335"/>
      <c r="AC110" s="335"/>
    </row>
    <row r="111" spans="1:30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57">SUM(G101:G105)*G108*G109</f>
        <v>1918.901132</v>
      </c>
      <c r="I111" s="178">
        <f t="shared" si="57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58">SUM(N101:N105)*N108*N109</f>
        <v>2707.3523175999999</v>
      </c>
      <c r="O111" s="183"/>
      <c r="P111" s="179">
        <f t="shared" ref="P111" si="59">SUM(P101:P105)*P108*P109</f>
        <v>2514.9974500000003</v>
      </c>
      <c r="Q111" s="55"/>
      <c r="R111" s="179">
        <f t="shared" ref="R111" si="60">SUM(R101:R105)*R108*R109</f>
        <v>2956.1579400000001</v>
      </c>
      <c r="S111" s="55"/>
      <c r="T111" s="179">
        <f>SUM(T101:T105)*T108*T109</f>
        <v>3479.2761100000002</v>
      </c>
      <c r="U111" s="372"/>
      <c r="V111" s="179">
        <f>SUM(V101:V105)*V108*V109</f>
        <v>3280.9031100000002</v>
      </c>
      <c r="W111" s="372"/>
      <c r="X111" s="336">
        <f>SUM(X101:X105)*X108*X109</f>
        <v>3540.5580755583851</v>
      </c>
      <c r="Y111" s="372"/>
      <c r="Z111" s="336">
        <f t="shared" ref="Z111" si="61">SUM(Z101:Z105)*Z108*Z109</f>
        <v>3611.3692370695526</v>
      </c>
      <c r="AA111" s="336">
        <f>SUM(AA101:AA105)*AA108*AA109</f>
        <v>3683.5966218109438</v>
      </c>
      <c r="AB111" s="336">
        <f>SUM(AB101:AB105)*AB108*AB109</f>
        <v>3757.2685542471622</v>
      </c>
      <c r="AC111" s="336">
        <f>SUM(AC101:AC105)*AC108*AC109</f>
        <v>3832.4139253321055</v>
      </c>
      <c r="AD111" s="472" t="s">
        <v>219</v>
      </c>
    </row>
    <row r="112" spans="1:30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  <c r="AC112" s="171"/>
    </row>
    <row r="113" spans="1:29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144"/>
      <c r="Y113" s="145"/>
      <c r="Z113" s="144"/>
      <c r="AA113" s="144"/>
      <c r="AB113" s="144"/>
      <c r="AC113" s="144"/>
    </row>
    <row r="114" spans="1:29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120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  <c r="AC114" s="301" t="str">
        <f>$AB$10</f>
        <v>2023 Estimate</v>
      </c>
    </row>
    <row r="115" spans="1:29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65"/>
      <c r="W115" s="64"/>
      <c r="X115" s="321"/>
      <c r="Y115" s="64"/>
      <c r="Z115" s="321"/>
      <c r="AA115" s="321"/>
      <c r="AB115" s="321"/>
      <c r="AC115" s="321"/>
    </row>
    <row r="116" spans="1:29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63"/>
      <c r="W116" s="175"/>
      <c r="X116" s="321"/>
      <c r="Y116" s="175"/>
      <c r="Z116" s="321"/>
      <c r="AA116" s="321"/>
      <c r="AB116" s="321"/>
      <c r="AC116" s="321"/>
    </row>
    <row r="117" spans="1:29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70">
        <v>700000</v>
      </c>
      <c r="W117" s="73"/>
      <c r="X117" s="313">
        <f>SUM(V117:V119)</f>
        <v>700000</v>
      </c>
      <c r="Y117" s="73"/>
      <c r="Z117" s="313">
        <f>SUM(X117:X119)</f>
        <v>792772</v>
      </c>
      <c r="AA117" s="313">
        <f>SUM(Z117:Z119)</f>
        <v>857622</v>
      </c>
      <c r="AB117" s="313">
        <f>SUM(AA117:AA119)</f>
        <v>920938</v>
      </c>
      <c r="AC117" s="313">
        <f>SUM(AB117:AB119)</f>
        <v>987624</v>
      </c>
    </row>
    <row r="118" spans="1:29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70"/>
      <c r="W118" s="73"/>
      <c r="X118" s="154">
        <f>91240+35421</f>
        <v>126661</v>
      </c>
      <c r="Y118" s="73"/>
      <c r="Z118" s="154">
        <f>76162+22577</f>
        <v>98739</v>
      </c>
      <c r="AA118" s="154">
        <f>77486+19719</f>
        <v>97205</v>
      </c>
      <c r="AB118" s="154">
        <f>92514+8061</f>
        <v>100575</v>
      </c>
      <c r="AC118" s="154">
        <f>75072+20227</f>
        <v>95299</v>
      </c>
    </row>
    <row r="119" spans="1:29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70"/>
      <c r="W119" s="73"/>
      <c r="X119" s="154">
        <v>-33889</v>
      </c>
      <c r="Y119" s="73"/>
      <c r="Z119" s="154">
        <f>X119</f>
        <v>-33889</v>
      </c>
      <c r="AA119" s="154">
        <f>Z119</f>
        <v>-33889</v>
      </c>
      <c r="AB119" s="154">
        <f>AA119</f>
        <v>-33889</v>
      </c>
      <c r="AC119" s="154">
        <f>AB119</f>
        <v>-33889</v>
      </c>
    </row>
    <row r="120" spans="1:29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87">
        <v>0.91990911480638227</v>
      </c>
      <c r="W120" s="73"/>
      <c r="X120" s="314">
        <f>SUM(V120)</f>
        <v>0.91990911480638227</v>
      </c>
      <c r="Y120" s="73"/>
      <c r="Z120" s="314">
        <f t="shared" ref="Z120:Z121" si="62">SUM(X120)</f>
        <v>0.91990911480638227</v>
      </c>
      <c r="AA120" s="314">
        <f t="shared" ref="AA120:AC121" si="63">SUM(Z120)</f>
        <v>0.91990911480638227</v>
      </c>
      <c r="AB120" s="314">
        <f t="shared" si="63"/>
        <v>0.91990911480638227</v>
      </c>
      <c r="AC120" s="314">
        <f t="shared" si="63"/>
        <v>0.91990911480638227</v>
      </c>
    </row>
    <row r="121" spans="1:29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91">
        <v>0.50019043891570614</v>
      </c>
      <c r="W121" s="84"/>
      <c r="X121" s="315">
        <f>SUM(V121)</f>
        <v>0.50019043891570614</v>
      </c>
      <c r="Y121" s="84"/>
      <c r="Z121" s="315">
        <f t="shared" si="62"/>
        <v>0.50019043891570614</v>
      </c>
      <c r="AA121" s="315">
        <f t="shared" si="63"/>
        <v>0.50019043891570614</v>
      </c>
      <c r="AB121" s="315">
        <f t="shared" si="63"/>
        <v>0.50019043891570614</v>
      </c>
      <c r="AC121" s="315">
        <f t="shared" si="63"/>
        <v>0.50019043891570614</v>
      </c>
    </row>
    <row r="122" spans="1:29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4">SUM(G117+G118+G119)*G120*G121</f>
        <v>188890.26799999998</v>
      </c>
      <c r="I122" s="69">
        <f t="shared" si="64"/>
        <v>199575.79679677499</v>
      </c>
      <c r="J122" s="70"/>
      <c r="K122" s="71"/>
      <c r="L122" s="69">
        <f t="shared" ref="L122:N122" si="65">SUM(L117+L118+L119)*L120*L121</f>
        <v>234774.02500000002</v>
      </c>
      <c r="M122" s="72"/>
      <c r="N122" s="69">
        <f t="shared" si="65"/>
        <v>230552.66500000001</v>
      </c>
      <c r="O122" s="70"/>
      <c r="P122" s="70">
        <f t="shared" ref="P122:Z122" si="66">SUM(P117+P118+P119)*P120*P121</f>
        <v>229911.818</v>
      </c>
      <c r="Q122" s="73"/>
      <c r="R122" s="70">
        <f t="shared" ref="R122" si="67">SUM(R117+R118+R119)*R120*R121</f>
        <v>246152.10861059991</v>
      </c>
      <c r="S122" s="73"/>
      <c r="T122" s="70">
        <f>SUM(T117+T118+T119)*T120*T121</f>
        <v>306718.19200000004</v>
      </c>
      <c r="U122" s="73"/>
      <c r="V122" s="70">
        <f>SUM(V117+V118+V119)*V120*V121</f>
        <v>322090.82072829414</v>
      </c>
      <c r="W122" s="73"/>
      <c r="X122" s="313">
        <f>SUM(X117+X118+X119)*X120*X121</f>
        <v>364777.97732915886</v>
      </c>
      <c r="Y122" s="73"/>
      <c r="Z122" s="313">
        <f t="shared" si="66"/>
        <v>394617.39122091583</v>
      </c>
      <c r="AA122" s="313">
        <f>SUM(AA117+AA118+AA119)*AA120*AA121</f>
        <v>423750.96608553396</v>
      </c>
      <c r="AB122" s="313">
        <f>SUM(AB117+AB118+AB119)*AB120*AB121</f>
        <v>454435.17818708683</v>
      </c>
      <c r="AC122" s="313">
        <f>SUM(AC117+AC118+AC119)*AC120*AC121</f>
        <v>482691.74575983617</v>
      </c>
    </row>
    <row r="123" spans="1:29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70"/>
      <c r="W123" s="73"/>
      <c r="X123" s="313"/>
      <c r="Y123" s="73"/>
      <c r="Z123" s="313"/>
      <c r="AA123" s="313"/>
      <c r="AB123" s="313"/>
      <c r="AC123" s="313"/>
    </row>
    <row r="124" spans="1:29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68">SUM(G122)</f>
        <v>188890.26799999998</v>
      </c>
      <c r="I124" s="69">
        <f t="shared" si="68"/>
        <v>199575.79679677499</v>
      </c>
      <c r="J124" s="70"/>
      <c r="K124" s="71"/>
      <c r="L124" s="69">
        <f t="shared" ref="L124:AA124" si="69">SUM(L122)</f>
        <v>234774.02500000002</v>
      </c>
      <c r="M124" s="72"/>
      <c r="N124" s="69">
        <f t="shared" si="69"/>
        <v>230552.66500000001</v>
      </c>
      <c r="O124" s="70"/>
      <c r="P124" s="70">
        <f t="shared" si="69"/>
        <v>229911.818</v>
      </c>
      <c r="Q124" s="73"/>
      <c r="R124" s="70">
        <f t="shared" ref="R124" si="70">SUM(R122)</f>
        <v>246152.10861059991</v>
      </c>
      <c r="S124" s="73"/>
      <c r="T124" s="70">
        <f t="shared" si="69"/>
        <v>306718.19200000004</v>
      </c>
      <c r="U124" s="73"/>
      <c r="V124" s="70">
        <f t="shared" si="69"/>
        <v>322090.82072829414</v>
      </c>
      <c r="W124" s="73"/>
      <c r="X124" s="313">
        <f t="shared" si="69"/>
        <v>364777.97732915886</v>
      </c>
      <c r="Y124" s="73"/>
      <c r="Z124" s="313">
        <f t="shared" si="69"/>
        <v>394617.39122091583</v>
      </c>
      <c r="AA124" s="313">
        <f t="shared" si="69"/>
        <v>423750.96608553396</v>
      </c>
      <c r="AB124" s="313">
        <f>SUM(AB122)</f>
        <v>454435.17818708683</v>
      </c>
      <c r="AC124" s="313">
        <f>SUM(AC122)</f>
        <v>482691.74575983617</v>
      </c>
    </row>
    <row r="125" spans="1:29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487">
        <v>293289.11</v>
      </c>
      <c r="U125" s="73"/>
      <c r="V125" s="488">
        <f>306603.362-264.563</f>
        <v>306338.799</v>
      </c>
      <c r="W125" s="73"/>
      <c r="X125" s="313"/>
      <c r="Y125" s="73"/>
      <c r="Z125" s="313"/>
      <c r="AA125" s="313"/>
      <c r="AB125" s="313"/>
      <c r="AC125" s="313"/>
    </row>
    <row r="126" spans="1:29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490">
        <f>V125/V124</f>
        <v>0.95109447176210571</v>
      </c>
      <c r="W126" s="230"/>
      <c r="X126" s="337">
        <f>SUM(V126)</f>
        <v>0.95109447176210571</v>
      </c>
      <c r="Y126" s="230"/>
      <c r="Z126" s="337">
        <f>SUM(X126)</f>
        <v>0.95109447176210571</v>
      </c>
      <c r="AA126" s="337">
        <f t="shared" ref="AA126" si="71">SUM(Z126)</f>
        <v>0.95109447176210571</v>
      </c>
      <c r="AB126" s="337">
        <f>SUM(AA126)</f>
        <v>0.95109447176210571</v>
      </c>
      <c r="AC126" s="337">
        <f>SUM(AB126)</f>
        <v>0.95109447176210571</v>
      </c>
    </row>
    <row r="127" spans="1:29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2">SUM(G124*G126)</f>
        <v>173804.16659564062</v>
      </c>
      <c r="I127" s="69">
        <f t="shared" si="72"/>
        <v>189501.07105461584</v>
      </c>
      <c r="J127" s="70"/>
      <c r="K127" s="71"/>
      <c r="L127" s="69">
        <f t="shared" ref="L127:AA127" si="73">SUM(L124*L126)</f>
        <v>223370.065</v>
      </c>
      <c r="M127" s="72"/>
      <c r="N127" s="69">
        <f t="shared" si="73"/>
        <v>216345.522</v>
      </c>
      <c r="O127" s="231"/>
      <c r="P127" s="70">
        <f t="shared" si="73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461">
        <f>SUM(V124*V126)</f>
        <v>306338.799</v>
      </c>
      <c r="W127" s="232"/>
      <c r="X127" s="313">
        <f>SUM(X124*X126)</f>
        <v>346938.31765832572</v>
      </c>
      <c r="Y127" s="232"/>
      <c r="Z127" s="313">
        <f t="shared" si="73"/>
        <v>375318.41925139714</v>
      </c>
      <c r="AA127" s="313">
        <f t="shared" si="73"/>
        <v>403027.20124780288</v>
      </c>
      <c r="AB127" s="313">
        <f>SUM(AB124*AB126)</f>
        <v>432210.78574796574</v>
      </c>
      <c r="AC127" s="313">
        <f>SUM(AC124*AC126)</f>
        <v>459085.45095738</v>
      </c>
    </row>
    <row r="128" spans="1:29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459">
        <f>SUM((V128-T128)/T128)</f>
        <v>1.6036071362445833E-2</v>
      </c>
      <c r="V128" s="456">
        <f>3563960.29/306338799</f>
        <v>1.1634047994031602E-2</v>
      </c>
      <c r="W128" s="305">
        <f>$W$30</f>
        <v>1.4999999999999999E-2</v>
      </c>
      <c r="X128" s="318">
        <f>SUM(V128*(1+W128))</f>
        <v>1.1808558713942074E-2</v>
      </c>
      <c r="Y128" s="305">
        <f>$Y$30</f>
        <v>0.02</v>
      </c>
      <c r="Z128" s="318">
        <f>SUM(X128*(1+Y128))</f>
        <v>1.2044729888220916E-2</v>
      </c>
      <c r="AA128" s="318">
        <f>SUM(Z128*(1+Y128))</f>
        <v>1.2285624485985334E-2</v>
      </c>
      <c r="AB128" s="318">
        <f>SUM(AA128*(1+Y128))</f>
        <v>1.253133697570504E-2</v>
      </c>
      <c r="AC128" s="318">
        <f>SUM(AB128*(1+$Y$128))</f>
        <v>1.2781963715219141E-2</v>
      </c>
    </row>
    <row r="129" spans="1:30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461"/>
      <c r="W129" s="420"/>
      <c r="X129" s="313"/>
      <c r="Y129" s="420"/>
      <c r="Z129" s="313"/>
      <c r="AA129" s="313"/>
      <c r="AB129" s="313"/>
      <c r="AC129" s="313"/>
    </row>
    <row r="130" spans="1:30" ht="15" thickBot="1" x14ac:dyDescent="0.35">
      <c r="C130" s="112">
        <v>1843</v>
      </c>
      <c r="E130" s="112">
        <f>SUM(E127*E128)</f>
        <v>1939.7429074619999</v>
      </c>
      <c r="G130" s="112">
        <f t="shared" ref="G130" si="74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75">SUM(R127*R128)</f>
        <v>3018.7944147768244</v>
      </c>
      <c r="S130" s="114"/>
      <c r="T130" s="141">
        <f>SUM(T127*T128)</f>
        <v>3358.2858700000002</v>
      </c>
      <c r="U130" s="370"/>
      <c r="V130" s="508">
        <f>SUM(V127*V128)</f>
        <v>3563.96029</v>
      </c>
      <c r="W130" s="370"/>
      <c r="X130" s="320">
        <f>SUM(X127*X128)</f>
        <v>4096.8414941846258</v>
      </c>
      <c r="Y130" s="370"/>
      <c r="Z130" s="320">
        <f>SUM(Z127*Z128)</f>
        <v>4520.6089819571316</v>
      </c>
      <c r="AA130" s="320">
        <f>SUM(AA127*AA128)</f>
        <v>4951.4408521681462</v>
      </c>
      <c r="AB130" s="320">
        <f>SUM(AB127*AB128)</f>
        <v>5416.1790007420122</v>
      </c>
      <c r="AC130" s="320">
        <f>SUM(AC127*AC128)</f>
        <v>5868.0135763222479</v>
      </c>
      <c r="AD130" s="472" t="s">
        <v>205</v>
      </c>
    </row>
    <row r="131" spans="1:30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491"/>
      <c r="W131" s="239"/>
      <c r="X131" s="238"/>
      <c r="Y131" s="239"/>
      <c r="Z131" s="238"/>
      <c r="AA131" s="238"/>
      <c r="AB131" s="238"/>
      <c r="AC131" s="238"/>
    </row>
    <row r="132" spans="1:30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120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  <c r="AC132" s="301" t="str">
        <f>$AC$10</f>
        <v>2024 Estimate</v>
      </c>
    </row>
    <row r="133" spans="1:30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65"/>
      <c r="W133" s="64"/>
      <c r="X133" s="321"/>
      <c r="Y133" s="64"/>
      <c r="Z133" s="321"/>
      <c r="AA133" s="321"/>
      <c r="AB133" s="321"/>
      <c r="AC133" s="321"/>
    </row>
    <row r="134" spans="1:30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65"/>
      <c r="W134" s="64"/>
      <c r="X134" s="321"/>
      <c r="Y134" s="64"/>
      <c r="Z134" s="321"/>
      <c r="AA134" s="321"/>
      <c r="AB134" s="321"/>
      <c r="AC134" s="321"/>
    </row>
    <row r="135" spans="1:30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70">
        <v>742683.92599999998</v>
      </c>
      <c r="W135" s="73"/>
      <c r="X135" s="461">
        <v>866106.81</v>
      </c>
      <c r="Y135" s="73"/>
      <c r="Z135" s="313">
        <f>SUM(X135:X137)</f>
        <v>866106.81</v>
      </c>
      <c r="AA135" s="313">
        <f>SUM(Z135:Z137)</f>
        <v>930956.81</v>
      </c>
      <c r="AB135" s="313">
        <f>SUM(AA135:AA137)</f>
        <v>994272.81</v>
      </c>
      <c r="AC135" s="313">
        <f>SUM(AB135:AB137)</f>
        <v>1060958.81</v>
      </c>
    </row>
    <row r="136" spans="1:30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70"/>
      <c r="W136" s="73"/>
      <c r="X136" s="461"/>
      <c r="Y136" s="73"/>
      <c r="Z136" s="313">
        <f t="shared" ref="Z136:AA137" si="76">SUM(Z118)</f>
        <v>98739</v>
      </c>
      <c r="AA136" s="313">
        <f t="shared" si="76"/>
        <v>97205</v>
      </c>
      <c r="AB136" s="313">
        <f>SUM(AB118)</f>
        <v>100575</v>
      </c>
      <c r="AC136" s="313">
        <f>SUM(AC118)</f>
        <v>95299</v>
      </c>
    </row>
    <row r="137" spans="1:30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70"/>
      <c r="W137" s="73"/>
      <c r="X137" s="461"/>
      <c r="Y137" s="73"/>
      <c r="Z137" s="313">
        <f t="shared" si="76"/>
        <v>-33889</v>
      </c>
      <c r="AA137" s="313">
        <f t="shared" si="76"/>
        <v>-33889</v>
      </c>
      <c r="AB137" s="313">
        <f>SUM(AB119)</f>
        <v>-33889</v>
      </c>
      <c r="AC137" s="313">
        <f>SUM(AC119)</f>
        <v>-33889</v>
      </c>
    </row>
    <row r="138" spans="1:30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87">
        <v>1</v>
      </c>
      <c r="W138" s="73"/>
      <c r="X138" s="463">
        <v>1</v>
      </c>
      <c r="Y138" s="73"/>
      <c r="Z138" s="314">
        <v>1</v>
      </c>
      <c r="AA138" s="314">
        <v>1</v>
      </c>
      <c r="AB138" s="314">
        <v>1</v>
      </c>
      <c r="AC138" s="314">
        <v>1</v>
      </c>
    </row>
    <row r="139" spans="1:30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91">
        <v>0.18293040999999999</v>
      </c>
      <c r="W139" s="84"/>
      <c r="X139" s="464">
        <v>0.18316082</v>
      </c>
      <c r="Y139" s="84"/>
      <c r="Z139" s="315">
        <f>SUM(X139)</f>
        <v>0.18316082</v>
      </c>
      <c r="AA139" s="315">
        <f t="shared" ref="AA139:AC139" si="77">SUM(Z139)</f>
        <v>0.18316082</v>
      </c>
      <c r="AB139" s="315">
        <f t="shared" si="77"/>
        <v>0.18316082</v>
      </c>
      <c r="AC139" s="315">
        <f t="shared" si="77"/>
        <v>0.18316082</v>
      </c>
    </row>
    <row r="140" spans="1:30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78">SUM((G135+G136+G137)*G138*G139)</f>
        <v>79213.073000000004</v>
      </c>
      <c r="I140" s="99">
        <f t="shared" si="78"/>
        <v>85831.54</v>
      </c>
      <c r="J140" s="100"/>
      <c r="K140" s="101"/>
      <c r="L140" s="99">
        <f t="shared" ref="L140:T140" si="79">SUM((L135+L136+L137)*L138*L139)</f>
        <v>92701.07758538505</v>
      </c>
      <c r="M140" s="102"/>
      <c r="N140" s="99">
        <f t="shared" si="79"/>
        <v>96666.592999999993</v>
      </c>
      <c r="O140" s="100"/>
      <c r="P140" s="100">
        <f t="shared" si="79"/>
        <v>103095.598</v>
      </c>
      <c r="Q140" s="177"/>
      <c r="R140" s="100">
        <f t="shared" ref="R140" si="80">SUM((R135+R136+R137)*R138*R139)</f>
        <v>115955.848</v>
      </c>
      <c r="S140" s="177"/>
      <c r="T140" s="100">
        <f t="shared" si="79"/>
        <v>134625.429</v>
      </c>
      <c r="U140" s="177"/>
      <c r="V140" s="100">
        <f>SUM((V135+V136+V137)*V138*V139)</f>
        <v>135859.47508358964</v>
      </c>
      <c r="W140" s="177"/>
      <c r="X140" s="468">
        <f>SUM((X135+X136+X137)*X138*X139)</f>
        <v>158636.83352718421</v>
      </c>
      <c r="Y140" s="177"/>
      <c r="Z140" s="317">
        <f>SUM((Z135+Z136+Z137)*Z138*Z139)</f>
        <v>170514.81270418421</v>
      </c>
      <c r="AA140" s="317">
        <f>SUM((AA135+AA136+AA137)*AA138*AA139)</f>
        <v>182111.82318330422</v>
      </c>
      <c r="AB140" s="317">
        <f>SUM((AB135+AB136+AB137)*AB138*AB139)</f>
        <v>194326.0856258242</v>
      </c>
      <c r="AC140" s="317">
        <f>SUM((AC135+AC136+AC137)*AC138*AC139)</f>
        <v>205573.9915820242</v>
      </c>
    </row>
    <row r="141" spans="1:30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83">
        <v>-100</v>
      </c>
      <c r="W141" s="84"/>
      <c r="X141" s="462">
        <v>-100</v>
      </c>
      <c r="Y141" s="84"/>
      <c r="Z141" s="323"/>
      <c r="AA141" s="323"/>
      <c r="AB141" s="323"/>
      <c r="AC141" s="323"/>
    </row>
    <row r="142" spans="1:30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1">SUM(G140)</f>
        <v>79213.073000000004</v>
      </c>
      <c r="I142" s="69">
        <f t="shared" si="81"/>
        <v>85831.54</v>
      </c>
      <c r="J142" s="70"/>
      <c r="K142" s="71"/>
      <c r="L142" s="69">
        <f t="shared" ref="L142:AA142" si="82">SUM(L140)</f>
        <v>92701.07758538505</v>
      </c>
      <c r="M142" s="72"/>
      <c r="N142" s="69">
        <f t="shared" si="82"/>
        <v>96666.592999999993</v>
      </c>
      <c r="O142" s="70"/>
      <c r="P142" s="70">
        <f t="shared" si="82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70">
        <f>SUM(V140:V141)</f>
        <v>135759.47508358964</v>
      </c>
      <c r="W142" s="73"/>
      <c r="X142" s="461">
        <f>SUM(X140:X141)-1</f>
        <v>158535.83352718421</v>
      </c>
      <c r="Y142" s="73"/>
      <c r="Z142" s="313">
        <f t="shared" si="82"/>
        <v>170514.81270418421</v>
      </c>
      <c r="AA142" s="313">
        <f t="shared" si="82"/>
        <v>182111.82318330422</v>
      </c>
      <c r="AB142" s="313">
        <f>SUM(AB140)</f>
        <v>194326.0856258242</v>
      </c>
      <c r="AC142" s="313">
        <f>SUM(AC140)</f>
        <v>205573.9915820242</v>
      </c>
    </row>
    <row r="143" spans="1:30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134">
        <v>1</v>
      </c>
      <c r="W143" s="84"/>
      <c r="X143" s="504">
        <v>1</v>
      </c>
      <c r="Y143" s="84"/>
      <c r="Z143" s="324">
        <v>1</v>
      </c>
      <c r="AA143" s="324">
        <v>1</v>
      </c>
      <c r="AB143" s="324">
        <v>1</v>
      </c>
      <c r="AC143" s="324">
        <v>1</v>
      </c>
    </row>
    <row r="144" spans="1:30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3">SUM(G142*G143)</f>
        <v>77458.071382651833</v>
      </c>
      <c r="I144" s="69">
        <f t="shared" si="83"/>
        <v>85831.54</v>
      </c>
      <c r="J144" s="70"/>
      <c r="K144" s="71"/>
      <c r="L144" s="69">
        <f t="shared" ref="L144:AA144" si="84">SUM(L142*L143)</f>
        <v>92701.07758538505</v>
      </c>
      <c r="M144" s="72"/>
      <c r="N144" s="69">
        <f t="shared" si="84"/>
        <v>96666.592999999993</v>
      </c>
      <c r="O144" s="70"/>
      <c r="P144" s="70">
        <f t="shared" si="84"/>
        <v>103095.598</v>
      </c>
      <c r="Q144" s="73"/>
      <c r="R144" s="70">
        <f t="shared" ref="R144" si="85">SUM(R142*R143)</f>
        <v>115955.848</v>
      </c>
      <c r="S144" s="73"/>
      <c r="T144" s="70">
        <f t="shared" si="84"/>
        <v>134525.429</v>
      </c>
      <c r="U144" s="73"/>
      <c r="V144" s="70">
        <f>SUM(V142*V143)</f>
        <v>135759.47508358964</v>
      </c>
      <c r="W144" s="73"/>
      <c r="X144" s="461">
        <f t="shared" si="84"/>
        <v>158535.83352718421</v>
      </c>
      <c r="Y144" s="73"/>
      <c r="Z144" s="313">
        <f t="shared" si="84"/>
        <v>170514.81270418421</v>
      </c>
      <c r="AA144" s="313">
        <f t="shared" si="84"/>
        <v>182111.82318330422</v>
      </c>
      <c r="AB144" s="313">
        <f>SUM(AB142*AB143)</f>
        <v>194326.0856258242</v>
      </c>
      <c r="AC144" s="313">
        <f>SUM(AC142*AC143)</f>
        <v>205573.9915820242</v>
      </c>
    </row>
    <row r="145" spans="1:30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459">
        <f>SUM((V145-T145)/T145)</f>
        <v>-7.0861224244611554E-2</v>
      </c>
      <c r="V145" s="456">
        <f>1655.63895/V144</f>
        <v>1.2195384145236214E-2</v>
      </c>
      <c r="W145" s="305">
        <f>$W$30</f>
        <v>1.4999999999999999E-2</v>
      </c>
      <c r="X145" s="318">
        <f>SUM(V145*(1+W145))</f>
        <v>1.2378314907414756E-2</v>
      </c>
      <c r="Y145" s="305">
        <f>$Y$30</f>
        <v>0.02</v>
      </c>
      <c r="Z145" s="318">
        <f>SUM(X145*(1+Y145))</f>
        <v>1.2625881205563051E-2</v>
      </c>
      <c r="AA145" s="318">
        <f>SUM(Z145*(1+Y145))</f>
        <v>1.2878398829674313E-2</v>
      </c>
      <c r="AB145" s="318">
        <f>SUM(AA145*(1+Y145))</f>
        <v>1.31359668062678E-2</v>
      </c>
      <c r="AC145" s="318">
        <f>SUM(AB145*(1+$Y$145))</f>
        <v>1.3398686142393156E-2</v>
      </c>
    </row>
    <row r="146" spans="1:30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468"/>
      <c r="W146" s="101"/>
      <c r="X146" s="317"/>
      <c r="Y146" s="101"/>
      <c r="Z146" s="317"/>
      <c r="AA146" s="317"/>
      <c r="AB146" s="317"/>
      <c r="AC146" s="317"/>
    </row>
    <row r="147" spans="1:30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86">SUM(G144*G145)</f>
        <v>1112.580366038414</v>
      </c>
      <c r="I147" s="178">
        <f t="shared" si="86"/>
        <v>1255.1733400000001</v>
      </c>
      <c r="J147" s="179"/>
      <c r="K147" s="180"/>
      <c r="L147" s="178">
        <f t="shared" ref="L147:P147" si="87">SUM(L144*L145)</f>
        <v>1336.7211187574665</v>
      </c>
      <c r="M147" s="181"/>
      <c r="N147" s="178">
        <f t="shared" si="87"/>
        <v>1396.8021189769413</v>
      </c>
      <c r="O147" s="181"/>
      <c r="P147" s="179">
        <f t="shared" si="87"/>
        <v>1470.0476900000001</v>
      </c>
      <c r="Q147" s="180"/>
      <c r="R147" s="179">
        <f t="shared" ref="R147" si="88">SUM(R144*R145)</f>
        <v>1640.8960900000002</v>
      </c>
      <c r="S147" s="180"/>
      <c r="T147" s="179">
        <f>SUM(T144*T145)</f>
        <v>1765.7096300000001</v>
      </c>
      <c r="U147" s="373"/>
      <c r="V147" s="509">
        <f>SUM(V144*V145)</f>
        <v>1655.63895</v>
      </c>
      <c r="W147" s="373"/>
      <c r="X147" s="338">
        <f>SUM(X144*X145)</f>
        <v>1962.4064715089683</v>
      </c>
      <c r="Y147" s="373"/>
      <c r="Z147" s="338">
        <f>SUM(Z144*Z145)</f>
        <v>2152.8997689918633</v>
      </c>
      <c r="AA147" s="338">
        <f>SUM(AA144*AA145)</f>
        <v>2345.3086905537207</v>
      </c>
      <c r="AB147" s="338">
        <f>SUM(AB144*AB145)</f>
        <v>2552.6610103727808</v>
      </c>
      <c r="AC147" s="338">
        <f>SUM(AC144*AC145)</f>
        <v>2754.4213922465151</v>
      </c>
      <c r="AD147" s="472" t="s">
        <v>207</v>
      </c>
    </row>
    <row r="148" spans="1:30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  <c r="AC148" s="144"/>
    </row>
    <row r="149" spans="1:30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187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">
        <v>178</v>
      </c>
      <c r="AC149" s="301" t="s">
        <v>179</v>
      </c>
    </row>
    <row r="150" spans="1:30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65"/>
      <c r="W150" s="64"/>
      <c r="X150" s="321"/>
      <c r="Y150" s="64"/>
      <c r="Z150" s="321"/>
      <c r="AA150" s="321"/>
      <c r="AB150" s="321"/>
      <c r="AC150" s="321"/>
    </row>
    <row r="151" spans="1:30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65"/>
      <c r="W151" s="64"/>
      <c r="X151" s="321"/>
      <c r="Y151" s="64"/>
      <c r="Z151" s="321"/>
      <c r="AA151" s="321"/>
      <c r="AB151" s="321"/>
      <c r="AC151" s="321"/>
    </row>
    <row r="152" spans="1:30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70">
        <v>324700</v>
      </c>
      <c r="W152" s="73"/>
      <c r="X152" s="461">
        <v>358400</v>
      </c>
      <c r="Y152" s="73"/>
      <c r="Z152" s="313">
        <f>SUM(X152:X154)</f>
        <v>358400</v>
      </c>
      <c r="AA152" s="313">
        <f t="shared" ref="AA152" si="89">SUM(Z152:Z154)</f>
        <v>380977</v>
      </c>
      <c r="AB152" s="313">
        <f>SUM(AA152:AA154)</f>
        <v>400696</v>
      </c>
      <c r="AC152" s="313">
        <f>SUM(AB152:AB154)</f>
        <v>422361</v>
      </c>
    </row>
    <row r="153" spans="1:30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70">
        <v>0</v>
      </c>
      <c r="W153" s="73"/>
      <c r="X153" s="461">
        <v>0</v>
      </c>
      <c r="Y153" s="73"/>
      <c r="Z153" s="154">
        <v>22577</v>
      </c>
      <c r="AA153" s="154">
        <v>19719</v>
      </c>
      <c r="AB153" s="154">
        <v>21665</v>
      </c>
      <c r="AC153" s="154">
        <v>20227</v>
      </c>
    </row>
    <row r="154" spans="1:30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70">
        <v>0</v>
      </c>
      <c r="W154" s="73"/>
      <c r="X154" s="461">
        <v>0</v>
      </c>
      <c r="Y154" s="73"/>
      <c r="Z154" s="154">
        <f>X154</f>
        <v>0</v>
      </c>
      <c r="AA154" s="154">
        <f>Z154</f>
        <v>0</v>
      </c>
      <c r="AB154" s="154">
        <f>AA154</f>
        <v>0</v>
      </c>
      <c r="AC154" s="154">
        <f>AB154</f>
        <v>0</v>
      </c>
    </row>
    <row r="155" spans="1:30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87">
        <v>1</v>
      </c>
      <c r="W155" s="73"/>
      <c r="X155" s="463">
        <v>1</v>
      </c>
      <c r="Y155" s="73"/>
      <c r="Z155" s="314">
        <v>1</v>
      </c>
      <c r="AA155" s="314">
        <v>1</v>
      </c>
      <c r="AB155" s="314">
        <v>1</v>
      </c>
      <c r="AC155" s="314">
        <v>1</v>
      </c>
    </row>
    <row r="156" spans="1:30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91">
        <v>1</v>
      </c>
      <c r="W156" s="84"/>
      <c r="X156" s="464">
        <v>1</v>
      </c>
      <c r="Y156" s="84"/>
      <c r="Z156" s="315">
        <v>1</v>
      </c>
      <c r="AA156" s="315">
        <v>1</v>
      </c>
      <c r="AB156" s="315">
        <v>1</v>
      </c>
      <c r="AC156" s="315">
        <v>1</v>
      </c>
    </row>
    <row r="157" spans="1:30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0">SUM((G152+G153+G154)*G155*G156)</f>
        <v>160600</v>
      </c>
      <c r="I157" s="99">
        <f t="shared" si="90"/>
        <v>168937</v>
      </c>
      <c r="J157" s="100"/>
      <c r="K157" s="101"/>
      <c r="L157" s="99">
        <f t="shared" ref="L157:AA157" si="91">SUM((L152+L153+L154)*L155*L156)</f>
        <v>184700</v>
      </c>
      <c r="M157" s="102"/>
      <c r="N157" s="99">
        <f t="shared" si="91"/>
        <v>209500</v>
      </c>
      <c r="O157" s="100"/>
      <c r="P157" s="100">
        <f t="shared" ref="P157" si="92">SUM((P152+P153+P154)*P155*P156)</f>
        <v>243796.47</v>
      </c>
      <c r="Q157" s="177"/>
      <c r="R157" s="100">
        <f t="shared" ref="R157" si="93">SUM((R152+R153+R154)*R155*R156)</f>
        <v>282611.34999999998</v>
      </c>
      <c r="S157" s="177"/>
      <c r="T157" s="100">
        <f t="shared" si="91"/>
        <v>340600</v>
      </c>
      <c r="U157" s="177"/>
      <c r="V157" s="100">
        <f>SUM((V152+V153+V154)*V155*V156)</f>
        <v>324700</v>
      </c>
      <c r="W157" s="177"/>
      <c r="X157" s="468">
        <f>SUM((X152+X153+X154)*X155*X156)</f>
        <v>358400</v>
      </c>
      <c r="Y157" s="177"/>
      <c r="Z157" s="317">
        <f t="shared" si="91"/>
        <v>380977</v>
      </c>
      <c r="AA157" s="317">
        <f t="shared" si="91"/>
        <v>400696</v>
      </c>
      <c r="AB157" s="317">
        <f>SUM((AB152+AB153+AB154)*AB155*AB156)</f>
        <v>422361</v>
      </c>
      <c r="AC157" s="317">
        <f>SUM((AC152+AC153+AC154)*AC155*AC156)</f>
        <v>442588</v>
      </c>
    </row>
    <row r="158" spans="1:30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70"/>
      <c r="W158" s="73"/>
      <c r="X158" s="461"/>
      <c r="Y158" s="73"/>
      <c r="Z158" s="313"/>
      <c r="AA158" s="313"/>
      <c r="AB158" s="313"/>
      <c r="AC158" s="313"/>
    </row>
    <row r="159" spans="1:30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245">
        <v>1</v>
      </c>
      <c r="W159" s="73"/>
      <c r="X159" s="506">
        <v>1</v>
      </c>
      <c r="Y159" s="73"/>
      <c r="Z159" s="339">
        <v>1</v>
      </c>
      <c r="AA159" s="339">
        <v>1</v>
      </c>
      <c r="AB159" s="339">
        <v>1</v>
      </c>
      <c r="AC159" s="339">
        <v>1</v>
      </c>
    </row>
    <row r="160" spans="1:30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94">SUM(G157*G159)</f>
        <v>160600</v>
      </c>
      <c r="I160" s="69">
        <f t="shared" si="94"/>
        <v>168937</v>
      </c>
      <c r="J160" s="70"/>
      <c r="K160" s="71"/>
      <c r="L160" s="69">
        <f t="shared" ref="L160:AA160" si="95">SUM(L157*L159)</f>
        <v>184700</v>
      </c>
      <c r="M160" s="72"/>
      <c r="N160" s="69">
        <f t="shared" si="95"/>
        <v>209500</v>
      </c>
      <c r="O160" s="70"/>
      <c r="P160" s="70">
        <f t="shared" ref="P160" si="96">SUM(P157*P159)</f>
        <v>243796.47</v>
      </c>
      <c r="Q160" s="73"/>
      <c r="R160" s="70">
        <f t="shared" ref="R160" si="97">SUM(R157*R159)</f>
        <v>282611.34999999998</v>
      </c>
      <c r="S160" s="73"/>
      <c r="T160" s="70">
        <f t="shared" si="95"/>
        <v>340600</v>
      </c>
      <c r="U160" s="73"/>
      <c r="V160" s="70">
        <f t="shared" si="95"/>
        <v>324700</v>
      </c>
      <c r="W160" s="73"/>
      <c r="X160" s="461">
        <f>SUM(X157*X159)</f>
        <v>358400</v>
      </c>
      <c r="Y160" s="73"/>
      <c r="Z160" s="313">
        <f t="shared" si="95"/>
        <v>380977</v>
      </c>
      <c r="AA160" s="313">
        <f t="shared" si="95"/>
        <v>400696</v>
      </c>
      <c r="AB160" s="313">
        <f>SUM(AB157*AB159)</f>
        <v>422361</v>
      </c>
      <c r="AC160" s="313">
        <f>SUM(AC157*AC159)</f>
        <v>442588</v>
      </c>
    </row>
    <row r="161" spans="1:31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247">
        <v>1</v>
      </c>
      <c r="W161" s="84"/>
      <c r="X161" s="507">
        <v>1</v>
      </c>
      <c r="Y161" s="84"/>
      <c r="Z161" s="340">
        <v>1</v>
      </c>
      <c r="AA161" s="340">
        <v>1</v>
      </c>
      <c r="AB161" s="340">
        <v>1</v>
      </c>
      <c r="AC161" s="340">
        <v>1</v>
      </c>
    </row>
    <row r="162" spans="1:31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98">SUM(G160*G161)</f>
        <v>160600</v>
      </c>
      <c r="I162" s="69">
        <f t="shared" si="98"/>
        <v>168937</v>
      </c>
      <c r="J162" s="70"/>
      <c r="K162" s="71"/>
      <c r="L162" s="69">
        <f t="shared" ref="L162:AA162" si="99">SUM(L160*L161)</f>
        <v>184700</v>
      </c>
      <c r="M162" s="72"/>
      <c r="N162" s="69">
        <f t="shared" si="99"/>
        <v>209500</v>
      </c>
      <c r="O162" s="70"/>
      <c r="P162" s="70">
        <f t="shared" ref="P162" si="100">SUM(P160*P161)</f>
        <v>243796.47</v>
      </c>
      <c r="Q162" s="73"/>
      <c r="R162" s="70">
        <f t="shared" ref="R162" si="101">SUM(R160*R161)</f>
        <v>282611.34999999998</v>
      </c>
      <c r="S162" s="73"/>
      <c r="T162" s="70">
        <f t="shared" si="99"/>
        <v>340600</v>
      </c>
      <c r="U162" s="73"/>
      <c r="V162" s="70">
        <f>SUM(V160*V161)</f>
        <v>324700</v>
      </c>
      <c r="W162" s="73"/>
      <c r="X162" s="461">
        <f t="shared" si="99"/>
        <v>358400</v>
      </c>
      <c r="Y162" s="73"/>
      <c r="Z162" s="313">
        <f t="shared" si="99"/>
        <v>380977</v>
      </c>
      <c r="AA162" s="313">
        <f t="shared" si="99"/>
        <v>400696</v>
      </c>
      <c r="AB162" s="313">
        <f>SUM(AB160*AB161)</f>
        <v>422361</v>
      </c>
      <c r="AC162" s="313">
        <f>SUM(AC160*AC161)</f>
        <v>442588</v>
      </c>
    </row>
    <row r="163" spans="1:31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232">
        <f>SUM((V163-T163)/T163)</f>
        <v>4.6000133984343871E-3</v>
      </c>
      <c r="V163" s="293">
        <f>4225.44043/V162</f>
        <v>1.3013367508469355E-2</v>
      </c>
      <c r="W163" s="305">
        <f>$W$30</f>
        <v>1.4999999999999999E-2</v>
      </c>
      <c r="X163" s="318">
        <f>SUM(V163*(1+W163))</f>
        <v>1.3208568021096394E-2</v>
      </c>
      <c r="Y163" s="305">
        <f>$Y$30</f>
        <v>0.02</v>
      </c>
      <c r="Z163" s="318">
        <f>SUM(X163*(1+Y163))</f>
        <v>1.3472739381518323E-2</v>
      </c>
      <c r="AA163" s="318">
        <f>SUM(Z163*(1+Y163))</f>
        <v>1.3742194169148689E-2</v>
      </c>
      <c r="AB163" s="318">
        <f>SUM(AA163*(1+Y163))</f>
        <v>1.4017038052531664E-2</v>
      </c>
      <c r="AC163" s="318">
        <f>SUM(AB163*(1+$Y$163))</f>
        <v>1.4297378813582296E-2</v>
      </c>
    </row>
    <row r="164" spans="1:31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139"/>
      <c r="W164" s="73"/>
      <c r="X164" s="319"/>
      <c r="Y164" s="73"/>
      <c r="Z164" s="319"/>
      <c r="AA164" s="319"/>
      <c r="AB164" s="319"/>
      <c r="AC164" s="319"/>
    </row>
    <row r="165" spans="1:31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2">SUM(G162*G163)</f>
        <v>2030.6547399999999</v>
      </c>
      <c r="I165" s="112">
        <f t="shared" si="102"/>
        <v>2137.1771711399883</v>
      </c>
      <c r="J165" s="141"/>
      <c r="K165" s="114"/>
      <c r="L165" s="248">
        <f t="shared" ref="L165:Z165" si="103">SUM(L162*L163)</f>
        <v>2378.8604999999998</v>
      </c>
      <c r="M165" s="113"/>
      <c r="N165" s="112">
        <f t="shared" si="103"/>
        <v>2651</v>
      </c>
      <c r="O165" s="141"/>
      <c r="P165" s="141">
        <f t="shared" si="103"/>
        <v>3184.1441200000004</v>
      </c>
      <c r="Q165" s="249"/>
      <c r="R165" s="141">
        <f t="shared" ref="R165" si="104">SUM(R162*R163)</f>
        <v>3678.2691199999999</v>
      </c>
      <c r="S165" s="273"/>
      <c r="T165" s="141">
        <f>SUM(T162*T163)</f>
        <v>4412.0574500000002</v>
      </c>
      <c r="U165" s="355"/>
      <c r="V165" s="141">
        <f>SUM(V162*V163)</f>
        <v>4225.4404299999997</v>
      </c>
      <c r="W165" s="355"/>
      <c r="X165" s="320">
        <f>SUM(X162*X163)</f>
        <v>4733.9507787609473</v>
      </c>
      <c r="Y165" s="355"/>
      <c r="Z165" s="320">
        <f t="shared" si="103"/>
        <v>5132.8038313527059</v>
      </c>
      <c r="AA165" s="320">
        <f>SUM(AA162*AA163)</f>
        <v>5506.4422348012031</v>
      </c>
      <c r="AB165" s="320">
        <f>SUM(AB162*AB163)</f>
        <v>5920.250208905326</v>
      </c>
      <c r="AC165" s="320">
        <f>SUM(AC162*AC163)</f>
        <v>6327.8482943457611</v>
      </c>
      <c r="AD165" s="472" t="s">
        <v>219</v>
      </c>
    </row>
    <row r="166" spans="1:31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  <c r="AC166" s="144"/>
    </row>
    <row r="167" spans="1:31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  <c r="AC167" s="257"/>
    </row>
    <row r="168" spans="1:31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  <c r="AC168" s="257"/>
    </row>
    <row r="169" spans="1:31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  <c r="AC169" s="257"/>
    </row>
    <row r="170" spans="1:31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  <c r="AC170" s="265"/>
    </row>
    <row r="171" spans="1:31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  <c r="AC171" s="341" t="s">
        <v>103</v>
      </c>
    </row>
    <row r="172" spans="1:31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  <c r="AC172" s="301">
        <f>AB172+1</f>
        <v>2024</v>
      </c>
    </row>
    <row r="173" spans="1:31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C173" s="321"/>
      <c r="AE173" s="11"/>
    </row>
    <row r="174" spans="1:31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14133.776330000001</v>
      </c>
      <c r="W174" s="355"/>
      <c r="X174" s="342">
        <f>SUM(X32)</f>
        <v>14053.645011972199</v>
      </c>
      <c r="Y174" s="355"/>
      <c r="Z174" s="342">
        <f>SUM(Z32)</f>
        <v>14569.035117258458</v>
      </c>
      <c r="AA174" s="342">
        <f>SUM(AA32)</f>
        <v>15978.870275258629</v>
      </c>
      <c r="AB174" s="342">
        <f>SUM(AB32)</f>
        <v>17250.399477981708</v>
      </c>
      <c r="AC174" s="342">
        <f>SUM(AC32)</f>
        <v>18921.481671449554</v>
      </c>
      <c r="AE174" s="145"/>
    </row>
    <row r="175" spans="1:31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270"/>
      <c r="W175" s="271"/>
      <c r="X175" s="342"/>
      <c r="Y175" s="271"/>
      <c r="Z175" s="342"/>
      <c r="AA175" s="342"/>
      <c r="AB175" s="342"/>
      <c r="AC175" s="342"/>
      <c r="AE175" s="144"/>
    </row>
    <row r="176" spans="1:31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270">
        <f>SUM(V53)</f>
        <v>5979.1903499999999</v>
      </c>
      <c r="W176" s="273"/>
      <c r="X176" s="342">
        <f>SUM(X53)</f>
        <v>6898.0322651011047</v>
      </c>
      <c r="Y176" s="273"/>
      <c r="Z176" s="368">
        <f>SUM(Z53)</f>
        <v>7476.2970640951798</v>
      </c>
      <c r="AA176" s="368">
        <f>SUM(AA53)</f>
        <v>8108.8105420815618</v>
      </c>
      <c r="AB176" s="368">
        <f>SUM(AB53)</f>
        <v>8682.07265031936</v>
      </c>
      <c r="AC176" s="368">
        <f>SUM(AC53)</f>
        <v>9428.3590688803761</v>
      </c>
      <c r="AE176" s="145"/>
    </row>
    <row r="177" spans="1:31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270">
        <f>SUM(V75)</f>
        <v>11537.7201</v>
      </c>
      <c r="W177" s="273"/>
      <c r="X177" s="342">
        <f>SUM(X75)</f>
        <v>11703.932587568341</v>
      </c>
      <c r="Y177" s="273"/>
      <c r="Z177" s="342">
        <f>SUM(Z75)</f>
        <v>12532.104094065997</v>
      </c>
      <c r="AA177" s="342">
        <f>SUM(AA75)</f>
        <v>13407.104332687033</v>
      </c>
      <c r="AB177" s="342">
        <f>SUM(AB75)</f>
        <v>14243.208367609559</v>
      </c>
      <c r="AC177" s="342">
        <f>SUM(AC75)</f>
        <v>15239.413746248749</v>
      </c>
      <c r="AE177" s="145"/>
    </row>
    <row r="178" spans="1:31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422">
        <f>SUM(V95)</f>
        <v>12.636430000000001</v>
      </c>
      <c r="W178" s="273"/>
      <c r="X178" s="343">
        <f>SUM(X95)</f>
        <v>12.825976449999997</v>
      </c>
      <c r="Y178" s="273"/>
      <c r="Z178" s="343">
        <f>SUM(Z95)</f>
        <v>13.082495978999999</v>
      </c>
      <c r="AA178" s="343">
        <f>SUM(AA95)</f>
        <v>13.344145898580001</v>
      </c>
      <c r="AB178" s="343">
        <f>SUM(AB95)</f>
        <v>13.611028816551599</v>
      </c>
      <c r="AC178" s="343">
        <f>SUM(AC95)</f>
        <v>13.883249392882632</v>
      </c>
      <c r="AE178" s="145"/>
    </row>
    <row r="179" spans="1:31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175"/>
      <c r="T179" s="179">
        <f>SUM(T111)</f>
        <v>3479.2761100000002</v>
      </c>
      <c r="U179" s="273"/>
      <c r="V179" s="181">
        <f>SUM(V111)</f>
        <v>3280.9031100000002</v>
      </c>
      <c r="W179" s="273"/>
      <c r="X179" s="338">
        <f>SUM(X111)</f>
        <v>3540.5580755583851</v>
      </c>
      <c r="Y179" s="273"/>
      <c r="Z179" s="338">
        <f>SUM(Z111)</f>
        <v>3611.3692370695526</v>
      </c>
      <c r="AA179" s="338">
        <f>SUM(AA111)</f>
        <v>3683.5966218109438</v>
      </c>
      <c r="AB179" s="338">
        <f>SUM(AB111)</f>
        <v>3757.2685542471622</v>
      </c>
      <c r="AC179" s="338">
        <f>SUM(AC111)</f>
        <v>3832.4139253321055</v>
      </c>
      <c r="AE179" s="145"/>
    </row>
    <row r="180" spans="1:31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175"/>
      <c r="T180" s="272"/>
      <c r="U180" s="271"/>
      <c r="V180" s="342"/>
      <c r="W180" s="271"/>
      <c r="X180" s="342"/>
      <c r="Y180" s="271"/>
      <c r="Z180" s="342"/>
      <c r="AA180" s="342"/>
      <c r="AB180" s="342"/>
      <c r="AC180" s="342"/>
      <c r="AE180" s="144"/>
    </row>
    <row r="181" spans="1:31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05">SUM(G174:G179)</f>
        <v>22467.722571320119</v>
      </c>
      <c r="H181" s="3"/>
      <c r="I181" s="178">
        <f t="shared" si="105"/>
        <v>25222.541358363891</v>
      </c>
      <c r="J181" s="181"/>
      <c r="K181" s="180"/>
      <c r="L181" s="178">
        <f t="shared" ref="L181:AA181" si="106">SUM(L174:L179)</f>
        <v>27721.837982187997</v>
      </c>
      <c r="M181" s="181"/>
      <c r="N181" s="178">
        <f t="shared" ref="N181" si="107">SUM(N174:N179)</f>
        <v>29497.728188102526</v>
      </c>
      <c r="O181" s="280"/>
      <c r="P181" s="179">
        <f t="shared" si="106"/>
        <v>30629.426470680279</v>
      </c>
      <c r="Q181" s="281"/>
      <c r="R181" s="179">
        <f>SUM(R174:R179)</f>
        <v>33603.611274662006</v>
      </c>
      <c r="S181" s="175"/>
      <c r="T181" s="179">
        <f>SUM(T174:T179)</f>
        <v>33724.400079999999</v>
      </c>
      <c r="U181" s="273"/>
      <c r="V181" s="338">
        <f t="shared" si="106"/>
        <v>34944.226320000002</v>
      </c>
      <c r="W181" s="273"/>
      <c r="X181" s="338">
        <f t="shared" si="106"/>
        <v>36208.993916650026</v>
      </c>
      <c r="Y181" s="273"/>
      <c r="Z181" s="338">
        <f t="shared" si="106"/>
        <v>38201.88800846818</v>
      </c>
      <c r="AA181" s="338">
        <f t="shared" si="106"/>
        <v>41191.725917736752</v>
      </c>
      <c r="AB181" s="338">
        <f>SUM(AB174:AB179)</f>
        <v>43946.560078974333</v>
      </c>
      <c r="AC181" s="338">
        <f>SUM(AC174:AC179)</f>
        <v>47435.551661303667</v>
      </c>
      <c r="AE181" s="144"/>
    </row>
    <row r="182" spans="1:31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175"/>
      <c r="T182" s="272"/>
      <c r="U182" s="271"/>
      <c r="V182" s="342"/>
      <c r="W182" s="271"/>
      <c r="X182" s="342"/>
      <c r="Y182" s="271"/>
      <c r="Z182" s="342"/>
      <c r="AA182" s="342"/>
      <c r="AB182" s="342"/>
      <c r="AC182" s="342"/>
      <c r="AE182" s="144"/>
    </row>
    <row r="183" spans="1:31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175"/>
      <c r="T183" s="272"/>
      <c r="U183" s="271"/>
      <c r="V183" s="342"/>
      <c r="W183" s="271"/>
      <c r="X183" s="342"/>
      <c r="Y183" s="271"/>
      <c r="Z183" s="342"/>
      <c r="AA183" s="342"/>
      <c r="AB183" s="342"/>
      <c r="AC183" s="342"/>
      <c r="AE183" s="144"/>
    </row>
    <row r="184" spans="1:31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175"/>
      <c r="T184" s="276">
        <f>SUM(T130)</f>
        <v>3358.2858700000002</v>
      </c>
      <c r="U184" s="273"/>
      <c r="V184" s="342">
        <f>SUM(V130)</f>
        <v>3563.96029</v>
      </c>
      <c r="W184" s="355"/>
      <c r="X184" s="342">
        <f>SUM(X130)</f>
        <v>4096.8414941846258</v>
      </c>
      <c r="Y184" s="355"/>
      <c r="Z184" s="342">
        <f>SUM(Z130)</f>
        <v>4520.6089819571316</v>
      </c>
      <c r="AA184" s="342">
        <f>SUM(AA130)</f>
        <v>4951.4408521681462</v>
      </c>
      <c r="AB184" s="342">
        <f>SUM(AB130)</f>
        <v>5416.1790007420122</v>
      </c>
      <c r="AC184" s="342">
        <f>SUM(AC130)</f>
        <v>5868.0135763222479</v>
      </c>
      <c r="AE184" s="145"/>
    </row>
    <row r="185" spans="1:31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175"/>
      <c r="T185" s="276">
        <f>SUM(T147)</f>
        <v>1765.7096300000001</v>
      </c>
      <c r="U185" s="273"/>
      <c r="V185" s="270">
        <f>SUM(V147)</f>
        <v>1655.63895</v>
      </c>
      <c r="W185" s="273"/>
      <c r="X185" s="342">
        <f>SUM(X147)</f>
        <v>1962.4064715089683</v>
      </c>
      <c r="Y185" s="273"/>
      <c r="Z185" s="342">
        <f>SUM(Z147)</f>
        <v>2152.8997689918633</v>
      </c>
      <c r="AA185" s="342">
        <f>SUM(AA147)</f>
        <v>2345.3086905537207</v>
      </c>
      <c r="AB185" s="342">
        <f>SUM(AB147)</f>
        <v>2552.6610103727808</v>
      </c>
      <c r="AC185" s="342">
        <f>SUM(AC147)</f>
        <v>2754.4213922465151</v>
      </c>
      <c r="AE185" s="145"/>
    </row>
    <row r="186" spans="1:31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270">
        <f>SUM(V165)</f>
        <v>4225.4404299999997</v>
      </c>
      <c r="W186" s="273"/>
      <c r="X186" s="342">
        <f>SUM(X165)</f>
        <v>4733.9507787609473</v>
      </c>
      <c r="Y186" s="273"/>
      <c r="Z186" s="342">
        <f>SUM(Z165)</f>
        <v>5132.8038313527059</v>
      </c>
      <c r="AA186" s="342">
        <f>SUM(AA165)</f>
        <v>5506.4422348012031</v>
      </c>
      <c r="AB186" s="342">
        <f>SUM(AB165)</f>
        <v>5920.250208905326</v>
      </c>
      <c r="AC186" s="342">
        <f>SUM(AC165)</f>
        <v>6327.8482943457611</v>
      </c>
      <c r="AE186" s="145"/>
    </row>
    <row r="187" spans="1:31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75"/>
      <c r="T187" s="179">
        <v>0</v>
      </c>
      <c r="U187" s="273"/>
      <c r="V187" s="181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C187" s="338">
        <v>0</v>
      </c>
      <c r="AE187" s="144"/>
    </row>
    <row r="188" spans="1:31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175"/>
      <c r="T188" s="272"/>
      <c r="U188" s="271"/>
      <c r="V188" s="342"/>
      <c r="W188" s="271"/>
      <c r="X188" s="342"/>
      <c r="Y188" s="271"/>
      <c r="Z188" s="342"/>
      <c r="AA188" s="342"/>
      <c r="AB188" s="342"/>
      <c r="AC188" s="342"/>
      <c r="AE188" s="27"/>
    </row>
    <row r="189" spans="1:31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08">SUM(G184:G186)</f>
        <v>5381.658967623669</v>
      </c>
      <c r="H189" s="3"/>
      <c r="I189" s="178">
        <f t="shared" si="108"/>
        <v>5836.652431139988</v>
      </c>
      <c r="J189" s="181"/>
      <c r="K189" s="180"/>
      <c r="L189" s="178">
        <f t="shared" ref="L189:AC189" si="109">SUM(L184:L186)</f>
        <v>6656.9436187574665</v>
      </c>
      <c r="M189" s="181"/>
      <c r="N189" s="178">
        <f t="shared" ref="N189" si="110">SUM(N184:N186)</f>
        <v>6826.5169189769413</v>
      </c>
      <c r="O189" s="181"/>
      <c r="P189" s="179">
        <f t="shared" si="109"/>
        <v>7377.2878482527303</v>
      </c>
      <c r="Q189" s="180"/>
      <c r="R189" s="179">
        <f>SUM(R184:R186)</f>
        <v>8337.9596247768241</v>
      </c>
      <c r="S189" s="175"/>
      <c r="T189" s="179">
        <f>SUM(T184:T186)</f>
        <v>9536.0529500000011</v>
      </c>
      <c r="U189" s="273"/>
      <c r="V189" s="338">
        <f>SUM(V184:V186)</f>
        <v>9445.0396699999983</v>
      </c>
      <c r="W189" s="273"/>
      <c r="X189" s="338">
        <f t="shared" si="109"/>
        <v>10793.198744454541</v>
      </c>
      <c r="Y189" s="273"/>
      <c r="Z189" s="338">
        <f t="shared" si="109"/>
        <v>11806.3125823017</v>
      </c>
      <c r="AA189" s="338">
        <f t="shared" si="109"/>
        <v>12803.19177752307</v>
      </c>
      <c r="AB189" s="338">
        <f t="shared" si="109"/>
        <v>13889.09022002012</v>
      </c>
      <c r="AC189" s="338">
        <f t="shared" si="109"/>
        <v>14950.283262914523</v>
      </c>
    </row>
    <row r="190" spans="1:31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175"/>
      <c r="T190" s="270"/>
      <c r="U190" s="271"/>
      <c r="V190" s="368"/>
      <c r="W190" s="271"/>
      <c r="X190" s="342"/>
      <c r="Y190" s="271"/>
      <c r="Z190" s="342"/>
      <c r="AA190" s="342"/>
      <c r="AB190" s="342"/>
      <c r="AC190" s="342"/>
    </row>
    <row r="191" spans="1:31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75"/>
      <c r="T191" s="141">
        <f>SUM(T181+T189)</f>
        <v>43260.453030000004</v>
      </c>
      <c r="U191" s="355"/>
      <c r="V191" s="320">
        <f>SUM(V181+V189)</f>
        <v>44389.26599</v>
      </c>
      <c r="W191" s="355"/>
      <c r="X191" s="320">
        <f>SUM(X181+X189)</f>
        <v>47002.192661104564</v>
      </c>
      <c r="Y191" s="355"/>
      <c r="Z191" s="320">
        <f>SUM(Z181+Z189)</f>
        <v>50008.200590769877</v>
      </c>
      <c r="AA191" s="320">
        <f>SUM(AA181+AA189)</f>
        <v>53994.917695259821</v>
      </c>
      <c r="AB191" s="320">
        <f>SUM(AB181+AB189)</f>
        <v>57835.650298994457</v>
      </c>
      <c r="AC191" s="320">
        <f>SUM(AC181+AC189)</f>
        <v>62385.834924218187</v>
      </c>
    </row>
    <row r="192" spans="1:31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175"/>
      <c r="T192" s="285"/>
      <c r="U192" s="286"/>
      <c r="V192" s="285"/>
      <c r="W192" s="286"/>
      <c r="X192" s="285"/>
      <c r="Y192" s="286"/>
      <c r="Z192" s="285"/>
      <c r="AA192" s="285"/>
      <c r="AB192" s="285"/>
      <c r="AC192" s="285"/>
    </row>
    <row r="193" spans="1:29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175"/>
      <c r="T193" s="289">
        <f>SUM(T191-R191)</f>
        <v>1318.8821305611782</v>
      </c>
      <c r="U193" s="175"/>
      <c r="V193" s="289">
        <f>SUM(V191-T191)</f>
        <v>1128.8129599999957</v>
      </c>
      <c r="W193" s="175"/>
      <c r="X193" s="289">
        <f>SUM(X191-V191)</f>
        <v>2612.9266711045639</v>
      </c>
      <c r="Y193" s="175"/>
      <c r="Z193" s="289">
        <f>SUM(Z191-X191)</f>
        <v>3006.007929665313</v>
      </c>
      <c r="AA193" s="289">
        <f>SUM(AA191-Z191)</f>
        <v>3986.7171044899442</v>
      </c>
      <c r="AB193" s="289">
        <f>SUM(AB191-AA191)</f>
        <v>3840.7326037346356</v>
      </c>
      <c r="AC193" s="289">
        <f>SUM(AC191-AB191)</f>
        <v>4550.1846252237301</v>
      </c>
    </row>
    <row r="194" spans="1:29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S194" s="12"/>
      <c r="U194" s="12"/>
      <c r="W194" s="12"/>
      <c r="Y194" s="12"/>
    </row>
    <row r="195" spans="1:29" x14ac:dyDescent="0.3">
      <c r="L195" s="10">
        <f>(L191-I191)/I191</f>
        <v>0.10687939403512148</v>
      </c>
      <c r="N195" s="10">
        <f>(N191-L191)/L191</f>
        <v>5.6589076620461323E-2</v>
      </c>
      <c r="P195" s="10">
        <f>(P191-N191)/N191</f>
        <v>4.631807782636152E-2</v>
      </c>
      <c r="R195" s="10">
        <f>(R191-P191)/P191</f>
        <v>0.10353056429678457</v>
      </c>
      <c r="T195" s="10">
        <f>(T191-R191)/R191</f>
        <v>3.1445701776964791E-2</v>
      </c>
      <c r="U195" s="10"/>
      <c r="V195" s="10">
        <f>(V191-T191)/T191</f>
        <v>2.6093415138699384E-2</v>
      </c>
      <c r="W195" s="10"/>
      <c r="X195" s="10">
        <f>(X191-V191)/V191</f>
        <v>5.8863930565853539E-2</v>
      </c>
      <c r="Y195" s="10"/>
      <c r="Z195" s="10">
        <f>(Z191-X191)/X191</f>
        <v>6.3954631890032143E-2</v>
      </c>
      <c r="AA195" s="10">
        <f>(AA191-Z191)/Z191</f>
        <v>7.9721266860095369E-2</v>
      </c>
      <c r="AB195" s="10">
        <f>(AB191-AA191)/AA191</f>
        <v>7.1131372500856896E-2</v>
      </c>
      <c r="AC195" s="10">
        <f>(AC191-AB191)/AB191</f>
        <v>7.8674392035025506E-2</v>
      </c>
    </row>
    <row r="232" spans="20:22" x14ac:dyDescent="0.3">
      <c r="T232" s="354"/>
      <c r="V232" s="354"/>
    </row>
    <row r="233" spans="20:22" x14ac:dyDescent="0.3">
      <c r="T233" s="354"/>
      <c r="V233" s="354"/>
    </row>
    <row r="234" spans="20:22" x14ac:dyDescent="0.3">
      <c r="T234" s="354"/>
      <c r="V234" s="354"/>
    </row>
    <row r="236" spans="20:22" x14ac:dyDescent="0.3">
      <c r="T236" s="357"/>
      <c r="V236" s="357"/>
    </row>
  </sheetData>
  <pageMargins left="0.7" right="0.7" top="0.75" bottom="0.75" header="0.3" footer="0.3"/>
  <pageSetup paperSize="5" scale="60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36"/>
  <sheetViews>
    <sheetView zoomScale="85" zoomScaleNormal="85" workbookViewId="0">
      <pane xSplit="1" ySplit="9" topLeftCell="V10" activePane="bottomRight" state="frozen"/>
      <selection pane="topRight" activeCell="B1" sqref="B1"/>
      <selection pane="bottomLeft" activeCell="A10" sqref="A10"/>
      <selection pane="bottomRight" activeCell="X30" sqref="X30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8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customWidth="1" collapsed="1"/>
    <col min="19" max="19" width="7.6640625" style="2" customWidth="1"/>
    <col min="20" max="20" width="18.6640625" style="12" customWidth="1"/>
    <col min="21" max="21" width="7.6640625" style="2" customWidth="1"/>
    <col min="22" max="22" width="18.6640625" style="12" customWidth="1"/>
    <col min="23" max="23" width="7.6640625" style="2" customWidth="1"/>
    <col min="24" max="24" width="18.6640625" style="12" customWidth="1"/>
    <col min="25" max="25" width="7.6640625" style="2" customWidth="1"/>
    <col min="26" max="29" width="18.6640625" style="12" customWidth="1"/>
    <col min="30" max="31" width="9.109375" style="12"/>
    <col min="32" max="33" width="10.5546875" style="12" bestFit="1" customWidth="1"/>
    <col min="34" max="16384" width="9.109375" style="12"/>
  </cols>
  <sheetData>
    <row r="1" spans="1:32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C1" s="298" t="s">
        <v>0</v>
      </c>
      <c r="AE1" s="300"/>
      <c r="AF1" s="12" t="s">
        <v>103</v>
      </c>
    </row>
    <row r="2" spans="1:32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/>
      <c r="W2" s="4"/>
      <c r="X2" s="299"/>
      <c r="Y2" s="4"/>
      <c r="Z2" s="299"/>
      <c r="AA2" s="299"/>
      <c r="AB2" s="299"/>
      <c r="AC2" s="299"/>
    </row>
    <row r="3" spans="1:32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201</v>
      </c>
      <c r="W3" s="36"/>
      <c r="X3" s="264" t="s">
        <v>195</v>
      </c>
      <c r="Y3" s="36"/>
      <c r="Z3" s="264" t="s">
        <v>195</v>
      </c>
      <c r="AA3" s="264" t="s">
        <v>195</v>
      </c>
      <c r="AB3" s="264" t="s">
        <v>195</v>
      </c>
      <c r="AC3" s="264" t="s">
        <v>195</v>
      </c>
    </row>
    <row r="4" spans="1:32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  <c r="AC4" s="16" t="s">
        <v>3</v>
      </c>
    </row>
    <row r="5" spans="1:32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9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C7" si="0">Z5+1</f>
        <v>2021</v>
      </c>
      <c r="AB5" s="307">
        <f t="shared" si="0"/>
        <v>2022</v>
      </c>
      <c r="AC5" s="307">
        <f t="shared" si="0"/>
        <v>2023</v>
      </c>
    </row>
    <row r="6" spans="1:32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42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  <c r="AC6" s="308">
        <f t="shared" si="0"/>
        <v>2024</v>
      </c>
    </row>
    <row r="7" spans="1:32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46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  <c r="AC7" s="309">
        <f t="shared" si="0"/>
        <v>2024</v>
      </c>
    </row>
    <row r="8" spans="1:32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5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  <c r="AC8" s="310" t="s">
        <v>176</v>
      </c>
    </row>
    <row r="9" spans="1:32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54"/>
      <c r="W9" s="55"/>
      <c r="X9" s="311"/>
      <c r="Y9" s="55"/>
      <c r="Z9" s="311"/>
      <c r="AA9" s="311"/>
      <c r="AB9" s="311"/>
      <c r="AC9" s="311"/>
    </row>
    <row r="10" spans="1:32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120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  <c r="AC10" s="301" t="s">
        <v>177</v>
      </c>
    </row>
    <row r="11" spans="1:32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42"/>
      <c r="W11" s="43"/>
      <c r="X11" s="308"/>
      <c r="Y11" s="43"/>
      <c r="Z11" s="308"/>
      <c r="AA11" s="308"/>
      <c r="AB11" s="308"/>
      <c r="AC11" s="308"/>
    </row>
    <row r="12" spans="1:32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68"/>
      <c r="W12" s="47"/>
      <c r="X12" s="312"/>
      <c r="Y12" s="47"/>
      <c r="Z12" s="312"/>
      <c r="AA12" s="312"/>
      <c r="AB12" s="312"/>
      <c r="AC12" s="312"/>
    </row>
    <row r="13" spans="1:32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70">
        <v>2400000</v>
      </c>
      <c r="W13" s="73"/>
      <c r="X13" s="313">
        <v>2200000</v>
      </c>
      <c r="Y13" s="73"/>
      <c r="Z13" s="313">
        <f>SUM(X13:X19)</f>
        <v>2200000</v>
      </c>
      <c r="AA13" s="313">
        <f>SUM(Z13:Z19)</f>
        <v>2365553</v>
      </c>
      <c r="AB13" s="313">
        <f>SUM(AA13:AA19)</f>
        <v>2543594</v>
      </c>
      <c r="AC13" s="313">
        <f>SUM(AB13:AB19)</f>
        <v>2692159</v>
      </c>
    </row>
    <row r="14" spans="1:32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153"/>
      <c r="W14" s="73"/>
      <c r="X14" s="313"/>
      <c r="Y14" s="73"/>
      <c r="Z14" s="313"/>
      <c r="AA14" s="313"/>
      <c r="AB14" s="313"/>
      <c r="AC14" s="313"/>
    </row>
    <row r="15" spans="1:32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153"/>
      <c r="W15" s="73"/>
      <c r="X15" s="313"/>
      <c r="Y15" s="73"/>
      <c r="Z15" s="154">
        <v>303587</v>
      </c>
      <c r="AA15" s="154">
        <v>310788</v>
      </c>
      <c r="AB15" s="154">
        <v>280335</v>
      </c>
      <c r="AC15" s="154">
        <v>329161</v>
      </c>
    </row>
    <row r="16" spans="1:32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153"/>
      <c r="W16" s="73"/>
      <c r="X16" s="313"/>
      <c r="Y16" s="73"/>
      <c r="Z16" s="154">
        <v>-18675</v>
      </c>
      <c r="AA16" s="154">
        <v>-13145</v>
      </c>
      <c r="AB16" s="154">
        <v>-12168</v>
      </c>
      <c r="AC16" s="154">
        <v>-5895</v>
      </c>
    </row>
    <row r="17" spans="1:34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153"/>
      <c r="W17" s="73"/>
      <c r="X17" s="313"/>
      <c r="Y17" s="73"/>
      <c r="Z17" s="154"/>
      <c r="AA17" s="154"/>
      <c r="AB17" s="154"/>
      <c r="AC17" s="154"/>
    </row>
    <row r="18" spans="1:34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153"/>
      <c r="W18" s="73"/>
      <c r="X18" s="313"/>
      <c r="Y18" s="73"/>
      <c r="Z18" s="154">
        <v>-6747</v>
      </c>
      <c r="AA18" s="154">
        <v>-6990</v>
      </c>
      <c r="AB18" s="154">
        <v>-6990</v>
      </c>
      <c r="AC18" s="154">
        <v>-7760</v>
      </c>
    </row>
    <row r="19" spans="1:34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155"/>
      <c r="W19" s="84"/>
      <c r="X19" s="323"/>
      <c r="Y19" s="84"/>
      <c r="Z19" s="398">
        <f>-112612</f>
        <v>-112612</v>
      </c>
      <c r="AA19" s="398">
        <f t="shared" ref="AA19:AC19" si="1">Z19</f>
        <v>-112612</v>
      </c>
      <c r="AB19" s="398">
        <f t="shared" si="1"/>
        <v>-112612</v>
      </c>
      <c r="AC19" s="398">
        <f t="shared" si="1"/>
        <v>-112612</v>
      </c>
    </row>
    <row r="20" spans="1:34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87">
        <v>0.96493331984800101</v>
      </c>
      <c r="W20" s="73"/>
      <c r="X20" s="314">
        <v>0.9601430262821341</v>
      </c>
      <c r="Y20" s="73"/>
      <c r="Z20" s="314">
        <f>SUM(X20)</f>
        <v>0.9601430262821341</v>
      </c>
      <c r="AA20" s="314">
        <f t="shared" ref="AA20:AA21" si="2">SUM(Z20)</f>
        <v>0.9601430262821341</v>
      </c>
      <c r="AB20" s="314">
        <f>SUM(AA20)</f>
        <v>0.9601430262821341</v>
      </c>
      <c r="AC20" s="314">
        <f>SUM(AB20)</f>
        <v>0.9601430262821341</v>
      </c>
    </row>
    <row r="21" spans="1:34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91">
        <v>0.56470299999999995</v>
      </c>
      <c r="W21" s="84"/>
      <c r="X21" s="315">
        <v>0.57349399999999995</v>
      </c>
      <c r="Y21" s="84"/>
      <c r="Z21" s="315">
        <f>SUM(X21)</f>
        <v>0.57349399999999995</v>
      </c>
      <c r="AA21" s="315">
        <f t="shared" si="2"/>
        <v>0.57349399999999995</v>
      </c>
      <c r="AB21" s="315">
        <f>SUM(AA21)</f>
        <v>0.57349399999999995</v>
      </c>
      <c r="AC21" s="315">
        <f>SUM(AB21)</f>
        <v>0.57349399999999995</v>
      </c>
    </row>
    <row r="22" spans="1:34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3">SUM(G13:G19)*G20*G21</f>
        <v>749495.24554680008</v>
      </c>
      <c r="I22" s="69">
        <f t="shared" si="3"/>
        <v>822232.32062400004</v>
      </c>
      <c r="J22" s="70"/>
      <c r="K22" s="71"/>
      <c r="L22" s="69">
        <f t="shared" ref="L22:N22" si="4">SUM(L13:L19)*L20*L21</f>
        <v>962461.34900000005</v>
      </c>
      <c r="M22" s="72"/>
      <c r="N22" s="69">
        <f t="shared" si="4"/>
        <v>1154211.1569999997</v>
      </c>
      <c r="O22" s="70"/>
      <c r="P22" s="70">
        <f t="shared" ref="P22" si="5">SUM(P13:P19)*P20*P21</f>
        <v>1162234.5759999999</v>
      </c>
      <c r="Q22" s="73"/>
      <c r="R22" s="70">
        <f>SUM(R13:R19)*R20*R21</f>
        <v>1207497.787</v>
      </c>
      <c r="S22" s="73"/>
      <c r="T22" s="70">
        <f>SUM(T13:T19)*T20*T21</f>
        <v>1238307.8730000001</v>
      </c>
      <c r="U22" s="73"/>
      <c r="V22" s="70">
        <f>SUM(V13:V19)*V20*V21</f>
        <v>1307761.7772435015</v>
      </c>
      <c r="W22" s="73"/>
      <c r="X22" s="313">
        <f>SUM(X13:X19)*X20*X21</f>
        <v>1211399.7823722216</v>
      </c>
      <c r="Y22" s="73"/>
      <c r="Z22" s="313">
        <f>SUM(Z13:Z19)*Z20*Z21</f>
        <v>1302559.2679045252</v>
      </c>
      <c r="AA22" s="313">
        <f>SUM(AA13:AA19)*AA20*AA21</f>
        <v>1400595.0991105856</v>
      </c>
      <c r="AB22" s="313">
        <f>SUM(AB13:AB19)*AB20*AB21</f>
        <v>1482400.3757779172</v>
      </c>
      <c r="AC22" s="313">
        <f>SUM(AC13:AC19)*AC20*AC21</f>
        <v>1594121.1700709306</v>
      </c>
    </row>
    <row r="23" spans="1:34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70">
        <v>489.39157803826998</v>
      </c>
      <c r="W23" s="73"/>
      <c r="X23" s="313">
        <v>629</v>
      </c>
      <c r="Y23" s="73"/>
      <c r="Z23" s="313"/>
      <c r="AA23" s="313"/>
      <c r="AB23" s="313"/>
      <c r="AC23" s="313"/>
    </row>
    <row r="24" spans="1:34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6">SUM(I22)</f>
        <v>822232.32062400004</v>
      </c>
      <c r="J24" s="70"/>
      <c r="K24" s="71"/>
      <c r="L24" s="69">
        <f t="shared" ref="L24" si="7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70">
        <f>SUM(V22:V23)</f>
        <v>1308251.1688215397</v>
      </c>
      <c r="W24" s="73"/>
      <c r="X24" s="313">
        <f>SUM(X22:X23)</f>
        <v>1212028.7823722216</v>
      </c>
      <c r="Y24" s="73"/>
      <c r="Z24" s="313">
        <f t="shared" ref="Z24:AA24" si="8">SUM(Z22)</f>
        <v>1302559.2679045252</v>
      </c>
      <c r="AA24" s="313">
        <f t="shared" si="8"/>
        <v>1400595.0991105856</v>
      </c>
      <c r="AB24" s="313">
        <f>SUM(AB22)</f>
        <v>1482400.3757779172</v>
      </c>
      <c r="AC24" s="313">
        <f>SUM(AC22)</f>
        <v>1594121.1700709306</v>
      </c>
    </row>
    <row r="25" spans="1:34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453">
        <v>1064023.335</v>
      </c>
      <c r="Q25" s="73"/>
      <c r="R25" s="70">
        <v>1117051.1471780001</v>
      </c>
      <c r="S25" s="73"/>
      <c r="T25" s="70">
        <v>1153650.0430000001</v>
      </c>
      <c r="U25" s="73"/>
      <c r="V25" s="483">
        <f>1234752.192-3489.148</f>
        <v>1231263.044</v>
      </c>
      <c r="W25" s="73"/>
      <c r="X25" s="313"/>
      <c r="Y25" s="73"/>
      <c r="Z25" s="313"/>
      <c r="AA25" s="313"/>
      <c r="AB25" s="313"/>
      <c r="AC25" s="313"/>
    </row>
    <row r="26" spans="1:34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484">
        <f>V25/V24</f>
        <v>0.94115187766972153</v>
      </c>
      <c r="W26" s="81"/>
      <c r="X26" s="316">
        <f>SUM(V26)</f>
        <v>0.94115187766972153</v>
      </c>
      <c r="Y26" s="81"/>
      <c r="Z26" s="316">
        <f>SUM(X26)</f>
        <v>0.94115187766972153</v>
      </c>
      <c r="AA26" s="316">
        <f t="shared" ref="AA26" si="9">SUM(Z26)</f>
        <v>0.94115187766972153</v>
      </c>
      <c r="AB26" s="316">
        <f>SUM(AA26)</f>
        <v>0.94115187766972153</v>
      </c>
      <c r="AC26" s="316">
        <f>SUM(AB26)</f>
        <v>0.94115187766972153</v>
      </c>
    </row>
    <row r="27" spans="1:34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0">SUM(G24*G26)</f>
        <v>681556.79615745938</v>
      </c>
      <c r="I27" s="69">
        <f t="shared" si="10"/>
        <v>765508.78650503687</v>
      </c>
      <c r="J27" s="70"/>
      <c r="K27" s="71"/>
      <c r="L27" s="69">
        <f t="shared" ref="L27:AA27" si="11">SUM(L24*L26)</f>
        <v>898630</v>
      </c>
      <c r="M27" s="72"/>
      <c r="N27" s="69">
        <f t="shared" si="11"/>
        <v>1070854.5930000001</v>
      </c>
      <c r="O27" s="72"/>
      <c r="P27" s="70">
        <f>SUM(P24*P26)</f>
        <v>1064023.335</v>
      </c>
      <c r="R27" s="70">
        <f>SUM(R24*R26)</f>
        <v>1117051.1471780001</v>
      </c>
      <c r="T27" s="70">
        <f>SUM(T24*T26)</f>
        <v>1153650.0430000001</v>
      </c>
      <c r="U27" s="71"/>
      <c r="V27" s="483">
        <f>SUM(V24*V26)</f>
        <v>1231263.044</v>
      </c>
      <c r="W27" s="71"/>
      <c r="X27" s="313">
        <f>SUM(X24*X26)</f>
        <v>1140703.1643193627</v>
      </c>
      <c r="Y27" s="71"/>
      <c r="Z27" s="313">
        <f t="shared" si="11"/>
        <v>1225906.1007644418</v>
      </c>
      <c r="AA27" s="313">
        <f t="shared" si="11"/>
        <v>1318172.7073829374</v>
      </c>
      <c r="AB27" s="313">
        <f>SUM(AB24*AB26)</f>
        <v>1395163.8971216877</v>
      </c>
      <c r="AC27" s="313">
        <f>SUM(AC24*AC26)</f>
        <v>1500310.1324453098</v>
      </c>
    </row>
    <row r="28" spans="1:34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483">
        <v>0</v>
      </c>
      <c r="W28" s="71"/>
      <c r="X28" s="477">
        <f>763/X30</f>
        <v>65486.401419318441</v>
      </c>
      <c r="Y28" s="71"/>
      <c r="Z28" s="313">
        <v>0</v>
      </c>
      <c r="AA28" s="313">
        <v>0</v>
      </c>
      <c r="AB28" s="313">
        <v>0</v>
      </c>
      <c r="AC28" s="313">
        <v>0</v>
      </c>
    </row>
    <row r="29" spans="1:34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2">SUM(G27:G28)</f>
        <v>681556.79615745938</v>
      </c>
      <c r="I29" s="99">
        <f t="shared" si="12"/>
        <v>765508.78650503687</v>
      </c>
      <c r="J29" s="100"/>
      <c r="K29" s="101"/>
      <c r="L29" s="99">
        <f t="shared" ref="L29:AA29" si="13">SUM(L27:L28)</f>
        <v>898630</v>
      </c>
      <c r="M29" s="102"/>
      <c r="N29" s="99">
        <f t="shared" si="13"/>
        <v>1070854.5930000001</v>
      </c>
      <c r="O29" s="102"/>
      <c r="P29" s="100">
        <f t="shared" si="13"/>
        <v>1064023.335</v>
      </c>
      <c r="Q29" s="101"/>
      <c r="R29" s="100">
        <f>SUM(R27:R28)</f>
        <v>1117051.1471780001</v>
      </c>
      <c r="S29" s="101"/>
      <c r="T29" s="100">
        <f>SUM(T27:T28)</f>
        <v>1153650.0430000001</v>
      </c>
      <c r="U29" s="101"/>
      <c r="V29" s="485">
        <f>SUM(V27:V28)</f>
        <v>1231263.044</v>
      </c>
      <c r="W29" s="101"/>
      <c r="X29" s="317">
        <f>SUM(X27:X28)</f>
        <v>1206189.5657386812</v>
      </c>
      <c r="Y29" s="101"/>
      <c r="Z29" s="317">
        <f t="shared" si="13"/>
        <v>1225906.1007644418</v>
      </c>
      <c r="AA29" s="317">
        <f t="shared" si="13"/>
        <v>1318172.7073829374</v>
      </c>
      <c r="AB29" s="317">
        <f>SUM(AB27:AB28)</f>
        <v>1395163.8971216877</v>
      </c>
      <c r="AC29" s="317">
        <f>SUM(AC27:AC28)</f>
        <v>1500310.1324453098</v>
      </c>
      <c r="AF29" s="480"/>
    </row>
    <row r="30" spans="1:34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459">
        <f>SUM((V30-T30)/T30)</f>
        <v>2.9527532068075697E-2</v>
      </c>
      <c r="V30" s="456">
        <f>14133776.33/1231263044</f>
        <v>1.1479087591294587E-2</v>
      </c>
      <c r="W30" s="305">
        <v>1.4999999999999999E-2</v>
      </c>
      <c r="X30" s="318">
        <f>SUM(V30*(1+W30))</f>
        <v>1.1651273905164005E-2</v>
      </c>
      <c r="Y30" s="305">
        <v>0.02</v>
      </c>
      <c r="Z30" s="318">
        <f>SUM(X30*(1+Y30))</f>
        <v>1.1884299383267285E-2</v>
      </c>
      <c r="AA30" s="318">
        <f>SUM(Z30*(1+Y30))</f>
        <v>1.2121985370932632E-2</v>
      </c>
      <c r="AB30" s="318">
        <f>SUM(AA30*(1+Y30))</f>
        <v>1.2364425078351286E-2</v>
      </c>
      <c r="AC30" s="318">
        <f>SUM(AB30*(1+$Y$30))</f>
        <v>1.2611713579918311E-2</v>
      </c>
    </row>
    <row r="31" spans="1:34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457"/>
      <c r="W31" s="71"/>
      <c r="X31" s="319"/>
      <c r="Y31" s="71"/>
      <c r="Z31" s="319"/>
      <c r="AA31" s="319"/>
      <c r="AB31" s="319"/>
      <c r="AC31" s="319"/>
    </row>
    <row r="32" spans="1:34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4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P32" si="15">SUM(N29*N30)</f>
        <v>12999.765589175515</v>
      </c>
      <c r="O32" s="113"/>
      <c r="P32" s="141">
        <f t="shared" si="15"/>
        <v>12677.752</v>
      </c>
      <c r="Q32" s="114"/>
      <c r="R32" s="141">
        <f>SUM(R29*R30)</f>
        <v>14080.649957033333</v>
      </c>
      <c r="S32" s="114"/>
      <c r="T32" s="141">
        <f>SUM(T29*T30)</f>
        <v>12863.036179999999</v>
      </c>
      <c r="U32" s="114"/>
      <c r="V32" s="458">
        <f>SUM(V29*V30)</f>
        <v>14133.776330000001</v>
      </c>
      <c r="W32" s="370"/>
      <c r="X32" s="320">
        <f>SUM(X29*X30)</f>
        <v>14053.645011972199</v>
      </c>
      <c r="Y32" s="440"/>
      <c r="Z32" s="392">
        <f>SUM(Z29*Z30)</f>
        <v>14569.035117258458</v>
      </c>
      <c r="AA32" s="392">
        <f>SUM(AA29*AA30)</f>
        <v>15978.870275258629</v>
      </c>
      <c r="AB32" s="392">
        <f>SUM(AB29*AB30)</f>
        <v>17250.399477981708</v>
      </c>
      <c r="AC32" s="392">
        <f>SUM(AC29*AC30)</f>
        <v>18921.481671449554</v>
      </c>
      <c r="AF32" s="478"/>
      <c r="AG32" s="479"/>
      <c r="AH32" s="479"/>
    </row>
    <row r="33" spans="1:33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489"/>
      <c r="W33" s="117"/>
      <c r="X33" s="116"/>
      <c r="Y33" s="117"/>
      <c r="Z33" s="116"/>
      <c r="AA33" s="116"/>
      <c r="AB33" s="116"/>
      <c r="AC33" s="116"/>
      <c r="AG33" s="479"/>
    </row>
    <row r="34" spans="1:33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120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  <c r="AC34" s="301" t="str">
        <f>$AC$10</f>
        <v>2024 Estimate</v>
      </c>
    </row>
    <row r="35" spans="1:33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65"/>
      <c r="W35" s="64"/>
      <c r="X35" s="321"/>
      <c r="Y35" s="64"/>
      <c r="Z35" s="321"/>
      <c r="AA35" s="321"/>
      <c r="AB35" s="321"/>
      <c r="AC35" s="321"/>
    </row>
    <row r="36" spans="1:33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65"/>
      <c r="W36" s="64"/>
      <c r="X36" s="321"/>
      <c r="Y36" s="64"/>
      <c r="Z36" s="321"/>
      <c r="AA36" s="321"/>
      <c r="AB36" s="321"/>
      <c r="AC36" s="321"/>
    </row>
    <row r="37" spans="1:33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70">
        <v>2481598.6882600002</v>
      </c>
      <c r="W37" s="73"/>
      <c r="X37" s="313">
        <f>SUM(V37:V42)</f>
        <v>2481598.6882600002</v>
      </c>
      <c r="Y37" s="73"/>
      <c r="Z37" s="313">
        <f>SUM(X37:X42)</f>
        <v>2644082.6882600002</v>
      </c>
      <c r="AA37" s="313">
        <f>SUM(Z37:Z42)</f>
        <v>2809635.6882600002</v>
      </c>
      <c r="AB37" s="313">
        <f>SUM(AA37:AA42)</f>
        <v>2987676.6882600002</v>
      </c>
      <c r="AC37" s="313">
        <f>SUM(AB37:AB42)</f>
        <v>3136241.6882600002</v>
      </c>
    </row>
    <row r="38" spans="1:33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124"/>
      <c r="W38" s="73"/>
      <c r="X38" s="322"/>
      <c r="Y38" s="73"/>
      <c r="Z38" s="322"/>
      <c r="AA38" s="322"/>
      <c r="AB38" s="322"/>
      <c r="AC38" s="322"/>
    </row>
    <row r="39" spans="1:33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153"/>
      <c r="W39" s="73"/>
      <c r="X39" s="426">
        <v>308484</v>
      </c>
      <c r="Y39" s="73"/>
      <c r="Z39" s="344">
        <f>SUM(Z15)</f>
        <v>303587</v>
      </c>
      <c r="AA39" s="344">
        <f t="shared" ref="Z39:AA40" si="16">SUM(AA15)</f>
        <v>310788</v>
      </c>
      <c r="AB39" s="344">
        <f>SUM(AB15)</f>
        <v>280335</v>
      </c>
      <c r="AC39" s="344">
        <f>SUM(AC15)</f>
        <v>329161</v>
      </c>
    </row>
    <row r="40" spans="1:33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126"/>
      <c r="W40" s="73"/>
      <c r="X40" s="426">
        <v>-26868</v>
      </c>
      <c r="Y40" s="73"/>
      <c r="Z40" s="344">
        <f t="shared" si="16"/>
        <v>-18675</v>
      </c>
      <c r="AA40" s="344">
        <f t="shared" si="16"/>
        <v>-13145</v>
      </c>
      <c r="AB40" s="344">
        <f>SUM(AB16)</f>
        <v>-12168</v>
      </c>
      <c r="AC40" s="344">
        <f>SUM(AC16)</f>
        <v>-5895</v>
      </c>
    </row>
    <row r="41" spans="1:33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126"/>
      <c r="W41" s="73"/>
      <c r="X41" s="426">
        <v>-6520</v>
      </c>
      <c r="Y41" s="73"/>
      <c r="Z41" s="344">
        <f t="shared" ref="Z41:AA42" si="17">SUM(Z18)</f>
        <v>-6747</v>
      </c>
      <c r="AA41" s="344">
        <f t="shared" si="17"/>
        <v>-6990</v>
      </c>
      <c r="AB41" s="344">
        <f>SUM(AB18)</f>
        <v>-6990</v>
      </c>
      <c r="AC41" s="344">
        <f>SUM(AC18)</f>
        <v>-7760</v>
      </c>
    </row>
    <row r="42" spans="1:33" x14ac:dyDescent="0.3">
      <c r="A42" s="56" t="s">
        <v>36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126"/>
      <c r="W42" s="73"/>
      <c r="X42" s="154">
        <f>-112612</f>
        <v>-112612</v>
      </c>
      <c r="Y42" s="73"/>
      <c r="Z42" s="344">
        <f>SUM(Z19)</f>
        <v>-112612</v>
      </c>
      <c r="AA42" s="344">
        <f t="shared" si="17"/>
        <v>-112612</v>
      </c>
      <c r="AB42" s="344">
        <f>SUM(AB19)</f>
        <v>-112612</v>
      </c>
      <c r="AC42" s="344">
        <f>SUM(AC19)</f>
        <v>-112612</v>
      </c>
    </row>
    <row r="43" spans="1:33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83"/>
      <c r="W43" s="84"/>
      <c r="X43" s="323"/>
      <c r="Y43" s="84"/>
      <c r="Z43" s="323"/>
      <c r="AA43" s="323"/>
      <c r="AB43" s="323"/>
      <c r="AC43" s="323"/>
    </row>
    <row r="44" spans="1:33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87">
        <v>1</v>
      </c>
      <c r="W44" s="73"/>
      <c r="X44" s="314">
        <v>1</v>
      </c>
      <c r="Y44" s="73"/>
      <c r="Z44" s="314">
        <v>1</v>
      </c>
      <c r="AA44" s="314">
        <v>1</v>
      </c>
      <c r="AB44" s="314">
        <v>1</v>
      </c>
      <c r="AC44" s="314">
        <v>1</v>
      </c>
    </row>
    <row r="45" spans="1:33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91">
        <f>619029054/2481598688.26</f>
        <v>0.24944768746393839</v>
      </c>
      <c r="W45" s="84"/>
      <c r="X45" s="315">
        <f>SUM(V45)</f>
        <v>0.24944768746393839</v>
      </c>
      <c r="Y45" s="84"/>
      <c r="Z45" s="315">
        <f>SUM(X45)</f>
        <v>0.24944768746393839</v>
      </c>
      <c r="AA45" s="315">
        <f t="shared" ref="AA45" si="18">SUM(Z45)</f>
        <v>0.24944768746393839</v>
      </c>
      <c r="AB45" s="315">
        <f>SUM(AA45)</f>
        <v>0.24944768746393839</v>
      </c>
      <c r="AC45" s="315">
        <f>SUM(AB45)</f>
        <v>0.24944768746393839</v>
      </c>
    </row>
    <row r="46" spans="1:33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70">
        <f>SUM(V37:V43)*V44*V45</f>
        <v>619029.054</v>
      </c>
      <c r="W46" s="73"/>
      <c r="X46" s="313">
        <f>SUM(X37:X43)*X44*X45</f>
        <v>659560.31204989052</v>
      </c>
      <c r="Y46" s="73"/>
      <c r="Z46" s="313">
        <f>SUM(Z37:Z43)*Z44*Z45</f>
        <v>700857.12505260797</v>
      </c>
      <c r="AA46" s="313">
        <f>SUM(AA37:AA43)*AA44*AA45</f>
        <v>745269.04077637498</v>
      </c>
      <c r="AB46" s="313">
        <f>SUM(AB37:AB43)*AB44*AB45</f>
        <v>782328.23646445503</v>
      </c>
      <c r="AC46" s="313">
        <f>SUM(AC37:AC43)*AC44*AC45</f>
        <v>832939.67556476337</v>
      </c>
    </row>
    <row r="47" spans="1:33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83">
        <f>589749.943-V46</f>
        <v>-29279.111000000034</v>
      </c>
      <c r="W47" s="84"/>
      <c r="X47" s="323">
        <f>SUM(V47)</f>
        <v>-29279.111000000034</v>
      </c>
      <c r="Y47" s="84"/>
      <c r="Z47" s="323">
        <f>SUM(X47)</f>
        <v>-29279.111000000034</v>
      </c>
      <c r="AA47" s="323">
        <f t="shared" ref="AA47" si="19">SUM(Z47)</f>
        <v>-29279.111000000034</v>
      </c>
      <c r="AB47" s="323">
        <f>SUM(AA47)</f>
        <v>-29279.111000000034</v>
      </c>
      <c r="AC47" s="323">
        <f>SUM(AB47)</f>
        <v>-29279.111000000034</v>
      </c>
    </row>
    <row r="48" spans="1:33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0">SUM(L46:L47)</f>
        <v>469394.93499999994</v>
      </c>
      <c r="M48" s="72"/>
      <c r="N48" s="69">
        <f t="shared" si="20"/>
        <v>504910.23699999996</v>
      </c>
      <c r="O48" s="70"/>
      <c r="P48" s="70">
        <f t="shared" si="20"/>
        <v>504754.00099999999</v>
      </c>
      <c r="Q48" s="73"/>
      <c r="R48" s="70">
        <f>SUM(R46:R47)</f>
        <v>549171.69446199993</v>
      </c>
      <c r="S48" s="73"/>
      <c r="T48" s="70">
        <f t="shared" si="20"/>
        <v>573846.04099999997</v>
      </c>
      <c r="U48" s="73"/>
      <c r="V48" s="70">
        <f>SUM(V46:V47)</f>
        <v>589749.94299999997</v>
      </c>
      <c r="W48" s="73"/>
      <c r="X48" s="313">
        <f t="shared" si="20"/>
        <v>630281.20104989049</v>
      </c>
      <c r="Y48" s="73"/>
      <c r="Z48" s="313">
        <f>SUM(Z46:Z47)</f>
        <v>671578.01405260793</v>
      </c>
      <c r="AA48" s="313">
        <f t="shared" si="20"/>
        <v>715989.92977637495</v>
      </c>
      <c r="AB48" s="313">
        <f>SUM(AB46:AB47)</f>
        <v>753049.12546445499</v>
      </c>
      <c r="AC48" s="313">
        <f>SUM(AC46:AC47)</f>
        <v>803660.56456476334</v>
      </c>
    </row>
    <row r="49" spans="1:29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134">
        <v>1</v>
      </c>
      <c r="W49" s="84"/>
      <c r="X49" s="324">
        <v>1</v>
      </c>
      <c r="Y49" s="84"/>
      <c r="Z49" s="324">
        <v>1</v>
      </c>
      <c r="AA49" s="324">
        <v>1</v>
      </c>
      <c r="AB49" s="324">
        <v>1</v>
      </c>
      <c r="AC49" s="324">
        <v>1</v>
      </c>
    </row>
    <row r="50" spans="1:29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1">SUM(G48*G49)</f>
        <v>426852.43202319462</v>
      </c>
      <c r="I50" s="69">
        <f t="shared" si="21"/>
        <v>468663.26434402453</v>
      </c>
      <c r="J50" s="70"/>
      <c r="K50" s="71"/>
      <c r="L50" s="69">
        <f t="shared" ref="L50:AA50" si="22">SUM(L48*L49)</f>
        <v>469394.93499999994</v>
      </c>
      <c r="M50" s="72"/>
      <c r="N50" s="69">
        <f t="shared" si="22"/>
        <v>504910.23699999996</v>
      </c>
      <c r="O50" s="70"/>
      <c r="P50" s="70">
        <f t="shared" si="22"/>
        <v>504754.00099999999</v>
      </c>
      <c r="Q50" s="73"/>
      <c r="R50" s="70">
        <f>SUM(R48*R49)</f>
        <v>549171.69446199993</v>
      </c>
      <c r="S50" s="73"/>
      <c r="T50" s="70">
        <f t="shared" si="22"/>
        <v>573846.04099999997</v>
      </c>
      <c r="U50" s="73"/>
      <c r="V50" s="70">
        <f>SUM(V48*V49)</f>
        <v>589749.94299999997</v>
      </c>
      <c r="W50" s="73"/>
      <c r="X50" s="313">
        <f t="shared" si="22"/>
        <v>630281.20104989049</v>
      </c>
      <c r="Y50" s="73"/>
      <c r="Z50" s="313">
        <f>SUM(Z48*Z49)</f>
        <v>671578.01405260793</v>
      </c>
      <c r="AA50" s="313">
        <f t="shared" si="22"/>
        <v>715989.92977637495</v>
      </c>
      <c r="AB50" s="313">
        <f>SUM(AB48*AB49)</f>
        <v>753049.12546445499</v>
      </c>
      <c r="AC50" s="313">
        <f>SUM(AC48*AC49)</f>
        <v>803660.56456476334</v>
      </c>
    </row>
    <row r="51" spans="1:29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466">
        <f>SUM((V51-T51)/T51)</f>
        <v>-6.1830860907388874E-2</v>
      </c>
      <c r="V51" s="456">
        <f>5979.19035/V50</f>
        <v>1.0138517893845731E-2</v>
      </c>
      <c r="W51" s="305">
        <f>$W$30</f>
        <v>1.4999999999999999E-2</v>
      </c>
      <c r="X51" s="318">
        <f>SUM(V51*(1+W51))</f>
        <v>1.0290595662253417E-2</v>
      </c>
      <c r="Y51" s="305">
        <f>$Y$30</f>
        <v>0.02</v>
      </c>
      <c r="Z51" s="318">
        <f>SUM(X51*(1+Y51))</f>
        <v>1.0496407575498485E-2</v>
      </c>
      <c r="AA51" s="318">
        <f>SUM(Z51*(1+Y51))</f>
        <v>1.0706335727008454E-2</v>
      </c>
      <c r="AB51" s="318">
        <f>SUM(AA51*(1+Y51))</f>
        <v>1.0920462441548623E-2</v>
      </c>
      <c r="AC51" s="318">
        <f>SUM(AB51*(1+$Y$51))</f>
        <v>1.1138871690379595E-2</v>
      </c>
    </row>
    <row r="52" spans="1:29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457"/>
      <c r="W52" s="71"/>
      <c r="X52" s="319"/>
      <c r="Y52" s="71"/>
      <c r="Z52" s="319"/>
      <c r="AA52" s="319"/>
      <c r="AB52" s="319"/>
      <c r="AC52" s="319"/>
    </row>
    <row r="53" spans="1:29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3">SUM(G50*G51)</f>
        <v>4690.254523070862</v>
      </c>
      <c r="I53" s="112">
        <f t="shared" si="23"/>
        <v>5359.0285675337436</v>
      </c>
      <c r="J53" s="141"/>
      <c r="K53" s="114"/>
      <c r="L53" s="112">
        <f t="shared" ref="L53:AA53" si="24">SUM(L50*L51)</f>
        <v>5440.7422465869995</v>
      </c>
      <c r="M53" s="113"/>
      <c r="N53" s="112">
        <f t="shared" si="24"/>
        <v>5717.717903841688</v>
      </c>
      <c r="O53" s="113"/>
      <c r="P53" s="141">
        <f t="shared" si="24"/>
        <v>5675.1669887565686</v>
      </c>
      <c r="Q53" s="114"/>
      <c r="R53" s="141">
        <f>SUM(R50*R51)</f>
        <v>6132.3038800000004</v>
      </c>
      <c r="S53" s="114"/>
      <c r="T53" s="421">
        <f>SUM(T50*T51)</f>
        <v>6201.3853499999996</v>
      </c>
      <c r="U53" s="114"/>
      <c r="V53" s="458">
        <f>SUM(V50*V51)</f>
        <v>5979.1903499999999</v>
      </c>
      <c r="W53" s="370"/>
      <c r="X53" s="392">
        <f>SUM(X50*X51)</f>
        <v>6485.9689935238766</v>
      </c>
      <c r="Y53" s="440"/>
      <c r="Z53" s="392">
        <f t="shared" si="24"/>
        <v>7049.1565542400222</v>
      </c>
      <c r="AA53" s="392">
        <f t="shared" si="24"/>
        <v>7665.6285653430778</v>
      </c>
      <c r="AB53" s="392">
        <f>SUM(AB50*AB51)</f>
        <v>8223.6446912756182</v>
      </c>
      <c r="AC53" s="392">
        <f>SUM(AC50*AC51)</f>
        <v>8951.8719113049247</v>
      </c>
    </row>
    <row r="54" spans="1:29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  <c r="AC54" s="144"/>
    </row>
    <row r="55" spans="1:29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120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  <c r="AC55" s="301" t="str">
        <f>$AC$10</f>
        <v>2024 Estimate</v>
      </c>
    </row>
    <row r="56" spans="1:29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4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  <c r="AC56" s="312" t="s">
        <v>57</v>
      </c>
    </row>
    <row r="57" spans="1:29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149">
        <v>4499000</v>
      </c>
      <c r="W57" s="152"/>
      <c r="X57" s="460">
        <v>4476000</v>
      </c>
      <c r="Y57" s="152"/>
      <c r="Z57" s="325">
        <f>SUM(X57)</f>
        <v>4476000</v>
      </c>
      <c r="AA57" s="325">
        <f>SUM(Z57:Z60)</f>
        <v>4706403</v>
      </c>
      <c r="AB57" s="325">
        <f>SUM(AA57:AA60)</f>
        <v>4947760</v>
      </c>
      <c r="AC57" s="325">
        <f>SUM(AB57:AB60)</f>
        <v>5163011</v>
      </c>
    </row>
    <row r="58" spans="1:29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70">
        <v>4049000</v>
      </c>
      <c r="W58" s="73"/>
      <c r="X58" s="461">
        <v>4029000</v>
      </c>
      <c r="Y58" s="73"/>
      <c r="Z58" s="313"/>
      <c r="AA58" s="313"/>
      <c r="AB58" s="313"/>
      <c r="AC58" s="313"/>
    </row>
    <row r="59" spans="1:29" x14ac:dyDescent="0.3">
      <c r="A59" s="369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70"/>
      <c r="W59" s="73"/>
      <c r="X59" s="461"/>
      <c r="Y59" s="399"/>
      <c r="Z59" s="313">
        <f>SUM(Z15+Z16+Z17+Z18+Z118)</f>
        <v>376904</v>
      </c>
      <c r="AA59" s="313">
        <f>SUM(AA15+AA16+AA17+AA18+AA118)</f>
        <v>387858</v>
      </c>
      <c r="AB59" s="313">
        <f>SUM(AB15+AB16+AB17+AB18+AB118)</f>
        <v>361752</v>
      </c>
      <c r="AC59" s="313">
        <f>SUM(AC15+AC16+AC17+AC18+AC118)</f>
        <v>410805</v>
      </c>
    </row>
    <row r="60" spans="1:29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70"/>
      <c r="W60" s="73"/>
      <c r="X60" s="461"/>
      <c r="Y60" s="73"/>
      <c r="Z60" s="313">
        <f>SUM(Z19+Z119)</f>
        <v>-146501</v>
      </c>
      <c r="AA60" s="313">
        <f>SUM(AA19+AA119)</f>
        <v>-146501</v>
      </c>
      <c r="AB60" s="313">
        <f>SUM(AB19+AB119)</f>
        <v>-146501</v>
      </c>
      <c r="AC60" s="313">
        <f>SUM(AC19+AC119)</f>
        <v>-146501</v>
      </c>
    </row>
    <row r="61" spans="1:29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83"/>
      <c r="U61" s="84"/>
      <c r="V61" s="83"/>
      <c r="W61" s="84"/>
      <c r="X61" s="462"/>
      <c r="Y61" s="84"/>
      <c r="Z61" s="323">
        <f>SUM(Z57:Z60)*0.1*-1</f>
        <v>-470640.30000000005</v>
      </c>
      <c r="AA61" s="323">
        <f>SUM(AA57:AA60)*0.1*-1</f>
        <v>-494776</v>
      </c>
      <c r="AB61" s="323">
        <f>SUM(AB57:AB60)*0.1*-1</f>
        <v>-516301.10000000003</v>
      </c>
      <c r="AC61" s="323">
        <f>SUM(AC57:AC60)*0.1*-1</f>
        <v>-542731.5</v>
      </c>
    </row>
    <row r="62" spans="1:29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70">
        <f>SUM(V58:V61)</f>
        <v>4049000</v>
      </c>
      <c r="W62" s="73"/>
      <c r="X62" s="461">
        <f>SUM(X58:X61)</f>
        <v>4029000</v>
      </c>
      <c r="Y62" s="73"/>
      <c r="Z62" s="313">
        <f>SUM(Z57:Z61)</f>
        <v>4235762.7</v>
      </c>
      <c r="AA62" s="313">
        <f>SUM(AA57:AA61)</f>
        <v>4452984</v>
      </c>
      <c r="AB62" s="313">
        <f>SUM(AB57:AB61)</f>
        <v>4646709.9000000004</v>
      </c>
      <c r="AC62" s="313">
        <f>SUM(AC57:AC61)</f>
        <v>4884583.5</v>
      </c>
    </row>
    <row r="63" spans="1:29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87">
        <v>1</v>
      </c>
      <c r="W63" s="73"/>
      <c r="X63" s="463">
        <v>1</v>
      </c>
      <c r="Y63" s="73"/>
      <c r="Z63" s="314">
        <v>1</v>
      </c>
      <c r="AA63" s="314">
        <v>1</v>
      </c>
      <c r="AB63" s="314">
        <v>1</v>
      </c>
      <c r="AC63" s="314">
        <v>1</v>
      </c>
    </row>
    <row r="64" spans="1:29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91">
        <f>489758686/4049000000</f>
        <v>0.12095793677451222</v>
      </c>
      <c r="W64" s="84"/>
      <c r="X64" s="464">
        <v>0.118931</v>
      </c>
      <c r="Y64" s="84"/>
      <c r="Z64" s="315">
        <f t="shared" ref="Z64" si="25">SUM(X64)</f>
        <v>0.118931</v>
      </c>
      <c r="AA64" s="315">
        <f>SUM(Z64)</f>
        <v>0.118931</v>
      </c>
      <c r="AB64" s="315">
        <f>SUM(AA64)</f>
        <v>0.118931</v>
      </c>
      <c r="AC64" s="315">
        <f>SUM(AB64)</f>
        <v>0.118931</v>
      </c>
    </row>
    <row r="65" spans="1:29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26">SUM(G62*G64)</f>
        <v>350240.37700000004</v>
      </c>
      <c r="I65" s="69">
        <f t="shared" si="26"/>
        <v>370904.02</v>
      </c>
      <c r="J65" s="70"/>
      <c r="K65" s="71"/>
      <c r="L65" s="69">
        <f t="shared" ref="L65:Z65" si="27">SUM(L62*L64)</f>
        <v>379502.29200000002</v>
      </c>
      <c r="M65" s="72"/>
      <c r="N65" s="69">
        <f t="shared" si="27"/>
        <v>345023.42800000001</v>
      </c>
      <c r="O65" s="70"/>
      <c r="P65" s="70">
        <f t="shared" si="27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70">
        <f>SUM(V62*V64)</f>
        <v>489758.68599999999</v>
      </c>
      <c r="W65" s="73"/>
      <c r="X65" s="461">
        <f>SUM(X62*X64)</f>
        <v>479172.99899999995</v>
      </c>
      <c r="Y65" s="73"/>
      <c r="Z65" s="313">
        <f t="shared" si="27"/>
        <v>503763.49367370002</v>
      </c>
      <c r="AA65" s="313">
        <f>SUM(AA62*AA64)</f>
        <v>529597.84010399994</v>
      </c>
      <c r="AB65" s="313">
        <f>SUM(AB62*AB64)</f>
        <v>552637.85511690006</v>
      </c>
      <c r="AC65" s="313">
        <f>SUM(AC62*AC64)</f>
        <v>580928.40023849998</v>
      </c>
    </row>
    <row r="66" spans="1:29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70">
        <f>488836.762-V65</f>
        <v>-921.92399999999907</v>
      </c>
      <c r="W66" s="73"/>
      <c r="X66" s="461">
        <v>-1101</v>
      </c>
      <c r="Y66" s="73"/>
      <c r="Z66" s="313">
        <v>0</v>
      </c>
      <c r="AA66" s="313">
        <v>0</v>
      </c>
      <c r="AB66" s="313">
        <v>0</v>
      </c>
      <c r="AC66" s="313">
        <v>0</v>
      </c>
    </row>
    <row r="67" spans="1:29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157">
        <v>1</v>
      </c>
      <c r="W67" s="73"/>
      <c r="X67" s="465">
        <v>1</v>
      </c>
      <c r="Y67" s="73"/>
      <c r="Z67" s="326">
        <v>1</v>
      </c>
      <c r="AA67" s="326">
        <v>1</v>
      </c>
      <c r="AB67" s="326">
        <v>1</v>
      </c>
      <c r="AC67" s="326">
        <v>1</v>
      </c>
    </row>
    <row r="68" spans="1:29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28">SUM(G65:G66)*G67</f>
        <v>349938.54100000003</v>
      </c>
      <c r="I68" s="69">
        <f t="shared" si="28"/>
        <v>370623.68800000002</v>
      </c>
      <c r="J68" s="70"/>
      <c r="K68" s="71"/>
      <c r="L68" s="69">
        <f t="shared" ref="L68:N68" si="29">SUM(L65:L66)*L67</f>
        <v>379213.82400000002</v>
      </c>
      <c r="M68" s="72"/>
      <c r="N68" s="69">
        <f t="shared" si="29"/>
        <v>344746.50900000002</v>
      </c>
      <c r="O68" s="70"/>
      <c r="P68" s="70">
        <f t="shared" ref="P68:Z68" si="30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70">
        <f>SUM(V65:V66)*V67</f>
        <v>488836.76199999999</v>
      </c>
      <c r="W68" s="73"/>
      <c r="X68" s="461">
        <f>SUM(X65:X66)*X67</f>
        <v>478071.99899999995</v>
      </c>
      <c r="Y68" s="73"/>
      <c r="Z68" s="313">
        <f t="shared" si="30"/>
        <v>503763.49367370002</v>
      </c>
      <c r="AA68" s="313">
        <f>SUM(AA65:AA66)*AA67</f>
        <v>529597.84010399994</v>
      </c>
      <c r="AB68" s="313">
        <f>SUM(AB65:AB66)*AB67</f>
        <v>552637.85511690006</v>
      </c>
      <c r="AC68" s="313">
        <f>SUM(AC65:AC66)*AC67</f>
        <v>580928.40023849998</v>
      </c>
    </row>
    <row r="69" spans="1:29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176">
        <f>32120.631/V68</f>
        <v>6.5708296709485206E-2</v>
      </c>
      <c r="W69" s="164"/>
      <c r="X69" s="327">
        <f>SUM(V69)</f>
        <v>6.5708296709485206E-2</v>
      </c>
      <c r="Y69" s="164"/>
      <c r="Z69" s="327">
        <f t="shared" ref="Z69" si="31">SUM(X69)</f>
        <v>6.5708296709485206E-2</v>
      </c>
      <c r="AA69" s="327">
        <f>SUM(Z69)</f>
        <v>6.5708296709485206E-2</v>
      </c>
      <c r="AB69" s="327">
        <f>SUM(AA69)</f>
        <v>6.5708296709485206E-2</v>
      </c>
      <c r="AC69" s="327">
        <f>SUM(AB69)</f>
        <v>6.5708296709485206E-2</v>
      </c>
    </row>
    <row r="70" spans="1:29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2">SUM(G68*G69)</f>
        <v>22904.265934547748</v>
      </c>
      <c r="I70" s="69">
        <f t="shared" si="32"/>
        <v>24673.979228846489</v>
      </c>
      <c r="J70" s="153"/>
      <c r="K70" s="71"/>
      <c r="L70" s="69">
        <f t="shared" ref="L70:X70" si="33">SUM(L68*L69)</f>
        <v>24737.454518899576</v>
      </c>
      <c r="M70" s="72"/>
      <c r="N70" s="69">
        <f t="shared" si="33"/>
        <v>22376.198131038327</v>
      </c>
      <c r="O70" s="165"/>
      <c r="P70" s="131">
        <f t="shared" si="33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70">
        <f>SUM(V68*V69)</f>
        <v>32120.631000000001</v>
      </c>
      <c r="W70" s="166"/>
      <c r="X70" s="313">
        <f t="shared" si="33"/>
        <v>31413.296758788711</v>
      </c>
      <c r="Y70" s="166"/>
      <c r="Z70" s="313">
        <f>SUM(Z68*Z69)</f>
        <v>33101.441113718356</v>
      </c>
      <c r="AA70" s="313">
        <f>SUM(AA68*AA69)</f>
        <v>34798.972014256135</v>
      </c>
      <c r="AB70" s="313">
        <f>SUM(AB68*AB69)</f>
        <v>36312.892156914764</v>
      </c>
      <c r="AC70" s="313">
        <f>SUM(AC68*AC69)</f>
        <v>38171.815689837931</v>
      </c>
    </row>
    <row r="71" spans="1:29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  <c r="AC71" s="313">
        <v>0</v>
      </c>
    </row>
    <row r="72" spans="1:29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4">SUM(G70:G71)</f>
        <v>22904.265934547748</v>
      </c>
      <c r="I72" s="99">
        <f t="shared" si="34"/>
        <v>24673.979228846489</v>
      </c>
      <c r="J72" s="167"/>
      <c r="K72" s="101"/>
      <c r="L72" s="99">
        <f t="shared" ref="L72:Z72" si="35">SUM(L70:L71)</f>
        <v>24737.454518899576</v>
      </c>
      <c r="M72" s="102"/>
      <c r="N72" s="99">
        <f t="shared" si="35"/>
        <v>22376.198131038327</v>
      </c>
      <c r="O72" s="102"/>
      <c r="P72" s="100">
        <f t="shared" si="35"/>
        <v>27999.644464958154</v>
      </c>
      <c r="Q72" s="101"/>
      <c r="R72" s="100">
        <f t="shared" ref="R72" si="36">SUM(R70:R71)</f>
        <v>29277.027320712124</v>
      </c>
      <c r="S72" s="101"/>
      <c r="T72" s="100">
        <f>SUM(T70:T71)</f>
        <v>30670.574000000001</v>
      </c>
      <c r="U72" s="101"/>
      <c r="V72" s="100">
        <f>SUM(V70:V71)</f>
        <v>32120.631000000001</v>
      </c>
      <c r="W72" s="101"/>
      <c r="X72" s="317">
        <f t="shared" si="35"/>
        <v>31413.296758788711</v>
      </c>
      <c r="Y72" s="101"/>
      <c r="Z72" s="317">
        <f t="shared" si="35"/>
        <v>33101.441113718356</v>
      </c>
      <c r="AA72" s="317">
        <f>SUM(AA70:AA71)</f>
        <v>34798.972014256135</v>
      </c>
      <c r="AB72" s="317">
        <f>SUM(AB70:AB71)</f>
        <v>36312.892156914764</v>
      </c>
      <c r="AC72" s="317">
        <f>SUM(AC70:AC71)</f>
        <v>38171.815689837931</v>
      </c>
    </row>
    <row r="73" spans="1:29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294">
        <f>SUM((V73-T73)/T73)</f>
        <v>-1.3491836583370404E-2</v>
      </c>
      <c r="V73" s="293">
        <f>11537.7201/V72</f>
        <v>0.3591996713887719</v>
      </c>
      <c r="W73" s="305">
        <f>$W$30</f>
        <v>1.4999999999999999E-2</v>
      </c>
      <c r="X73" s="318">
        <f>SUM(V73*(1+W73))</f>
        <v>0.36458766645960344</v>
      </c>
      <c r="Y73" s="305">
        <f>$Y$30</f>
        <v>0.02</v>
      </c>
      <c r="Z73" s="318">
        <f>SUM(X73*(1+Y73))</f>
        <v>0.37187941978879552</v>
      </c>
      <c r="AA73" s="318">
        <f>SUM(Z73*(1+Y73))</f>
        <v>0.37931700818457142</v>
      </c>
      <c r="AB73" s="318">
        <f>SUM(AA73*(1+Y73))</f>
        <v>0.38690334834826284</v>
      </c>
      <c r="AC73" s="318">
        <f>SUM(AB73*(1+$Y$73))</f>
        <v>0.39464141531522812</v>
      </c>
    </row>
    <row r="74" spans="1:29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139"/>
      <c r="W74" s="71"/>
      <c r="X74" s="319"/>
      <c r="Y74" s="71"/>
      <c r="Z74" s="319"/>
      <c r="AA74" s="319"/>
      <c r="AB74" s="319"/>
      <c r="AC74" s="319"/>
    </row>
    <row r="75" spans="1:29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37">SUM(G72*G73)</f>
        <v>7219.74299186594</v>
      </c>
      <c r="I75" s="112">
        <f t="shared" si="37"/>
        <v>8163.043288322272</v>
      </c>
      <c r="J75" s="141"/>
      <c r="K75" s="114"/>
      <c r="L75" s="112">
        <f t="shared" ref="L75:N75" si="38">SUM(L72*L73)</f>
        <v>8456.9513856009962</v>
      </c>
      <c r="M75" s="113"/>
      <c r="N75" s="112">
        <f t="shared" si="38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421">
        <f>SUM(T72*T73)</f>
        <v>11167.5306</v>
      </c>
      <c r="U75" s="114"/>
      <c r="V75" s="421">
        <f>SUM(V72*V73)</f>
        <v>11537.7201</v>
      </c>
      <c r="W75" s="370"/>
      <c r="X75" s="392">
        <f>SUM(X72*X73)</f>
        <v>11452.9005610898</v>
      </c>
      <c r="Y75" s="370"/>
      <c r="Z75" s="392">
        <f>SUM(Z72*Z73)</f>
        <v>12309.744715542563</v>
      </c>
      <c r="AA75" s="392">
        <f>SUM(AA72*AA73)</f>
        <v>13199.841952346265</v>
      </c>
      <c r="AB75" s="392">
        <f>SUM(AB72*AB73)</f>
        <v>14049.579563719695</v>
      </c>
      <c r="AC75" s="392">
        <f>SUM(AC72*AC73)</f>
        <v>15064.179368989671</v>
      </c>
    </row>
    <row r="76" spans="1:29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  <c r="AC76" s="171"/>
    </row>
    <row r="77" spans="1:29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120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">
        <v>178</v>
      </c>
      <c r="AC77" s="301" t="s">
        <v>179</v>
      </c>
    </row>
    <row r="78" spans="1:29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65"/>
      <c r="W78" s="175"/>
      <c r="X78" s="321"/>
      <c r="Y78" s="175"/>
      <c r="Z78" s="321"/>
      <c r="AA78" s="321"/>
      <c r="AB78" s="321"/>
      <c r="AC78" s="321"/>
    </row>
    <row r="79" spans="1:29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46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  <c r="AC79" s="308" t="s">
        <v>75</v>
      </c>
    </row>
    <row r="80" spans="1:29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70">
        <v>1377</v>
      </c>
      <c r="W80" s="73"/>
      <c r="X80" s="313">
        <f>SUM(V80)</f>
        <v>1377</v>
      </c>
      <c r="Y80" s="73"/>
      <c r="Z80" s="313">
        <f>SUM(X80)</f>
        <v>1377</v>
      </c>
      <c r="AA80" s="313">
        <f t="shared" ref="AA80" si="39">SUM(Z80)</f>
        <v>1377</v>
      </c>
      <c r="AB80" s="313">
        <f>SUM(AA80)</f>
        <v>1377</v>
      </c>
      <c r="AC80" s="313">
        <f>SUM(AB80)</f>
        <v>1377</v>
      </c>
    </row>
    <row r="81" spans="1:29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70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  <c r="AC81" s="313">
        <v>0</v>
      </c>
    </row>
    <row r="82" spans="1:29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70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  <c r="AC82" s="313">
        <f>SUM(AC74)</f>
        <v>0</v>
      </c>
    </row>
    <row r="83" spans="1:29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87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  <c r="AC83" s="314">
        <v>1</v>
      </c>
    </row>
    <row r="84" spans="1:29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91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  <c r="AC84" s="315">
        <v>1</v>
      </c>
    </row>
    <row r="85" spans="1:29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0">SUM((G80+G81+G82)*G83*G84)</f>
        <v>888.3152139</v>
      </c>
      <c r="I85" s="69">
        <f t="shared" si="40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1">SUM((P80+P81+P82)*P83*P84)</f>
        <v>1137.998</v>
      </c>
      <c r="Q85" s="73"/>
      <c r="R85" s="70">
        <f t="shared" ref="R85" si="42">SUM((R80+R81+R82)*R83*R84)</f>
        <v>1221</v>
      </c>
      <c r="S85" s="73"/>
      <c r="T85" s="70">
        <f t="shared" si="41"/>
        <v>1432</v>
      </c>
      <c r="U85" s="73"/>
      <c r="V85" s="70">
        <f>SUM((V80+V81+V82)*V83*V84)</f>
        <v>1377</v>
      </c>
      <c r="W85" s="73"/>
      <c r="X85" s="313">
        <f t="shared" si="41"/>
        <v>1377</v>
      </c>
      <c r="Y85" s="73"/>
      <c r="Z85" s="313">
        <f t="shared" si="41"/>
        <v>1377</v>
      </c>
      <c r="AA85" s="313">
        <f t="shared" si="41"/>
        <v>1377</v>
      </c>
      <c r="AB85" s="313">
        <f>SUM((AB80+AB81+AB82)*AB83*AB84)</f>
        <v>1377</v>
      </c>
      <c r="AC85" s="313">
        <f>SUM((AC80+AC81+AC82)*AC83*AC84)</f>
        <v>1377</v>
      </c>
    </row>
    <row r="86" spans="1:29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124"/>
      <c r="W86" s="73"/>
      <c r="X86" s="313"/>
      <c r="Y86" s="73"/>
      <c r="Z86" s="313"/>
      <c r="AA86" s="313"/>
      <c r="AB86" s="313"/>
      <c r="AC86" s="313"/>
    </row>
    <row r="87" spans="1:29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157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  <c r="AC87" s="326">
        <v>1</v>
      </c>
    </row>
    <row r="88" spans="1:29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3">SUM(G85:G86)*G87</f>
        <v>888.3152139</v>
      </c>
      <c r="I88" s="69">
        <f t="shared" si="43"/>
        <v>1002.3308361092717</v>
      </c>
      <c r="J88" s="70"/>
      <c r="K88" s="71"/>
      <c r="L88" s="69">
        <v>1190</v>
      </c>
      <c r="M88" s="72"/>
      <c r="N88" s="69">
        <f t="shared" ref="N88" si="44">SUM(N85:N86)*N87</f>
        <v>1131</v>
      </c>
      <c r="O88" s="70"/>
      <c r="P88" s="70">
        <f t="shared" ref="P88:AA88" si="45">SUM(P85:P86)*P87</f>
        <v>1137.998</v>
      </c>
      <c r="Q88" s="73"/>
      <c r="R88" s="70">
        <f t="shared" ref="R88" si="46">SUM(R85:R86)*R87</f>
        <v>1221</v>
      </c>
      <c r="S88" s="73"/>
      <c r="T88" s="70">
        <f t="shared" si="45"/>
        <v>1432</v>
      </c>
      <c r="U88" s="73"/>
      <c r="V88" s="70">
        <f>SUM(V85:V86)*V87</f>
        <v>1377</v>
      </c>
      <c r="W88" s="73"/>
      <c r="X88" s="313">
        <f t="shared" si="45"/>
        <v>1377</v>
      </c>
      <c r="Y88" s="73"/>
      <c r="Z88" s="313">
        <f t="shared" si="45"/>
        <v>1377</v>
      </c>
      <c r="AA88" s="313">
        <f t="shared" si="45"/>
        <v>1377</v>
      </c>
      <c r="AB88" s="313">
        <f>SUM(AB85:AB86)*AB87</f>
        <v>1377</v>
      </c>
      <c r="AC88" s="313">
        <f>SUM(AC85:AC86)*AC87</f>
        <v>1377</v>
      </c>
    </row>
    <row r="89" spans="1:29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176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  <c r="AC89" s="327">
        <v>1</v>
      </c>
    </row>
    <row r="90" spans="1:29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47">SUM(G88*G89)</f>
        <v>888.3152139</v>
      </c>
      <c r="I90" s="69">
        <f t="shared" si="47"/>
        <v>1002.3308361092717</v>
      </c>
      <c r="J90" s="70"/>
      <c r="K90" s="71"/>
      <c r="L90" s="69">
        <f t="shared" ref="L90:AA90" si="48">SUM(L88*L89)</f>
        <v>1190</v>
      </c>
      <c r="M90" s="72"/>
      <c r="N90" s="69">
        <f t="shared" si="48"/>
        <v>1131</v>
      </c>
      <c r="O90" s="70"/>
      <c r="P90" s="70">
        <f t="shared" si="48"/>
        <v>1137.998</v>
      </c>
      <c r="Q90" s="73"/>
      <c r="R90" s="70">
        <f t="shared" ref="R90" si="49">SUM(R88*R89)</f>
        <v>1221</v>
      </c>
      <c r="S90" s="73"/>
      <c r="T90" s="70">
        <f t="shared" si="48"/>
        <v>1432</v>
      </c>
      <c r="U90" s="73"/>
      <c r="V90" s="70">
        <f t="shared" si="48"/>
        <v>1377</v>
      </c>
      <c r="W90" s="73"/>
      <c r="X90" s="313">
        <f t="shared" si="48"/>
        <v>1377</v>
      </c>
      <c r="Y90" s="73"/>
      <c r="Z90" s="313">
        <f t="shared" si="48"/>
        <v>1377</v>
      </c>
      <c r="AA90" s="313">
        <f t="shared" si="48"/>
        <v>1377</v>
      </c>
      <c r="AB90" s="313">
        <f>SUM(AB88*AB89)</f>
        <v>1377</v>
      </c>
      <c r="AC90" s="313">
        <f>SUM(AC88*AC89)</f>
        <v>1377</v>
      </c>
    </row>
    <row r="91" spans="1:29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70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  <c r="AC91" s="313">
        <v>0</v>
      </c>
    </row>
    <row r="92" spans="1:29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0">SUM(G90:G91)</f>
        <v>888.3152139</v>
      </c>
      <c r="I92" s="99">
        <f t="shared" si="50"/>
        <v>1002.3308361092717</v>
      </c>
      <c r="J92" s="100"/>
      <c r="K92" s="101"/>
      <c r="L92" s="99">
        <f t="shared" ref="L92:AA92" si="51">SUM(L90:L91)</f>
        <v>1190</v>
      </c>
      <c r="M92" s="111"/>
      <c r="N92" s="99">
        <f t="shared" si="51"/>
        <v>1131</v>
      </c>
      <c r="O92" s="100"/>
      <c r="P92" s="100">
        <f t="shared" si="51"/>
        <v>1137.998</v>
      </c>
      <c r="Q92" s="177"/>
      <c r="R92" s="100">
        <f t="shared" ref="R92" si="52">SUM(R90:R91)</f>
        <v>1221</v>
      </c>
      <c r="S92" s="177"/>
      <c r="T92" s="100">
        <f t="shared" si="51"/>
        <v>1432</v>
      </c>
      <c r="U92" s="177"/>
      <c r="V92" s="100">
        <f t="shared" si="51"/>
        <v>1377</v>
      </c>
      <c r="W92" s="177"/>
      <c r="X92" s="317">
        <f t="shared" si="51"/>
        <v>1377</v>
      </c>
      <c r="Y92" s="177"/>
      <c r="Z92" s="317">
        <f t="shared" si="51"/>
        <v>1377</v>
      </c>
      <c r="AA92" s="317">
        <f t="shared" si="51"/>
        <v>1377</v>
      </c>
      <c r="AB92" s="317">
        <f>SUM(AB90:AB91)</f>
        <v>1377</v>
      </c>
      <c r="AC92" s="317">
        <f>SUM(AC90:AC91)</f>
        <v>1377</v>
      </c>
    </row>
    <row r="93" spans="1:29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294">
        <f>SUM((V93-T93)/R93)</f>
        <v>-2.3244457749252265E-3</v>
      </c>
      <c r="V93" s="293">
        <f>12.63643/V92</f>
        <v>9.1767828612926653E-3</v>
      </c>
      <c r="W93" s="305">
        <f>$W$30</f>
        <v>1.4999999999999999E-2</v>
      </c>
      <c r="X93" s="318">
        <f>SUM(V93*(1+W93))</f>
        <v>9.3144346042120536E-3</v>
      </c>
      <c r="Y93" s="305">
        <f>$Y$30</f>
        <v>0.02</v>
      </c>
      <c r="Z93" s="318">
        <f>SUM(X93*(1+Y93))</f>
        <v>9.5007232962962956E-3</v>
      </c>
      <c r="AA93" s="318">
        <f>SUM(Z93*(1+Y93))</f>
        <v>9.6907377622222225E-3</v>
      </c>
      <c r="AB93" s="318">
        <f>SUM(AA93*(1+Y93))</f>
        <v>9.8845525174666663E-3</v>
      </c>
      <c r="AC93" s="318">
        <f>SUM(AB93*(1+$Y$93))</f>
        <v>1.0082243567816E-2</v>
      </c>
    </row>
    <row r="94" spans="1:29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111"/>
      <c r="W94" s="73"/>
      <c r="X94" s="319"/>
      <c r="Y94" s="73"/>
      <c r="Z94" s="319"/>
      <c r="AA94" s="319"/>
      <c r="AB94" s="319"/>
      <c r="AC94" s="319"/>
    </row>
    <row r="95" spans="1:29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3">SUM(G92*G93)</f>
        <v>8.2702146414089999</v>
      </c>
      <c r="I95" s="178">
        <f t="shared" si="53"/>
        <v>9.3172825078781703</v>
      </c>
      <c r="J95" s="179"/>
      <c r="K95" s="180"/>
      <c r="L95" s="178">
        <f t="shared" ref="L95:AA95" si="54">SUM(L92*L93)</f>
        <v>11.382350000000001</v>
      </c>
      <c r="M95" s="181"/>
      <c r="N95" s="182">
        <f t="shared" si="54"/>
        <v>10.468988399999999</v>
      </c>
      <c r="O95" s="183"/>
      <c r="P95" s="183">
        <f t="shared" si="54"/>
        <v>10.51116</v>
      </c>
      <c r="Q95" s="55"/>
      <c r="R95" s="183">
        <f t="shared" ref="R95" si="55">SUM(R92*R93)</f>
        <v>11.256590000000001</v>
      </c>
      <c r="S95" s="55"/>
      <c r="T95" s="183">
        <f>SUM(T92*T93)</f>
        <v>13.17184</v>
      </c>
      <c r="U95" s="55"/>
      <c r="V95" s="441">
        <f>SUM(V92*V93)</f>
        <v>12.636430000000001</v>
      </c>
      <c r="W95" s="442"/>
      <c r="X95" s="443">
        <f>SUM(X92*X93)</f>
        <v>12.825976449999997</v>
      </c>
      <c r="Y95" s="442"/>
      <c r="Z95" s="443">
        <f>SUM(Z92*Z93)</f>
        <v>13.082495978999999</v>
      </c>
      <c r="AA95" s="443">
        <f t="shared" si="54"/>
        <v>13.344145898580001</v>
      </c>
      <c r="AB95" s="443">
        <f>SUM(AB92*AB93)</f>
        <v>13.611028816551599</v>
      </c>
      <c r="AC95" s="443">
        <f>SUM(AC92*AC93)</f>
        <v>13.883249392882632</v>
      </c>
    </row>
    <row r="96" spans="1:29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  <c r="AC96" s="171"/>
    </row>
    <row r="97" spans="1:29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120" t="s">
        <v>74</v>
      </c>
      <c r="W97" s="174"/>
      <c r="X97" s="301" t="s">
        <v>136</v>
      </c>
      <c r="Y97" s="174"/>
      <c r="Z97" s="301" t="str">
        <f>Z77</f>
        <v>21/22 Estimate</v>
      </c>
      <c r="AA97" s="301" t="str">
        <f>AA77</f>
        <v>22/23 Estimate</v>
      </c>
      <c r="AB97" s="301" t="str">
        <f>AB77</f>
        <v>23/24 Estimate</v>
      </c>
      <c r="AC97" s="301" t="str">
        <f>AC77</f>
        <v>24/25 Estimate</v>
      </c>
    </row>
    <row r="98" spans="1:29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42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  <c r="AC98" s="308" t="s">
        <v>78</v>
      </c>
    </row>
    <row r="99" spans="1:29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42"/>
      <c r="W99" s="47"/>
      <c r="X99" s="308"/>
      <c r="Y99" s="47"/>
      <c r="Z99" s="308"/>
      <c r="AA99" s="308"/>
      <c r="AB99" s="308"/>
      <c r="AC99" s="308"/>
    </row>
    <row r="100" spans="1:29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46"/>
      <c r="W100" s="47"/>
      <c r="X100" s="308"/>
      <c r="Y100" s="47"/>
      <c r="Z100" s="308"/>
      <c r="AA100" s="308"/>
      <c r="AB100" s="308"/>
      <c r="AC100" s="308"/>
    </row>
    <row r="101" spans="1:29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197">
        <f>197600-V80</f>
        <v>196223</v>
      </c>
      <c r="W101" s="175"/>
      <c r="X101" s="329">
        <f>SUM(V101:V103)</f>
        <v>196223</v>
      </c>
      <c r="Y101" s="175"/>
      <c r="Z101" s="329">
        <f>SUM(X101:X103)</f>
        <v>196223</v>
      </c>
      <c r="AA101" s="329">
        <f t="shared" ref="AA101" si="56">SUM(Z101:Z103)</f>
        <v>196223</v>
      </c>
      <c r="AB101" s="329">
        <f>SUM(AA101:AA103)</f>
        <v>196223</v>
      </c>
      <c r="AC101" s="329">
        <f>SUM(AB101:AB103)</f>
        <v>196223</v>
      </c>
    </row>
    <row r="102" spans="1:29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70">
        <v>0</v>
      </c>
      <c r="W102" s="73"/>
      <c r="X102" s="313">
        <v>0</v>
      </c>
      <c r="Y102" s="73"/>
      <c r="Z102" s="313">
        <v>0</v>
      </c>
      <c r="AA102" s="313">
        <v>0</v>
      </c>
      <c r="AB102" s="313">
        <v>0</v>
      </c>
      <c r="AC102" s="313">
        <v>0</v>
      </c>
    </row>
    <row r="103" spans="1:29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70">
        <v>0</v>
      </c>
      <c r="W103" s="73"/>
      <c r="X103" s="313">
        <v>0</v>
      </c>
      <c r="Y103" s="73"/>
      <c r="Z103" s="313">
        <v>0</v>
      </c>
      <c r="AA103" s="313">
        <v>0</v>
      </c>
      <c r="AB103" s="313">
        <v>0</v>
      </c>
      <c r="AC103" s="313">
        <v>0</v>
      </c>
    </row>
    <row r="104" spans="1:29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204">
        <v>0</v>
      </c>
      <c r="W104" s="73"/>
      <c r="X104" s="330">
        <v>0</v>
      </c>
      <c r="Y104" s="73"/>
      <c r="Z104" s="330">
        <v>0</v>
      </c>
      <c r="AA104" s="330">
        <v>0</v>
      </c>
      <c r="AB104" s="330">
        <v>0</v>
      </c>
      <c r="AC104" s="330">
        <v>0</v>
      </c>
    </row>
    <row r="105" spans="1:29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208" t="s">
        <v>81</v>
      </c>
      <c r="W105" s="174"/>
      <c r="X105" s="331" t="s">
        <v>81</v>
      </c>
      <c r="Y105" s="174"/>
      <c r="Z105" s="331" t="s">
        <v>81</v>
      </c>
      <c r="AA105" s="331" t="s">
        <v>81</v>
      </c>
      <c r="AB105" s="331" t="s">
        <v>81</v>
      </c>
      <c r="AC105" s="331" t="s">
        <v>81</v>
      </c>
    </row>
    <row r="106" spans="1:29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212">
        <v>0</v>
      </c>
      <c r="W106" s="152"/>
      <c r="X106" s="332">
        <v>0</v>
      </c>
      <c r="Y106" s="152"/>
      <c r="Z106" s="332">
        <v>0</v>
      </c>
      <c r="AA106" s="332">
        <v>0</v>
      </c>
      <c r="AB106" s="332">
        <v>0</v>
      </c>
      <c r="AC106" s="332">
        <v>0</v>
      </c>
    </row>
    <row r="107" spans="1:29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216"/>
      <c r="W107" s="152"/>
      <c r="X107" s="333"/>
      <c r="Y107" s="152"/>
      <c r="Z107" s="333"/>
      <c r="AA107" s="333"/>
      <c r="AB107" s="333"/>
      <c r="AC107" s="333"/>
    </row>
    <row r="108" spans="1:29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232">
        <f>SUM((V108-T108)/T108)</f>
        <v>-2.7004141355659494E-2</v>
      </c>
      <c r="V108" s="293">
        <f>3280.90311/V101</f>
        <v>1.6720278000030578E-2</v>
      </c>
      <c r="W108" s="305">
        <f>$W$30</f>
        <v>1.4999999999999999E-2</v>
      </c>
      <c r="X108" s="318">
        <f>SUM(V108*(1+W108))</f>
        <v>1.6971082170031036E-2</v>
      </c>
      <c r="Y108" s="305">
        <f>$Y$30</f>
        <v>0.02</v>
      </c>
      <c r="Z108" s="318">
        <f>SUM(X108*(1+Y108))</f>
        <v>1.7310503813431657E-2</v>
      </c>
      <c r="AA108" s="318">
        <f>SUM(Z108*(1+Y108))</f>
        <v>1.765671388970029E-2</v>
      </c>
      <c r="AB108" s="318">
        <f>SUM(AA108*(1+Y108))</f>
        <v>1.8009848167494295E-2</v>
      </c>
      <c r="AC108" s="318">
        <f>SUM(AB108*(1+$Y$108))</f>
        <v>1.8370045130844181E-2</v>
      </c>
    </row>
    <row r="109" spans="1:29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220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  <c r="AC109" s="334">
        <v>1</v>
      </c>
    </row>
    <row r="110" spans="1:29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222"/>
      <c r="W110" s="55"/>
      <c r="X110" s="335"/>
      <c r="Y110" s="55"/>
      <c r="Z110" s="335"/>
      <c r="AA110" s="335"/>
      <c r="AB110" s="335"/>
      <c r="AC110" s="335"/>
    </row>
    <row r="111" spans="1:29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57">SUM(G101:G105)*G108*G109</f>
        <v>1918.901132</v>
      </c>
      <c r="I111" s="178">
        <f t="shared" si="57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58">SUM(N101:N105)*N108*N109</f>
        <v>2707.3523175999999</v>
      </c>
      <c r="O111" s="183"/>
      <c r="P111" s="179">
        <f t="shared" ref="P111" si="59">SUM(P101:P105)*P108*P109</f>
        <v>2514.9974500000003</v>
      </c>
      <c r="Q111" s="55"/>
      <c r="R111" s="179">
        <f t="shared" ref="R111" si="60">SUM(R101:R105)*R108*R109</f>
        <v>2956.1579400000001</v>
      </c>
      <c r="S111" s="55"/>
      <c r="T111" s="179">
        <f>SUM(T101:T105)*T108*T109</f>
        <v>3479.2761100000002</v>
      </c>
      <c r="U111" s="55"/>
      <c r="V111" s="441">
        <f>SUM(V101:V105)*V108*V109</f>
        <v>3280.9031100000002</v>
      </c>
      <c r="W111" s="442"/>
      <c r="X111" s="444">
        <f>SUM(X101:X105)*X108*X109</f>
        <v>3330.1166566500001</v>
      </c>
      <c r="Y111" s="442"/>
      <c r="Z111" s="444">
        <f t="shared" ref="Z111" si="61">SUM(Z101:Z105)*Z108*Z109</f>
        <v>3396.7189897829999</v>
      </c>
      <c r="AA111" s="444">
        <f>SUM(AA101:AA105)*AA108*AA109</f>
        <v>3464.6533695786602</v>
      </c>
      <c r="AB111" s="444">
        <f>SUM(AB101:AB105)*AB108*AB109</f>
        <v>3533.9464369702328</v>
      </c>
      <c r="AC111" s="444">
        <f>SUM(AC101:AC105)*AC108*AC109</f>
        <v>3604.6253657096377</v>
      </c>
    </row>
    <row r="112" spans="1:29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  <c r="AC112" s="171"/>
    </row>
    <row r="113" spans="1:29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144"/>
      <c r="Y113" s="145"/>
      <c r="Z113" s="144"/>
      <c r="AA113" s="144"/>
      <c r="AB113" s="144"/>
      <c r="AC113" s="144"/>
    </row>
    <row r="114" spans="1:29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120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  <c r="AC114" s="301" t="str">
        <f>$AB$10</f>
        <v>2023 Estimate</v>
      </c>
    </row>
    <row r="115" spans="1:29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65"/>
      <c r="W115" s="64"/>
      <c r="X115" s="321"/>
      <c r="Y115" s="64"/>
      <c r="Z115" s="321"/>
      <c r="AA115" s="321"/>
      <c r="AB115" s="321"/>
      <c r="AC115" s="321"/>
    </row>
    <row r="116" spans="1:29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63"/>
      <c r="W116" s="175"/>
      <c r="X116" s="321"/>
      <c r="Y116" s="175"/>
      <c r="Z116" s="321"/>
      <c r="AA116" s="321"/>
      <c r="AB116" s="321"/>
      <c r="AC116" s="321"/>
    </row>
    <row r="117" spans="1:29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70">
        <v>700000</v>
      </c>
      <c r="W117" s="73"/>
      <c r="X117" s="313">
        <f>SUM(V117:V119)</f>
        <v>700000</v>
      </c>
      <c r="Y117" s="73"/>
      <c r="Z117" s="313">
        <f>SUM(X117:X119)</f>
        <v>792772</v>
      </c>
      <c r="AA117" s="313">
        <f>SUM(Z117:Z119)</f>
        <v>857622</v>
      </c>
      <c r="AB117" s="313">
        <f>SUM(AA117:AA119)</f>
        <v>920938</v>
      </c>
      <c r="AC117" s="313">
        <f>SUM(AB117:AB119)</f>
        <v>987624</v>
      </c>
    </row>
    <row r="118" spans="1:29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70"/>
      <c r="W118" s="73"/>
      <c r="X118" s="154">
        <f>91240+35421</f>
        <v>126661</v>
      </c>
      <c r="Y118" s="73"/>
      <c r="Z118" s="154">
        <f>76162+22577</f>
        <v>98739</v>
      </c>
      <c r="AA118" s="154">
        <f>77486+19719</f>
        <v>97205</v>
      </c>
      <c r="AB118" s="154">
        <f>92514+8061</f>
        <v>100575</v>
      </c>
      <c r="AC118" s="154">
        <f>75072+20227</f>
        <v>95299</v>
      </c>
    </row>
    <row r="119" spans="1:29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70"/>
      <c r="W119" s="73"/>
      <c r="X119" s="154">
        <v>-33889</v>
      </c>
      <c r="Y119" s="73"/>
      <c r="Z119" s="154">
        <f>X119</f>
        <v>-33889</v>
      </c>
      <c r="AA119" s="154">
        <f>Z119</f>
        <v>-33889</v>
      </c>
      <c r="AB119" s="154">
        <f>AA119</f>
        <v>-33889</v>
      </c>
      <c r="AC119" s="154">
        <f>AB119</f>
        <v>-33889</v>
      </c>
    </row>
    <row r="120" spans="1:29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87">
        <v>0.91990911480638227</v>
      </c>
      <c r="W120" s="73"/>
      <c r="X120" s="314">
        <f>SUM(V120)</f>
        <v>0.91990911480638227</v>
      </c>
      <c r="Y120" s="73"/>
      <c r="Z120" s="314">
        <f t="shared" ref="Z120:Z121" si="62">SUM(X120)</f>
        <v>0.91990911480638227</v>
      </c>
      <c r="AA120" s="314">
        <f t="shared" ref="AA120:AC121" si="63">SUM(Z120)</f>
        <v>0.91990911480638227</v>
      </c>
      <c r="AB120" s="314">
        <f t="shared" si="63"/>
        <v>0.91990911480638227</v>
      </c>
      <c r="AC120" s="314">
        <f t="shared" si="63"/>
        <v>0.91990911480638227</v>
      </c>
    </row>
    <row r="121" spans="1:29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91">
        <v>0.50019043891570614</v>
      </c>
      <c r="W121" s="84"/>
      <c r="X121" s="315">
        <f>SUM(V121)</f>
        <v>0.50019043891570614</v>
      </c>
      <c r="Y121" s="84"/>
      <c r="Z121" s="315">
        <f t="shared" si="62"/>
        <v>0.50019043891570614</v>
      </c>
      <c r="AA121" s="315">
        <f t="shared" si="63"/>
        <v>0.50019043891570614</v>
      </c>
      <c r="AB121" s="315">
        <f t="shared" si="63"/>
        <v>0.50019043891570614</v>
      </c>
      <c r="AC121" s="315">
        <f t="shared" si="63"/>
        <v>0.50019043891570614</v>
      </c>
    </row>
    <row r="122" spans="1:29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4">SUM(G117+G118+G119)*G120*G121</f>
        <v>188890.26799999998</v>
      </c>
      <c r="I122" s="69">
        <f t="shared" si="64"/>
        <v>199575.79679677499</v>
      </c>
      <c r="J122" s="70"/>
      <c r="K122" s="71"/>
      <c r="L122" s="69">
        <f t="shared" ref="L122:N122" si="65">SUM(L117+L118+L119)*L120*L121</f>
        <v>234774.02500000002</v>
      </c>
      <c r="M122" s="72"/>
      <c r="N122" s="69">
        <f t="shared" si="65"/>
        <v>230552.66500000001</v>
      </c>
      <c r="O122" s="70"/>
      <c r="P122" s="70">
        <f t="shared" ref="P122:Z122" si="66">SUM(P117+P118+P119)*P120*P121</f>
        <v>229911.818</v>
      </c>
      <c r="Q122" s="73"/>
      <c r="R122" s="70">
        <f t="shared" ref="R122" si="67">SUM(R117+R118+R119)*R120*R121</f>
        <v>246152.10861059991</v>
      </c>
      <c r="S122" s="73"/>
      <c r="T122" s="70">
        <f>SUM(T117+T118+T119)*T120*T121</f>
        <v>306718.19200000004</v>
      </c>
      <c r="U122" s="73"/>
      <c r="V122" s="70">
        <f>SUM(V117+V118+V119)*V120*V121</f>
        <v>322090.82072829414</v>
      </c>
      <c r="W122" s="73"/>
      <c r="X122" s="313">
        <f>SUM(X117+X118+X119)*X120*X121</f>
        <v>364777.97732915886</v>
      </c>
      <c r="Y122" s="73"/>
      <c r="Z122" s="313">
        <f t="shared" si="66"/>
        <v>394617.39122091583</v>
      </c>
      <c r="AA122" s="313">
        <f>SUM(AA117+AA118+AA119)*AA120*AA121</f>
        <v>423750.96608553396</v>
      </c>
      <c r="AB122" s="313">
        <f>SUM(AB117+AB118+AB119)*AB120*AB121</f>
        <v>454435.17818708683</v>
      </c>
      <c r="AC122" s="313">
        <f>SUM(AC117+AC118+AC119)*AC120*AC121</f>
        <v>482691.74575983617</v>
      </c>
    </row>
    <row r="123" spans="1:29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70"/>
      <c r="W123" s="73"/>
      <c r="X123" s="313"/>
      <c r="Y123" s="73"/>
      <c r="Z123" s="313"/>
      <c r="AA123" s="313"/>
      <c r="AB123" s="313"/>
      <c r="AC123" s="313"/>
    </row>
    <row r="124" spans="1:29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68">SUM(G122)</f>
        <v>188890.26799999998</v>
      </c>
      <c r="I124" s="69">
        <f t="shared" si="68"/>
        <v>199575.79679677499</v>
      </c>
      <c r="J124" s="70"/>
      <c r="K124" s="71"/>
      <c r="L124" s="69">
        <f t="shared" ref="L124:AA124" si="69">SUM(L122)</f>
        <v>234774.02500000002</v>
      </c>
      <c r="M124" s="72"/>
      <c r="N124" s="69">
        <f t="shared" si="69"/>
        <v>230552.66500000001</v>
      </c>
      <c r="O124" s="70"/>
      <c r="P124" s="70">
        <f t="shared" si="69"/>
        <v>229911.818</v>
      </c>
      <c r="Q124" s="73"/>
      <c r="R124" s="70">
        <f t="shared" ref="R124" si="70">SUM(R122)</f>
        <v>246152.10861059991</v>
      </c>
      <c r="S124" s="73"/>
      <c r="T124" s="70">
        <f t="shared" si="69"/>
        <v>306718.19200000004</v>
      </c>
      <c r="U124" s="73"/>
      <c r="V124" s="70">
        <f t="shared" si="69"/>
        <v>322090.82072829414</v>
      </c>
      <c r="W124" s="73"/>
      <c r="X124" s="313">
        <f t="shared" si="69"/>
        <v>364777.97732915886</v>
      </c>
      <c r="Y124" s="73"/>
      <c r="Z124" s="313">
        <f t="shared" si="69"/>
        <v>394617.39122091583</v>
      </c>
      <c r="AA124" s="313">
        <f t="shared" si="69"/>
        <v>423750.96608553396</v>
      </c>
      <c r="AB124" s="313">
        <f>SUM(AB122)</f>
        <v>454435.17818708683</v>
      </c>
      <c r="AC124" s="313">
        <f>SUM(AC122)</f>
        <v>482691.74575983617</v>
      </c>
    </row>
    <row r="125" spans="1:29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487">
        <v>293289.11</v>
      </c>
      <c r="U125" s="73"/>
      <c r="V125" s="488">
        <f>306603.362-264.563</f>
        <v>306338.799</v>
      </c>
      <c r="W125" s="73"/>
      <c r="X125" s="313"/>
      <c r="Y125" s="73"/>
      <c r="Z125" s="313"/>
      <c r="AA125" s="313"/>
      <c r="AB125" s="313"/>
      <c r="AC125" s="313"/>
    </row>
    <row r="126" spans="1:29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490">
        <f>V125/V124</f>
        <v>0.95109447176210571</v>
      </c>
      <c r="W126" s="230"/>
      <c r="X126" s="337">
        <f>SUM(V126)</f>
        <v>0.95109447176210571</v>
      </c>
      <c r="Y126" s="230"/>
      <c r="Z126" s="337">
        <f>SUM(X126)</f>
        <v>0.95109447176210571</v>
      </c>
      <c r="AA126" s="337">
        <f t="shared" ref="AA126" si="71">SUM(Z126)</f>
        <v>0.95109447176210571</v>
      </c>
      <c r="AB126" s="337">
        <f>SUM(AA126)</f>
        <v>0.95109447176210571</v>
      </c>
      <c r="AC126" s="337">
        <f>SUM(AB126)</f>
        <v>0.95109447176210571</v>
      </c>
    </row>
    <row r="127" spans="1:29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2">SUM(G124*G126)</f>
        <v>173804.16659564062</v>
      </c>
      <c r="I127" s="69">
        <f t="shared" si="72"/>
        <v>189501.07105461584</v>
      </c>
      <c r="J127" s="70"/>
      <c r="K127" s="71"/>
      <c r="L127" s="69">
        <f t="shared" ref="L127:AA127" si="73">SUM(L124*L126)</f>
        <v>223370.065</v>
      </c>
      <c r="M127" s="72"/>
      <c r="N127" s="69">
        <f t="shared" si="73"/>
        <v>216345.522</v>
      </c>
      <c r="O127" s="231"/>
      <c r="P127" s="70">
        <f t="shared" si="73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461">
        <f>SUM(V124*V126)</f>
        <v>306338.799</v>
      </c>
      <c r="W127" s="232"/>
      <c r="X127" s="313">
        <f>SUM(X124*X126)</f>
        <v>346938.31765832572</v>
      </c>
      <c r="Y127" s="232"/>
      <c r="Z127" s="313">
        <f t="shared" si="73"/>
        <v>375318.41925139714</v>
      </c>
      <c r="AA127" s="313">
        <f t="shared" si="73"/>
        <v>403027.20124780288</v>
      </c>
      <c r="AB127" s="313">
        <f>SUM(AB124*AB126)</f>
        <v>432210.78574796574</v>
      </c>
      <c r="AC127" s="313">
        <f>SUM(AC124*AC126)</f>
        <v>459085.45095738</v>
      </c>
    </row>
    <row r="128" spans="1:29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459">
        <f>SUM((V128-T128)/T128)</f>
        <v>1.6036071362445833E-2</v>
      </c>
      <c r="V128" s="456">
        <f>3563960.29/306338799</f>
        <v>1.1634047994031602E-2</v>
      </c>
      <c r="W128" s="305">
        <f>$W$30</f>
        <v>1.4999999999999999E-2</v>
      </c>
      <c r="X128" s="318">
        <f>SUM(V128*(1+W128))</f>
        <v>1.1808558713942074E-2</v>
      </c>
      <c r="Y128" s="305">
        <f>$Y$30</f>
        <v>0.02</v>
      </c>
      <c r="Z128" s="318">
        <f>SUM(X128*(1+Y128))</f>
        <v>1.2044729888220916E-2</v>
      </c>
      <c r="AA128" s="318">
        <f>SUM(Z128*(1+Y128))</f>
        <v>1.2285624485985334E-2</v>
      </c>
      <c r="AB128" s="318">
        <f>SUM(AA128*(1+Y128))</f>
        <v>1.253133697570504E-2</v>
      </c>
      <c r="AC128" s="318">
        <f>SUM(AB128*(1+$Y$128))</f>
        <v>1.2781963715219141E-2</v>
      </c>
    </row>
    <row r="129" spans="1:29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461"/>
      <c r="W129" s="420"/>
      <c r="X129" s="313"/>
      <c r="Y129" s="420"/>
      <c r="Z129" s="313"/>
      <c r="AA129" s="313"/>
      <c r="AB129" s="313"/>
      <c r="AC129" s="313"/>
    </row>
    <row r="130" spans="1:29" ht="15" thickBot="1" x14ac:dyDescent="0.35">
      <c r="C130" s="112">
        <v>1843</v>
      </c>
      <c r="E130" s="112">
        <f>SUM(E127*E128)</f>
        <v>1939.7429074619999</v>
      </c>
      <c r="G130" s="112">
        <f t="shared" ref="G130" si="74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75">SUM(R127*R128)</f>
        <v>3018.7944147768244</v>
      </c>
      <c r="S130" s="114"/>
      <c r="T130" s="141">
        <f>SUM(T127*T128)</f>
        <v>3358.2858700000002</v>
      </c>
      <c r="U130" s="114"/>
      <c r="V130" s="458">
        <f>SUM(V127*V128)</f>
        <v>3563.96029</v>
      </c>
      <c r="W130" s="440"/>
      <c r="X130" s="392">
        <f>SUM(X127*X128)</f>
        <v>4096.8414941846258</v>
      </c>
      <c r="Y130" s="440"/>
      <c r="Z130" s="392">
        <f>SUM(Z127*Z128)</f>
        <v>4520.6089819571316</v>
      </c>
      <c r="AA130" s="392">
        <f>SUM(AA127*AA128)</f>
        <v>4951.4408521681462</v>
      </c>
      <c r="AB130" s="392">
        <f>SUM(AB127*AB128)</f>
        <v>5416.1790007420122</v>
      </c>
      <c r="AC130" s="392">
        <f>SUM(AC127*AC128)</f>
        <v>5868.0135763222479</v>
      </c>
    </row>
    <row r="131" spans="1:29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491"/>
      <c r="W131" s="239"/>
      <c r="X131" s="238"/>
      <c r="Y131" s="239"/>
      <c r="Z131" s="238"/>
      <c r="AA131" s="238"/>
      <c r="AB131" s="238"/>
      <c r="AC131" s="238"/>
    </row>
    <row r="132" spans="1:29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120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  <c r="AC132" s="301" t="str">
        <f>$AC$10</f>
        <v>2024 Estimate</v>
      </c>
    </row>
    <row r="133" spans="1:29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65"/>
      <c r="W133" s="64"/>
      <c r="X133" s="321"/>
      <c r="Y133" s="64"/>
      <c r="Z133" s="321"/>
      <c r="AA133" s="321"/>
      <c r="AB133" s="321"/>
      <c r="AC133" s="321"/>
    </row>
    <row r="134" spans="1:29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65"/>
      <c r="W134" s="64"/>
      <c r="X134" s="321"/>
      <c r="Y134" s="64"/>
      <c r="Z134" s="321"/>
      <c r="AA134" s="321"/>
      <c r="AB134" s="321"/>
      <c r="AC134" s="321"/>
    </row>
    <row r="135" spans="1:29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70">
        <v>742683.92599999998</v>
      </c>
      <c r="W135" s="73"/>
      <c r="X135" s="313">
        <f>SUM(V135:V137)</f>
        <v>742683.92599999998</v>
      </c>
      <c r="Y135" s="73"/>
      <c r="Z135" s="313">
        <f>SUM(X135:X137)</f>
        <v>835455.92599999998</v>
      </c>
      <c r="AA135" s="313">
        <f>SUM(Z135:Z137)</f>
        <v>900305.92599999998</v>
      </c>
      <c r="AB135" s="313">
        <f>SUM(AA135:AA137)</f>
        <v>963621.92599999998</v>
      </c>
      <c r="AC135" s="313">
        <f>SUM(AB135:AB137)</f>
        <v>1030307.926</v>
      </c>
    </row>
    <row r="136" spans="1:29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70"/>
      <c r="W136" s="73"/>
      <c r="X136" s="313">
        <f>SUM(X118)</f>
        <v>126661</v>
      </c>
      <c r="Y136" s="73"/>
      <c r="Z136" s="313">
        <f t="shared" ref="X136:AA137" si="76">SUM(Z118)</f>
        <v>98739</v>
      </c>
      <c r="AA136" s="313">
        <f t="shared" si="76"/>
        <v>97205</v>
      </c>
      <c r="AB136" s="313">
        <f>SUM(AB118)</f>
        <v>100575</v>
      </c>
      <c r="AC136" s="313">
        <f>SUM(AC118)</f>
        <v>95299</v>
      </c>
    </row>
    <row r="137" spans="1:29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70"/>
      <c r="W137" s="73"/>
      <c r="X137" s="313">
        <f t="shared" si="76"/>
        <v>-33889</v>
      </c>
      <c r="Y137" s="73"/>
      <c r="Z137" s="313">
        <f t="shared" si="76"/>
        <v>-33889</v>
      </c>
      <c r="AA137" s="313">
        <f t="shared" si="76"/>
        <v>-33889</v>
      </c>
      <c r="AB137" s="313">
        <f>SUM(AB119)</f>
        <v>-33889</v>
      </c>
      <c r="AC137" s="313">
        <f>SUM(AC119)</f>
        <v>-33889</v>
      </c>
    </row>
    <row r="138" spans="1:29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87">
        <v>1</v>
      </c>
      <c r="W138" s="73"/>
      <c r="X138" s="314">
        <v>1</v>
      </c>
      <c r="Y138" s="73"/>
      <c r="Z138" s="314">
        <v>1</v>
      </c>
      <c r="AA138" s="314">
        <v>1</v>
      </c>
      <c r="AB138" s="314">
        <v>1</v>
      </c>
      <c r="AC138" s="314">
        <v>1</v>
      </c>
    </row>
    <row r="139" spans="1:29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91">
        <v>0.18293040999999999</v>
      </c>
      <c r="W139" s="84"/>
      <c r="X139" s="315">
        <f>SUM(V139)</f>
        <v>0.18293040999999999</v>
      </c>
      <c r="Y139" s="84"/>
      <c r="Z139" s="315">
        <f>SUM(X139)</f>
        <v>0.18293040999999999</v>
      </c>
      <c r="AA139" s="315">
        <f t="shared" ref="AA139:AC139" si="77">SUM(Z139)</f>
        <v>0.18293040999999999</v>
      </c>
      <c r="AB139" s="315">
        <f t="shared" si="77"/>
        <v>0.18293040999999999</v>
      </c>
      <c r="AC139" s="315">
        <f t="shared" si="77"/>
        <v>0.18293040999999999</v>
      </c>
    </row>
    <row r="140" spans="1:29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78">SUM((G135+G136+G137)*G138*G139)</f>
        <v>79213.073000000004</v>
      </c>
      <c r="I140" s="99">
        <f t="shared" si="78"/>
        <v>85831.54</v>
      </c>
      <c r="J140" s="100"/>
      <c r="K140" s="101"/>
      <c r="L140" s="99">
        <f t="shared" ref="L140:T140" si="79">SUM((L135+L136+L137)*L138*L139)</f>
        <v>92701.07758538505</v>
      </c>
      <c r="M140" s="102"/>
      <c r="N140" s="99">
        <f t="shared" si="79"/>
        <v>96666.592999999993</v>
      </c>
      <c r="O140" s="100"/>
      <c r="P140" s="100">
        <f t="shared" si="79"/>
        <v>103095.598</v>
      </c>
      <c r="Q140" s="177"/>
      <c r="R140" s="100">
        <f t="shared" ref="R140" si="80">SUM((R135+R136+R137)*R138*R139)</f>
        <v>115955.848</v>
      </c>
      <c r="S140" s="177"/>
      <c r="T140" s="100">
        <f t="shared" si="79"/>
        <v>134625.429</v>
      </c>
      <c r="U140" s="177"/>
      <c r="V140" s="100">
        <f>SUM((V135+V136+V137)*V138*V139)</f>
        <v>135859.47508358964</v>
      </c>
      <c r="W140" s="177"/>
      <c r="X140" s="317">
        <f>SUM((X135+X136+X137)*X138*X139)</f>
        <v>152830.29508010964</v>
      </c>
      <c r="Y140" s="177"/>
      <c r="Z140" s="317">
        <f>SUM((Z135+Z136+Z137)*Z138*Z139)</f>
        <v>164693.33216860963</v>
      </c>
      <c r="AA140" s="317">
        <f>SUM((AA135+AA136+AA137)*AA138*AA139)</f>
        <v>176275.75400816964</v>
      </c>
      <c r="AB140" s="317">
        <f>SUM((AB135+AB136+AB137)*AB138*AB139)</f>
        <v>188474.65132942965</v>
      </c>
      <c r="AC140" s="317">
        <f>SUM((AC135+AC136+AC137)*AC138*AC139)</f>
        <v>199708.40780752964</v>
      </c>
    </row>
    <row r="141" spans="1:29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83">
        <v>-100</v>
      </c>
      <c r="W141" s="84"/>
      <c r="X141" s="323"/>
      <c r="Y141" s="84"/>
      <c r="Z141" s="323"/>
      <c r="AA141" s="323"/>
      <c r="AB141" s="323"/>
      <c r="AC141" s="323"/>
    </row>
    <row r="142" spans="1:29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1">SUM(G140)</f>
        <v>79213.073000000004</v>
      </c>
      <c r="I142" s="69">
        <f t="shared" si="81"/>
        <v>85831.54</v>
      </c>
      <c r="J142" s="70"/>
      <c r="K142" s="71"/>
      <c r="L142" s="69">
        <f t="shared" ref="L142:AA142" si="82">SUM(L140)</f>
        <v>92701.07758538505</v>
      </c>
      <c r="M142" s="72"/>
      <c r="N142" s="69">
        <f t="shared" si="82"/>
        <v>96666.592999999993</v>
      </c>
      <c r="O142" s="70"/>
      <c r="P142" s="70">
        <f t="shared" si="82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70">
        <f>SUM(V140:V141)</f>
        <v>135759.47508358964</v>
      </c>
      <c r="W142" s="73"/>
      <c r="X142" s="313">
        <f>SUM(X140)</f>
        <v>152830.29508010964</v>
      </c>
      <c r="Y142" s="73"/>
      <c r="Z142" s="313">
        <f t="shared" si="82"/>
        <v>164693.33216860963</v>
      </c>
      <c r="AA142" s="313">
        <f t="shared" si="82"/>
        <v>176275.75400816964</v>
      </c>
      <c r="AB142" s="313">
        <f>SUM(AB140)</f>
        <v>188474.65132942965</v>
      </c>
      <c r="AC142" s="313">
        <f>SUM(AC140)</f>
        <v>199708.40780752964</v>
      </c>
    </row>
    <row r="143" spans="1:29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134">
        <v>1</v>
      </c>
      <c r="W143" s="84"/>
      <c r="X143" s="324">
        <v>1</v>
      </c>
      <c r="Y143" s="84"/>
      <c r="Z143" s="324">
        <v>1</v>
      </c>
      <c r="AA143" s="324">
        <v>1</v>
      </c>
      <c r="AB143" s="324">
        <v>1</v>
      </c>
      <c r="AC143" s="324">
        <v>1</v>
      </c>
    </row>
    <row r="144" spans="1:29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3">SUM(G142*G143)</f>
        <v>77458.071382651833</v>
      </c>
      <c r="I144" s="69">
        <f t="shared" si="83"/>
        <v>85831.54</v>
      </c>
      <c r="J144" s="70"/>
      <c r="K144" s="71"/>
      <c r="L144" s="69">
        <f t="shared" ref="L144:AA144" si="84">SUM(L142*L143)</f>
        <v>92701.07758538505</v>
      </c>
      <c r="M144" s="72"/>
      <c r="N144" s="69">
        <f t="shared" si="84"/>
        <v>96666.592999999993</v>
      </c>
      <c r="O144" s="70"/>
      <c r="P144" s="70">
        <f t="shared" si="84"/>
        <v>103095.598</v>
      </c>
      <c r="Q144" s="73"/>
      <c r="R144" s="70">
        <f t="shared" ref="R144" si="85">SUM(R142*R143)</f>
        <v>115955.848</v>
      </c>
      <c r="S144" s="73"/>
      <c r="T144" s="70">
        <f t="shared" si="84"/>
        <v>134525.429</v>
      </c>
      <c r="U144" s="73"/>
      <c r="V144" s="70">
        <f>SUM(V142*V143)</f>
        <v>135759.47508358964</v>
      </c>
      <c r="W144" s="73"/>
      <c r="X144" s="313">
        <f t="shared" si="84"/>
        <v>152830.29508010964</v>
      </c>
      <c r="Y144" s="73"/>
      <c r="Z144" s="313">
        <f t="shared" si="84"/>
        <v>164693.33216860963</v>
      </c>
      <c r="AA144" s="313">
        <f t="shared" si="84"/>
        <v>176275.75400816964</v>
      </c>
      <c r="AB144" s="313">
        <f>SUM(AB142*AB143)</f>
        <v>188474.65132942965</v>
      </c>
      <c r="AC144" s="313">
        <f>SUM(AC142*AC143)</f>
        <v>199708.40780752964</v>
      </c>
    </row>
    <row r="145" spans="1:29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459">
        <f>SUM((V145-T145)/T145)</f>
        <v>-7.0861224244611554E-2</v>
      </c>
      <c r="V145" s="456">
        <f>1655.63895/V144</f>
        <v>1.2195384145236214E-2</v>
      </c>
      <c r="W145" s="305">
        <f>$W$30</f>
        <v>1.4999999999999999E-2</v>
      </c>
      <c r="X145" s="318">
        <f>SUM(V145*(1+W145))</f>
        <v>1.2378314907414756E-2</v>
      </c>
      <c r="Y145" s="305">
        <f>$Y$30</f>
        <v>0.02</v>
      </c>
      <c r="Z145" s="318">
        <f>SUM(X145*(1+Y145))</f>
        <v>1.2625881205563051E-2</v>
      </c>
      <c r="AA145" s="318">
        <f>SUM(Z145*(1+Y145))</f>
        <v>1.2878398829674313E-2</v>
      </c>
      <c r="AB145" s="318">
        <f>SUM(AA145*(1+Y145))</f>
        <v>1.31359668062678E-2</v>
      </c>
      <c r="AC145" s="318">
        <f>SUM(AB145*(1+$Y$145))</f>
        <v>1.3398686142393156E-2</v>
      </c>
    </row>
    <row r="146" spans="1:29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468"/>
      <c r="W146" s="101"/>
      <c r="X146" s="317"/>
      <c r="Y146" s="101"/>
      <c r="Z146" s="317"/>
      <c r="AA146" s="317"/>
      <c r="AB146" s="317"/>
      <c r="AC146" s="317"/>
    </row>
    <row r="147" spans="1:29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86">SUM(G144*G145)</f>
        <v>1112.580366038414</v>
      </c>
      <c r="I147" s="178">
        <f t="shared" si="86"/>
        <v>1255.1733400000001</v>
      </c>
      <c r="J147" s="179"/>
      <c r="K147" s="180"/>
      <c r="L147" s="178">
        <f t="shared" ref="L147:P147" si="87">SUM(L144*L145)</f>
        <v>1336.7211187574665</v>
      </c>
      <c r="M147" s="181"/>
      <c r="N147" s="178">
        <f t="shared" si="87"/>
        <v>1396.8021189769413</v>
      </c>
      <c r="O147" s="181"/>
      <c r="P147" s="179">
        <f t="shared" si="87"/>
        <v>1470.0476900000001</v>
      </c>
      <c r="Q147" s="180"/>
      <c r="R147" s="179">
        <f t="shared" ref="R147" si="88">SUM(R144*R145)</f>
        <v>1640.8960900000002</v>
      </c>
      <c r="S147" s="180"/>
      <c r="T147" s="179">
        <f>SUM(T144*T145)</f>
        <v>1765.7096300000001</v>
      </c>
      <c r="U147" s="180"/>
      <c r="V147" s="467">
        <f>SUM(V144*V145)</f>
        <v>1655.63895</v>
      </c>
      <c r="W147" s="445"/>
      <c r="X147" s="443">
        <f>SUM(X144*X145)</f>
        <v>1891.7815198947171</v>
      </c>
      <c r="Y147" s="445"/>
      <c r="Z147" s="443">
        <f>SUM(Z144*Z145)</f>
        <v>2079.3984473092009</v>
      </c>
      <c r="AA147" s="443">
        <f>SUM(AA144*AA145)</f>
        <v>2270.1494641187687</v>
      </c>
      <c r="AB147" s="443">
        <f>SUM(AB144*AB145)</f>
        <v>2475.796763686285</v>
      </c>
      <c r="AC147" s="443">
        <f>SUM(AC144*AC145)</f>
        <v>2675.8302762101484</v>
      </c>
    </row>
    <row r="148" spans="1:29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  <c r="AC148" s="144"/>
    </row>
    <row r="149" spans="1:29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187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">
        <v>178</v>
      </c>
      <c r="AC149" s="301" t="s">
        <v>179</v>
      </c>
    </row>
    <row r="150" spans="1:29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65"/>
      <c r="W150" s="64"/>
      <c r="X150" s="321"/>
      <c r="Y150" s="64"/>
      <c r="Z150" s="321"/>
      <c r="AA150" s="321"/>
      <c r="AB150" s="321"/>
      <c r="AC150" s="321"/>
    </row>
    <row r="151" spans="1:29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65"/>
      <c r="W151" s="64"/>
      <c r="X151" s="321"/>
      <c r="Y151" s="64"/>
      <c r="Z151" s="321"/>
      <c r="AA151" s="321"/>
      <c r="AB151" s="321"/>
      <c r="AC151" s="321"/>
    </row>
    <row r="152" spans="1:29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70">
        <v>324700</v>
      </c>
      <c r="W152" s="73"/>
      <c r="X152" s="313">
        <f>SUM(V152:V154)</f>
        <v>324700</v>
      </c>
      <c r="Y152" s="73"/>
      <c r="Z152" s="313">
        <f>SUM(X152:X154)</f>
        <v>350644</v>
      </c>
      <c r="AA152" s="313">
        <f t="shared" ref="AA152" si="89">SUM(Z152:Z154)</f>
        <v>363744</v>
      </c>
      <c r="AB152" s="313">
        <f>SUM(AA152:AA154)</f>
        <v>373986</v>
      </c>
      <c r="AC152" s="313">
        <f>SUM(AB152:AB154)</f>
        <v>386174</v>
      </c>
    </row>
    <row r="153" spans="1:29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70">
        <v>0</v>
      </c>
      <c r="W153" s="73"/>
      <c r="X153" s="154">
        <f>35421</f>
        <v>35421</v>
      </c>
      <c r="Y153" s="73"/>
      <c r="Z153" s="154">
        <v>22577</v>
      </c>
      <c r="AA153" s="154">
        <v>19719</v>
      </c>
      <c r="AB153" s="154">
        <v>21665</v>
      </c>
      <c r="AC153" s="154">
        <v>20227</v>
      </c>
    </row>
    <row r="154" spans="1:29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70">
        <v>0</v>
      </c>
      <c r="W154" s="73"/>
      <c r="X154" s="154">
        <v>-9477</v>
      </c>
      <c r="Y154" s="73"/>
      <c r="Z154" s="154">
        <f>X154</f>
        <v>-9477</v>
      </c>
      <c r="AA154" s="154">
        <f>Z154</f>
        <v>-9477</v>
      </c>
      <c r="AB154" s="154">
        <f>AA154</f>
        <v>-9477</v>
      </c>
      <c r="AC154" s="154">
        <f>AB154</f>
        <v>-9477</v>
      </c>
    </row>
    <row r="155" spans="1:29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87">
        <v>1</v>
      </c>
      <c r="W155" s="73"/>
      <c r="X155" s="314">
        <v>1</v>
      </c>
      <c r="Y155" s="73"/>
      <c r="Z155" s="314">
        <v>1</v>
      </c>
      <c r="AA155" s="314">
        <v>1</v>
      </c>
      <c r="AB155" s="314">
        <v>1</v>
      </c>
      <c r="AC155" s="314">
        <v>1</v>
      </c>
    </row>
    <row r="156" spans="1:29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91">
        <v>1</v>
      </c>
      <c r="W156" s="84"/>
      <c r="X156" s="315">
        <v>1</v>
      </c>
      <c r="Y156" s="84"/>
      <c r="Z156" s="315">
        <v>1</v>
      </c>
      <c r="AA156" s="315">
        <v>1</v>
      </c>
      <c r="AB156" s="315">
        <v>1</v>
      </c>
      <c r="AC156" s="315">
        <v>1</v>
      </c>
    </row>
    <row r="157" spans="1:29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0">SUM((G152+G153+G154)*G155*G156)</f>
        <v>160600</v>
      </c>
      <c r="I157" s="99">
        <f t="shared" si="90"/>
        <v>168937</v>
      </c>
      <c r="J157" s="100"/>
      <c r="K157" s="101"/>
      <c r="L157" s="99">
        <f t="shared" ref="L157:AA157" si="91">SUM((L152+L153+L154)*L155*L156)</f>
        <v>184700</v>
      </c>
      <c r="M157" s="102"/>
      <c r="N157" s="99">
        <f t="shared" si="91"/>
        <v>209500</v>
      </c>
      <c r="O157" s="100"/>
      <c r="P157" s="100">
        <f t="shared" ref="P157" si="92">SUM((P152+P153+P154)*P155*P156)</f>
        <v>243796.47</v>
      </c>
      <c r="Q157" s="177"/>
      <c r="R157" s="100">
        <f t="shared" ref="R157" si="93">SUM((R152+R153+R154)*R155*R156)</f>
        <v>282611.34999999998</v>
      </c>
      <c r="S157" s="177"/>
      <c r="T157" s="100">
        <f t="shared" si="91"/>
        <v>340600</v>
      </c>
      <c r="U157" s="177"/>
      <c r="V157" s="100">
        <f>SUM((V152+V153+V154)*V155*V156)</f>
        <v>324700</v>
      </c>
      <c r="W157" s="177"/>
      <c r="X157" s="317">
        <f>SUM((X152+X153+X154)*X155*X156)</f>
        <v>350644</v>
      </c>
      <c r="Y157" s="177"/>
      <c r="Z157" s="317">
        <f t="shared" si="91"/>
        <v>363744</v>
      </c>
      <c r="AA157" s="317">
        <f t="shared" si="91"/>
        <v>373986</v>
      </c>
      <c r="AB157" s="317">
        <f>SUM((AB152+AB153+AB154)*AB155*AB156)</f>
        <v>386174</v>
      </c>
      <c r="AC157" s="317">
        <f>SUM((AC152+AC153+AC154)*AC155*AC156)</f>
        <v>396924</v>
      </c>
    </row>
    <row r="158" spans="1:29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70"/>
      <c r="W158" s="73"/>
      <c r="X158" s="313"/>
      <c r="Y158" s="73"/>
      <c r="Z158" s="313"/>
      <c r="AA158" s="313"/>
      <c r="AB158" s="313"/>
      <c r="AC158" s="313"/>
    </row>
    <row r="159" spans="1:29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245">
        <v>1</v>
      </c>
      <c r="W159" s="73"/>
      <c r="X159" s="339">
        <v>1</v>
      </c>
      <c r="Y159" s="73"/>
      <c r="Z159" s="339">
        <v>1</v>
      </c>
      <c r="AA159" s="339">
        <v>1</v>
      </c>
      <c r="AB159" s="339">
        <v>1</v>
      </c>
      <c r="AC159" s="339">
        <v>1</v>
      </c>
    </row>
    <row r="160" spans="1:29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94">SUM(G157*G159)</f>
        <v>160600</v>
      </c>
      <c r="I160" s="69">
        <f t="shared" si="94"/>
        <v>168937</v>
      </c>
      <c r="J160" s="70"/>
      <c r="K160" s="71"/>
      <c r="L160" s="69">
        <f t="shared" ref="L160:AA160" si="95">SUM(L157*L159)</f>
        <v>184700</v>
      </c>
      <c r="M160" s="72"/>
      <c r="N160" s="69">
        <f t="shared" si="95"/>
        <v>209500</v>
      </c>
      <c r="O160" s="70"/>
      <c r="P160" s="70">
        <f t="shared" ref="P160" si="96">SUM(P157*P159)</f>
        <v>243796.47</v>
      </c>
      <c r="Q160" s="73"/>
      <c r="R160" s="70">
        <f t="shared" ref="R160" si="97">SUM(R157*R159)</f>
        <v>282611.34999999998</v>
      </c>
      <c r="S160" s="73"/>
      <c r="T160" s="70">
        <f t="shared" si="95"/>
        <v>340600</v>
      </c>
      <c r="U160" s="73"/>
      <c r="V160" s="70">
        <f t="shared" si="95"/>
        <v>324700</v>
      </c>
      <c r="W160" s="73"/>
      <c r="X160" s="313">
        <f>SUM(X157*X159)</f>
        <v>350644</v>
      </c>
      <c r="Y160" s="73"/>
      <c r="Z160" s="313">
        <f t="shared" si="95"/>
        <v>363744</v>
      </c>
      <c r="AA160" s="313">
        <f t="shared" si="95"/>
        <v>373986</v>
      </c>
      <c r="AB160" s="313">
        <f>SUM(AB157*AB159)</f>
        <v>386174</v>
      </c>
      <c r="AC160" s="313">
        <f>SUM(AC157*AC159)</f>
        <v>396924</v>
      </c>
    </row>
    <row r="161" spans="1:31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247">
        <v>1</v>
      </c>
      <c r="W161" s="84"/>
      <c r="X161" s="340">
        <v>1</v>
      </c>
      <c r="Y161" s="84"/>
      <c r="Z161" s="340">
        <v>1</v>
      </c>
      <c r="AA161" s="340">
        <v>1</v>
      </c>
      <c r="AB161" s="340">
        <v>1</v>
      </c>
      <c r="AC161" s="340">
        <v>1</v>
      </c>
    </row>
    <row r="162" spans="1:31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98">SUM(G160*G161)</f>
        <v>160600</v>
      </c>
      <c r="I162" s="69">
        <f t="shared" si="98"/>
        <v>168937</v>
      </c>
      <c r="J162" s="70"/>
      <c r="K162" s="71"/>
      <c r="L162" s="69">
        <f t="shared" ref="L162:AA162" si="99">SUM(L160*L161)</f>
        <v>184700</v>
      </c>
      <c r="M162" s="72"/>
      <c r="N162" s="69">
        <f t="shared" si="99"/>
        <v>209500</v>
      </c>
      <c r="O162" s="70"/>
      <c r="P162" s="70">
        <f t="shared" ref="P162" si="100">SUM(P160*P161)</f>
        <v>243796.47</v>
      </c>
      <c r="Q162" s="73"/>
      <c r="R162" s="70">
        <f t="shared" ref="R162" si="101">SUM(R160*R161)</f>
        <v>282611.34999999998</v>
      </c>
      <c r="S162" s="73"/>
      <c r="T162" s="70">
        <f t="shared" si="99"/>
        <v>340600</v>
      </c>
      <c r="U162" s="73"/>
      <c r="V162" s="70">
        <f>SUM(V160*V161)</f>
        <v>324700</v>
      </c>
      <c r="W162" s="73"/>
      <c r="X162" s="313">
        <f t="shared" si="99"/>
        <v>350644</v>
      </c>
      <c r="Y162" s="73"/>
      <c r="Z162" s="313">
        <f t="shared" si="99"/>
        <v>363744</v>
      </c>
      <c r="AA162" s="313">
        <f t="shared" si="99"/>
        <v>373986</v>
      </c>
      <c r="AB162" s="313">
        <f>SUM(AB160*AB161)</f>
        <v>386174</v>
      </c>
      <c r="AC162" s="313">
        <f>SUM(AC160*AC161)</f>
        <v>396924</v>
      </c>
    </row>
    <row r="163" spans="1:31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232">
        <f>SUM((V163-T163)/T163)</f>
        <v>4.6000133984343871E-3</v>
      </c>
      <c r="V163" s="293">
        <f>4225.44043/V162</f>
        <v>1.3013367508469355E-2</v>
      </c>
      <c r="W163" s="305">
        <f>$W$30</f>
        <v>1.4999999999999999E-2</v>
      </c>
      <c r="X163" s="318">
        <f>SUM(V163*(1+W163))</f>
        <v>1.3208568021096394E-2</v>
      </c>
      <c r="Y163" s="305">
        <f>$Y$30</f>
        <v>0.02</v>
      </c>
      <c r="Z163" s="318">
        <f>SUM(X163*(1+Y163))</f>
        <v>1.3472739381518323E-2</v>
      </c>
      <c r="AA163" s="318">
        <f>SUM(Z163*(1+Y163))</f>
        <v>1.3742194169148689E-2</v>
      </c>
      <c r="AB163" s="318">
        <f>SUM(AA163*(1+Y163))</f>
        <v>1.4017038052531664E-2</v>
      </c>
      <c r="AC163" s="318">
        <f>SUM(AB163*(1+$Y$163))</f>
        <v>1.4297378813582296E-2</v>
      </c>
    </row>
    <row r="164" spans="1:31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139"/>
      <c r="W164" s="73"/>
      <c r="X164" s="319"/>
      <c r="Y164" s="73"/>
      <c r="Z164" s="319"/>
      <c r="AA164" s="319"/>
      <c r="AB164" s="319"/>
      <c r="AC164" s="319"/>
    </row>
    <row r="165" spans="1:31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2">SUM(G162*G163)</f>
        <v>2030.6547399999999</v>
      </c>
      <c r="I165" s="112">
        <f t="shared" si="102"/>
        <v>2137.1771711399883</v>
      </c>
      <c r="J165" s="141"/>
      <c r="K165" s="114"/>
      <c r="L165" s="248">
        <f t="shared" ref="L165:Z165" si="103">SUM(L162*L163)</f>
        <v>2378.8604999999998</v>
      </c>
      <c r="M165" s="113"/>
      <c r="N165" s="112">
        <f t="shared" si="103"/>
        <v>2651</v>
      </c>
      <c r="O165" s="141"/>
      <c r="P165" s="141">
        <f t="shared" si="103"/>
        <v>3184.1441200000004</v>
      </c>
      <c r="Q165" s="249"/>
      <c r="R165" s="141">
        <f t="shared" ref="R165" si="104">SUM(R162*R163)</f>
        <v>3678.2691199999999</v>
      </c>
      <c r="S165" s="273"/>
      <c r="T165" s="141">
        <f>SUM(T162*T163)</f>
        <v>4412.0574500000002</v>
      </c>
      <c r="U165" s="273"/>
      <c r="V165" s="421">
        <f>SUM(V162*V163)</f>
        <v>4225.4404299999997</v>
      </c>
      <c r="W165" s="446"/>
      <c r="X165" s="392">
        <f>SUM(X162*X163)</f>
        <v>4631.5051251893237</v>
      </c>
      <c r="Y165" s="446"/>
      <c r="Z165" s="392">
        <f t="shared" si="103"/>
        <v>4900.6281135910012</v>
      </c>
      <c r="AA165" s="392">
        <f>SUM(AA162*AA163)</f>
        <v>5139.3882285432419</v>
      </c>
      <c r="AB165" s="392">
        <f>SUM(AB162*AB163)</f>
        <v>5413.0156528983625</v>
      </c>
      <c r="AC165" s="392">
        <f>SUM(AC162*AC163)</f>
        <v>5674.9727882023399</v>
      </c>
    </row>
    <row r="166" spans="1:31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  <c r="AC166" s="144"/>
    </row>
    <row r="167" spans="1:31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  <c r="AC167" s="257"/>
    </row>
    <row r="168" spans="1:31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  <c r="AC168" s="257"/>
    </row>
    <row r="169" spans="1:31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  <c r="AC169" s="257"/>
    </row>
    <row r="170" spans="1:31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  <c r="AC170" s="265"/>
    </row>
    <row r="171" spans="1:31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  <c r="AC171" s="341" t="s">
        <v>103</v>
      </c>
    </row>
    <row r="172" spans="1:31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  <c r="AC172" s="301">
        <f>AB172+1</f>
        <v>2024</v>
      </c>
    </row>
    <row r="173" spans="1:31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C173" s="321"/>
      <c r="AE173" s="11"/>
    </row>
    <row r="174" spans="1:31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14133.776330000001</v>
      </c>
      <c r="W174" s="355"/>
      <c r="X174" s="342">
        <f>SUM(X32)</f>
        <v>14053.645011972199</v>
      </c>
      <c r="Y174" s="355"/>
      <c r="Z174" s="342">
        <f>SUM(Z32)</f>
        <v>14569.035117258458</v>
      </c>
      <c r="AA174" s="342">
        <f>SUM(AA32)</f>
        <v>15978.870275258629</v>
      </c>
      <c r="AB174" s="342">
        <f>SUM(AB32)</f>
        <v>17250.399477981708</v>
      </c>
      <c r="AC174" s="342">
        <f>SUM(AC32)</f>
        <v>18921.481671449554</v>
      </c>
      <c r="AE174" s="145"/>
    </row>
    <row r="175" spans="1:31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270"/>
      <c r="W175" s="271"/>
      <c r="X175" s="342"/>
      <c r="Y175" s="271"/>
      <c r="Z175" s="342"/>
      <c r="AA175" s="342"/>
      <c r="AB175" s="342"/>
      <c r="AC175" s="342"/>
      <c r="AE175" s="144"/>
    </row>
    <row r="176" spans="1:31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270">
        <f>SUM(V53)</f>
        <v>5979.1903499999999</v>
      </c>
      <c r="W176" s="273"/>
      <c r="X176" s="342">
        <f>SUM(X53)</f>
        <v>6485.9689935238766</v>
      </c>
      <c r="Y176" s="273"/>
      <c r="Z176" s="368">
        <f>SUM(Z53)</f>
        <v>7049.1565542400222</v>
      </c>
      <c r="AA176" s="368">
        <f>SUM(AA53)</f>
        <v>7665.6285653430778</v>
      </c>
      <c r="AB176" s="368">
        <f>SUM(AB53)</f>
        <v>8223.6446912756182</v>
      </c>
      <c r="AC176" s="368">
        <f>SUM(AC53)</f>
        <v>8951.8719113049247</v>
      </c>
      <c r="AE176" s="145"/>
    </row>
    <row r="177" spans="1:31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270">
        <f>SUM(V75)</f>
        <v>11537.7201</v>
      </c>
      <c r="W177" s="273"/>
      <c r="X177" s="342">
        <f>SUM(X75)</f>
        <v>11452.9005610898</v>
      </c>
      <c r="Y177" s="273"/>
      <c r="Z177" s="342">
        <f>SUM(Z75)</f>
        <v>12309.744715542563</v>
      </c>
      <c r="AA177" s="342">
        <f>SUM(AA75)</f>
        <v>13199.841952346265</v>
      </c>
      <c r="AB177" s="342">
        <f>SUM(AB75)</f>
        <v>14049.579563719695</v>
      </c>
      <c r="AC177" s="342">
        <f>SUM(AC75)</f>
        <v>15064.179368989671</v>
      </c>
      <c r="AE177" s="145"/>
    </row>
    <row r="178" spans="1:31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422">
        <f>SUM(V95)</f>
        <v>12.636430000000001</v>
      </c>
      <c r="W178" s="273"/>
      <c r="X178" s="343">
        <f>SUM(X95)</f>
        <v>12.825976449999997</v>
      </c>
      <c r="Y178" s="273"/>
      <c r="Z178" s="343">
        <f>SUM(Z95)</f>
        <v>13.082495978999999</v>
      </c>
      <c r="AA178" s="343">
        <f>SUM(AA95)</f>
        <v>13.344145898580001</v>
      </c>
      <c r="AB178" s="343">
        <f>SUM(AB95)</f>
        <v>13.611028816551599</v>
      </c>
      <c r="AC178" s="343">
        <f>SUM(AC95)</f>
        <v>13.883249392882632</v>
      </c>
      <c r="AE178" s="145"/>
    </row>
    <row r="179" spans="1:31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175"/>
      <c r="T179" s="179">
        <f>SUM(T111)</f>
        <v>3479.2761100000002</v>
      </c>
      <c r="U179" s="273"/>
      <c r="V179" s="181">
        <f>SUM(V111)</f>
        <v>3280.9031100000002</v>
      </c>
      <c r="W179" s="273"/>
      <c r="X179" s="338">
        <f>SUM(X111)</f>
        <v>3330.1166566500001</v>
      </c>
      <c r="Y179" s="273"/>
      <c r="Z179" s="338">
        <f>SUM(Z111)</f>
        <v>3396.7189897829999</v>
      </c>
      <c r="AA179" s="338">
        <f>SUM(AA111)</f>
        <v>3464.6533695786602</v>
      </c>
      <c r="AB179" s="338">
        <f>SUM(AB111)</f>
        <v>3533.9464369702328</v>
      </c>
      <c r="AC179" s="338">
        <f>SUM(AC111)</f>
        <v>3604.6253657096377</v>
      </c>
      <c r="AE179" s="145"/>
    </row>
    <row r="180" spans="1:31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175"/>
      <c r="T180" s="272"/>
      <c r="U180" s="271"/>
      <c r="V180" s="342"/>
      <c r="W180" s="271"/>
      <c r="X180" s="342"/>
      <c r="Y180" s="271"/>
      <c r="Z180" s="342"/>
      <c r="AA180" s="342"/>
      <c r="AB180" s="342"/>
      <c r="AC180" s="342"/>
      <c r="AE180" s="144"/>
    </row>
    <row r="181" spans="1:31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05">SUM(G174:G179)</f>
        <v>22467.722571320119</v>
      </c>
      <c r="H181" s="3"/>
      <c r="I181" s="178">
        <f t="shared" si="105"/>
        <v>25222.541358363891</v>
      </c>
      <c r="J181" s="181"/>
      <c r="K181" s="180"/>
      <c r="L181" s="178">
        <f t="shared" ref="L181:AA181" si="106">SUM(L174:L179)</f>
        <v>27721.837982187997</v>
      </c>
      <c r="M181" s="181"/>
      <c r="N181" s="178">
        <f t="shared" ref="N181" si="107">SUM(N174:N179)</f>
        <v>29497.728188102526</v>
      </c>
      <c r="O181" s="280"/>
      <c r="P181" s="179">
        <f t="shared" si="106"/>
        <v>30629.426470680279</v>
      </c>
      <c r="Q181" s="281"/>
      <c r="R181" s="179">
        <f>SUM(R174:R179)</f>
        <v>33603.611274662006</v>
      </c>
      <c r="S181" s="175"/>
      <c r="T181" s="179">
        <f>SUM(T174:T179)</f>
        <v>33724.400079999999</v>
      </c>
      <c r="U181" s="273"/>
      <c r="V181" s="338">
        <f t="shared" si="106"/>
        <v>34944.226320000002</v>
      </c>
      <c r="W181" s="273"/>
      <c r="X181" s="338">
        <f t="shared" si="106"/>
        <v>35335.457199685879</v>
      </c>
      <c r="Y181" s="273"/>
      <c r="Z181" s="338">
        <f t="shared" si="106"/>
        <v>37337.737872803045</v>
      </c>
      <c r="AA181" s="338">
        <f t="shared" si="106"/>
        <v>40322.338308425213</v>
      </c>
      <c r="AB181" s="338">
        <f>SUM(AB174:AB179)</f>
        <v>43071.181198763807</v>
      </c>
      <c r="AC181" s="338">
        <f>SUM(AC174:AC179)</f>
        <v>46556.041566846674</v>
      </c>
      <c r="AE181" s="144"/>
    </row>
    <row r="182" spans="1:31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175"/>
      <c r="T182" s="272"/>
      <c r="U182" s="271"/>
      <c r="V182" s="342"/>
      <c r="W182" s="271"/>
      <c r="X182" s="342"/>
      <c r="Y182" s="271"/>
      <c r="Z182" s="342"/>
      <c r="AA182" s="342"/>
      <c r="AB182" s="342"/>
      <c r="AC182" s="342"/>
      <c r="AE182" s="144"/>
    </row>
    <row r="183" spans="1:31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175"/>
      <c r="T183" s="272"/>
      <c r="U183" s="271"/>
      <c r="V183" s="342"/>
      <c r="W183" s="271"/>
      <c r="X183" s="342"/>
      <c r="Y183" s="271"/>
      <c r="Z183" s="342"/>
      <c r="AA183" s="342"/>
      <c r="AB183" s="342"/>
      <c r="AC183" s="342"/>
      <c r="AE183" s="144"/>
    </row>
    <row r="184" spans="1:31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175"/>
      <c r="T184" s="276">
        <f>SUM(T130)</f>
        <v>3358.2858700000002</v>
      </c>
      <c r="U184" s="273"/>
      <c r="V184" s="342">
        <f>SUM(V130)</f>
        <v>3563.96029</v>
      </c>
      <c r="W184" s="355"/>
      <c r="X184" s="342">
        <f>SUM(X130)</f>
        <v>4096.8414941846258</v>
      </c>
      <c r="Y184" s="355"/>
      <c r="Z184" s="342">
        <f>SUM(Z130)</f>
        <v>4520.6089819571316</v>
      </c>
      <c r="AA184" s="342">
        <f>SUM(AA130)</f>
        <v>4951.4408521681462</v>
      </c>
      <c r="AB184" s="342">
        <f>SUM(AB130)</f>
        <v>5416.1790007420122</v>
      </c>
      <c r="AC184" s="342">
        <f>SUM(AC130)</f>
        <v>5868.0135763222479</v>
      </c>
      <c r="AE184" s="145"/>
    </row>
    <row r="185" spans="1:31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175"/>
      <c r="T185" s="276">
        <f>SUM(T147)</f>
        <v>1765.7096300000001</v>
      </c>
      <c r="U185" s="273"/>
      <c r="V185" s="270">
        <f>SUM(V147)</f>
        <v>1655.63895</v>
      </c>
      <c r="W185" s="273"/>
      <c r="X185" s="342">
        <f>SUM(X147)</f>
        <v>1891.7815198947171</v>
      </c>
      <c r="Y185" s="273"/>
      <c r="Z185" s="342">
        <f>SUM(Z147)</f>
        <v>2079.3984473092009</v>
      </c>
      <c r="AA185" s="342">
        <f>SUM(AA147)</f>
        <v>2270.1494641187687</v>
      </c>
      <c r="AB185" s="342">
        <f>SUM(AB147)</f>
        <v>2475.796763686285</v>
      </c>
      <c r="AC185" s="342">
        <f>SUM(AC147)</f>
        <v>2675.8302762101484</v>
      </c>
      <c r="AE185" s="145"/>
    </row>
    <row r="186" spans="1:31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270">
        <f>SUM(V165)</f>
        <v>4225.4404299999997</v>
      </c>
      <c r="W186" s="273"/>
      <c r="X186" s="342">
        <f>SUM(X165)</f>
        <v>4631.5051251893237</v>
      </c>
      <c r="Y186" s="273"/>
      <c r="Z186" s="342">
        <f>SUM(Z165)</f>
        <v>4900.6281135910012</v>
      </c>
      <c r="AA186" s="342">
        <f>SUM(AA165)</f>
        <v>5139.3882285432419</v>
      </c>
      <c r="AB186" s="342">
        <f>SUM(AB165)</f>
        <v>5413.0156528983625</v>
      </c>
      <c r="AC186" s="342">
        <f>SUM(AC165)</f>
        <v>5674.9727882023399</v>
      </c>
      <c r="AE186" s="145"/>
    </row>
    <row r="187" spans="1:31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75"/>
      <c r="T187" s="179">
        <v>0</v>
      </c>
      <c r="U187" s="273"/>
      <c r="V187" s="181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C187" s="338">
        <v>0</v>
      </c>
      <c r="AE187" s="144"/>
    </row>
    <row r="188" spans="1:31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175"/>
      <c r="T188" s="272"/>
      <c r="U188" s="271"/>
      <c r="V188" s="342"/>
      <c r="W188" s="271"/>
      <c r="X188" s="342"/>
      <c r="Y188" s="271"/>
      <c r="Z188" s="342"/>
      <c r="AA188" s="342"/>
      <c r="AB188" s="342"/>
      <c r="AC188" s="342"/>
      <c r="AE188" s="27"/>
    </row>
    <row r="189" spans="1:31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08">SUM(G184:G186)</f>
        <v>5381.658967623669</v>
      </c>
      <c r="H189" s="3"/>
      <c r="I189" s="178">
        <f t="shared" si="108"/>
        <v>5836.652431139988</v>
      </c>
      <c r="J189" s="181"/>
      <c r="K189" s="180"/>
      <c r="L189" s="178">
        <f t="shared" ref="L189:AC189" si="109">SUM(L184:L186)</f>
        <v>6656.9436187574665</v>
      </c>
      <c r="M189" s="181"/>
      <c r="N189" s="178">
        <f t="shared" ref="N189" si="110">SUM(N184:N186)</f>
        <v>6826.5169189769413</v>
      </c>
      <c r="O189" s="181"/>
      <c r="P189" s="179">
        <f t="shared" si="109"/>
        <v>7377.2878482527303</v>
      </c>
      <c r="Q189" s="180"/>
      <c r="R189" s="179">
        <f>SUM(R184:R186)</f>
        <v>8337.9596247768241</v>
      </c>
      <c r="S189" s="175"/>
      <c r="T189" s="179">
        <f>SUM(T184:T186)</f>
        <v>9536.0529500000011</v>
      </c>
      <c r="U189" s="273"/>
      <c r="V189" s="338">
        <f>SUM(V184:V186)</f>
        <v>9445.0396699999983</v>
      </c>
      <c r="W189" s="273"/>
      <c r="X189" s="338">
        <f t="shared" si="109"/>
        <v>10620.128139268667</v>
      </c>
      <c r="Y189" s="273"/>
      <c r="Z189" s="338">
        <f t="shared" si="109"/>
        <v>11500.635542857333</v>
      </c>
      <c r="AA189" s="338">
        <f t="shared" si="109"/>
        <v>12360.978544830155</v>
      </c>
      <c r="AB189" s="338">
        <f t="shared" si="109"/>
        <v>13304.991417326659</v>
      </c>
      <c r="AC189" s="338">
        <f t="shared" si="109"/>
        <v>14218.816640734736</v>
      </c>
    </row>
    <row r="190" spans="1:31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175"/>
      <c r="T190" s="270"/>
      <c r="U190" s="271"/>
      <c r="V190" s="368"/>
      <c r="W190" s="271"/>
      <c r="X190" s="342"/>
      <c r="Y190" s="271"/>
      <c r="Z190" s="342"/>
      <c r="AA190" s="342"/>
      <c r="AB190" s="342"/>
      <c r="AC190" s="342"/>
    </row>
    <row r="191" spans="1:31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75"/>
      <c r="T191" s="141">
        <f>SUM(T181+T189)</f>
        <v>43260.453030000004</v>
      </c>
      <c r="U191" s="273"/>
      <c r="V191" s="392">
        <f>SUM(V181+V189)</f>
        <v>44389.26599</v>
      </c>
      <c r="W191" s="446"/>
      <c r="X191" s="392">
        <f>SUM(X181+X189)</f>
        <v>45955.585338954545</v>
      </c>
      <c r="Y191" s="446"/>
      <c r="Z191" s="392">
        <f>SUM(Z181+Z189)</f>
        <v>48838.373415660375</v>
      </c>
      <c r="AA191" s="392">
        <f>SUM(AA181+AA189)</f>
        <v>52683.316853255368</v>
      </c>
      <c r="AB191" s="392">
        <f>SUM(AB181+AB189)</f>
        <v>56376.172616090465</v>
      </c>
      <c r="AC191" s="392">
        <f>SUM(AC181+AC189)</f>
        <v>60774.858207581412</v>
      </c>
    </row>
    <row r="192" spans="1:31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175"/>
      <c r="T192" s="285"/>
      <c r="U192" s="286"/>
      <c r="V192" s="285"/>
      <c r="W192" s="286"/>
      <c r="X192" s="285"/>
      <c r="Y192" s="286"/>
      <c r="Z192" s="285"/>
      <c r="AA192" s="285"/>
      <c r="AB192" s="285"/>
      <c r="AC192" s="285"/>
    </row>
    <row r="193" spans="1:29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175"/>
      <c r="T193" s="289">
        <f>SUM(T191-R191)</f>
        <v>1318.8821305611782</v>
      </c>
      <c r="U193" s="175"/>
      <c r="V193" s="289">
        <f>SUM(V191-T191)</f>
        <v>1128.8129599999957</v>
      </c>
      <c r="W193" s="175"/>
      <c r="X193" s="289">
        <f>SUM(X191-V191)</f>
        <v>1566.3193489545447</v>
      </c>
      <c r="Y193" s="175"/>
      <c r="Z193" s="289">
        <f>SUM(Z191-X191)</f>
        <v>2882.7880767058305</v>
      </c>
      <c r="AA193" s="289">
        <f>SUM(AA191-Z191)</f>
        <v>3844.9434375949932</v>
      </c>
      <c r="AB193" s="289">
        <f>SUM(AB191-AA191)</f>
        <v>3692.8557628350973</v>
      </c>
      <c r="AC193" s="289">
        <f>SUM(AC191-AB191)</f>
        <v>4398.6855914909465</v>
      </c>
    </row>
    <row r="194" spans="1:29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S194" s="12"/>
      <c r="U194" s="12"/>
      <c r="W194" s="12"/>
      <c r="Y194" s="12"/>
    </row>
    <row r="195" spans="1:29" x14ac:dyDescent="0.3">
      <c r="L195" s="10">
        <f>(L191-I191)/I191</f>
        <v>0.10687939403512148</v>
      </c>
      <c r="N195" s="10">
        <f>(N191-L191)/L191</f>
        <v>5.6589076620461323E-2</v>
      </c>
      <c r="P195" s="10">
        <f>(P191-N191)/N191</f>
        <v>4.631807782636152E-2</v>
      </c>
      <c r="R195" s="10">
        <f>(R191-P191)/P191</f>
        <v>0.10353056429678457</v>
      </c>
      <c r="T195" s="10">
        <f>(T191-R191)/R191</f>
        <v>3.1445701776964791E-2</v>
      </c>
      <c r="U195" s="10"/>
      <c r="V195" s="10">
        <f>(V191-T191)/T191</f>
        <v>2.6093415138699384E-2</v>
      </c>
      <c r="W195" s="10"/>
      <c r="X195" s="10">
        <f>(X191-V191)/V191</f>
        <v>3.528599344957415E-2</v>
      </c>
      <c r="Y195" s="10"/>
      <c r="Z195" s="10">
        <f>(Z191-X191)/X191</f>
        <v>6.2729873973821779E-2</v>
      </c>
      <c r="AA195" s="10">
        <f>(AA191-Z191)/Z191</f>
        <v>7.8727917591990978E-2</v>
      </c>
      <c r="AB195" s="10">
        <f>(AB191-AA191)/AA191</f>
        <v>7.0095354343789981E-2</v>
      </c>
      <c r="AC195" s="10">
        <f>(AC191-AB191)/AB191</f>
        <v>7.8023842119347889E-2</v>
      </c>
    </row>
    <row r="232" spans="20:22" x14ac:dyDescent="0.3">
      <c r="T232" s="354"/>
      <c r="V232" s="354"/>
    </row>
    <row r="233" spans="20:22" x14ac:dyDescent="0.3">
      <c r="T233" s="354"/>
      <c r="V233" s="354"/>
    </row>
    <row r="234" spans="20:22" x14ac:dyDescent="0.3">
      <c r="T234" s="354"/>
      <c r="V234" s="354"/>
    </row>
    <row r="236" spans="20:22" x14ac:dyDescent="0.3">
      <c r="T236" s="357"/>
      <c r="V236" s="357"/>
    </row>
  </sheetData>
  <pageMargins left="0.7" right="0.7" top="0.75" bottom="0.75" header="0.3" footer="0.3"/>
  <pageSetup paperSize="5" scale="60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5"/>
  <sheetViews>
    <sheetView topLeftCell="E1" zoomScaleNormal="100" workbookViewId="0">
      <pane ySplit="5" topLeftCell="A6" activePane="bottomLeft" state="frozen"/>
      <selection pane="bottomLeft" activeCell="J29" sqref="J29"/>
    </sheetView>
  </sheetViews>
  <sheetFormatPr defaultRowHeight="14.4" x14ac:dyDescent="0.3"/>
  <cols>
    <col min="1" max="1" width="7.109375" customWidth="1"/>
    <col min="2" max="2" width="12.88671875" customWidth="1"/>
    <col min="4" max="4" width="10.6640625" bestFit="1" customWidth="1"/>
    <col min="7" max="7" width="9.88671875" customWidth="1"/>
    <col min="10" max="11" width="10.44140625" customWidth="1"/>
    <col min="12" max="12" width="11.33203125" bestFit="1" customWidth="1"/>
    <col min="13" max="13" width="9.6640625" hidden="1" customWidth="1"/>
    <col min="16" max="16" width="9.88671875" customWidth="1"/>
  </cols>
  <sheetData>
    <row r="1" spans="1:18" x14ac:dyDescent="0.3">
      <c r="A1" s="345" t="s">
        <v>155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18" x14ac:dyDescent="0.3"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18" ht="15" customHeight="1" x14ac:dyDescent="0.3">
      <c r="C3" s="627" t="s">
        <v>208</v>
      </c>
      <c r="D3" s="627"/>
      <c r="E3" s="627"/>
      <c r="F3" s="627"/>
      <c r="G3" s="627"/>
      <c r="H3" s="627"/>
      <c r="I3" s="627"/>
      <c r="J3" s="499"/>
      <c r="K3" s="383"/>
      <c r="L3" s="627" t="s">
        <v>202</v>
      </c>
      <c r="M3" s="627"/>
      <c r="N3" s="627"/>
      <c r="O3" s="627"/>
      <c r="P3" s="627"/>
      <c r="Q3" s="627"/>
      <c r="R3" s="627"/>
    </row>
    <row r="4" spans="1:18" x14ac:dyDescent="0.3">
      <c r="K4" s="383"/>
    </row>
    <row r="5" spans="1:18" x14ac:dyDescent="0.3">
      <c r="C5" s="482">
        <v>2019</v>
      </c>
      <c r="D5" s="482"/>
      <c r="E5" s="492">
        <f>C5+1</f>
        <v>2020</v>
      </c>
      <c r="F5" s="492">
        <f>E5+1</f>
        <v>2021</v>
      </c>
      <c r="G5" s="492">
        <f>F5+1</f>
        <v>2022</v>
      </c>
      <c r="H5" s="492">
        <f>G5+1</f>
        <v>2023</v>
      </c>
      <c r="I5" s="492">
        <f>H5+1</f>
        <v>2024</v>
      </c>
      <c r="J5" s="495"/>
      <c r="K5" s="383"/>
      <c r="L5" s="492">
        <v>2019</v>
      </c>
      <c r="M5" s="492"/>
      <c r="N5" s="492">
        <f>L5+1</f>
        <v>2020</v>
      </c>
      <c r="O5" s="492">
        <f>N5+1</f>
        <v>2021</v>
      </c>
      <c r="P5" s="482">
        <f>O5+1</f>
        <v>2022</v>
      </c>
      <c r="Q5" s="482">
        <f>P5+1</f>
        <v>2023</v>
      </c>
      <c r="R5" s="482">
        <f>Q5+1</f>
        <v>2024</v>
      </c>
    </row>
    <row r="6" spans="1:18" x14ac:dyDescent="0.3">
      <c r="A6" t="s">
        <v>157</v>
      </c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</row>
    <row r="7" spans="1:18" x14ac:dyDescent="0.3">
      <c r="B7" t="s">
        <v>158</v>
      </c>
      <c r="C7" s="348">
        <f>'Revision 06.16.20'!V174</f>
        <v>14133.776330000001</v>
      </c>
      <c r="D7" s="1">
        <f>(C7-L7)/L7</f>
        <v>0</v>
      </c>
      <c r="E7" s="386">
        <f>'Revision 06.16.20'!X174</f>
        <v>14053.645011972199</v>
      </c>
      <c r="F7" s="386">
        <f>'Revision 06.16.20'!Z174</f>
        <v>14569.035117258458</v>
      </c>
      <c r="G7" s="386">
        <f>'Revision 06.16.20'!AA174</f>
        <v>15978.870275258629</v>
      </c>
      <c r="H7" s="386">
        <f>'Revision 06.16.20'!AB174</f>
        <v>17250.399477981708</v>
      </c>
      <c r="I7" s="386">
        <f>'Revision 06.16.20'!AC174</f>
        <v>18921.481671449554</v>
      </c>
      <c r="J7" s="500"/>
      <c r="K7" s="383"/>
      <c r="L7" s="386">
        <f>'Revision 04.23.20'!V174</f>
        <v>14133.776330000001</v>
      </c>
      <c r="M7" s="2" t="e">
        <f>(L7-#REF!)/#REF!</f>
        <v>#REF!</v>
      </c>
      <c r="N7" s="386">
        <f>'Revision 04.23.20'!X174</f>
        <v>14053.645011972199</v>
      </c>
      <c r="O7" s="386">
        <f>'Revision 04.23.20'!Z174</f>
        <v>14569.035117258458</v>
      </c>
      <c r="P7" s="348">
        <f>'Revision 04.23.20'!AA174</f>
        <v>15978.870275258629</v>
      </c>
      <c r="Q7" s="348">
        <f>'Revision 04.23.20'!AB174</f>
        <v>17250.399477981708</v>
      </c>
      <c r="R7" s="348">
        <f>'Revision 04.23.20'!AC174</f>
        <v>18921.481671449554</v>
      </c>
    </row>
    <row r="8" spans="1:18" x14ac:dyDescent="0.3">
      <c r="B8" t="s">
        <v>159</v>
      </c>
      <c r="C8" s="348">
        <f>'Revision 06.16.20'!V176</f>
        <v>5979.1903499999999</v>
      </c>
      <c r="D8" s="1">
        <f t="shared" ref="D8:D11" si="0">(C8-L8)/L8</f>
        <v>0</v>
      </c>
      <c r="E8" s="386">
        <f>'Revision 06.16.20'!X176</f>
        <v>6898.0322651011047</v>
      </c>
      <c r="F8" s="386">
        <f>'Revision 06.16.20'!Z176</f>
        <v>7476.2970640951798</v>
      </c>
      <c r="G8" s="386">
        <f>'Revision 06.16.20'!AA176</f>
        <v>8108.8105420815618</v>
      </c>
      <c r="H8" s="386">
        <f>'Revision 06.16.20'!AB176</f>
        <v>8682.07265031936</v>
      </c>
      <c r="I8" s="386">
        <f>'Revision 06.16.20'!AC176</f>
        <v>9428.3590688803761</v>
      </c>
      <c r="J8" s="386"/>
      <c r="K8" s="383"/>
      <c r="L8" s="386">
        <f>'Revision 04.23.20'!V176</f>
        <v>5979.1903499999999</v>
      </c>
      <c r="M8" s="2" t="e">
        <f>(L8-#REF!)/#REF!</f>
        <v>#REF!</v>
      </c>
      <c r="N8" s="386">
        <f>'Revision 04.23.20'!X176</f>
        <v>6485.9689935238766</v>
      </c>
      <c r="O8" s="386">
        <f>'Revision 04.23.20'!Z176</f>
        <v>7049.1565542400222</v>
      </c>
      <c r="P8" s="348">
        <f>'Revision 04.23.20'!AA176</f>
        <v>7665.6285653430778</v>
      </c>
      <c r="Q8" s="348">
        <f>'Revision 04.23.20'!AB176</f>
        <v>8223.6446912756182</v>
      </c>
      <c r="R8" s="348">
        <f>'Revision 04.23.20'!AC176</f>
        <v>8951.8719113049247</v>
      </c>
    </row>
    <row r="9" spans="1:18" x14ac:dyDescent="0.3">
      <c r="B9" t="s">
        <v>160</v>
      </c>
      <c r="C9" s="348">
        <f>'Revision 06.16.20'!V177</f>
        <v>11537.7201</v>
      </c>
      <c r="D9" s="1">
        <f t="shared" si="0"/>
        <v>0</v>
      </c>
      <c r="E9" s="386">
        <f>'Revision 06.16.20'!X177</f>
        <v>11703.932587568341</v>
      </c>
      <c r="F9" s="386">
        <f>'Revision 06.16.20'!Z177</f>
        <v>12532.104094065997</v>
      </c>
      <c r="G9" s="386">
        <f>'Revision 06.16.20'!AA177</f>
        <v>13407.104332687033</v>
      </c>
      <c r="H9" s="386">
        <f>'Revision 06.16.20'!AB177</f>
        <v>14243.208367609559</v>
      </c>
      <c r="I9" s="386">
        <f>'Revision 06.16.20'!AC177</f>
        <v>15239.413746248749</v>
      </c>
      <c r="J9" s="386"/>
      <c r="K9" s="383"/>
      <c r="L9" s="386">
        <f>'Revision 04.23.20'!V177</f>
        <v>11537.7201</v>
      </c>
      <c r="M9" s="2" t="e">
        <f>(L9-#REF!)/#REF!</f>
        <v>#REF!</v>
      </c>
      <c r="N9" s="386">
        <f>'Revision 04.23.20'!X177</f>
        <v>11452.9005610898</v>
      </c>
      <c r="O9" s="386">
        <f>'Revision 04.23.20'!Z177</f>
        <v>12309.744715542563</v>
      </c>
      <c r="P9" s="348">
        <f>'Revision 04.23.20'!AA177</f>
        <v>13199.841952346265</v>
      </c>
      <c r="Q9" s="348">
        <f>'Revision 04.23.20'!AB177</f>
        <v>14049.579563719695</v>
      </c>
      <c r="R9" s="348">
        <f>'Revision 04.23.20'!AC177</f>
        <v>15064.179368989671</v>
      </c>
    </row>
    <row r="10" spans="1:18" x14ac:dyDescent="0.3">
      <c r="B10" t="s">
        <v>161</v>
      </c>
      <c r="C10" s="348">
        <f>'Revision 06.16.20'!V178+'Revision 06.16.20'!V179</f>
        <v>3293.5395400000002</v>
      </c>
      <c r="D10" s="1">
        <f t="shared" si="0"/>
        <v>0</v>
      </c>
      <c r="E10" s="386">
        <f>'Revision 06.16.20'!X178+'Revision 06.16.20'!X179</f>
        <v>3553.384052008385</v>
      </c>
      <c r="F10" s="386">
        <f>'Revision 06.16.20'!Z178+'Revision 06.16.20'!Z179</f>
        <v>3624.4517330485528</v>
      </c>
      <c r="G10" s="386">
        <f>'Revision 06.16.20'!AA178+'Revision 06.16.20'!AA179</f>
        <v>3696.9407677095237</v>
      </c>
      <c r="H10" s="386">
        <f>'Revision 06.16.20'!AB178+'Revision 06.16.20'!AB179</f>
        <v>3770.8795830637137</v>
      </c>
      <c r="I10" s="386">
        <f>'Revision 06.16.20'!AC178+'Revision 06.16.20'!AC179</f>
        <v>3846.2971747249881</v>
      </c>
      <c r="J10" s="386"/>
      <c r="K10" s="383"/>
      <c r="L10" s="386">
        <f>'Revision 04.23.20'!V178+'Revision 04.23.20'!V179</f>
        <v>3293.5395400000002</v>
      </c>
      <c r="M10" s="2" t="e">
        <f>(L10-#REF!)/#REF!</f>
        <v>#REF!</v>
      </c>
      <c r="N10" s="386">
        <f>'Revision 04.23.20'!X178+'Revision 04.23.20'!X179</f>
        <v>3342.9426331</v>
      </c>
      <c r="O10" s="386">
        <f>'Revision 04.23.20'!Z178+'Revision 04.23.20'!Z179</f>
        <v>3409.8014857620001</v>
      </c>
      <c r="P10" s="348">
        <f>'Revision 04.23.20'!AA178+'Revision 04.23.20'!AA179</f>
        <v>3477.9975154772401</v>
      </c>
      <c r="Q10" s="348">
        <f>'Revision 04.23.20'!AB178+'Revision 04.23.20'!AB179</f>
        <v>3547.5574657867842</v>
      </c>
      <c r="R10" s="348">
        <f>'Revision 04.23.20'!AC178+'Revision 04.23.20'!AC179</f>
        <v>3618.5086151025203</v>
      </c>
    </row>
    <row r="11" spans="1:18" x14ac:dyDescent="0.3">
      <c r="A11" t="s">
        <v>162</v>
      </c>
      <c r="C11" s="349">
        <f>SUM(C7:C10)</f>
        <v>34944.226320000002</v>
      </c>
      <c r="D11" s="1">
        <f t="shared" si="0"/>
        <v>0</v>
      </c>
      <c r="E11" s="389">
        <f>SUM(E7:E10)</f>
        <v>36208.993916650026</v>
      </c>
      <c r="F11" s="389">
        <f t="shared" ref="F11:H11" si="1">SUM(F7:F10)</f>
        <v>38201.888008468188</v>
      </c>
      <c r="G11" s="389">
        <f t="shared" si="1"/>
        <v>41191.725917736745</v>
      </c>
      <c r="H11" s="389">
        <f t="shared" si="1"/>
        <v>43946.560078974333</v>
      </c>
      <c r="I11" s="389">
        <f>SUM(I7:I10)</f>
        <v>47435.551661303667</v>
      </c>
      <c r="J11" s="390"/>
      <c r="K11" s="383"/>
      <c r="L11" s="389">
        <f>SUM(L7:L10)</f>
        <v>34944.226320000002</v>
      </c>
      <c r="M11" s="2" t="e">
        <f>(L11-#REF!)/#REF!</f>
        <v>#REF!</v>
      </c>
      <c r="N11" s="389">
        <f>SUM(N7:N10)</f>
        <v>35335.457199685879</v>
      </c>
      <c r="O11" s="389">
        <f t="shared" ref="O11:R11" si="2">SUM(O7:O10)</f>
        <v>37337.737872803045</v>
      </c>
      <c r="P11" s="349">
        <f t="shared" si="2"/>
        <v>40322.338308425213</v>
      </c>
      <c r="Q11" s="349">
        <f t="shared" si="2"/>
        <v>43071.181198763807</v>
      </c>
      <c r="R11" s="349">
        <f t="shared" si="2"/>
        <v>46556.041566846667</v>
      </c>
    </row>
    <row r="12" spans="1:18" x14ac:dyDescent="0.3">
      <c r="D12" s="411"/>
      <c r="E12" s="384">
        <f>(E11-N11)/N11</f>
        <v>2.4721251292367945E-2</v>
      </c>
      <c r="F12" s="384">
        <f>(F11-O11)/O11</f>
        <v>2.3144148116551883E-2</v>
      </c>
      <c r="G12" s="384">
        <f>(G11-P11)/P11</f>
        <v>2.1560942291133863E-2</v>
      </c>
      <c r="H12" s="384">
        <f>(H11-Q11)/Q11</f>
        <v>2.0324004493186523E-2</v>
      </c>
      <c r="I12" s="384">
        <f>(I11-R11)/R11</f>
        <v>1.8891427725747933E-2</v>
      </c>
      <c r="J12" s="384"/>
      <c r="K12" s="383"/>
      <c r="L12" s="383"/>
      <c r="M12" s="498"/>
      <c r="N12" s="384"/>
      <c r="O12" s="384"/>
      <c r="P12" s="10"/>
      <c r="Q12" s="10"/>
      <c r="R12" s="10"/>
    </row>
    <row r="13" spans="1:18" x14ac:dyDescent="0.3">
      <c r="A13" t="s">
        <v>163</v>
      </c>
      <c r="D13" s="411"/>
      <c r="K13" s="383"/>
      <c r="M13" s="411"/>
    </row>
    <row r="14" spans="1:18" x14ac:dyDescent="0.3">
      <c r="B14" t="s">
        <v>158</v>
      </c>
      <c r="C14" s="348">
        <f>'Revision 06.16.20'!V184</f>
        <v>3563.96029</v>
      </c>
      <c r="D14" s="1">
        <f>(C14-L14)/L14</f>
        <v>0</v>
      </c>
      <c r="E14" s="348">
        <f>'Revision 06.16.20'!X184</f>
        <v>4096.8414941846258</v>
      </c>
      <c r="F14" s="348">
        <f>'Revision 06.16.20'!Z184</f>
        <v>4520.6089819571316</v>
      </c>
      <c r="G14" s="348">
        <f>'Revision 06.16.20'!AA184</f>
        <v>4951.4408521681462</v>
      </c>
      <c r="H14" s="348">
        <f>'Revision 06.16.20'!AB184</f>
        <v>5416.1790007420122</v>
      </c>
      <c r="I14" s="348">
        <f>'Revision 06.16.20'!AC184</f>
        <v>5868.0135763222479</v>
      </c>
      <c r="J14" s="500"/>
      <c r="K14" s="383"/>
      <c r="L14" s="348">
        <f>'Revision 04.23.20'!V184</f>
        <v>3563.96029</v>
      </c>
      <c r="M14" s="1" t="e">
        <f>(L14-#REF!)/#REF!</f>
        <v>#REF!</v>
      </c>
      <c r="N14" s="348">
        <f>'Revision 04.23.20'!X184</f>
        <v>4096.8414941846258</v>
      </c>
      <c r="O14" s="348">
        <f>'Revision 04.23.20'!Z184</f>
        <v>4520.6089819571316</v>
      </c>
      <c r="P14" s="348">
        <f>'Revision 04.23.20'!AA184</f>
        <v>4951.4408521681462</v>
      </c>
      <c r="Q14" s="348">
        <f>'Revision 04.23.20'!AB184</f>
        <v>5416.1790007420122</v>
      </c>
      <c r="R14" s="348">
        <f>'Revision 04.23.20'!AC184</f>
        <v>5868.0135763222479</v>
      </c>
    </row>
    <row r="15" spans="1:18" x14ac:dyDescent="0.3">
      <c r="B15" t="s">
        <v>159</v>
      </c>
      <c r="C15" s="348">
        <f>'Revision 06.16.20'!V185</f>
        <v>1655.63895</v>
      </c>
      <c r="D15" s="1">
        <f>(C15-L15)/L15</f>
        <v>0</v>
      </c>
      <c r="E15" s="348">
        <f>'Revision 06.16.20'!X185</f>
        <v>1962.4064715089683</v>
      </c>
      <c r="F15" s="348">
        <f>'Revision 06.16.20'!Z185</f>
        <v>2152.8997689918633</v>
      </c>
      <c r="G15" s="348">
        <f>'Revision 06.16.20'!AA185</f>
        <v>2345.3086905537207</v>
      </c>
      <c r="H15" s="348">
        <f>'Revision 06.16.20'!AB185</f>
        <v>2552.6610103727808</v>
      </c>
      <c r="I15" s="348">
        <f>'Revision 06.16.20'!AC185</f>
        <v>2754.4213922465151</v>
      </c>
      <c r="J15" s="348"/>
      <c r="K15" s="383"/>
      <c r="L15" s="348">
        <f>'Revision 04.23.20'!V185</f>
        <v>1655.63895</v>
      </c>
      <c r="M15" s="1" t="e">
        <f>(L15-#REF!)/#REF!</f>
        <v>#REF!</v>
      </c>
      <c r="N15" s="348">
        <f>'Revision 04.23.20'!X185</f>
        <v>1891.7815198947171</v>
      </c>
      <c r="O15" s="348">
        <f>'Revision 04.23.20'!Z185</f>
        <v>2079.3984473092009</v>
      </c>
      <c r="P15" s="348">
        <f>'Revision 04.23.20'!AA185</f>
        <v>2270.1494641187687</v>
      </c>
      <c r="Q15" s="348">
        <f>'Revision 04.23.20'!AB185</f>
        <v>2475.796763686285</v>
      </c>
      <c r="R15" s="348">
        <f>'Revision 04.23.20'!AC185</f>
        <v>2675.8302762101484</v>
      </c>
    </row>
    <row r="16" spans="1:18" x14ac:dyDescent="0.3">
      <c r="B16" t="s">
        <v>161</v>
      </c>
      <c r="C16" s="348">
        <f>'Revision 06.16.20'!V186</f>
        <v>4225.4404299999997</v>
      </c>
      <c r="D16" s="1">
        <f>(C16-L16)/L16</f>
        <v>0</v>
      </c>
      <c r="E16" s="348">
        <f>'Revision 06.16.20'!X186</f>
        <v>4733.9507787609473</v>
      </c>
      <c r="F16" s="348">
        <f>'Revision 06.16.20'!Z186</f>
        <v>5132.8038313527059</v>
      </c>
      <c r="G16" s="348">
        <f>'Revision 06.16.20'!AA186</f>
        <v>5506.4422348012031</v>
      </c>
      <c r="H16" s="348">
        <f>'Revision 06.16.20'!AB186</f>
        <v>5920.250208905326</v>
      </c>
      <c r="I16" s="348">
        <f>'Revision 06.16.20'!AC186</f>
        <v>6327.8482943457611</v>
      </c>
      <c r="J16" s="348"/>
      <c r="K16" s="383"/>
      <c r="L16" s="348">
        <f>'Revision 04.23.20'!V186</f>
        <v>4225.4404299999997</v>
      </c>
      <c r="M16" s="1" t="e">
        <f>(L16-#REF!)/#REF!</f>
        <v>#REF!</v>
      </c>
      <c r="N16" s="348">
        <f>'Revision 04.23.20'!X186</f>
        <v>4631.5051251893237</v>
      </c>
      <c r="O16" s="348">
        <f>'Revision 04.23.20'!Z186</f>
        <v>4900.6281135910012</v>
      </c>
      <c r="P16" s="348">
        <f>'Revision 04.23.20'!AA186</f>
        <v>5139.3882285432419</v>
      </c>
      <c r="Q16" s="348">
        <f>'Revision 04.23.20'!AB186</f>
        <v>5413.0156528983625</v>
      </c>
      <c r="R16" s="348">
        <f>'Revision 04.23.20'!AC186</f>
        <v>5674.9727882023399</v>
      </c>
    </row>
    <row r="17" spans="1:18" x14ac:dyDescent="0.3">
      <c r="A17" t="s">
        <v>164</v>
      </c>
      <c r="C17" s="349">
        <f>SUM(C13:C16)</f>
        <v>9445.0396699999983</v>
      </c>
      <c r="D17" s="1">
        <f>(C17-L17)/L17</f>
        <v>0</v>
      </c>
      <c r="E17" s="349">
        <f>SUM(E13:E16)</f>
        <v>10793.198744454541</v>
      </c>
      <c r="F17" s="349">
        <f t="shared" ref="F17" si="3">SUM(F13:F16)</f>
        <v>11806.3125823017</v>
      </c>
      <c r="G17" s="349">
        <f>SUM(G13:G16)</f>
        <v>12803.19177752307</v>
      </c>
      <c r="H17" s="349">
        <f>SUM(H13:H16)</f>
        <v>13889.09022002012</v>
      </c>
      <c r="I17" s="349">
        <f>SUM(I13:I16)</f>
        <v>14950.283262914523</v>
      </c>
      <c r="J17" s="377"/>
      <c r="K17" s="383"/>
      <c r="L17" s="349">
        <f>SUM(L13:L16)</f>
        <v>9445.0396699999983</v>
      </c>
      <c r="M17" s="1" t="e">
        <f>(L17-#REF!)/#REF!</f>
        <v>#REF!</v>
      </c>
      <c r="N17" s="349">
        <f>SUM(N13:N16)</f>
        <v>10620.128139268667</v>
      </c>
      <c r="O17" s="349">
        <f t="shared" ref="O17:R17" si="4">SUM(O13:O16)</f>
        <v>11500.635542857333</v>
      </c>
      <c r="P17" s="349">
        <f t="shared" si="4"/>
        <v>12360.978544830155</v>
      </c>
      <c r="Q17" s="349">
        <f t="shared" si="4"/>
        <v>13304.991417326659</v>
      </c>
      <c r="R17" s="349">
        <f t="shared" si="4"/>
        <v>14218.816640734736</v>
      </c>
    </row>
    <row r="18" spans="1:18" x14ac:dyDescent="0.3">
      <c r="D18" s="411"/>
      <c r="E18" s="10">
        <f>(E17-N17)/N17</f>
        <v>1.6296470524299379E-2</v>
      </c>
      <c r="F18" s="10">
        <f>(F17-O17)/O17</f>
        <v>2.6579143239976202E-2</v>
      </c>
      <c r="G18" s="10">
        <f>(G17-P17)/P17</f>
        <v>3.5774937323054076E-2</v>
      </c>
      <c r="H18" s="10">
        <f>(H17-Q17)/Q17</f>
        <v>4.3900727506881974E-2</v>
      </c>
      <c r="I18" s="10">
        <f>(I17-R17)/R17</f>
        <v>5.1443565288284747E-2</v>
      </c>
      <c r="J18" s="10"/>
      <c r="K18" s="383"/>
      <c r="M18" s="411"/>
      <c r="N18" s="10"/>
      <c r="O18" s="10"/>
      <c r="P18" s="10"/>
      <c r="Q18" s="10"/>
      <c r="R18" s="10"/>
    </row>
    <row r="19" spans="1:18" x14ac:dyDescent="0.3">
      <c r="D19" s="411"/>
      <c r="E19" s="10"/>
      <c r="F19" s="10"/>
      <c r="G19" s="10"/>
      <c r="H19" s="10"/>
      <c r="I19" s="10"/>
      <c r="J19" s="10"/>
      <c r="K19" s="383"/>
      <c r="M19" s="411"/>
      <c r="N19" s="10"/>
      <c r="O19" s="10"/>
      <c r="P19" s="10"/>
      <c r="Q19" s="10"/>
      <c r="R19" s="10"/>
    </row>
    <row r="20" spans="1:18" x14ac:dyDescent="0.3">
      <c r="A20" s="345" t="s">
        <v>165</v>
      </c>
      <c r="B20" s="345"/>
      <c r="C20" s="350">
        <f>C11+C17</f>
        <v>44389.26599</v>
      </c>
      <c r="D20" s="351">
        <f>(C20-L20)/L20</f>
        <v>0</v>
      </c>
      <c r="E20" s="350">
        <f>E11+E17</f>
        <v>47002.192661104564</v>
      </c>
      <c r="F20" s="350">
        <f>F11+F17</f>
        <v>50008.200590769891</v>
      </c>
      <c r="G20" s="350">
        <f>G11+G17</f>
        <v>53994.917695259814</v>
      </c>
      <c r="H20" s="350">
        <f>H11+H17</f>
        <v>57835.650298994457</v>
      </c>
      <c r="I20" s="350">
        <f>I11+I17</f>
        <v>62385.834924218187</v>
      </c>
      <c r="J20" s="350"/>
      <c r="K20" s="383"/>
      <c r="L20" s="350">
        <f>L11+L17</f>
        <v>44389.26599</v>
      </c>
      <c r="M20" s="351" t="e">
        <f>(L20-T20)/T20</f>
        <v>#DIV/0!</v>
      </c>
      <c r="N20" s="350">
        <f>N11+N17</f>
        <v>45955.585338954545</v>
      </c>
      <c r="O20" s="350">
        <f>O11+O17</f>
        <v>48838.373415660375</v>
      </c>
      <c r="P20" s="350">
        <f>P11+P17</f>
        <v>52683.316853255368</v>
      </c>
      <c r="Q20" s="350">
        <f>Q11+Q17</f>
        <v>56376.172616090465</v>
      </c>
      <c r="R20" s="350">
        <f>R11+R17</f>
        <v>60774.858207581405</v>
      </c>
    </row>
    <row r="21" spans="1:18" x14ac:dyDescent="0.3">
      <c r="A21" s="364" t="s">
        <v>215</v>
      </c>
      <c r="B21" s="345"/>
      <c r="C21" s="366">
        <f>C20-L20</f>
        <v>0</v>
      </c>
      <c r="D21" s="365"/>
      <c r="E21" s="366">
        <f>E20-N20</f>
        <v>1046.6073221500192</v>
      </c>
      <c r="F21" s="366">
        <f>F20-O20</f>
        <v>1169.8271751095162</v>
      </c>
      <c r="G21" s="366">
        <f>G20-P20</f>
        <v>1311.6008420044454</v>
      </c>
      <c r="H21" s="366">
        <f>H20-Q20</f>
        <v>1459.4776829039911</v>
      </c>
      <c r="I21" s="366">
        <f>I20-R20</f>
        <v>1610.9767166367819</v>
      </c>
      <c r="J21" s="366"/>
      <c r="K21" s="383"/>
      <c r="M21" s="411"/>
      <c r="N21" s="10"/>
      <c r="O21" s="10"/>
      <c r="P21" s="10"/>
      <c r="Q21" s="10"/>
      <c r="R21" s="10"/>
    </row>
    <row r="22" spans="1:18" x14ac:dyDescent="0.3">
      <c r="C22" s="10">
        <f>(C20-L20)/L20</f>
        <v>0</v>
      </c>
      <c r="E22" s="10">
        <f>(E20-N20)/N20</f>
        <v>2.2774322520985404E-2</v>
      </c>
      <c r="F22" s="10">
        <f>(F20-O20)/O20</f>
        <v>2.3953033102744631E-2</v>
      </c>
      <c r="G22" s="10">
        <f>(G20-P20)/P20</f>
        <v>2.4895942783135529E-2</v>
      </c>
      <c r="H22" s="10">
        <f>(H20-Q20)/Q20</f>
        <v>2.5888200904355785E-2</v>
      </c>
      <c r="I22" s="10">
        <f>(I20-R20)/R20</f>
        <v>2.6507288772840271E-2</v>
      </c>
      <c r="J22" s="10"/>
      <c r="K22" s="383"/>
      <c r="M22" s="411"/>
      <c r="N22" s="10"/>
      <c r="O22" s="10"/>
      <c r="P22" s="10"/>
      <c r="Q22" s="10"/>
      <c r="R22" s="10"/>
    </row>
    <row r="23" spans="1:18" x14ac:dyDescent="0.3">
      <c r="K23" s="383"/>
      <c r="M23" s="411"/>
      <c r="N23" s="10"/>
      <c r="O23" s="10"/>
      <c r="P23" s="10"/>
      <c r="Q23" s="10"/>
      <c r="R23" s="10"/>
    </row>
    <row r="24" spans="1:18" x14ac:dyDescent="0.3">
      <c r="C24" s="413"/>
      <c r="E24" s="10"/>
      <c r="F24" s="10"/>
      <c r="G24" s="10"/>
      <c r="H24" s="10"/>
      <c r="I24" s="10"/>
      <c r="J24" s="629" t="s">
        <v>223</v>
      </c>
      <c r="K24" s="630"/>
      <c r="L24" s="631"/>
      <c r="M24" s="411"/>
      <c r="N24" s="10"/>
      <c r="O24" s="10"/>
      <c r="P24" s="10"/>
      <c r="Q24" s="10"/>
      <c r="R24" s="10"/>
    </row>
    <row r="25" spans="1:18" x14ac:dyDescent="0.3">
      <c r="A25" s="472"/>
      <c r="B25" s="410"/>
      <c r="C25" s="414" t="s">
        <v>183</v>
      </c>
      <c r="D25" s="416">
        <v>43944</v>
      </c>
      <c r="E25" s="419" t="s">
        <v>184</v>
      </c>
      <c r="J25" s="494" t="s">
        <v>220</v>
      </c>
      <c r="K25" s="510" t="s">
        <v>221</v>
      </c>
      <c r="L25" s="409" t="s">
        <v>222</v>
      </c>
      <c r="M25" s="394"/>
    </row>
    <row r="26" spans="1:18" x14ac:dyDescent="0.3">
      <c r="A26" s="472">
        <v>2020</v>
      </c>
      <c r="B26" s="501" t="s">
        <v>203</v>
      </c>
      <c r="C26" s="389">
        <f>+E7</f>
        <v>14053.645011972199</v>
      </c>
      <c r="D26" s="389">
        <f>N7</f>
        <v>14053.645011972199</v>
      </c>
      <c r="E26" s="502">
        <f>+C26-D26</f>
        <v>0</v>
      </c>
      <c r="F26" s="500" t="s">
        <v>209</v>
      </c>
      <c r="J26" s="511">
        <v>0</v>
      </c>
      <c r="K26" s="512">
        <v>0</v>
      </c>
      <c r="L26" s="513">
        <f>J26-K26</f>
        <v>0</v>
      </c>
    </row>
    <row r="27" spans="1:18" x14ac:dyDescent="0.3">
      <c r="A27" s="472">
        <v>2020</v>
      </c>
      <c r="B27" s="401" t="s">
        <v>204</v>
      </c>
      <c r="C27" s="390">
        <f>+E14</f>
        <v>4096.8414941846258</v>
      </c>
      <c r="D27" s="390">
        <f>N14</f>
        <v>4096.8414941846258</v>
      </c>
      <c r="E27" s="402">
        <f>+C27-D27</f>
        <v>0</v>
      </c>
      <c r="F27" s="500" t="s">
        <v>209</v>
      </c>
      <c r="J27" s="511">
        <v>0</v>
      </c>
      <c r="K27" s="512">
        <v>0</v>
      </c>
      <c r="L27" s="513">
        <f>J27-K27</f>
        <v>0</v>
      </c>
    </row>
    <row r="28" spans="1:18" ht="6" customHeight="1" x14ac:dyDescent="0.3">
      <c r="A28" s="472"/>
      <c r="B28" s="401"/>
      <c r="C28" s="390"/>
      <c r="D28" s="390"/>
      <c r="E28" s="402"/>
      <c r="J28" s="511"/>
      <c r="K28" s="514"/>
      <c r="L28" s="513"/>
    </row>
    <row r="29" spans="1:18" x14ac:dyDescent="0.3">
      <c r="A29" s="472">
        <v>2020</v>
      </c>
      <c r="B29" s="401" t="s">
        <v>210</v>
      </c>
      <c r="C29" s="390">
        <f>+E8</f>
        <v>6898.0322651011047</v>
      </c>
      <c r="D29" s="390">
        <f>N8</f>
        <v>6485.9689935238766</v>
      </c>
      <c r="E29" s="496">
        <f>+C29-D29</f>
        <v>412.06327157722808</v>
      </c>
      <c r="F29" s="472" t="s">
        <v>216</v>
      </c>
      <c r="J29" s="511">
        <v>6898.0283090645516</v>
      </c>
      <c r="K29" s="514"/>
      <c r="L29" s="513">
        <f>J29-K29</f>
        <v>6898.0283090645516</v>
      </c>
    </row>
    <row r="30" spans="1:18" x14ac:dyDescent="0.3">
      <c r="A30" s="472">
        <v>2020</v>
      </c>
      <c r="B30" s="401" t="s">
        <v>211</v>
      </c>
      <c r="C30" s="390">
        <f>+E15</f>
        <v>1962.4064715089683</v>
      </c>
      <c r="D30" s="390">
        <f>N15</f>
        <v>1891.7815198947171</v>
      </c>
      <c r="E30" s="496">
        <f>+C30-D30</f>
        <v>70.624951614251131</v>
      </c>
      <c r="F30" s="472" t="s">
        <v>216</v>
      </c>
      <c r="J30" s="511">
        <v>1962.4064715089683</v>
      </c>
      <c r="K30" s="514"/>
      <c r="L30" s="513">
        <f>J30-K30</f>
        <v>1962.4064715089683</v>
      </c>
    </row>
    <row r="31" spans="1:18" ht="6" customHeight="1" x14ac:dyDescent="0.3">
      <c r="A31" s="472"/>
      <c r="B31" s="401"/>
      <c r="C31" s="390"/>
      <c r="D31" s="390"/>
      <c r="E31" s="402"/>
      <c r="J31" s="511"/>
      <c r="K31" s="514"/>
      <c r="L31" s="513"/>
    </row>
    <row r="32" spans="1:18" x14ac:dyDescent="0.3">
      <c r="A32" s="472">
        <v>2020</v>
      </c>
      <c r="B32" s="401" t="s">
        <v>212</v>
      </c>
      <c r="C32" s="390">
        <f>+E10</f>
        <v>3553.384052008385</v>
      </c>
      <c r="D32" s="390">
        <f>N10</f>
        <v>3342.9426331</v>
      </c>
      <c r="E32" s="496">
        <f>+C32-D32</f>
        <v>210.441418908385</v>
      </c>
      <c r="F32" s="472" t="s">
        <v>224</v>
      </c>
      <c r="J32" s="511">
        <v>3645.0278957265523</v>
      </c>
      <c r="K32" s="514">
        <v>3553.384052008385</v>
      </c>
      <c r="L32" s="513">
        <f>J32-K32</f>
        <v>91.643843718167318</v>
      </c>
    </row>
    <row r="33" spans="1:12" x14ac:dyDescent="0.3">
      <c r="A33" s="472">
        <v>2020</v>
      </c>
      <c r="B33" s="401" t="s">
        <v>213</v>
      </c>
      <c r="C33" s="390">
        <f>+E16</f>
        <v>4733.9507787609473</v>
      </c>
      <c r="D33" s="390">
        <f>N16</f>
        <v>4631.5051251893237</v>
      </c>
      <c r="E33" s="496">
        <f>+C33-D33</f>
        <v>102.44565357162355</v>
      </c>
      <c r="F33" s="472" t="s">
        <v>225</v>
      </c>
      <c r="J33" s="511">
        <v>4733.9507787609473</v>
      </c>
      <c r="K33" s="514">
        <f>J33</f>
        <v>4733.9507787609473</v>
      </c>
      <c r="L33" s="513">
        <f>J33-K33</f>
        <v>0</v>
      </c>
    </row>
    <row r="34" spans="1:12" ht="6" customHeight="1" x14ac:dyDescent="0.3">
      <c r="A34" s="472"/>
      <c r="B34" s="401"/>
      <c r="C34" s="390"/>
      <c r="D34" s="390"/>
      <c r="E34" s="402"/>
      <c r="J34" s="511"/>
      <c r="K34" s="514"/>
      <c r="L34" s="513"/>
    </row>
    <row r="35" spans="1:12" x14ac:dyDescent="0.3">
      <c r="A35" s="472">
        <v>2020</v>
      </c>
      <c r="B35" s="494" t="s">
        <v>214</v>
      </c>
      <c r="C35" s="388">
        <f>+E9</f>
        <v>11703.932587568341</v>
      </c>
      <c r="D35" s="388">
        <f>N9</f>
        <v>11452.9005610898</v>
      </c>
      <c r="E35" s="497">
        <f>+C35-D35</f>
        <v>251.0320264785405</v>
      </c>
      <c r="F35" s="472" t="s">
        <v>218</v>
      </c>
      <c r="J35" s="515">
        <v>12329.947483530068</v>
      </c>
      <c r="K35" s="516">
        <v>11703.935790576774</v>
      </c>
      <c r="L35" s="517">
        <f>J35-K35</f>
        <v>626.01169295329419</v>
      </c>
    </row>
  </sheetData>
  <mergeCells count="3">
    <mergeCell ref="L3:R3"/>
    <mergeCell ref="C3:I3"/>
    <mergeCell ref="J24:L24"/>
  </mergeCells>
  <pageMargins left="0.7" right="0.7" top="0.75" bottom="0.75" header="0.3" footer="0.3"/>
  <pageSetup scale="5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236"/>
  <sheetViews>
    <sheetView zoomScale="85" zoomScaleNormal="85" workbookViewId="0">
      <pane xSplit="1" ySplit="9" topLeftCell="T10" activePane="bottomRight" state="frozen"/>
      <selection pane="topRight" activeCell="B1" sqref="B1"/>
      <selection pane="bottomLeft" activeCell="A10" sqref="A10"/>
      <selection pane="bottomRight" activeCell="X30" sqref="X30"/>
    </sheetView>
  </sheetViews>
  <sheetFormatPr defaultColWidth="9.109375" defaultRowHeight="14.4" outlineLevelCol="1" x14ac:dyDescent="0.3"/>
  <cols>
    <col min="1" max="1" width="57.33203125" style="12" customWidth="1"/>
    <col min="2" max="2" width="5.6640625" style="9" hidden="1" customWidth="1" outlineLevel="1"/>
    <col min="3" max="3" width="21.33203125" style="12" hidden="1" customWidth="1" outlineLevel="1"/>
    <col min="4" max="4" width="6.44140625" style="12" hidden="1" customWidth="1" outlineLevel="1"/>
    <col min="5" max="5" width="21.33203125" style="12" hidden="1" customWidth="1" outlineLevel="1"/>
    <col min="6" max="6" width="7.33203125" style="12" hidden="1" customWidth="1" outlineLevel="1"/>
    <col min="7" max="7" width="21.33203125" style="12" hidden="1" customWidth="1" outlineLevel="1"/>
    <col min="8" max="8" width="10.88671875" style="1" hidden="1" customWidth="1" outlineLevel="1"/>
    <col min="9" max="9" width="21.33203125" style="12" hidden="1" customWidth="1" outlineLevel="1"/>
    <col min="10" max="10" width="4.6640625" style="12" hidden="1" customWidth="1" outlineLevel="1"/>
    <col min="11" max="11" width="6.33203125" style="2" hidden="1" customWidth="1" outlineLevel="1"/>
    <col min="12" max="12" width="21.33203125" style="12" hidden="1" customWidth="1" outlineLevel="1"/>
    <col min="13" max="13" width="6.33203125" style="13" hidden="1" customWidth="1" outlineLevel="1"/>
    <col min="14" max="14" width="21.33203125" style="12" hidden="1" customWidth="1" outlineLevel="1"/>
    <col min="15" max="15" width="8" style="13" hidden="1" customWidth="1" outlineLevel="1"/>
    <col min="16" max="16" width="18.6640625" style="12" hidden="1" customWidth="1" outlineLevel="1" collapsed="1"/>
    <col min="17" max="17" width="7.6640625" style="2" hidden="1" customWidth="1" outlineLevel="1"/>
    <col min="18" max="18" width="18.6640625" style="12" customWidth="1" collapsed="1"/>
    <col min="19" max="19" width="7.6640625" style="2" customWidth="1"/>
    <col min="20" max="20" width="18.6640625" style="12" customWidth="1"/>
    <col min="21" max="21" width="7.6640625" style="2" customWidth="1"/>
    <col min="22" max="22" width="18.6640625" style="12" customWidth="1"/>
    <col min="23" max="23" width="7.6640625" style="2" customWidth="1"/>
    <col min="24" max="24" width="18.6640625" style="12" customWidth="1"/>
    <col min="25" max="25" width="7.6640625" style="2" customWidth="1"/>
    <col min="26" max="29" width="18.6640625" style="12" customWidth="1"/>
    <col min="30" max="31" width="9.109375" style="12"/>
    <col min="32" max="33" width="10.5546875" style="12" bestFit="1" customWidth="1"/>
    <col min="34" max="16384" width="9.109375" style="12"/>
  </cols>
  <sheetData>
    <row r="1" spans="1:32" x14ac:dyDescent="0.3">
      <c r="A1" s="256" t="s">
        <v>151</v>
      </c>
      <c r="R1" s="298" t="s">
        <v>0</v>
      </c>
      <c r="T1" s="298" t="s">
        <v>0</v>
      </c>
      <c r="V1" s="298" t="s">
        <v>0</v>
      </c>
      <c r="X1" s="298" t="s">
        <v>0</v>
      </c>
      <c r="Z1" s="298" t="s">
        <v>0</v>
      </c>
      <c r="AA1" s="298" t="s">
        <v>0</v>
      </c>
      <c r="AB1" s="298" t="s">
        <v>0</v>
      </c>
      <c r="AC1" s="298" t="s">
        <v>0</v>
      </c>
      <c r="AE1" s="300"/>
      <c r="AF1" s="12" t="s">
        <v>103</v>
      </c>
    </row>
    <row r="2" spans="1:32" x14ac:dyDescent="0.3">
      <c r="B2" s="27"/>
      <c r="C2" s="27"/>
      <c r="D2" s="27"/>
      <c r="E2" s="27"/>
      <c r="F2" s="27"/>
      <c r="J2" s="14"/>
      <c r="K2" s="12"/>
      <c r="O2" s="14"/>
      <c r="Q2" s="4"/>
      <c r="R2" s="299" t="s">
        <v>125</v>
      </c>
      <c r="S2" s="4"/>
      <c r="T2" s="299" t="s">
        <v>145</v>
      </c>
      <c r="U2" s="4"/>
      <c r="V2" s="299"/>
      <c r="W2" s="4"/>
      <c r="X2" s="299"/>
      <c r="Y2" s="4"/>
      <c r="Z2" s="299"/>
      <c r="AA2" s="299"/>
      <c r="AB2" s="299"/>
      <c r="AC2" s="299"/>
    </row>
    <row r="3" spans="1:32" ht="15" thickBot="1" x14ac:dyDescent="0.35">
      <c r="B3" s="27"/>
      <c r="C3" s="27"/>
      <c r="D3" s="27"/>
      <c r="E3" s="27"/>
      <c r="F3" s="27"/>
      <c r="G3" s="15"/>
      <c r="H3" s="29" t="s">
        <v>1</v>
      </c>
      <c r="I3" s="30"/>
      <c r="J3" s="31"/>
      <c r="K3" s="32"/>
      <c r="L3" s="3"/>
      <c r="M3" s="4"/>
      <c r="N3" s="3"/>
      <c r="O3" s="34"/>
      <c r="P3" s="3"/>
      <c r="Q3" s="36"/>
      <c r="R3" s="264" t="s">
        <v>141</v>
      </c>
      <c r="S3" s="36"/>
      <c r="T3" s="264" t="s">
        <v>154</v>
      </c>
      <c r="U3" s="36"/>
      <c r="V3" s="264" t="s">
        <v>196</v>
      </c>
      <c r="W3" s="36"/>
      <c r="X3" s="264" t="s">
        <v>195</v>
      </c>
      <c r="Y3" s="36"/>
      <c r="Z3" s="264" t="s">
        <v>195</v>
      </c>
      <c r="AA3" s="264" t="s">
        <v>195</v>
      </c>
      <c r="AB3" s="264" t="s">
        <v>195</v>
      </c>
      <c r="AC3" s="264" t="s">
        <v>195</v>
      </c>
    </row>
    <row r="4" spans="1:32" x14ac:dyDescent="0.3">
      <c r="C4" s="16" t="s">
        <v>3</v>
      </c>
      <c r="E4" s="16" t="s">
        <v>3</v>
      </c>
      <c r="G4" s="16" t="s">
        <v>3</v>
      </c>
      <c r="I4" s="16" t="s">
        <v>3</v>
      </c>
      <c r="J4" s="17"/>
      <c r="K4" s="5"/>
      <c r="L4" s="16" t="s">
        <v>3</v>
      </c>
      <c r="M4" s="17"/>
      <c r="N4" s="16" t="s">
        <v>3</v>
      </c>
      <c r="O4" s="17"/>
      <c r="P4" s="16" t="s">
        <v>3</v>
      </c>
      <c r="Q4" s="5"/>
      <c r="R4" s="16" t="s">
        <v>3</v>
      </c>
      <c r="S4" s="5"/>
      <c r="T4" s="16" t="s">
        <v>3</v>
      </c>
      <c r="U4" s="5"/>
      <c r="V4" s="16" t="s">
        <v>3</v>
      </c>
      <c r="W4" s="5"/>
      <c r="X4" s="16" t="s">
        <v>3</v>
      </c>
      <c r="Y4" s="5"/>
      <c r="Z4" s="16" t="s">
        <v>3</v>
      </c>
      <c r="AA4" s="16" t="s">
        <v>3</v>
      </c>
      <c r="AB4" s="16" t="s">
        <v>3</v>
      </c>
      <c r="AC4" s="16" t="s">
        <v>3</v>
      </c>
    </row>
    <row r="5" spans="1:32" x14ac:dyDescent="0.3">
      <c r="A5" s="37" t="s">
        <v>4</v>
      </c>
      <c r="C5" s="38">
        <v>2009</v>
      </c>
      <c r="E5" s="38">
        <v>2010</v>
      </c>
      <c r="G5" s="38">
        <v>2011</v>
      </c>
      <c r="I5" s="38">
        <v>2012</v>
      </c>
      <c r="J5" s="39"/>
      <c r="K5" s="40"/>
      <c r="L5" s="38">
        <v>2013</v>
      </c>
      <c r="M5" s="39"/>
      <c r="N5" s="38">
        <v>2014</v>
      </c>
      <c r="O5" s="39"/>
      <c r="P5" s="39">
        <v>2015</v>
      </c>
      <c r="Q5" s="40"/>
      <c r="R5" s="39">
        <v>2016</v>
      </c>
      <c r="S5" s="40"/>
      <c r="T5" s="39">
        <v>2017</v>
      </c>
      <c r="U5" s="40"/>
      <c r="V5" s="39">
        <f>T5+1</f>
        <v>2018</v>
      </c>
      <c r="W5" s="40"/>
      <c r="X5" s="307">
        <f>V5+1</f>
        <v>2019</v>
      </c>
      <c r="Y5" s="40"/>
      <c r="Z5" s="307">
        <f>X5+1</f>
        <v>2020</v>
      </c>
      <c r="AA5" s="307">
        <f t="shared" ref="AA5:AC7" si="0">Z5+1</f>
        <v>2021</v>
      </c>
      <c r="AB5" s="307">
        <f t="shared" si="0"/>
        <v>2022</v>
      </c>
      <c r="AC5" s="307">
        <f t="shared" si="0"/>
        <v>2023</v>
      </c>
    </row>
    <row r="6" spans="1:32" x14ac:dyDescent="0.3">
      <c r="A6" s="37" t="s">
        <v>5</v>
      </c>
      <c r="C6" s="41">
        <v>2010</v>
      </c>
      <c r="E6" s="41">
        <v>2011</v>
      </c>
      <c r="G6" s="41">
        <v>2012</v>
      </c>
      <c r="I6" s="41">
        <v>2013</v>
      </c>
      <c r="J6" s="42"/>
      <c r="K6" s="43"/>
      <c r="L6" s="41">
        <v>2014</v>
      </c>
      <c r="M6" s="42"/>
      <c r="N6" s="41">
        <v>2015</v>
      </c>
      <c r="O6" s="42"/>
      <c r="P6" s="42">
        <v>2016</v>
      </c>
      <c r="Q6" s="43"/>
      <c r="R6" s="42">
        <v>2017</v>
      </c>
      <c r="S6" s="43"/>
      <c r="T6" s="42">
        <v>2018</v>
      </c>
      <c r="U6" s="43"/>
      <c r="V6" s="42">
        <f>T6+1</f>
        <v>2019</v>
      </c>
      <c r="W6" s="43"/>
      <c r="X6" s="308">
        <f>V6+1</f>
        <v>2020</v>
      </c>
      <c r="Y6" s="43"/>
      <c r="Z6" s="308">
        <f>X6+1</f>
        <v>2021</v>
      </c>
      <c r="AA6" s="308">
        <f t="shared" si="0"/>
        <v>2022</v>
      </c>
      <c r="AB6" s="308">
        <f t="shared" si="0"/>
        <v>2023</v>
      </c>
      <c r="AC6" s="308">
        <f t="shared" si="0"/>
        <v>2024</v>
      </c>
    </row>
    <row r="7" spans="1:32" x14ac:dyDescent="0.3">
      <c r="A7" s="44" t="s">
        <v>6</v>
      </c>
      <c r="C7" s="45">
        <v>2010</v>
      </c>
      <c r="E7" s="45">
        <v>2011</v>
      </c>
      <c r="G7" s="45">
        <v>2012</v>
      </c>
      <c r="I7" s="45">
        <v>2013</v>
      </c>
      <c r="J7" s="46"/>
      <c r="K7" s="47"/>
      <c r="L7" s="45">
        <v>2014</v>
      </c>
      <c r="M7" s="46"/>
      <c r="N7" s="45">
        <v>2015</v>
      </c>
      <c r="O7" s="46"/>
      <c r="P7" s="46">
        <v>2016</v>
      </c>
      <c r="Q7" s="47"/>
      <c r="R7" s="46">
        <v>2017</v>
      </c>
      <c r="S7" s="47"/>
      <c r="T7" s="46">
        <v>2018</v>
      </c>
      <c r="U7" s="47"/>
      <c r="V7" s="46">
        <f>T7+1</f>
        <v>2019</v>
      </c>
      <c r="W7" s="47"/>
      <c r="X7" s="309">
        <f>V7+1</f>
        <v>2020</v>
      </c>
      <c r="Y7" s="47"/>
      <c r="Z7" s="309">
        <f>X7+1</f>
        <v>2021</v>
      </c>
      <c r="AA7" s="309">
        <f t="shared" si="0"/>
        <v>2022</v>
      </c>
      <c r="AB7" s="309">
        <f t="shared" si="0"/>
        <v>2023</v>
      </c>
      <c r="AC7" s="309">
        <f t="shared" si="0"/>
        <v>2024</v>
      </c>
    </row>
    <row r="8" spans="1:32" x14ac:dyDescent="0.3">
      <c r="A8" s="48" t="s">
        <v>147</v>
      </c>
      <c r="C8" s="38" t="s">
        <v>7</v>
      </c>
      <c r="E8" s="38" t="s">
        <v>8</v>
      </c>
      <c r="G8" s="38" t="s">
        <v>9</v>
      </c>
      <c r="I8" s="38" t="s">
        <v>10</v>
      </c>
      <c r="J8" s="39"/>
      <c r="K8" s="40"/>
      <c r="L8" s="38" t="s">
        <v>11</v>
      </c>
      <c r="M8" s="39"/>
      <c r="N8" s="49" t="s">
        <v>12</v>
      </c>
      <c r="O8" s="50"/>
      <c r="P8" s="50" t="s">
        <v>13</v>
      </c>
      <c r="Q8" s="51"/>
      <c r="R8" s="50" t="s">
        <v>14</v>
      </c>
      <c r="S8" s="51"/>
      <c r="T8" s="50" t="s">
        <v>15</v>
      </c>
      <c r="U8" s="51"/>
      <c r="V8" s="50" t="s">
        <v>16</v>
      </c>
      <c r="W8" s="51"/>
      <c r="X8" s="310" t="s">
        <v>17</v>
      </c>
      <c r="Y8" s="51"/>
      <c r="Z8" s="310" t="s">
        <v>18</v>
      </c>
      <c r="AA8" s="310" t="s">
        <v>144</v>
      </c>
      <c r="AB8" s="310" t="s">
        <v>152</v>
      </c>
      <c r="AC8" s="310" t="s">
        <v>176</v>
      </c>
    </row>
    <row r="9" spans="1:32" x14ac:dyDescent="0.3">
      <c r="A9" s="52"/>
      <c r="C9" s="53"/>
      <c r="E9" s="53"/>
      <c r="G9" s="53"/>
      <c r="I9" s="53"/>
      <c r="J9" s="54"/>
      <c r="K9" s="55"/>
      <c r="L9" s="53"/>
      <c r="M9" s="54"/>
      <c r="N9" s="53"/>
      <c r="O9" s="54"/>
      <c r="P9" s="54"/>
      <c r="Q9" s="55"/>
      <c r="R9" s="54"/>
      <c r="S9" s="55"/>
      <c r="T9" s="54"/>
      <c r="U9" s="55"/>
      <c r="V9" s="54"/>
      <c r="W9" s="55"/>
      <c r="X9" s="311"/>
      <c r="Y9" s="55"/>
      <c r="Z9" s="311"/>
      <c r="AA9" s="311"/>
      <c r="AB9" s="311"/>
      <c r="AC9" s="311"/>
    </row>
    <row r="10" spans="1:32" x14ac:dyDescent="0.3">
      <c r="A10" s="56"/>
      <c r="C10" s="57" t="s">
        <v>19</v>
      </c>
      <c r="E10" s="57" t="s">
        <v>20</v>
      </c>
      <c r="G10" s="57" t="s">
        <v>21</v>
      </c>
      <c r="I10" s="57" t="s">
        <v>22</v>
      </c>
      <c r="J10" s="58"/>
      <c r="K10" s="59"/>
      <c r="L10" s="57" t="s">
        <v>23</v>
      </c>
      <c r="M10" s="58"/>
      <c r="N10" s="57" t="s">
        <v>24</v>
      </c>
      <c r="O10" s="58"/>
      <c r="P10" s="120" t="s">
        <v>128</v>
      </c>
      <c r="Q10" s="59"/>
      <c r="R10" s="120" t="s">
        <v>131</v>
      </c>
      <c r="S10" s="59"/>
      <c r="T10" s="120" t="s">
        <v>148</v>
      </c>
      <c r="U10" s="59"/>
      <c r="V10" s="120" t="s">
        <v>26</v>
      </c>
      <c r="W10" s="59"/>
      <c r="X10" s="301" t="s">
        <v>27</v>
      </c>
      <c r="Y10" s="59"/>
      <c r="Z10" s="301" t="s">
        <v>28</v>
      </c>
      <c r="AA10" s="301" t="s">
        <v>135</v>
      </c>
      <c r="AB10" s="301" t="s">
        <v>153</v>
      </c>
      <c r="AC10" s="301" t="s">
        <v>177</v>
      </c>
    </row>
    <row r="11" spans="1:32" x14ac:dyDescent="0.3">
      <c r="A11" s="60" t="s">
        <v>29</v>
      </c>
      <c r="C11" s="41"/>
      <c r="E11" s="61"/>
      <c r="G11" s="62"/>
      <c r="I11" s="62"/>
      <c r="J11" s="63"/>
      <c r="K11" s="64"/>
      <c r="L11" s="61"/>
      <c r="M11" s="65"/>
      <c r="N11" s="41"/>
      <c r="O11" s="42"/>
      <c r="P11" s="42"/>
      <c r="Q11" s="43"/>
      <c r="R11" s="42"/>
      <c r="S11" s="43"/>
      <c r="T11" s="42"/>
      <c r="U11" s="43"/>
      <c r="V11" s="42"/>
      <c r="W11" s="43"/>
      <c r="X11" s="308"/>
      <c r="Y11" s="43"/>
      <c r="Z11" s="308"/>
      <c r="AA11" s="308"/>
      <c r="AB11" s="308"/>
      <c r="AC11" s="308"/>
    </row>
    <row r="12" spans="1:32" x14ac:dyDescent="0.3">
      <c r="A12" s="56"/>
      <c r="C12" s="66"/>
      <c r="E12" s="66"/>
      <c r="G12" s="45"/>
      <c r="I12" s="45"/>
      <c r="J12" s="46"/>
      <c r="K12" s="67"/>
      <c r="L12" s="66"/>
      <c r="M12" s="68"/>
      <c r="N12" s="45"/>
      <c r="O12" s="46"/>
      <c r="P12" s="68"/>
      <c r="Q12" s="47"/>
      <c r="R12" s="68"/>
      <c r="S12" s="47"/>
      <c r="T12" s="68"/>
      <c r="U12" s="47"/>
      <c r="V12" s="68"/>
      <c r="W12" s="47"/>
      <c r="X12" s="312"/>
      <c r="Y12" s="47"/>
      <c r="Z12" s="312"/>
      <c r="AA12" s="312"/>
      <c r="AB12" s="312"/>
      <c r="AC12" s="312"/>
    </row>
    <row r="13" spans="1:32" x14ac:dyDescent="0.3">
      <c r="A13" s="56" t="s">
        <v>118</v>
      </c>
      <c r="C13" s="69">
        <v>1400000</v>
      </c>
      <c r="E13" s="69">
        <v>1600000</v>
      </c>
      <c r="G13" s="69">
        <v>1700000</v>
      </c>
      <c r="I13" s="69">
        <v>1800000</v>
      </c>
      <c r="J13" s="70"/>
      <c r="K13" s="71"/>
      <c r="L13" s="69">
        <v>2000000</v>
      </c>
      <c r="M13" s="72"/>
      <c r="N13" s="69">
        <v>2275000</v>
      </c>
      <c r="O13" s="70"/>
      <c r="P13" s="70">
        <v>2200000</v>
      </c>
      <c r="Q13" s="73"/>
      <c r="R13" s="70">
        <v>2300000</v>
      </c>
      <c r="S13" s="73"/>
      <c r="T13" s="70">
        <v>2300000</v>
      </c>
      <c r="U13" s="73"/>
      <c r="V13" s="70">
        <v>2400000</v>
      </c>
      <c r="W13" s="73"/>
      <c r="X13" s="313">
        <v>2200000</v>
      </c>
      <c r="Y13" s="73"/>
      <c r="Z13" s="313">
        <f>SUM(X13:X19)</f>
        <v>2200000</v>
      </c>
      <c r="AA13" s="313">
        <f>SUM(Z13:Z19)</f>
        <v>2365553</v>
      </c>
      <c r="AB13" s="313">
        <f>SUM(AA13:AA19)</f>
        <v>2543594</v>
      </c>
      <c r="AC13" s="313">
        <f>SUM(AB13:AB19)</f>
        <v>2692159</v>
      </c>
    </row>
    <row r="14" spans="1:32" x14ac:dyDescent="0.3">
      <c r="A14" s="56" t="s">
        <v>31</v>
      </c>
      <c r="C14" s="74"/>
      <c r="E14" s="75"/>
      <c r="G14" s="69"/>
      <c r="I14" s="69"/>
      <c r="J14" s="70"/>
      <c r="K14" s="71"/>
      <c r="L14" s="74"/>
      <c r="M14" s="72"/>
      <c r="N14" s="69"/>
      <c r="O14" s="70"/>
      <c r="P14" s="153"/>
      <c r="Q14" s="73"/>
      <c r="R14" s="153"/>
      <c r="S14" s="73"/>
      <c r="T14" s="153"/>
      <c r="U14" s="73"/>
      <c r="V14" s="153"/>
      <c r="W14" s="73"/>
      <c r="X14" s="313"/>
      <c r="Y14" s="73"/>
      <c r="Z14" s="313"/>
      <c r="AA14" s="313"/>
      <c r="AB14" s="313"/>
      <c r="AC14" s="313"/>
    </row>
    <row r="15" spans="1:32" x14ac:dyDescent="0.3">
      <c r="A15" s="76" t="s">
        <v>32</v>
      </c>
      <c r="C15" s="69"/>
      <c r="E15" s="75"/>
      <c r="G15" s="69"/>
      <c r="I15" s="75"/>
      <c r="J15" s="72"/>
      <c r="K15" s="71"/>
      <c r="L15" s="74"/>
      <c r="M15" s="72"/>
      <c r="N15" s="69"/>
      <c r="O15" s="70"/>
      <c r="P15" s="153"/>
      <c r="Q15" s="73"/>
      <c r="R15" s="153"/>
      <c r="S15" s="73"/>
      <c r="T15" s="153"/>
      <c r="U15" s="73"/>
      <c r="V15" s="153"/>
      <c r="W15" s="73"/>
      <c r="X15" s="313"/>
      <c r="Y15" s="73"/>
      <c r="Z15" s="154">
        <v>303587</v>
      </c>
      <c r="AA15" s="154">
        <v>310788</v>
      </c>
      <c r="AB15" s="154">
        <v>280335</v>
      </c>
      <c r="AC15" s="154">
        <v>329161</v>
      </c>
    </row>
    <row r="16" spans="1:32" x14ac:dyDescent="0.3">
      <c r="A16" s="76" t="s">
        <v>33</v>
      </c>
      <c r="C16" s="69"/>
      <c r="E16" s="75"/>
      <c r="G16" s="69"/>
      <c r="I16" s="75"/>
      <c r="J16" s="72"/>
      <c r="K16" s="71"/>
      <c r="L16" s="74"/>
      <c r="M16" s="72"/>
      <c r="N16" s="69"/>
      <c r="O16" s="70"/>
      <c r="P16" s="153"/>
      <c r="Q16" s="73"/>
      <c r="R16" s="153"/>
      <c r="S16" s="73"/>
      <c r="T16" s="153"/>
      <c r="U16" s="73"/>
      <c r="V16" s="153"/>
      <c r="W16" s="73"/>
      <c r="X16" s="313"/>
      <c r="Y16" s="73"/>
      <c r="Z16" s="154">
        <v>-18675</v>
      </c>
      <c r="AA16" s="154">
        <v>-13145</v>
      </c>
      <c r="AB16" s="154">
        <v>-12168</v>
      </c>
      <c r="AC16" s="154">
        <v>-5895</v>
      </c>
    </row>
    <row r="17" spans="1:34" x14ac:dyDescent="0.3">
      <c r="A17" s="76" t="s">
        <v>34</v>
      </c>
      <c r="C17" s="69"/>
      <c r="E17" s="75"/>
      <c r="G17" s="69"/>
      <c r="I17" s="75"/>
      <c r="J17" s="72"/>
      <c r="K17" s="71"/>
      <c r="L17" s="74"/>
      <c r="M17" s="72"/>
      <c r="N17" s="69"/>
      <c r="O17" s="70"/>
      <c r="P17" s="153"/>
      <c r="Q17" s="73"/>
      <c r="R17" s="153"/>
      <c r="S17" s="73"/>
      <c r="T17" s="153"/>
      <c r="U17" s="73"/>
      <c r="V17" s="153"/>
      <c r="W17" s="73"/>
      <c r="X17" s="313"/>
      <c r="Y17" s="73"/>
      <c r="Z17" s="154"/>
      <c r="AA17" s="154"/>
      <c r="AB17" s="154"/>
      <c r="AC17" s="154"/>
    </row>
    <row r="18" spans="1:34" x14ac:dyDescent="0.3">
      <c r="A18" s="76" t="s">
        <v>35</v>
      </c>
      <c r="C18" s="69"/>
      <c r="E18" s="75"/>
      <c r="G18" s="69"/>
      <c r="I18" s="75"/>
      <c r="J18" s="72"/>
      <c r="K18" s="71"/>
      <c r="L18" s="74"/>
      <c r="M18" s="72"/>
      <c r="N18" s="69"/>
      <c r="O18" s="70"/>
      <c r="P18" s="153"/>
      <c r="Q18" s="73"/>
      <c r="R18" s="153"/>
      <c r="S18" s="73"/>
      <c r="T18" s="153"/>
      <c r="U18" s="73"/>
      <c r="V18" s="153"/>
      <c r="W18" s="73"/>
      <c r="X18" s="313"/>
      <c r="Y18" s="73"/>
      <c r="Z18" s="154">
        <v>-6747</v>
      </c>
      <c r="AA18" s="154">
        <v>-6990</v>
      </c>
      <c r="AB18" s="154">
        <v>-6990</v>
      </c>
      <c r="AC18" s="154">
        <v>-7760</v>
      </c>
    </row>
    <row r="19" spans="1:34" x14ac:dyDescent="0.3">
      <c r="A19" s="56" t="s">
        <v>36</v>
      </c>
      <c r="C19" s="78"/>
      <c r="E19" s="79"/>
      <c r="G19" s="78"/>
      <c r="I19" s="79"/>
      <c r="J19" s="80"/>
      <c r="K19" s="81"/>
      <c r="L19" s="82"/>
      <c r="M19" s="80"/>
      <c r="N19" s="78"/>
      <c r="O19" s="83"/>
      <c r="P19" s="155"/>
      <c r="Q19" s="84"/>
      <c r="R19" s="155"/>
      <c r="S19" s="84"/>
      <c r="T19" s="155"/>
      <c r="U19" s="84"/>
      <c r="V19" s="155"/>
      <c r="W19" s="84"/>
      <c r="X19" s="323"/>
      <c r="Y19" s="84"/>
      <c r="Z19" s="398">
        <f>-112612</f>
        <v>-112612</v>
      </c>
      <c r="AA19" s="398">
        <f t="shared" ref="AA19:AC19" si="1">Z19</f>
        <v>-112612</v>
      </c>
      <c r="AB19" s="398">
        <f t="shared" si="1"/>
        <v>-112612</v>
      </c>
      <c r="AC19" s="398">
        <f t="shared" si="1"/>
        <v>-112612</v>
      </c>
    </row>
    <row r="20" spans="1:34" x14ac:dyDescent="0.3">
      <c r="A20" s="56" t="s">
        <v>122</v>
      </c>
      <c r="C20" s="86">
        <v>0.96753500000000003</v>
      </c>
      <c r="E20" s="86">
        <v>0.96154600000000001</v>
      </c>
      <c r="G20" s="86">
        <v>0.95345100000000005</v>
      </c>
      <c r="I20" s="86">
        <v>0.95927200000000001</v>
      </c>
      <c r="J20" s="87"/>
      <c r="K20" s="71"/>
      <c r="L20" s="88">
        <f>962461349/997330000</f>
        <v>0.96503800046123145</v>
      </c>
      <c r="M20" s="89"/>
      <c r="N20" s="86">
        <f>1154211.157/1180295.025</f>
        <v>0.97790055244874052</v>
      </c>
      <c r="O20" s="87"/>
      <c r="P20" s="87">
        <f>1162234.576/1188424.6</f>
        <v>0.97796240165341564</v>
      </c>
      <c r="Q20" s="73"/>
      <c r="R20" s="87">
        <f>1207497787/1239327400</f>
        <v>0.97431702631604855</v>
      </c>
      <c r="S20" s="73"/>
      <c r="T20" s="87">
        <f>1238307873/1275973300</f>
        <v>0.97048102260446989</v>
      </c>
      <c r="U20" s="73"/>
      <c r="V20" s="87">
        <v>0.96493331984800101</v>
      </c>
      <c r="W20" s="73"/>
      <c r="X20" s="314">
        <v>0.9601430262821341</v>
      </c>
      <c r="Y20" s="73"/>
      <c r="Z20" s="314">
        <f>SUM(X20)</f>
        <v>0.9601430262821341</v>
      </c>
      <c r="AA20" s="314">
        <f t="shared" ref="AA20:AA21" si="2">SUM(Z20)</f>
        <v>0.9601430262821341</v>
      </c>
      <c r="AB20" s="314">
        <f>SUM(AA20)</f>
        <v>0.9601430262821341</v>
      </c>
      <c r="AC20" s="314">
        <f>SUM(AB20)</f>
        <v>0.9601430262821341</v>
      </c>
    </row>
    <row r="21" spans="1:34" x14ac:dyDescent="0.3">
      <c r="A21" s="56" t="s">
        <v>119</v>
      </c>
      <c r="C21" s="90">
        <v>0.45469100000000001</v>
      </c>
      <c r="E21" s="90">
        <v>0.464889</v>
      </c>
      <c r="G21" s="90">
        <v>0.46240399999999998</v>
      </c>
      <c r="I21" s="90">
        <v>0.47619</v>
      </c>
      <c r="J21" s="91"/>
      <c r="K21" s="92"/>
      <c r="L21" s="93">
        <f>997330000/2000000000</f>
        <v>0.49866500000000002</v>
      </c>
      <c r="M21" s="94"/>
      <c r="N21" s="90">
        <f>1180295.025/N13</f>
        <v>0.51881099999999991</v>
      </c>
      <c r="O21" s="91"/>
      <c r="P21" s="91">
        <f>1188424.6/P13</f>
        <v>0.54019300000000003</v>
      </c>
      <c r="Q21" s="84"/>
      <c r="R21" s="91">
        <f>1239327.4/R13</f>
        <v>0.53883799999999993</v>
      </c>
      <c r="S21" s="84"/>
      <c r="T21" s="91">
        <f>1275973300/2300000000</f>
        <v>0.55477100000000001</v>
      </c>
      <c r="U21" s="84"/>
      <c r="V21" s="91">
        <v>0.56470299999999995</v>
      </c>
      <c r="W21" s="84"/>
      <c r="X21" s="315">
        <v>0.57349399999999995</v>
      </c>
      <c r="Y21" s="84"/>
      <c r="Z21" s="315">
        <f>SUM(X21)</f>
        <v>0.57349399999999995</v>
      </c>
      <c r="AA21" s="315">
        <f t="shared" si="2"/>
        <v>0.57349399999999995</v>
      </c>
      <c r="AB21" s="315">
        <f>SUM(AA21)</f>
        <v>0.57349399999999995</v>
      </c>
      <c r="AC21" s="315">
        <f>SUM(AB21)</f>
        <v>0.57349399999999995</v>
      </c>
    </row>
    <row r="22" spans="1:34" x14ac:dyDescent="0.3">
      <c r="A22" s="56" t="s">
        <v>39</v>
      </c>
      <c r="C22" s="69">
        <f>SUM(C13:C19)*C20*C21</f>
        <v>615901.239359</v>
      </c>
      <c r="E22" s="69">
        <f>SUM(E13:E19)*E20*E21</f>
        <v>715219.4534304</v>
      </c>
      <c r="G22" s="69">
        <f t="shared" ref="G22:I22" si="3">SUM(G13:G19)*G20*G21</f>
        <v>749495.24554680008</v>
      </c>
      <c r="I22" s="69">
        <f t="shared" si="3"/>
        <v>822232.32062400004</v>
      </c>
      <c r="J22" s="70"/>
      <c r="K22" s="71"/>
      <c r="L22" s="69">
        <f t="shared" ref="L22:N22" si="4">SUM(L13:L19)*L20*L21</f>
        <v>962461.34900000005</v>
      </c>
      <c r="M22" s="72"/>
      <c r="N22" s="69">
        <f t="shared" si="4"/>
        <v>1154211.1569999997</v>
      </c>
      <c r="O22" s="70"/>
      <c r="P22" s="70">
        <f t="shared" ref="P22" si="5">SUM(P13:P19)*P20*P21</f>
        <v>1162234.5759999999</v>
      </c>
      <c r="Q22" s="73"/>
      <c r="R22" s="70">
        <f>SUM(R13:R19)*R20*R21</f>
        <v>1207497.787</v>
      </c>
      <c r="S22" s="73"/>
      <c r="T22" s="70">
        <f>SUM(T13:T19)*T20*T21</f>
        <v>1238307.8730000001</v>
      </c>
      <c r="U22" s="73"/>
      <c r="V22" s="70">
        <f>SUM(V13:V19)*V20*V21</f>
        <v>1307761.7772435015</v>
      </c>
      <c r="W22" s="73"/>
      <c r="X22" s="313">
        <f>SUM(X13:X19)*X20*X21</f>
        <v>1211399.7823722216</v>
      </c>
      <c r="Y22" s="73"/>
      <c r="Z22" s="313">
        <f>SUM(Z13:Z19)*Z20*Z21</f>
        <v>1302559.2679045252</v>
      </c>
      <c r="AA22" s="313">
        <f>SUM(AA13:AA19)*AA20*AA21</f>
        <v>1400595.0991105856</v>
      </c>
      <c r="AB22" s="313">
        <f>SUM(AB13:AB19)*AB20*AB21</f>
        <v>1482400.3757779172</v>
      </c>
      <c r="AC22" s="313">
        <f>SUM(AC13:AC19)*AC20*AC21</f>
        <v>1594121.1700709306</v>
      </c>
    </row>
    <row r="23" spans="1:34" x14ac:dyDescent="0.3">
      <c r="A23" s="56" t="s">
        <v>40</v>
      </c>
      <c r="C23" s="78">
        <v>284</v>
      </c>
      <c r="E23" s="78">
        <v>284</v>
      </c>
      <c r="G23" s="78">
        <v>442</v>
      </c>
      <c r="I23" s="69"/>
      <c r="J23" s="70"/>
      <c r="K23" s="71"/>
      <c r="L23" s="69"/>
      <c r="M23" s="72"/>
      <c r="N23" s="69">
        <v>101.197</v>
      </c>
      <c r="O23" s="70"/>
      <c r="P23" s="70">
        <v>620</v>
      </c>
      <c r="Q23" s="73"/>
      <c r="R23" s="70">
        <v>492</v>
      </c>
      <c r="S23" s="73"/>
      <c r="T23" s="70">
        <v>349.452</v>
      </c>
      <c r="U23" s="73"/>
      <c r="V23" s="70">
        <v>489.39157803826998</v>
      </c>
      <c r="W23" s="73"/>
      <c r="X23" s="313">
        <v>629</v>
      </c>
      <c r="Y23" s="73"/>
      <c r="Z23" s="313"/>
      <c r="AA23" s="313"/>
      <c r="AB23" s="313"/>
      <c r="AC23" s="313"/>
    </row>
    <row r="24" spans="1:34" x14ac:dyDescent="0.3">
      <c r="A24" s="56" t="s">
        <v>41</v>
      </c>
      <c r="C24" s="69">
        <f>SUM(C22:C23)</f>
        <v>616185.239359</v>
      </c>
      <c r="E24" s="69">
        <f>SUM(E22:E23)</f>
        <v>715503.4534304</v>
      </c>
      <c r="G24" s="69">
        <f>SUM(G22:G23)</f>
        <v>749937.24554680008</v>
      </c>
      <c r="I24" s="69">
        <f t="shared" ref="I24" si="6">SUM(I22)</f>
        <v>822232.32062400004</v>
      </c>
      <c r="J24" s="70"/>
      <c r="K24" s="71"/>
      <c r="L24" s="69">
        <f t="shared" ref="L24" si="7">SUM(L22)</f>
        <v>962461.34900000005</v>
      </c>
      <c r="M24" s="72"/>
      <c r="N24" s="69">
        <f>SUM(N22:N23)</f>
        <v>1154312.3539999996</v>
      </c>
      <c r="O24" s="70"/>
      <c r="P24" s="70">
        <f>SUM(P22:P23)</f>
        <v>1162854.5759999999</v>
      </c>
      <c r="Q24" s="73"/>
      <c r="R24" s="70">
        <f>R22+R23</f>
        <v>1207989.787</v>
      </c>
      <c r="S24" s="73"/>
      <c r="T24" s="70">
        <f>T22+T23</f>
        <v>1238657.3250000002</v>
      </c>
      <c r="U24" s="73"/>
      <c r="V24" s="70">
        <f>SUM(V22:V23)</f>
        <v>1308251.1688215397</v>
      </c>
      <c r="W24" s="73"/>
      <c r="X24" s="313">
        <f>SUM(X22:X23)</f>
        <v>1212028.7823722216</v>
      </c>
      <c r="Y24" s="73"/>
      <c r="Z24" s="313">
        <f t="shared" ref="Z24:AA24" si="8">SUM(Z22)</f>
        <v>1302559.2679045252</v>
      </c>
      <c r="AA24" s="313">
        <f t="shared" si="8"/>
        <v>1400595.0991105856</v>
      </c>
      <c r="AB24" s="313">
        <f>SUM(AB22)</f>
        <v>1482400.3757779172</v>
      </c>
      <c r="AC24" s="313">
        <f>SUM(AC22)</f>
        <v>1594121.1700709306</v>
      </c>
    </row>
    <row r="25" spans="1:34" x14ac:dyDescent="0.3">
      <c r="A25" s="56" t="s">
        <v>120</v>
      </c>
      <c r="C25" s="69"/>
      <c r="E25" s="69"/>
      <c r="G25" s="69"/>
      <c r="I25" s="69"/>
      <c r="J25" s="70"/>
      <c r="K25" s="71"/>
      <c r="L25" s="69"/>
      <c r="M25" s="72"/>
      <c r="N25" s="69"/>
      <c r="O25" s="70"/>
      <c r="P25" s="453">
        <v>1064023.335</v>
      </c>
      <c r="Q25" s="73"/>
      <c r="R25" s="70">
        <v>1117051.1471780001</v>
      </c>
      <c r="S25" s="73"/>
      <c r="T25" s="70">
        <v>1153650.0430000001</v>
      </c>
      <c r="U25" s="73"/>
      <c r="V25" s="426"/>
      <c r="W25" s="73"/>
      <c r="X25" s="313"/>
      <c r="Y25" s="73"/>
      <c r="Z25" s="313"/>
      <c r="AA25" s="313"/>
      <c r="AB25" s="313"/>
      <c r="AC25" s="313"/>
    </row>
    <row r="26" spans="1:34" x14ac:dyDescent="0.3">
      <c r="A26" s="56" t="s">
        <v>121</v>
      </c>
      <c r="C26" s="95">
        <f>553299.594/616185</f>
        <v>0.89794395189756326</v>
      </c>
      <c r="E26" s="95">
        <f>SUM(E27/E24)</f>
        <v>0.9021516344963243</v>
      </c>
      <c r="G26" s="95">
        <f>681556573/749937000</f>
        <v>0.90881843808213225</v>
      </c>
      <c r="I26" s="96">
        <f>765508.488/822232</f>
        <v>0.93101276525360244</v>
      </c>
      <c r="J26" s="97"/>
      <c r="K26" s="81"/>
      <c r="L26" s="95">
        <f>898630/L24</f>
        <v>0.93367905208212154</v>
      </c>
      <c r="M26" s="98"/>
      <c r="N26" s="95">
        <f>1070854.593/N24</f>
        <v>0.92769915291056526</v>
      </c>
      <c r="O26" s="98"/>
      <c r="P26" s="292">
        <f>P25/P24</f>
        <v>0.91500980170713975</v>
      </c>
      <c r="Q26" s="71"/>
      <c r="R26" s="292">
        <f>R25/R24</f>
        <v>0.92471903256082744</v>
      </c>
      <c r="S26" s="71"/>
      <c r="T26" s="292">
        <f>T25/T24</f>
        <v>0.93137142914001647</v>
      </c>
      <c r="U26" s="81"/>
      <c r="V26" s="454">
        <f>T26</f>
        <v>0.93137142914001647</v>
      </c>
      <c r="W26" s="81"/>
      <c r="X26" s="316">
        <f>SUM(V26)</f>
        <v>0.93137142914001647</v>
      </c>
      <c r="Y26" s="81"/>
      <c r="Z26" s="316">
        <f>SUM(X26)</f>
        <v>0.93137142914001647</v>
      </c>
      <c r="AA26" s="316">
        <f t="shared" ref="AA26" si="9">SUM(Z26)</f>
        <v>0.93137142914001647</v>
      </c>
      <c r="AB26" s="316">
        <f>SUM(AA26)</f>
        <v>0.93137142914001647</v>
      </c>
      <c r="AC26" s="316">
        <f>SUM(AB26)</f>
        <v>0.93137142914001647</v>
      </c>
    </row>
    <row r="27" spans="1:34" x14ac:dyDescent="0.3">
      <c r="A27" s="56" t="s">
        <v>123</v>
      </c>
      <c r="C27" s="69">
        <f>SUM(C24*C26)</f>
        <v>553299.80893096642</v>
      </c>
      <c r="E27" s="69">
        <v>645492.61</v>
      </c>
      <c r="G27" s="69">
        <f t="shared" ref="G27:I27" si="10">SUM(G24*G26)</f>
        <v>681556.79615745938</v>
      </c>
      <c r="I27" s="69">
        <f t="shared" si="10"/>
        <v>765508.78650503687</v>
      </c>
      <c r="J27" s="70"/>
      <c r="K27" s="71"/>
      <c r="L27" s="69">
        <f t="shared" ref="L27:AA27" si="11">SUM(L24*L26)</f>
        <v>898630</v>
      </c>
      <c r="M27" s="72"/>
      <c r="N27" s="69">
        <f t="shared" si="11"/>
        <v>1070854.5930000001</v>
      </c>
      <c r="O27" s="72"/>
      <c r="P27" s="70">
        <f>SUM(P24*P26)</f>
        <v>1064023.335</v>
      </c>
      <c r="R27" s="70">
        <f>SUM(R24*R26)</f>
        <v>1117051.1471780001</v>
      </c>
      <c r="T27" s="70">
        <f>SUM(T24*T26)</f>
        <v>1153650.0430000001</v>
      </c>
      <c r="U27" s="71"/>
      <c r="V27" s="344">
        <f>SUM(V24*V26)</f>
        <v>1218467.7607794143</v>
      </c>
      <c r="W27" s="71"/>
      <c r="X27" s="313">
        <f>SUM(X24*X26)</f>
        <v>1128848.97919685</v>
      </c>
      <c r="Y27" s="71"/>
      <c r="Z27" s="313">
        <f t="shared" si="11"/>
        <v>1213166.4868878112</v>
      </c>
      <c r="AA27" s="313">
        <f t="shared" si="11"/>
        <v>1304474.2591051292</v>
      </c>
      <c r="AB27" s="313">
        <f>SUM(AB24*AB26)</f>
        <v>1380665.3565459761</v>
      </c>
      <c r="AC27" s="313">
        <f>SUM(AC24*AC26)</f>
        <v>1484718.912391318</v>
      </c>
    </row>
    <row r="28" spans="1:34" x14ac:dyDescent="0.3">
      <c r="A28" s="56" t="s">
        <v>43</v>
      </c>
      <c r="C28" s="69">
        <v>0</v>
      </c>
      <c r="E28" s="69">
        <v>0</v>
      </c>
      <c r="G28" s="69">
        <v>0</v>
      </c>
      <c r="I28" s="69">
        <v>0</v>
      </c>
      <c r="J28" s="70"/>
      <c r="K28" s="71"/>
      <c r="L28" s="74">
        <v>0</v>
      </c>
      <c r="M28" s="72"/>
      <c r="N28" s="69">
        <v>0</v>
      </c>
      <c r="O28" s="72"/>
      <c r="P28" s="70">
        <v>0</v>
      </c>
      <c r="Q28" s="71"/>
      <c r="R28" s="70">
        <v>0</v>
      </c>
      <c r="S28" s="71"/>
      <c r="T28" s="70">
        <v>0</v>
      </c>
      <c r="U28" s="71"/>
      <c r="V28" s="344">
        <v>0</v>
      </c>
      <c r="W28" s="71"/>
      <c r="X28" s="477">
        <f>763/X30</f>
        <v>61853.259850688293</v>
      </c>
      <c r="Y28" s="71"/>
      <c r="Z28" s="313">
        <v>0</v>
      </c>
      <c r="AA28" s="313">
        <v>0</v>
      </c>
      <c r="AB28" s="313">
        <v>0</v>
      </c>
      <c r="AC28" s="313">
        <v>0</v>
      </c>
    </row>
    <row r="29" spans="1:34" x14ac:dyDescent="0.3">
      <c r="A29" s="56"/>
      <c r="C29" s="99">
        <f>SUM(C27:C28)</f>
        <v>553299.80893096642</v>
      </c>
      <c r="E29" s="99">
        <f>SUM(E27:E28)</f>
        <v>645492.61</v>
      </c>
      <c r="G29" s="99">
        <f t="shared" ref="G29:I29" si="12">SUM(G27:G28)</f>
        <v>681556.79615745938</v>
      </c>
      <c r="I29" s="99">
        <f t="shared" si="12"/>
        <v>765508.78650503687</v>
      </c>
      <c r="J29" s="100"/>
      <c r="K29" s="101"/>
      <c r="L29" s="99">
        <f t="shared" ref="L29:AA29" si="13">SUM(L27:L28)</f>
        <v>898630</v>
      </c>
      <c r="M29" s="102"/>
      <c r="N29" s="99">
        <f t="shared" si="13"/>
        <v>1070854.5930000001</v>
      </c>
      <c r="O29" s="102"/>
      <c r="P29" s="100">
        <f t="shared" si="13"/>
        <v>1064023.335</v>
      </c>
      <c r="Q29" s="101"/>
      <c r="R29" s="100">
        <f>SUM(R27:R28)</f>
        <v>1117051.1471780001</v>
      </c>
      <c r="S29" s="101"/>
      <c r="T29" s="100">
        <f>SUM(T27:T28)</f>
        <v>1153650.0430000001</v>
      </c>
      <c r="U29" s="101"/>
      <c r="V29" s="455">
        <f>SUM(V27:V28)</f>
        <v>1218467.7607794143</v>
      </c>
      <c r="W29" s="101"/>
      <c r="X29" s="317">
        <f>SUM(X27:X28)</f>
        <v>1190702.2390475383</v>
      </c>
      <c r="Y29" s="101"/>
      <c r="Z29" s="317">
        <f t="shared" si="13"/>
        <v>1213166.4868878112</v>
      </c>
      <c r="AA29" s="317">
        <f t="shared" si="13"/>
        <v>1304474.2591051292</v>
      </c>
      <c r="AB29" s="317">
        <f>SUM(AB27:AB28)</f>
        <v>1380665.3565459761</v>
      </c>
      <c r="AC29" s="317">
        <f>SUM(AC27:AC28)</f>
        <v>1484718.912391318</v>
      </c>
      <c r="AF29" s="480">
        <f>X28/X27</f>
        <v>5.4793210598193094E-2</v>
      </c>
    </row>
    <row r="30" spans="1:34" x14ac:dyDescent="0.3">
      <c r="A30" s="56" t="s">
        <v>124</v>
      </c>
      <c r="B30" s="103"/>
      <c r="C30" s="104">
        <v>1.2009000000000001E-2</v>
      </c>
      <c r="E30" s="104">
        <v>1.2201999999999999E-2</v>
      </c>
      <c r="G30" s="105">
        <v>1.2663000000000001E-2</v>
      </c>
      <c r="H30" s="106">
        <f>SUM(I30-G30)/G30</f>
        <v>-1.9799564229200275E-2</v>
      </c>
      <c r="I30" s="105">
        <f>+I32/I29</f>
        <v>1.2412278118165638E-2</v>
      </c>
      <c r="J30" s="107"/>
      <c r="K30" s="108">
        <f>SUM(L30-I30)/I30</f>
        <v>1.1914378047644822E-2</v>
      </c>
      <c r="L30" s="105">
        <f>SUM(L32/L29)</f>
        <v>1.2560162692097972E-2</v>
      </c>
      <c r="M30" s="106">
        <f>SUM((N30-L30)/L30)</f>
        <v>-3.3482431633753494E-2</v>
      </c>
      <c r="N30" s="105">
        <f>12999.77053/1070855</f>
        <v>1.2139617903450981E-2</v>
      </c>
      <c r="O30" s="106">
        <f>SUM((P30-N30)/N30)</f>
        <v>-1.8509541639643912E-2</v>
      </c>
      <c r="P30" s="293">
        <f>12677752/1064023335</f>
        <v>1.1914919140377688E-2</v>
      </c>
      <c r="Q30" s="294">
        <f>SUM((R30-P30)/P30)</f>
        <v>5.7933924652931769E-2</v>
      </c>
      <c r="R30" s="293">
        <f>14080649.98/1117051149</f>
        <v>1.2605197168102104E-2</v>
      </c>
      <c r="S30" s="294">
        <f>SUM((T30-R30)/R30)</f>
        <v>-0.11545534740322551</v>
      </c>
      <c r="T30" s="293">
        <f>12863036.18/1153650043</f>
        <v>1.1149859749972721E-2</v>
      </c>
      <c r="U30" s="305">
        <v>0.09</v>
      </c>
      <c r="V30" s="318">
        <f>SUM(T30*(1+U30))</f>
        <v>1.2153347127470267E-2</v>
      </c>
      <c r="W30" s="305">
        <v>1.4999999999999999E-2</v>
      </c>
      <c r="X30" s="318">
        <f>SUM(V30*(1+W30))</f>
        <v>1.233564733438232E-2</v>
      </c>
      <c r="Y30" s="305">
        <v>0.02</v>
      </c>
      <c r="Z30" s="318">
        <f>SUM(X30*(1+Y30))</f>
        <v>1.2582360281069967E-2</v>
      </c>
      <c r="AA30" s="318">
        <f>SUM(Z30*(1+Y30))</f>
        <v>1.2834007486691366E-2</v>
      </c>
      <c r="AB30" s="318">
        <f>SUM(AA30*(1+Y30))</f>
        <v>1.3090687636425194E-2</v>
      </c>
      <c r="AC30" s="318">
        <f>SUM(AB30*(1+$Y$30))</f>
        <v>1.3352501389153698E-2</v>
      </c>
    </row>
    <row r="31" spans="1:34" x14ac:dyDescent="0.3">
      <c r="A31" s="56"/>
      <c r="C31" s="109"/>
      <c r="E31" s="110"/>
      <c r="G31" s="110"/>
      <c r="I31" s="110"/>
      <c r="J31" s="111"/>
      <c r="K31" s="71"/>
      <c r="L31" s="109"/>
      <c r="M31" s="111"/>
      <c r="N31" s="110"/>
      <c r="O31" s="111"/>
      <c r="P31" s="139"/>
      <c r="Q31" s="71"/>
      <c r="R31" s="139"/>
      <c r="S31" s="71"/>
      <c r="T31" s="139"/>
      <c r="U31" s="71"/>
      <c r="V31" s="319"/>
      <c r="W31" s="71"/>
      <c r="X31" s="319"/>
      <c r="Y31" s="71"/>
      <c r="Z31" s="319"/>
      <c r="AA31" s="319"/>
      <c r="AB31" s="319"/>
      <c r="AC31" s="319"/>
    </row>
    <row r="32" spans="1:34" ht="15" thickBot="1" x14ac:dyDescent="0.35">
      <c r="A32" s="56" t="s">
        <v>45</v>
      </c>
      <c r="C32" s="112">
        <f>SUM(C29*C30)</f>
        <v>6644.5774054519761</v>
      </c>
      <c r="E32" s="112">
        <f>SUM(E29*E30)</f>
        <v>7876.3008272199995</v>
      </c>
      <c r="G32" s="112">
        <f t="shared" ref="G32" si="14">SUM(G29*G30)</f>
        <v>8630.5537097419092</v>
      </c>
      <c r="I32" s="112">
        <v>9501.7079599999997</v>
      </c>
      <c r="J32" s="113"/>
      <c r="K32" s="114"/>
      <c r="L32" s="112">
        <v>11286.939</v>
      </c>
      <c r="M32" s="113"/>
      <c r="N32" s="112">
        <f t="shared" ref="N32:P32" si="15">SUM(N29*N30)</f>
        <v>12999.765589175515</v>
      </c>
      <c r="O32" s="113"/>
      <c r="P32" s="141">
        <f t="shared" si="15"/>
        <v>12677.752</v>
      </c>
      <c r="Q32" s="114"/>
      <c r="R32" s="141">
        <f>SUM(R29*R30)</f>
        <v>14080.649957033333</v>
      </c>
      <c r="S32" s="114"/>
      <c r="T32" s="141">
        <f>SUM(T29*T30)</f>
        <v>12863.036179999999</v>
      </c>
      <c r="U32" s="114"/>
      <c r="V32" s="392">
        <f>SUM(V29*V30)</f>
        <v>14808.461660383624</v>
      </c>
      <c r="W32" s="370"/>
      <c r="X32" s="392">
        <f>SUM(X29*X30)</f>
        <v>14688.082901149826</v>
      </c>
      <c r="Y32" s="440"/>
      <c r="Z32" s="392">
        <f>SUM(Z29*Z30)</f>
        <v>15264.497818942384</v>
      </c>
      <c r="AA32" s="392">
        <f>SUM(AA29*AA30)</f>
        <v>16741.632407551399</v>
      </c>
      <c r="AB32" s="392">
        <f>SUM(AB29*AB30)</f>
        <v>18073.858912976993</v>
      </c>
      <c r="AC32" s="392">
        <f>SUM(AC29*AC30)</f>
        <v>19824.711340207843</v>
      </c>
      <c r="AF32" s="478">
        <v>13925.082901149826</v>
      </c>
      <c r="AG32" s="479">
        <f>AF32+763</f>
        <v>14688.082901149826</v>
      </c>
      <c r="AH32" s="479">
        <f>AF32-AG32</f>
        <v>-763</v>
      </c>
    </row>
    <row r="33" spans="1:33" ht="15" thickTop="1" x14ac:dyDescent="0.3">
      <c r="A33" s="56"/>
      <c r="C33" s="115"/>
      <c r="E33" s="116"/>
      <c r="F33" s="116"/>
      <c r="G33" s="116"/>
      <c r="I33" s="116"/>
      <c r="J33" s="116"/>
      <c r="K33" s="117"/>
      <c r="L33" s="118"/>
      <c r="M33" s="116"/>
      <c r="N33" s="116"/>
      <c r="O33" s="116"/>
      <c r="P33" s="116"/>
      <c r="Q33" s="117"/>
      <c r="R33" s="116"/>
      <c r="S33" s="117"/>
      <c r="T33" s="116"/>
      <c r="U33" s="117"/>
      <c r="V33" s="116"/>
      <c r="W33" s="117"/>
      <c r="X33" s="116"/>
      <c r="Y33" s="117"/>
      <c r="Z33" s="116"/>
      <c r="AA33" s="116"/>
      <c r="AB33" s="116"/>
      <c r="AC33" s="116"/>
      <c r="AG33" s="479"/>
    </row>
    <row r="34" spans="1:33" x14ac:dyDescent="0.3">
      <c r="A34" s="119"/>
      <c r="C34" s="57" t="s">
        <v>46</v>
      </c>
      <c r="E34" s="57" t="s">
        <v>20</v>
      </c>
      <c r="G34" s="57" t="s">
        <v>21</v>
      </c>
      <c r="I34" s="57" t="s">
        <v>47</v>
      </c>
      <c r="J34" s="120"/>
      <c r="K34" s="59"/>
      <c r="L34" s="57" t="s">
        <v>48</v>
      </c>
      <c r="M34" s="58"/>
      <c r="N34" s="57" t="s">
        <v>49</v>
      </c>
      <c r="O34" s="58"/>
      <c r="P34" s="120" t="s">
        <v>50</v>
      </c>
      <c r="Q34" s="59"/>
      <c r="R34" s="120" t="s">
        <v>131</v>
      </c>
      <c r="S34" s="59"/>
      <c r="T34" s="120" t="s">
        <v>148</v>
      </c>
      <c r="U34" s="59"/>
      <c r="V34" s="120" t="s">
        <v>26</v>
      </c>
      <c r="W34" s="59"/>
      <c r="X34" s="301" t="s">
        <v>27</v>
      </c>
      <c r="Y34" s="59"/>
      <c r="Z34" s="301" t="s">
        <v>28</v>
      </c>
      <c r="AA34" s="301" t="s">
        <v>135</v>
      </c>
      <c r="AB34" s="301" t="str">
        <f>$AB$10</f>
        <v>2023 Estimate</v>
      </c>
      <c r="AC34" s="301" t="str">
        <f>$AC$10</f>
        <v>2024 Estimate</v>
      </c>
    </row>
    <row r="35" spans="1:33" x14ac:dyDescent="0.3">
      <c r="A35" s="121" t="s">
        <v>51</v>
      </c>
      <c r="C35" s="41"/>
      <c r="E35" s="61"/>
      <c r="G35" s="61"/>
      <c r="I35" s="62"/>
      <c r="J35" s="63"/>
      <c r="K35" s="64"/>
      <c r="L35" s="61"/>
      <c r="M35" s="65"/>
      <c r="N35" s="61"/>
      <c r="O35" s="65"/>
      <c r="P35" s="65"/>
      <c r="Q35" s="64"/>
      <c r="R35" s="65"/>
      <c r="S35" s="64"/>
      <c r="T35" s="65"/>
      <c r="U35" s="64"/>
      <c r="V35" s="65"/>
      <c r="W35" s="64"/>
      <c r="X35" s="321"/>
      <c r="Y35" s="64"/>
      <c r="Z35" s="321"/>
      <c r="AA35" s="321"/>
      <c r="AB35" s="321"/>
      <c r="AC35" s="321"/>
    </row>
    <row r="36" spans="1:33" x14ac:dyDescent="0.3">
      <c r="A36" s="119"/>
      <c r="C36" s="61"/>
      <c r="E36" s="61"/>
      <c r="G36" s="61"/>
      <c r="I36" s="62"/>
      <c r="J36" s="63"/>
      <c r="K36" s="64"/>
      <c r="L36" s="61"/>
      <c r="M36" s="65"/>
      <c r="N36" s="61"/>
      <c r="O36" s="65"/>
      <c r="P36" s="65"/>
      <c r="Q36" s="64"/>
      <c r="R36" s="65"/>
      <c r="S36" s="64"/>
      <c r="T36" s="65"/>
      <c r="U36" s="64"/>
      <c r="V36" s="65"/>
      <c r="W36" s="64"/>
      <c r="X36" s="321"/>
      <c r="Y36" s="64"/>
      <c r="Z36" s="321"/>
      <c r="AA36" s="321"/>
      <c r="AB36" s="321"/>
      <c r="AC36" s="321"/>
    </row>
    <row r="37" spans="1:33" x14ac:dyDescent="0.3">
      <c r="A37" s="119" t="s">
        <v>30</v>
      </c>
      <c r="C37" s="69">
        <v>1578492</v>
      </c>
      <c r="E37" s="69">
        <v>1699083.2690000001</v>
      </c>
      <c r="G37" s="69">
        <v>1795440.777</v>
      </c>
      <c r="I37" s="69">
        <v>1871167</v>
      </c>
      <c r="J37" s="70"/>
      <c r="K37" s="71"/>
      <c r="L37" s="69">
        <v>1892078.206</v>
      </c>
      <c r="M37" s="72"/>
      <c r="N37" s="69">
        <v>2018725.2420000001</v>
      </c>
      <c r="O37" s="70"/>
      <c r="P37" s="70">
        <v>2098023.2439999999</v>
      </c>
      <c r="Q37" s="73"/>
      <c r="R37" s="70">
        <v>2268109</v>
      </c>
      <c r="S37" s="73"/>
      <c r="T37" s="70">
        <v>2425722.202</v>
      </c>
      <c r="U37" s="73"/>
      <c r="V37" s="70">
        <v>2481598.6882600002</v>
      </c>
      <c r="W37" s="73"/>
      <c r="X37" s="313">
        <f>SUM(V37:V42)</f>
        <v>2481598.6882600002</v>
      </c>
      <c r="Y37" s="73"/>
      <c r="Z37" s="313">
        <f>SUM(X37:X42)</f>
        <v>2644082.6882600002</v>
      </c>
      <c r="AA37" s="313">
        <f>SUM(Z37:Z42)</f>
        <v>2809635.6882600002</v>
      </c>
      <c r="AB37" s="313">
        <f>SUM(AA37:AA42)</f>
        <v>2987676.6882600002</v>
      </c>
      <c r="AC37" s="313">
        <f>SUM(AB37:AB42)</f>
        <v>3136241.6882600002</v>
      </c>
    </row>
    <row r="38" spans="1:33" x14ac:dyDescent="0.3">
      <c r="A38" s="119" t="s">
        <v>31</v>
      </c>
      <c r="C38" s="69"/>
      <c r="E38" s="69"/>
      <c r="G38" s="69"/>
      <c r="I38" s="69"/>
      <c r="J38" s="70"/>
      <c r="K38" s="122"/>
      <c r="L38" s="123"/>
      <c r="M38" s="124"/>
      <c r="N38" s="69"/>
      <c r="O38" s="70"/>
      <c r="P38" s="124"/>
      <c r="Q38" s="73"/>
      <c r="R38" s="124"/>
      <c r="S38" s="73"/>
      <c r="T38" s="124"/>
      <c r="U38" s="73"/>
      <c r="V38" s="124"/>
      <c r="W38" s="73"/>
      <c r="X38" s="322"/>
      <c r="Y38" s="73"/>
      <c r="Z38" s="322"/>
      <c r="AA38" s="322"/>
      <c r="AB38" s="322"/>
      <c r="AC38" s="322"/>
    </row>
    <row r="39" spans="1:33" x14ac:dyDescent="0.3">
      <c r="A39" s="76" t="s">
        <v>32</v>
      </c>
      <c r="C39" s="69"/>
      <c r="E39" s="125"/>
      <c r="G39" s="74"/>
      <c r="I39" s="125"/>
      <c r="J39" s="126"/>
      <c r="K39" s="127"/>
      <c r="L39" s="125"/>
      <c r="M39" s="126"/>
      <c r="N39" s="69"/>
      <c r="O39" s="70"/>
      <c r="P39" s="153"/>
      <c r="Q39" s="73"/>
      <c r="R39" s="153"/>
      <c r="S39" s="73"/>
      <c r="T39" s="153"/>
      <c r="U39" s="73"/>
      <c r="V39" s="153"/>
      <c r="W39" s="73"/>
      <c r="X39" s="426">
        <v>308484</v>
      </c>
      <c r="Y39" s="73"/>
      <c r="Z39" s="344">
        <f>SUM(Z15)</f>
        <v>303587</v>
      </c>
      <c r="AA39" s="344">
        <f t="shared" ref="Z39:AA40" si="16">SUM(AA15)</f>
        <v>310788</v>
      </c>
      <c r="AB39" s="344">
        <f>SUM(AB15)</f>
        <v>280335</v>
      </c>
      <c r="AC39" s="344">
        <f>SUM(AC15)</f>
        <v>329161</v>
      </c>
    </row>
    <row r="40" spans="1:33" x14ac:dyDescent="0.3">
      <c r="A40" s="76" t="s">
        <v>33</v>
      </c>
      <c r="C40" s="69"/>
      <c r="E40" s="125"/>
      <c r="G40" s="74"/>
      <c r="I40" s="125"/>
      <c r="J40" s="126"/>
      <c r="K40" s="127"/>
      <c r="L40" s="125"/>
      <c r="M40" s="126"/>
      <c r="N40" s="69"/>
      <c r="O40" s="70"/>
      <c r="P40" s="126"/>
      <c r="Q40" s="73"/>
      <c r="R40" s="126"/>
      <c r="S40" s="73"/>
      <c r="T40" s="126"/>
      <c r="U40" s="73"/>
      <c r="V40" s="126"/>
      <c r="W40" s="73"/>
      <c r="X40" s="426">
        <v>-26868</v>
      </c>
      <c r="Y40" s="73"/>
      <c r="Z40" s="344">
        <f t="shared" si="16"/>
        <v>-18675</v>
      </c>
      <c r="AA40" s="344">
        <f t="shared" si="16"/>
        <v>-13145</v>
      </c>
      <c r="AB40" s="344">
        <f>SUM(AB16)</f>
        <v>-12168</v>
      </c>
      <c r="AC40" s="344">
        <f>SUM(AC16)</f>
        <v>-5895</v>
      </c>
    </row>
    <row r="41" spans="1:33" x14ac:dyDescent="0.3">
      <c r="A41" s="76" t="s">
        <v>35</v>
      </c>
      <c r="C41" s="69"/>
      <c r="E41" s="125"/>
      <c r="G41" s="74"/>
      <c r="I41" s="125"/>
      <c r="J41" s="126"/>
      <c r="K41" s="127"/>
      <c r="L41" s="125"/>
      <c r="M41" s="126"/>
      <c r="N41" s="69"/>
      <c r="O41" s="70"/>
      <c r="P41" s="126"/>
      <c r="Q41" s="73"/>
      <c r="R41" s="126"/>
      <c r="S41" s="73"/>
      <c r="T41" s="126"/>
      <c r="U41" s="73"/>
      <c r="V41" s="126"/>
      <c r="W41" s="73"/>
      <c r="X41" s="426">
        <v>-6520</v>
      </c>
      <c r="Y41" s="73"/>
      <c r="Z41" s="344">
        <f t="shared" ref="Z41:AA42" si="17">SUM(Z18)</f>
        <v>-6747</v>
      </c>
      <c r="AA41" s="344">
        <f t="shared" si="17"/>
        <v>-6990</v>
      </c>
      <c r="AB41" s="344">
        <f>SUM(AB18)</f>
        <v>-6990</v>
      </c>
      <c r="AC41" s="344">
        <f>SUM(AC18)</f>
        <v>-7760</v>
      </c>
    </row>
    <row r="42" spans="1:33" x14ac:dyDescent="0.3">
      <c r="A42" s="56" t="s">
        <v>36</v>
      </c>
      <c r="C42" s="69"/>
      <c r="E42" s="125"/>
      <c r="G42" s="74"/>
      <c r="I42" s="125"/>
      <c r="J42" s="126"/>
      <c r="K42" s="127"/>
      <c r="L42" s="125"/>
      <c r="M42" s="126"/>
      <c r="N42" s="69"/>
      <c r="O42" s="70"/>
      <c r="P42" s="126"/>
      <c r="Q42" s="73"/>
      <c r="R42" s="126"/>
      <c r="S42" s="73"/>
      <c r="T42" s="126"/>
      <c r="U42" s="73"/>
      <c r="V42" s="126"/>
      <c r="W42" s="73"/>
      <c r="X42" s="154">
        <f>-112612</f>
        <v>-112612</v>
      </c>
      <c r="Y42" s="73"/>
      <c r="Z42" s="344">
        <f>SUM(Z19)</f>
        <v>-112612</v>
      </c>
      <c r="AA42" s="344">
        <f t="shared" si="17"/>
        <v>-112612</v>
      </c>
      <c r="AB42" s="344">
        <f>SUM(AB19)</f>
        <v>-112612</v>
      </c>
      <c r="AC42" s="344">
        <f>SUM(AC19)</f>
        <v>-112612</v>
      </c>
    </row>
    <row r="43" spans="1:33" x14ac:dyDescent="0.3">
      <c r="A43" s="119" t="s">
        <v>53</v>
      </c>
      <c r="C43" s="78"/>
      <c r="E43" s="79"/>
      <c r="G43" s="82"/>
      <c r="I43" s="79"/>
      <c r="J43" s="80"/>
      <c r="K43" s="81"/>
      <c r="L43" s="79"/>
      <c r="M43" s="80"/>
      <c r="N43" s="78"/>
      <c r="O43" s="83"/>
      <c r="P43" s="128" t="s">
        <v>54</v>
      </c>
      <c r="Q43" s="84"/>
      <c r="R43" s="83"/>
      <c r="S43" s="84"/>
      <c r="T43" s="83"/>
      <c r="U43" s="84"/>
      <c r="V43" s="83"/>
      <c r="W43" s="84"/>
      <c r="X43" s="323"/>
      <c r="Y43" s="84"/>
      <c r="Z43" s="323"/>
      <c r="AA43" s="323"/>
      <c r="AB43" s="323"/>
      <c r="AC43" s="323"/>
    </row>
    <row r="44" spans="1:33" x14ac:dyDescent="0.3">
      <c r="A44" s="119" t="s">
        <v>37</v>
      </c>
      <c r="C44" s="86">
        <v>1</v>
      </c>
      <c r="E44" s="86">
        <v>1</v>
      </c>
      <c r="G44" s="86">
        <v>1</v>
      </c>
      <c r="I44" s="86">
        <v>1</v>
      </c>
      <c r="J44" s="87"/>
      <c r="K44" s="71"/>
      <c r="L44" s="86">
        <v>1</v>
      </c>
      <c r="M44" s="89"/>
      <c r="N44" s="86">
        <v>1</v>
      </c>
      <c r="O44" s="87"/>
      <c r="P44" s="87">
        <v>1</v>
      </c>
      <c r="Q44" s="73"/>
      <c r="R44" s="87">
        <v>1</v>
      </c>
      <c r="S44" s="73"/>
      <c r="T44" s="87">
        <v>1</v>
      </c>
      <c r="U44" s="73"/>
      <c r="V44" s="87">
        <v>1</v>
      </c>
      <c r="W44" s="73"/>
      <c r="X44" s="314">
        <v>1</v>
      </c>
      <c r="Y44" s="73"/>
      <c r="Z44" s="314">
        <v>1</v>
      </c>
      <c r="AA44" s="314">
        <v>1</v>
      </c>
      <c r="AB44" s="314">
        <v>1</v>
      </c>
      <c r="AC44" s="314">
        <v>1</v>
      </c>
    </row>
    <row r="45" spans="1:33" x14ac:dyDescent="0.3">
      <c r="A45" s="119" t="s">
        <v>38</v>
      </c>
      <c r="C45" s="90">
        <v>0.25974900000000001</v>
      </c>
      <c r="E45" s="129">
        <v>0.24714743</v>
      </c>
      <c r="G45" s="93">
        <v>0.24893693</v>
      </c>
      <c r="I45" s="90">
        <f>478010267/1871166525</f>
        <v>0.2554611044038424</v>
      </c>
      <c r="J45" s="91"/>
      <c r="K45" s="92"/>
      <c r="L45" s="90">
        <f>479016601/1892078206</f>
        <v>0.25316955688247061</v>
      </c>
      <c r="M45" s="94"/>
      <c r="N45" s="90">
        <f>515171.974/2018725.242</f>
        <v>0.25519667723063028</v>
      </c>
      <c r="O45" s="91"/>
      <c r="P45" s="130">
        <f>514394.545/2098023.244</f>
        <v>0.24518057484400302</v>
      </c>
      <c r="Q45" s="84"/>
      <c r="R45" s="91">
        <v>0.24651799999999999</v>
      </c>
      <c r="S45" s="84"/>
      <c r="T45" s="91">
        <f>603049041/2425722202</f>
        <v>0.24860597825372915</v>
      </c>
      <c r="U45" s="84"/>
      <c r="V45" s="91">
        <f>619029054/2481598688.26</f>
        <v>0.24944768746393839</v>
      </c>
      <c r="W45" s="84"/>
      <c r="X45" s="315">
        <f>SUM(V45)</f>
        <v>0.24944768746393839</v>
      </c>
      <c r="Y45" s="84"/>
      <c r="Z45" s="315">
        <f>SUM(X45)</f>
        <v>0.24944768746393839</v>
      </c>
      <c r="AA45" s="315">
        <f t="shared" ref="AA45" si="18">SUM(Z45)</f>
        <v>0.24944768746393839</v>
      </c>
      <c r="AB45" s="315">
        <f>SUM(AA45)</f>
        <v>0.24944768746393839</v>
      </c>
      <c r="AC45" s="315">
        <f>SUM(AB45)</f>
        <v>0.24944768746393839</v>
      </c>
    </row>
    <row r="46" spans="1:33" x14ac:dyDescent="0.3">
      <c r="A46" s="119" t="s">
        <v>39</v>
      </c>
      <c r="C46" s="69">
        <f>SUM(C37:C42)*C44*C45</f>
        <v>410011.71850800002</v>
      </c>
      <c r="E46" s="69">
        <f>SUM(E37:E43)*E44*E45</f>
        <v>419924.06328934868</v>
      </c>
      <c r="G46" s="69">
        <f>SUM(G37:G43)*G44*G45</f>
        <v>446951.5150231946</v>
      </c>
      <c r="I46" s="69">
        <f>SUM(I37:I43)*I44*I45</f>
        <v>478010.38834402454</v>
      </c>
      <c r="J46" s="70"/>
      <c r="K46" s="71"/>
      <c r="L46" s="69">
        <f>SUM(L37:L43)*L44*L45</f>
        <v>479016.60099999997</v>
      </c>
      <c r="M46" s="72"/>
      <c r="N46" s="69">
        <f>SUM(N37:N43)*N44*N45</f>
        <v>515171.97399999999</v>
      </c>
      <c r="O46" s="70"/>
      <c r="P46" s="131">
        <f>SUM(P37:P43)*P44*P45</f>
        <v>514394.54499999998</v>
      </c>
      <c r="Q46" s="73"/>
      <c r="R46" s="70">
        <f>SUM(R37:R43)*R44*R45</f>
        <v>559129.69446199993</v>
      </c>
      <c r="S46" s="73"/>
      <c r="T46" s="70">
        <f>SUM(T37:T43)*T44*T45</f>
        <v>603049.04099999997</v>
      </c>
      <c r="U46" s="73"/>
      <c r="V46" s="70">
        <f>SUM(V37:V43)*V44*V45</f>
        <v>619029.054</v>
      </c>
      <c r="W46" s="73"/>
      <c r="X46" s="313">
        <f>SUM(X37:X43)*X44*X45</f>
        <v>659560.31204989052</v>
      </c>
      <c r="Y46" s="73"/>
      <c r="Z46" s="313">
        <f>SUM(Z37:Z43)*Z44*Z45</f>
        <v>700857.12505260797</v>
      </c>
      <c r="AA46" s="313">
        <f>SUM(AA37:AA43)*AA44*AA45</f>
        <v>745269.04077637498</v>
      </c>
      <c r="AB46" s="313">
        <f>SUM(AB37:AB43)*AB44*AB45</f>
        <v>782328.23646445503</v>
      </c>
      <c r="AC46" s="313">
        <f>SUM(AC37:AC43)*AC44*AC45</f>
        <v>832939.67556476337</v>
      </c>
    </row>
    <row r="47" spans="1:33" x14ac:dyDescent="0.3">
      <c r="A47" s="119" t="s">
        <v>40</v>
      </c>
      <c r="C47" s="78">
        <f>(5887+8589+229+382)*-1</f>
        <v>-15087</v>
      </c>
      <c r="E47" s="78">
        <f>-3975.631-8936.384-222.924-283</f>
        <v>-13417.939</v>
      </c>
      <c r="G47" s="78">
        <f>-10488.681-9022.891-264.554-322.957</f>
        <v>-20099.082999999999</v>
      </c>
      <c r="I47" s="78">
        <f>-8904.767-211.228-231.129</f>
        <v>-9347.1239999999998</v>
      </c>
      <c r="J47" s="83"/>
      <c r="K47" s="81"/>
      <c r="L47" s="78">
        <f>-8573.011-238.474-810.181</f>
        <v>-9621.6660000000011</v>
      </c>
      <c r="M47" s="80"/>
      <c r="N47" s="78">
        <f>-8697.667-262.431-1000-301.639</f>
        <v>-10261.736999999999</v>
      </c>
      <c r="O47" s="83"/>
      <c r="P47" s="132">
        <f>-7890.157-307.219-1000-443.168</f>
        <v>-9640.5439999999999</v>
      </c>
      <c r="Q47" s="84"/>
      <c r="R47" s="83">
        <f>-9592-366</f>
        <v>-9958</v>
      </c>
      <c r="S47" s="84"/>
      <c r="T47" s="83">
        <f>-16983-10609-329-900-381-1</f>
        <v>-29203</v>
      </c>
      <c r="U47" s="84"/>
      <c r="V47" s="83">
        <f>589749.943-V46</f>
        <v>-29279.111000000034</v>
      </c>
      <c r="W47" s="84"/>
      <c r="X47" s="323">
        <f>SUM(V47)</f>
        <v>-29279.111000000034</v>
      </c>
      <c r="Y47" s="84"/>
      <c r="Z47" s="323">
        <f>SUM(X47)</f>
        <v>-29279.111000000034</v>
      </c>
      <c r="AA47" s="323">
        <f t="shared" ref="AA47" si="19">SUM(Z47)</f>
        <v>-29279.111000000034</v>
      </c>
      <c r="AB47" s="323">
        <f>SUM(AA47)</f>
        <v>-29279.111000000034</v>
      </c>
      <c r="AC47" s="323">
        <f>SUM(AB47)</f>
        <v>-29279.111000000034</v>
      </c>
    </row>
    <row r="48" spans="1:33" x14ac:dyDescent="0.3">
      <c r="A48" s="119" t="s">
        <v>41</v>
      </c>
      <c r="C48" s="69">
        <f>SUM(C46:C47)</f>
        <v>394924.71850800002</v>
      </c>
      <c r="E48" s="69">
        <f>SUM(E46:E47)</f>
        <v>406506.12428934866</v>
      </c>
      <c r="G48" s="69">
        <f>SUM(G46:G47)</f>
        <v>426852.43202319462</v>
      </c>
      <c r="I48" s="69">
        <f>SUM(I46:I47)</f>
        <v>468663.26434402453</v>
      </c>
      <c r="J48" s="70"/>
      <c r="K48" s="71"/>
      <c r="L48" s="69">
        <f t="shared" ref="L48:AA48" si="20">SUM(L46:L47)</f>
        <v>469394.93499999994</v>
      </c>
      <c r="M48" s="72"/>
      <c r="N48" s="69">
        <f t="shared" si="20"/>
        <v>504910.23699999996</v>
      </c>
      <c r="O48" s="70"/>
      <c r="P48" s="70">
        <f t="shared" si="20"/>
        <v>504754.00099999999</v>
      </c>
      <c r="Q48" s="73"/>
      <c r="R48" s="70">
        <f>SUM(R46:R47)</f>
        <v>549171.69446199993</v>
      </c>
      <c r="S48" s="73"/>
      <c r="T48" s="70">
        <f t="shared" si="20"/>
        <v>573846.04099999997</v>
      </c>
      <c r="U48" s="73"/>
      <c r="V48" s="70">
        <f>SUM(V46:V47)</f>
        <v>589749.94299999997</v>
      </c>
      <c r="W48" s="73"/>
      <c r="X48" s="313">
        <f t="shared" si="20"/>
        <v>630281.20104989049</v>
      </c>
      <c r="Y48" s="73"/>
      <c r="Z48" s="313">
        <f>SUM(Z46:Z47)</f>
        <v>671578.01405260793</v>
      </c>
      <c r="AA48" s="313">
        <f t="shared" si="20"/>
        <v>715989.92977637495</v>
      </c>
      <c r="AB48" s="313">
        <f>SUM(AB46:AB47)</f>
        <v>753049.12546445499</v>
      </c>
      <c r="AC48" s="313">
        <f>SUM(AC46:AC47)</f>
        <v>803660.56456476334</v>
      </c>
    </row>
    <row r="49" spans="1:29" x14ac:dyDescent="0.3">
      <c r="A49" s="119" t="s">
        <v>55</v>
      </c>
      <c r="C49" s="133">
        <v>1</v>
      </c>
      <c r="E49" s="133">
        <v>1</v>
      </c>
      <c r="G49" s="133">
        <v>1</v>
      </c>
      <c r="I49" s="133">
        <v>1</v>
      </c>
      <c r="J49" s="134"/>
      <c r="K49" s="81"/>
      <c r="L49" s="133">
        <v>1</v>
      </c>
      <c r="M49" s="135"/>
      <c r="N49" s="133">
        <v>1</v>
      </c>
      <c r="O49" s="134"/>
      <c r="P49" s="134">
        <v>1</v>
      </c>
      <c r="Q49" s="84"/>
      <c r="R49" s="134">
        <v>1</v>
      </c>
      <c r="S49" s="84"/>
      <c r="T49" s="134">
        <v>1</v>
      </c>
      <c r="U49" s="84"/>
      <c r="V49" s="134">
        <v>1</v>
      </c>
      <c r="W49" s="84"/>
      <c r="X49" s="324">
        <v>1</v>
      </c>
      <c r="Y49" s="84"/>
      <c r="Z49" s="324">
        <v>1</v>
      </c>
      <c r="AA49" s="324">
        <v>1</v>
      </c>
      <c r="AB49" s="324">
        <v>1</v>
      </c>
      <c r="AC49" s="324">
        <v>1</v>
      </c>
    </row>
    <row r="50" spans="1:29" x14ac:dyDescent="0.3">
      <c r="A50" s="119" t="s">
        <v>42</v>
      </c>
      <c r="C50" s="69">
        <f>SUM(C48*C49)</f>
        <v>394924.71850800002</v>
      </c>
      <c r="E50" s="69">
        <f>SUM(E48*E49)</f>
        <v>406506.12428934866</v>
      </c>
      <c r="G50" s="69">
        <f t="shared" ref="G50:I50" si="21">SUM(G48*G49)</f>
        <v>426852.43202319462</v>
      </c>
      <c r="I50" s="69">
        <f t="shared" si="21"/>
        <v>468663.26434402453</v>
      </c>
      <c r="J50" s="70"/>
      <c r="K50" s="71"/>
      <c r="L50" s="69">
        <f t="shared" ref="L50:AA50" si="22">SUM(L48*L49)</f>
        <v>469394.93499999994</v>
      </c>
      <c r="M50" s="72"/>
      <c r="N50" s="69">
        <f t="shared" si="22"/>
        <v>504910.23699999996</v>
      </c>
      <c r="O50" s="70"/>
      <c r="P50" s="70">
        <f t="shared" si="22"/>
        <v>504754.00099999999</v>
      </c>
      <c r="Q50" s="73"/>
      <c r="R50" s="70">
        <f>SUM(R48*R49)</f>
        <v>549171.69446199993</v>
      </c>
      <c r="S50" s="73"/>
      <c r="T50" s="70">
        <f t="shared" si="22"/>
        <v>573846.04099999997</v>
      </c>
      <c r="U50" s="73"/>
      <c r="V50" s="70">
        <f>SUM(V48*V49)</f>
        <v>589749.94299999997</v>
      </c>
      <c r="W50" s="73"/>
      <c r="X50" s="313">
        <f t="shared" si="22"/>
        <v>630281.20104989049</v>
      </c>
      <c r="Y50" s="73"/>
      <c r="Z50" s="313">
        <f>SUM(Z48*Z49)</f>
        <v>671578.01405260793</v>
      </c>
      <c r="AA50" s="313">
        <f t="shared" si="22"/>
        <v>715989.92977637495</v>
      </c>
      <c r="AB50" s="313">
        <f>SUM(AB48*AB49)</f>
        <v>753049.12546445499</v>
      </c>
      <c r="AC50" s="313">
        <f>SUM(AC48*AC49)</f>
        <v>803660.56456476334</v>
      </c>
    </row>
    <row r="51" spans="1:29" x14ac:dyDescent="0.3">
      <c r="A51" s="119" t="s">
        <v>44</v>
      </c>
      <c r="B51" s="108"/>
      <c r="C51" s="105">
        <f>3829943.98/394925312</f>
        <v>9.697894421110187E-3</v>
      </c>
      <c r="D51" s="136">
        <f>SUM(E51-C51)/E51</f>
        <v>9.0569557305089754E-2</v>
      </c>
      <c r="E51" s="105">
        <f>4334861/406506236</f>
        <v>1.06637011098644E-2</v>
      </c>
      <c r="F51" s="136">
        <f>SUM(G51-E51)/G51</f>
        <v>2.9513914282453545E-2</v>
      </c>
      <c r="G51" s="105">
        <v>1.0988E-2</v>
      </c>
      <c r="H51" s="108">
        <f>SUM(I51-G51)/G51</f>
        <v>4.0654360318626757E-2</v>
      </c>
      <c r="I51" s="105">
        <f>5359027.18/468663143</f>
        <v>1.143471011118107E-2</v>
      </c>
      <c r="J51" s="137"/>
      <c r="K51" s="108">
        <f>SUM(L51-I51)/I51</f>
        <v>1.3665332452170083E-2</v>
      </c>
      <c r="L51" s="105">
        <f>5440.743/469395</f>
        <v>1.159096922634455E-2</v>
      </c>
      <c r="M51" s="106">
        <f>SUM((N51-L51)/L51)</f>
        <v>-2.3012975508219759E-2</v>
      </c>
      <c r="N51" s="105">
        <f>5717.71522/504910</f>
        <v>1.1324226535422154E-2</v>
      </c>
      <c r="O51" s="138">
        <f>SUM(P53-N53)/N53</f>
        <v>-7.4419402637072741E-3</v>
      </c>
      <c r="P51" s="293">
        <f>5675.167/504754.002</f>
        <v>1.1243431409187718E-2</v>
      </c>
      <c r="Q51" s="294">
        <f>SUM((R51-P51)/P51)</f>
        <v>-6.845880646011303E-3</v>
      </c>
      <c r="R51" s="293">
        <f>6132.30388/R50</f>
        <v>1.1166460219708805E-2</v>
      </c>
      <c r="S51" s="294">
        <f>SUM((T51-R51)/R51)</f>
        <v>-3.2217407708011639E-2</v>
      </c>
      <c r="T51" s="293">
        <f>6201.38535/T50</f>
        <v>1.0806705818155153E-2</v>
      </c>
      <c r="U51" s="466">
        <f>SUM((V51-T51)/T51)</f>
        <v>-6.1830860907388874E-2</v>
      </c>
      <c r="V51" s="456">
        <f>5979.19035/V50</f>
        <v>1.0138517893845731E-2</v>
      </c>
      <c r="W51" s="305">
        <f>$W$30</f>
        <v>1.4999999999999999E-2</v>
      </c>
      <c r="X51" s="318">
        <f>SUM(V51*(1+W51))</f>
        <v>1.0290595662253417E-2</v>
      </c>
      <c r="Y51" s="305">
        <f>$Y$30</f>
        <v>0.02</v>
      </c>
      <c r="Z51" s="318">
        <f>SUM(X51*(1+Y51))</f>
        <v>1.0496407575498485E-2</v>
      </c>
      <c r="AA51" s="318">
        <f>SUM(Z51*(1+Y51))</f>
        <v>1.0706335727008454E-2</v>
      </c>
      <c r="AB51" s="318">
        <f>SUM(AA51*(1+Y51))</f>
        <v>1.0920462441548623E-2</v>
      </c>
      <c r="AC51" s="318">
        <f>SUM(AB51*(1+$Y$51))</f>
        <v>1.1138871690379595E-2</v>
      </c>
    </row>
    <row r="52" spans="1:29" x14ac:dyDescent="0.3">
      <c r="A52" s="119"/>
      <c r="C52" s="109"/>
      <c r="E52" s="110"/>
      <c r="G52" s="110"/>
      <c r="I52" s="110"/>
      <c r="J52" s="139"/>
      <c r="K52" s="71"/>
      <c r="L52" s="110"/>
      <c r="M52" s="111"/>
      <c r="N52" s="110"/>
      <c r="O52" s="111"/>
      <c r="P52" s="139"/>
      <c r="Q52" s="71"/>
      <c r="R52" s="139"/>
      <c r="S52" s="71"/>
      <c r="T52" s="111"/>
      <c r="U52" s="71"/>
      <c r="V52" s="457"/>
      <c r="W52" s="71"/>
      <c r="X52" s="319"/>
      <c r="Y52" s="71"/>
      <c r="Z52" s="319"/>
      <c r="AA52" s="319"/>
      <c r="AB52" s="319"/>
      <c r="AC52" s="319"/>
    </row>
    <row r="53" spans="1:29" ht="15" thickBot="1" x14ac:dyDescent="0.35">
      <c r="A53" s="140" t="s">
        <v>45</v>
      </c>
      <c r="C53" s="112">
        <f>SUM(C50*C51)</f>
        <v>3829.9382243772443</v>
      </c>
      <c r="E53" s="112">
        <f>SUM(E50*E51)</f>
        <v>4334.8598087510027</v>
      </c>
      <c r="G53" s="112">
        <f t="shared" ref="G53:I53" si="23">SUM(G50*G51)</f>
        <v>4690.254523070862</v>
      </c>
      <c r="I53" s="112">
        <f t="shared" si="23"/>
        <v>5359.0285675337436</v>
      </c>
      <c r="J53" s="141"/>
      <c r="K53" s="114"/>
      <c r="L53" s="112">
        <f t="shared" ref="L53:AA53" si="24">SUM(L50*L51)</f>
        <v>5440.7422465869995</v>
      </c>
      <c r="M53" s="113"/>
      <c r="N53" s="112">
        <f t="shared" si="24"/>
        <v>5717.717903841688</v>
      </c>
      <c r="O53" s="113"/>
      <c r="P53" s="141">
        <f t="shared" si="24"/>
        <v>5675.1669887565686</v>
      </c>
      <c r="Q53" s="114"/>
      <c r="R53" s="141">
        <f>SUM(R50*R51)</f>
        <v>6132.3038800000004</v>
      </c>
      <c r="S53" s="114"/>
      <c r="T53" s="421">
        <f>SUM(T50*T51)</f>
        <v>6201.3853499999996</v>
      </c>
      <c r="U53" s="114"/>
      <c r="V53" s="458">
        <f>SUM(V50*V51)</f>
        <v>5979.1903499999999</v>
      </c>
      <c r="W53" s="370"/>
      <c r="X53" s="392">
        <f>SUM(X50*X51)</f>
        <v>6485.9689935238766</v>
      </c>
      <c r="Y53" s="440"/>
      <c r="Z53" s="392">
        <f t="shared" si="24"/>
        <v>7049.1565542400222</v>
      </c>
      <c r="AA53" s="392">
        <f t="shared" si="24"/>
        <v>7665.6285653430778</v>
      </c>
      <c r="AB53" s="392">
        <f>SUM(AB50*AB51)</f>
        <v>8223.6446912756182</v>
      </c>
      <c r="AC53" s="392">
        <f>SUM(AC50*AC51)</f>
        <v>8951.8719113049247</v>
      </c>
    </row>
    <row r="54" spans="1:29" ht="15" thickTop="1" x14ac:dyDescent="0.3">
      <c r="A54" s="142"/>
      <c r="C54" s="143"/>
      <c r="E54" s="144"/>
      <c r="F54" s="144"/>
      <c r="G54" s="144"/>
      <c r="I54" s="144"/>
      <c r="J54" s="144"/>
      <c r="K54" s="145"/>
      <c r="L54" s="146"/>
      <c r="M54" s="144"/>
      <c r="N54" s="144"/>
      <c r="O54" s="144"/>
      <c r="P54" s="144"/>
      <c r="Q54" s="145"/>
      <c r="R54" s="144"/>
      <c r="S54" s="145"/>
      <c r="T54" s="144"/>
      <c r="U54" s="145"/>
      <c r="V54" s="144"/>
      <c r="W54" s="145"/>
      <c r="X54" s="144"/>
      <c r="Y54" s="145"/>
      <c r="Z54" s="144"/>
      <c r="AA54" s="144"/>
      <c r="AB54" s="144"/>
      <c r="AC54" s="144"/>
    </row>
    <row r="55" spans="1:29" x14ac:dyDescent="0.3">
      <c r="A55" s="56"/>
      <c r="C55" s="57" t="s">
        <v>46</v>
      </c>
      <c r="E55" s="57" t="s">
        <v>20</v>
      </c>
      <c r="G55" s="57" t="s">
        <v>21</v>
      </c>
      <c r="I55" s="57" t="s">
        <v>47</v>
      </c>
      <c r="J55" s="120"/>
      <c r="K55" s="59"/>
      <c r="L55" s="57" t="s">
        <v>48</v>
      </c>
      <c r="M55" s="58"/>
      <c r="N55" s="57" t="s">
        <v>49</v>
      </c>
      <c r="O55" s="58"/>
      <c r="P55" s="120" t="s">
        <v>50</v>
      </c>
      <c r="Q55" s="59"/>
      <c r="R55" s="120" t="s">
        <v>131</v>
      </c>
      <c r="S55" s="59"/>
      <c r="T55" s="120" t="s">
        <v>149</v>
      </c>
      <c r="U55" s="59"/>
      <c r="V55" s="120" t="s">
        <v>26</v>
      </c>
      <c r="W55" s="59"/>
      <c r="X55" s="301" t="s">
        <v>27</v>
      </c>
      <c r="Y55" s="59"/>
      <c r="Z55" s="301" t="s">
        <v>28</v>
      </c>
      <c r="AA55" s="301" t="s">
        <v>135</v>
      </c>
      <c r="AB55" s="301" t="str">
        <f>$AB$10</f>
        <v>2023 Estimate</v>
      </c>
      <c r="AC55" s="301" t="str">
        <f>$AC$10</f>
        <v>2024 Estimate</v>
      </c>
    </row>
    <row r="56" spans="1:29" x14ac:dyDescent="0.3">
      <c r="A56" s="60" t="s">
        <v>56</v>
      </c>
      <c r="C56" s="45" t="s">
        <v>57</v>
      </c>
      <c r="E56" s="45" t="s">
        <v>57</v>
      </c>
      <c r="G56" s="45" t="s">
        <v>57</v>
      </c>
      <c r="I56" s="41" t="s">
        <v>57</v>
      </c>
      <c r="J56" s="42"/>
      <c r="K56" s="67"/>
      <c r="L56" s="41" t="s">
        <v>57</v>
      </c>
      <c r="M56" s="68"/>
      <c r="N56" s="41" t="s">
        <v>57</v>
      </c>
      <c r="O56" s="42"/>
      <c r="P56" s="42" t="s">
        <v>57</v>
      </c>
      <c r="Q56" s="43"/>
      <c r="R56" s="42" t="s">
        <v>57</v>
      </c>
      <c r="S56" s="43"/>
      <c r="T56" s="42" t="s">
        <v>57</v>
      </c>
      <c r="U56" s="43"/>
      <c r="V56" s="42" t="s">
        <v>57</v>
      </c>
      <c r="W56" s="43"/>
      <c r="X56" s="312" t="s">
        <v>57</v>
      </c>
      <c r="Y56" s="43"/>
      <c r="Z56" s="312" t="s">
        <v>57</v>
      </c>
      <c r="AA56" s="312" t="s">
        <v>57</v>
      </c>
      <c r="AB56" s="312" t="s">
        <v>57</v>
      </c>
      <c r="AC56" s="312" t="s">
        <v>57</v>
      </c>
    </row>
    <row r="57" spans="1:29" x14ac:dyDescent="0.3">
      <c r="A57" s="147" t="s">
        <v>127</v>
      </c>
      <c r="C57" s="148">
        <v>2200000</v>
      </c>
      <c r="D57" s="142"/>
      <c r="E57" s="148">
        <v>2320000</v>
      </c>
      <c r="G57" s="148">
        <v>2600000</v>
      </c>
      <c r="I57" s="148">
        <v>2700000</v>
      </c>
      <c r="J57" s="149"/>
      <c r="K57" s="150"/>
      <c r="L57" s="148">
        <v>2973000</v>
      </c>
      <c r="M57" s="151"/>
      <c r="N57" s="148">
        <v>3318000</v>
      </c>
      <c r="O57" s="149"/>
      <c r="P57" s="149">
        <v>3431000</v>
      </c>
      <c r="Q57" s="152"/>
      <c r="R57" s="149">
        <v>3761000</v>
      </c>
      <c r="S57" s="152"/>
      <c r="T57" s="149">
        <v>4198000</v>
      </c>
      <c r="U57" s="152"/>
      <c r="V57" s="149">
        <v>4499000</v>
      </c>
      <c r="W57" s="152"/>
      <c r="X57" s="460">
        <v>4476000</v>
      </c>
      <c r="Y57" s="152"/>
      <c r="Z57" s="325">
        <f>SUM(X57)</f>
        <v>4476000</v>
      </c>
      <c r="AA57" s="325">
        <f>SUM(Z57:Z60)</f>
        <v>4706403</v>
      </c>
      <c r="AB57" s="325">
        <f>SUM(AA57:AA60)</f>
        <v>4947760</v>
      </c>
      <c r="AC57" s="325">
        <f>SUM(AB57:AB60)</f>
        <v>5163011</v>
      </c>
    </row>
    <row r="58" spans="1:29" x14ac:dyDescent="0.3">
      <c r="A58" s="56" t="s">
        <v>139</v>
      </c>
      <c r="C58" s="69">
        <v>1980000</v>
      </c>
      <c r="E58" s="69">
        <v>2088000</v>
      </c>
      <c r="G58" s="69">
        <v>2340000</v>
      </c>
      <c r="I58" s="69">
        <v>2430000</v>
      </c>
      <c r="J58" s="70"/>
      <c r="K58" s="71"/>
      <c r="L58" s="69">
        <v>2676000</v>
      </c>
      <c r="M58" s="72"/>
      <c r="N58" s="69">
        <v>2987000</v>
      </c>
      <c r="O58" s="70"/>
      <c r="P58" s="70">
        <v>3088000</v>
      </c>
      <c r="Q58" s="73"/>
      <c r="R58" s="70">
        <v>3385000</v>
      </c>
      <c r="S58" s="73"/>
      <c r="T58" s="70">
        <v>3778000</v>
      </c>
      <c r="U58" s="73"/>
      <c r="V58" s="70">
        <v>4049000</v>
      </c>
      <c r="W58" s="73"/>
      <c r="X58" s="461">
        <v>4029000</v>
      </c>
      <c r="Y58" s="73"/>
      <c r="Z58" s="313"/>
      <c r="AA58" s="313"/>
      <c r="AB58" s="313"/>
      <c r="AC58" s="313"/>
    </row>
    <row r="59" spans="1:29" x14ac:dyDescent="0.3">
      <c r="A59" s="369" t="s">
        <v>58</v>
      </c>
      <c r="C59" s="69"/>
      <c r="E59" s="123"/>
      <c r="G59" s="74"/>
      <c r="I59" s="69"/>
      <c r="J59" s="70"/>
      <c r="K59" s="122"/>
      <c r="L59" s="69"/>
      <c r="M59" s="124"/>
      <c r="N59" s="69"/>
      <c r="O59" s="70"/>
      <c r="P59" s="70"/>
      <c r="Q59" s="73"/>
      <c r="R59" s="70"/>
      <c r="S59" s="73"/>
      <c r="T59" s="70"/>
      <c r="U59" s="73"/>
      <c r="V59" s="70"/>
      <c r="W59" s="73"/>
      <c r="X59" s="461"/>
      <c r="Y59" s="399"/>
      <c r="Z59" s="313">
        <f>SUM(Z15+Z16+Z17+Z18+Z118)</f>
        <v>376904</v>
      </c>
      <c r="AA59" s="313">
        <f>SUM(AA15+AA16+AA17+AA18+AA118)</f>
        <v>387858</v>
      </c>
      <c r="AB59" s="313">
        <f>SUM(AB15+AB16+AB17+AB18+AB118)</f>
        <v>361752</v>
      </c>
      <c r="AC59" s="313">
        <f>SUM(AC15+AC16+AC17+AC18+AC118)</f>
        <v>410805</v>
      </c>
    </row>
    <row r="60" spans="1:29" x14ac:dyDescent="0.3">
      <c r="A60" s="56" t="s">
        <v>52</v>
      </c>
      <c r="C60" s="69"/>
      <c r="E60" s="75"/>
      <c r="G60" s="74"/>
      <c r="I60" s="74"/>
      <c r="J60" s="153"/>
      <c r="K60" s="71"/>
      <c r="L60" s="69"/>
      <c r="M60" s="72"/>
      <c r="N60" s="69"/>
      <c r="O60" s="70"/>
      <c r="P60" s="70"/>
      <c r="Q60" s="73"/>
      <c r="R60" s="70">
        <f>SUM(R19+R119)</f>
        <v>0</v>
      </c>
      <c r="S60" s="73"/>
      <c r="T60" s="70">
        <f>SUM(T19+T119)</f>
        <v>0</v>
      </c>
      <c r="U60" s="73"/>
      <c r="V60" s="70"/>
      <c r="W60" s="73"/>
      <c r="X60" s="461"/>
      <c r="Y60" s="73"/>
      <c r="Z60" s="313">
        <f>SUM(Z19+Z119)</f>
        <v>-146501</v>
      </c>
      <c r="AA60" s="313">
        <f>SUM(AA19+AA119)</f>
        <v>-146501</v>
      </c>
      <c r="AB60" s="313">
        <f>SUM(AB19+AB119)</f>
        <v>-146501</v>
      </c>
      <c r="AC60" s="313">
        <f>SUM(AC19+AC119)</f>
        <v>-146501</v>
      </c>
    </row>
    <row r="61" spans="1:29" x14ac:dyDescent="0.3">
      <c r="A61" s="56" t="s">
        <v>59</v>
      </c>
      <c r="C61" s="78"/>
      <c r="E61" s="79"/>
      <c r="G61" s="82"/>
      <c r="I61" s="82"/>
      <c r="J61" s="155"/>
      <c r="K61" s="81"/>
      <c r="L61" s="78"/>
      <c r="M61" s="80"/>
      <c r="N61" s="78"/>
      <c r="O61" s="83"/>
      <c r="P61" s="128" t="s">
        <v>54</v>
      </c>
      <c r="Q61" s="84"/>
      <c r="R61" s="70"/>
      <c r="S61" s="84"/>
      <c r="T61" s="83"/>
      <c r="U61" s="84"/>
      <c r="V61" s="83"/>
      <c r="W61" s="84"/>
      <c r="X61" s="462"/>
      <c r="Y61" s="84"/>
      <c r="Z61" s="323">
        <f>SUM(Z57:Z60)*0.1*-1</f>
        <v>-470640.30000000005</v>
      </c>
      <c r="AA61" s="323">
        <f>SUM(AA57:AA60)*0.1*-1</f>
        <v>-494776</v>
      </c>
      <c r="AB61" s="323">
        <f>SUM(AB57:AB60)*0.1*-1</f>
        <v>-516301.10000000003</v>
      </c>
      <c r="AC61" s="323">
        <f>SUM(AC57:AC60)*0.1*-1</f>
        <v>-542731.5</v>
      </c>
    </row>
    <row r="62" spans="1:29" x14ac:dyDescent="0.3">
      <c r="A62" s="56"/>
      <c r="C62" s="69">
        <f>SUM(C58:C61)</f>
        <v>1980000</v>
      </c>
      <c r="E62" s="69">
        <f>SUM(E58)</f>
        <v>2088000</v>
      </c>
      <c r="G62" s="69">
        <f>SUM(G58)</f>
        <v>2340000</v>
      </c>
      <c r="I62" s="69">
        <f>SUM(I58)</f>
        <v>2430000</v>
      </c>
      <c r="J62" s="70"/>
      <c r="K62" s="71"/>
      <c r="L62" s="69">
        <f>SUM(L58)</f>
        <v>2676000</v>
      </c>
      <c r="M62" s="72"/>
      <c r="N62" s="69">
        <f>SUM(N58)</f>
        <v>2987000</v>
      </c>
      <c r="O62" s="70"/>
      <c r="P62" s="70">
        <f>SUM(P58)</f>
        <v>3088000</v>
      </c>
      <c r="Q62" s="73"/>
      <c r="R62" s="70">
        <f>SUM(R58:R61)</f>
        <v>3385000</v>
      </c>
      <c r="S62" s="73"/>
      <c r="T62" s="70">
        <f>SUM(T58:T61)</f>
        <v>3778000</v>
      </c>
      <c r="U62" s="73"/>
      <c r="V62" s="70">
        <f>SUM(V58:V61)</f>
        <v>4049000</v>
      </c>
      <c r="W62" s="73"/>
      <c r="X62" s="461">
        <f>SUM(X58:X61)</f>
        <v>4029000</v>
      </c>
      <c r="Y62" s="73"/>
      <c r="Z62" s="313">
        <f>SUM(Z57:Z61)</f>
        <v>4235762.7</v>
      </c>
      <c r="AA62" s="313">
        <f>SUM(AA57:AA61)</f>
        <v>4452984</v>
      </c>
      <c r="AB62" s="313">
        <f>SUM(AB57:AB61)</f>
        <v>4646709.9000000004</v>
      </c>
      <c r="AC62" s="313">
        <f>SUM(AC57:AC61)</f>
        <v>4884583.5</v>
      </c>
    </row>
    <row r="63" spans="1:29" x14ac:dyDescent="0.3">
      <c r="A63" s="56" t="s">
        <v>37</v>
      </c>
      <c r="C63" s="86">
        <v>1</v>
      </c>
      <c r="E63" s="86">
        <v>1</v>
      </c>
      <c r="G63" s="86">
        <v>1</v>
      </c>
      <c r="I63" s="86">
        <v>1</v>
      </c>
      <c r="J63" s="87"/>
      <c r="K63" s="71"/>
      <c r="L63" s="86">
        <v>1</v>
      </c>
      <c r="M63" s="89"/>
      <c r="N63" s="86">
        <v>1</v>
      </c>
      <c r="O63" s="87"/>
      <c r="P63" s="87">
        <v>1</v>
      </c>
      <c r="Q63" s="73"/>
      <c r="R63" s="87">
        <v>1</v>
      </c>
      <c r="S63" s="73"/>
      <c r="T63" s="87">
        <v>1</v>
      </c>
      <c r="U63" s="73"/>
      <c r="V63" s="87">
        <v>1</v>
      </c>
      <c r="W63" s="73"/>
      <c r="X63" s="463">
        <v>1</v>
      </c>
      <c r="Y63" s="73"/>
      <c r="Z63" s="314">
        <v>1</v>
      </c>
      <c r="AA63" s="314">
        <v>1</v>
      </c>
      <c r="AB63" s="314">
        <v>1</v>
      </c>
      <c r="AC63" s="314">
        <v>1</v>
      </c>
    </row>
    <row r="64" spans="1:29" x14ac:dyDescent="0.3">
      <c r="A64" s="56" t="s">
        <v>38</v>
      </c>
      <c r="C64" s="90">
        <v>0.15857099999999999</v>
      </c>
      <c r="E64" s="90">
        <v>0.1574547</v>
      </c>
      <c r="G64" s="90">
        <f>350240377/2340000000%*0.01</f>
        <v>0.14967537478632481</v>
      </c>
      <c r="I64" s="90">
        <f>370904020/2430000000</f>
        <v>0.15263539917695473</v>
      </c>
      <c r="J64" s="91"/>
      <c r="K64" s="92"/>
      <c r="L64" s="90">
        <v>0.141817</v>
      </c>
      <c r="M64" s="94"/>
      <c r="N64" s="90">
        <f>345023.428/2987000</f>
        <v>0.11550834549715434</v>
      </c>
      <c r="O64" s="91"/>
      <c r="P64" s="91">
        <f>422107.916/P62</f>
        <v>0.13669297797927463</v>
      </c>
      <c r="Q64" s="84"/>
      <c r="R64" s="91">
        <f>442919876/3385000000</f>
        <v>0.13084782156573116</v>
      </c>
      <c r="S64" s="84"/>
      <c r="T64" s="91">
        <f>473376364/3778000000</f>
        <v>0.12529813763896241</v>
      </c>
      <c r="U64" s="84"/>
      <c r="V64" s="91">
        <f>489758686/4049000000</f>
        <v>0.12095793677451222</v>
      </c>
      <c r="W64" s="84"/>
      <c r="X64" s="464">
        <v>0.118931</v>
      </c>
      <c r="Y64" s="84"/>
      <c r="Z64" s="315">
        <f t="shared" ref="Z64" si="25">SUM(X64)</f>
        <v>0.118931</v>
      </c>
      <c r="AA64" s="315">
        <f>SUM(Z64)</f>
        <v>0.118931</v>
      </c>
      <c r="AB64" s="315">
        <f>SUM(AA64)</f>
        <v>0.118931</v>
      </c>
      <c r="AC64" s="315">
        <f>SUM(AB64)</f>
        <v>0.118931</v>
      </c>
    </row>
    <row r="65" spans="1:29" x14ac:dyDescent="0.3">
      <c r="A65" s="56" t="s">
        <v>39</v>
      </c>
      <c r="C65" s="69">
        <f>SUM(C62*C64)</f>
        <v>313970.57999999996</v>
      </c>
      <c r="E65" s="69">
        <f>SUM(E62*E64)</f>
        <v>328765.41360000003</v>
      </c>
      <c r="G65" s="69">
        <f t="shared" ref="G65:I65" si="26">SUM(G62*G64)</f>
        <v>350240.37700000004</v>
      </c>
      <c r="I65" s="69">
        <f t="shared" si="26"/>
        <v>370904.02</v>
      </c>
      <c r="J65" s="70"/>
      <c r="K65" s="71"/>
      <c r="L65" s="69">
        <f t="shared" ref="L65:Z65" si="27">SUM(L62*L64)</f>
        <v>379502.29200000002</v>
      </c>
      <c r="M65" s="72"/>
      <c r="N65" s="69">
        <f t="shared" si="27"/>
        <v>345023.42800000001</v>
      </c>
      <c r="O65" s="70"/>
      <c r="P65" s="70">
        <f t="shared" si="27"/>
        <v>422107.91600000003</v>
      </c>
      <c r="Q65" s="73"/>
      <c r="R65" s="70">
        <f>SUM(R62*R64)</f>
        <v>442919.87599999999</v>
      </c>
      <c r="S65" s="73"/>
      <c r="T65" s="70">
        <f>SUM(T62*T64)</f>
        <v>473376.364</v>
      </c>
      <c r="U65" s="73"/>
      <c r="V65" s="70">
        <f>SUM(V62*V64)</f>
        <v>489758.68599999999</v>
      </c>
      <c r="W65" s="73"/>
      <c r="X65" s="461">
        <f>SUM(X62*X64)</f>
        <v>479172.99899999995</v>
      </c>
      <c r="Y65" s="73"/>
      <c r="Z65" s="313">
        <f t="shared" si="27"/>
        <v>503763.49367370002</v>
      </c>
      <c r="AA65" s="313">
        <f>SUM(AA62*AA64)</f>
        <v>529597.84010399994</v>
      </c>
      <c r="AB65" s="313">
        <f>SUM(AB62*AB64)</f>
        <v>552637.85511690006</v>
      </c>
      <c r="AC65" s="313">
        <f>SUM(AC62*AC64)</f>
        <v>580928.40023849998</v>
      </c>
    </row>
    <row r="66" spans="1:29" x14ac:dyDescent="0.3">
      <c r="A66" s="56" t="s">
        <v>60</v>
      </c>
      <c r="C66" s="69">
        <f>6237-14-53-14-267</f>
        <v>5889</v>
      </c>
      <c r="E66" s="69">
        <f>-198.728-15-50.618056</f>
        <v>-264.34605600000003</v>
      </c>
      <c r="G66" s="69">
        <f>-217.58-15-69.194-0.062</f>
        <v>-301.83600000000001</v>
      </c>
      <c r="I66" s="69">
        <f>-215.103-15-50.168-0.061</f>
        <v>-280.33199999999999</v>
      </c>
      <c r="J66" s="70"/>
      <c r="K66" s="71"/>
      <c r="L66" s="69">
        <f>-49.245-0.521-15-223.702</f>
        <v>-288.46799999999996</v>
      </c>
      <c r="M66" s="72"/>
      <c r="N66" s="69">
        <v>-276.91899999999998</v>
      </c>
      <c r="O66" s="70"/>
      <c r="P66" s="70">
        <v>-569.95299999999997</v>
      </c>
      <c r="Q66" s="73"/>
      <c r="R66" s="70">
        <v>-560</v>
      </c>
      <c r="S66" s="73"/>
      <c r="T66" s="70">
        <v>-721.41099999999994</v>
      </c>
      <c r="U66" s="73"/>
      <c r="V66" s="70">
        <f>488836.762-V65</f>
        <v>-921.92399999999907</v>
      </c>
      <c r="W66" s="73"/>
      <c r="X66" s="461">
        <v>-1101</v>
      </c>
      <c r="Y66" s="73"/>
      <c r="Z66" s="313">
        <v>0</v>
      </c>
      <c r="AA66" s="313">
        <v>0</v>
      </c>
      <c r="AB66" s="313">
        <v>0</v>
      </c>
      <c r="AC66" s="313">
        <v>0</v>
      </c>
    </row>
    <row r="67" spans="1:29" x14ac:dyDescent="0.3">
      <c r="A67" s="56" t="s">
        <v>61</v>
      </c>
      <c r="C67" s="156">
        <v>1</v>
      </c>
      <c r="E67" s="156">
        <v>1</v>
      </c>
      <c r="G67" s="156">
        <v>1</v>
      </c>
      <c r="I67" s="156">
        <v>1</v>
      </c>
      <c r="J67" s="157"/>
      <c r="K67" s="71"/>
      <c r="L67" s="156">
        <v>1</v>
      </c>
      <c r="M67" s="158"/>
      <c r="N67" s="156">
        <v>1</v>
      </c>
      <c r="O67" s="157"/>
      <c r="P67" s="157">
        <v>1</v>
      </c>
      <c r="Q67" s="73"/>
      <c r="R67" s="157">
        <v>1</v>
      </c>
      <c r="S67" s="73"/>
      <c r="T67" s="157">
        <v>1</v>
      </c>
      <c r="U67" s="73"/>
      <c r="V67" s="157">
        <v>1</v>
      </c>
      <c r="W67" s="73"/>
      <c r="X67" s="465">
        <v>1</v>
      </c>
      <c r="Y67" s="73"/>
      <c r="Z67" s="326">
        <v>1</v>
      </c>
      <c r="AA67" s="326">
        <v>1</v>
      </c>
      <c r="AB67" s="326">
        <v>1</v>
      </c>
      <c r="AC67" s="326">
        <v>1</v>
      </c>
    </row>
    <row r="68" spans="1:29" x14ac:dyDescent="0.3">
      <c r="A68" s="159" t="s">
        <v>62</v>
      </c>
      <c r="C68" s="69">
        <f>SUM(C65:C66)*C67</f>
        <v>319859.57999999996</v>
      </c>
      <c r="E68" s="69">
        <f>SUM(E65:E66)*E67</f>
        <v>328501.06754400005</v>
      </c>
      <c r="G68" s="69">
        <f t="shared" ref="G68:I68" si="28">SUM(G65:G66)*G67</f>
        <v>349938.54100000003</v>
      </c>
      <c r="I68" s="69">
        <f t="shared" si="28"/>
        <v>370623.68800000002</v>
      </c>
      <c r="J68" s="70"/>
      <c r="K68" s="71"/>
      <c r="L68" s="69">
        <f t="shared" ref="L68:N68" si="29">SUM(L65:L66)*L67</f>
        <v>379213.82400000002</v>
      </c>
      <c r="M68" s="72"/>
      <c r="N68" s="69">
        <f t="shared" si="29"/>
        <v>344746.50900000002</v>
      </c>
      <c r="O68" s="70"/>
      <c r="P68" s="70">
        <f t="shared" ref="P68:Z68" si="30">SUM(P65:P66)*P67</f>
        <v>421537.96300000005</v>
      </c>
      <c r="Q68" s="73"/>
      <c r="R68" s="70">
        <f>SUM(R65:R66)*R67</f>
        <v>442359.87599999999</v>
      </c>
      <c r="S68" s="73"/>
      <c r="T68" s="70">
        <f>SUM(T65:T66)*T67</f>
        <v>472654.95299999998</v>
      </c>
      <c r="U68" s="73"/>
      <c r="V68" s="70">
        <f>SUM(V65:V66)*V67</f>
        <v>488836.76199999999</v>
      </c>
      <c r="W68" s="73"/>
      <c r="X68" s="461">
        <f>SUM(X65:X66)*X67</f>
        <v>478071.99899999995</v>
      </c>
      <c r="Y68" s="73"/>
      <c r="Z68" s="313">
        <f t="shared" si="30"/>
        <v>503763.49367370002</v>
      </c>
      <c r="AA68" s="313">
        <f>SUM(AA65:AA66)*AA67</f>
        <v>529597.84010399994</v>
      </c>
      <c r="AB68" s="313">
        <f>SUM(AB65:AB66)*AB67</f>
        <v>552637.85511690006</v>
      </c>
      <c r="AC68" s="313">
        <f>SUM(AC65:AC66)*AC67</f>
        <v>580928.40023849998</v>
      </c>
    </row>
    <row r="69" spans="1:29" x14ac:dyDescent="0.3">
      <c r="A69" s="56" t="s">
        <v>140</v>
      </c>
      <c r="C69" s="96">
        <f>20889221/319841522</f>
        <v>6.5311160569077084E-2</v>
      </c>
      <c r="E69" s="104">
        <v>6.5777000000000002E-2</v>
      </c>
      <c r="G69" s="105">
        <f>22904266/349938542</f>
        <v>6.5452253041621236E-2</v>
      </c>
      <c r="I69" s="96">
        <f>24674/370624</f>
        <v>6.6574209981005009E-2</v>
      </c>
      <c r="J69" s="160"/>
      <c r="K69" s="81"/>
      <c r="L69" s="96">
        <f>24737.466/379214</f>
        <v>6.5233525133565742E-2</v>
      </c>
      <c r="M69" s="161"/>
      <c r="N69" s="96">
        <f>22376.23/344747</f>
        <v>6.4906235587256736E-2</v>
      </c>
      <c r="O69" s="162"/>
      <c r="P69" s="163">
        <f>27999.644/421537.956</f>
        <v>6.6422592797313842E-2</v>
      </c>
      <c r="Q69" s="164"/>
      <c r="R69" s="176">
        <f>29277053/442360264</f>
        <v>6.6183731638246784E-2</v>
      </c>
      <c r="S69" s="164"/>
      <c r="T69" s="176">
        <f>30670.574/T68</f>
        <v>6.4889987516961456E-2</v>
      </c>
      <c r="U69" s="164"/>
      <c r="V69" s="176">
        <f>32120.631/V68</f>
        <v>6.5708296709485206E-2</v>
      </c>
      <c r="W69" s="164"/>
      <c r="X69" s="327">
        <f>SUM(V69)</f>
        <v>6.5708296709485206E-2</v>
      </c>
      <c r="Y69" s="164"/>
      <c r="Z69" s="327">
        <f t="shared" ref="Z69" si="31">SUM(X69)</f>
        <v>6.5708296709485206E-2</v>
      </c>
      <c r="AA69" s="327">
        <f>SUM(Z69)</f>
        <v>6.5708296709485206E-2</v>
      </c>
      <c r="AB69" s="327">
        <f>SUM(AA69)</f>
        <v>6.5708296709485206E-2</v>
      </c>
      <c r="AC69" s="327">
        <f>SUM(AB69)</f>
        <v>6.5708296709485206E-2</v>
      </c>
    </row>
    <row r="70" spans="1:29" x14ac:dyDescent="0.3">
      <c r="A70" s="56" t="s">
        <v>63</v>
      </c>
      <c r="C70" s="69">
        <f>SUM(C68*C69)</f>
        <v>20890.400388937553</v>
      </c>
      <c r="E70" s="69">
        <f>SUM(E68*E69)</f>
        <v>21607.814719841692</v>
      </c>
      <c r="G70" s="69">
        <f t="shared" ref="G70:I70" si="32">SUM(G68*G69)</f>
        <v>22904.265934547748</v>
      </c>
      <c r="I70" s="69">
        <f t="shared" si="32"/>
        <v>24673.979228846489</v>
      </c>
      <c r="J70" s="153"/>
      <c r="K70" s="71"/>
      <c r="L70" s="69">
        <f t="shared" ref="L70:X70" si="33">SUM(L68*L69)</f>
        <v>24737.454518899576</v>
      </c>
      <c r="M70" s="72"/>
      <c r="N70" s="69">
        <f t="shared" si="33"/>
        <v>22376.198131038327</v>
      </c>
      <c r="O70" s="165"/>
      <c r="P70" s="131">
        <f t="shared" si="33"/>
        <v>27999.644464958154</v>
      </c>
      <c r="Q70" s="166"/>
      <c r="R70" s="70">
        <f>SUM(R68*R69)</f>
        <v>29277.027320712124</v>
      </c>
      <c r="S70" s="294"/>
      <c r="T70" s="70">
        <f>SUM(T68*T69)</f>
        <v>30670.574000000001</v>
      </c>
      <c r="U70" s="166"/>
      <c r="V70" s="70">
        <f>SUM(V68*V69)</f>
        <v>32120.631000000001</v>
      </c>
      <c r="W70" s="166"/>
      <c r="X70" s="313">
        <f t="shared" si="33"/>
        <v>31413.296758788711</v>
      </c>
      <c r="Y70" s="166"/>
      <c r="Z70" s="313">
        <f>SUM(Z68*Z69)</f>
        <v>33101.441113718356</v>
      </c>
      <c r="AA70" s="313">
        <f>SUM(AA68*AA69)</f>
        <v>34798.972014256135</v>
      </c>
      <c r="AB70" s="313">
        <f>SUM(AB68*AB69)</f>
        <v>36312.892156914764</v>
      </c>
      <c r="AC70" s="313">
        <f>SUM(AC68*AC69)</f>
        <v>38171.815689837931</v>
      </c>
    </row>
    <row r="71" spans="1:29" x14ac:dyDescent="0.3">
      <c r="A71" s="56" t="s">
        <v>64</v>
      </c>
      <c r="C71" s="69">
        <v>0</v>
      </c>
      <c r="E71" s="69">
        <v>0</v>
      </c>
      <c r="G71" s="69">
        <v>0</v>
      </c>
      <c r="I71" s="69">
        <v>0</v>
      </c>
      <c r="J71" s="153"/>
      <c r="K71" s="71"/>
      <c r="L71" s="69">
        <v>0</v>
      </c>
      <c r="M71" s="72"/>
      <c r="N71" s="74">
        <v>0</v>
      </c>
      <c r="O71" s="72"/>
      <c r="P71" s="70">
        <v>0</v>
      </c>
      <c r="Q71" s="71"/>
      <c r="R71" s="70">
        <v>0</v>
      </c>
      <c r="S71" s="71"/>
      <c r="T71" s="70">
        <v>0</v>
      </c>
      <c r="U71" s="71"/>
      <c r="V71" s="70">
        <v>0</v>
      </c>
      <c r="W71" s="71"/>
      <c r="X71" s="313">
        <v>0</v>
      </c>
      <c r="Y71" s="71"/>
      <c r="Z71" s="313">
        <v>0</v>
      </c>
      <c r="AA71" s="313">
        <v>0</v>
      </c>
      <c r="AB71" s="313">
        <v>0</v>
      </c>
      <c r="AC71" s="313">
        <v>0</v>
      </c>
    </row>
    <row r="72" spans="1:29" x14ac:dyDescent="0.3">
      <c r="A72" s="56" t="s">
        <v>65</v>
      </c>
      <c r="C72" s="99">
        <f>SUM(C70:C71)</f>
        <v>20890.400388937553</v>
      </c>
      <c r="E72" s="99">
        <f>SUM(E70:E71)</f>
        <v>21607.814719841692</v>
      </c>
      <c r="G72" s="99">
        <f t="shared" ref="G72:I72" si="34">SUM(G70:G71)</f>
        <v>22904.265934547748</v>
      </c>
      <c r="I72" s="99">
        <f t="shared" si="34"/>
        <v>24673.979228846489</v>
      </c>
      <c r="J72" s="167"/>
      <c r="K72" s="101"/>
      <c r="L72" s="99">
        <f t="shared" ref="L72:Z72" si="35">SUM(L70:L71)</f>
        <v>24737.454518899576</v>
      </c>
      <c r="M72" s="102"/>
      <c r="N72" s="99">
        <f t="shared" si="35"/>
        <v>22376.198131038327</v>
      </c>
      <c r="O72" s="102"/>
      <c r="P72" s="100">
        <f t="shared" si="35"/>
        <v>27999.644464958154</v>
      </c>
      <c r="Q72" s="101"/>
      <c r="R72" s="100">
        <f t="shared" ref="R72" si="36">SUM(R70:R71)</f>
        <v>29277.027320712124</v>
      </c>
      <c r="S72" s="101"/>
      <c r="T72" s="100">
        <f>SUM(T70:T71)</f>
        <v>30670.574000000001</v>
      </c>
      <c r="U72" s="101"/>
      <c r="V72" s="100">
        <f>SUM(V70:V71)</f>
        <v>32120.631000000001</v>
      </c>
      <c r="W72" s="101"/>
      <c r="X72" s="317">
        <f t="shared" si="35"/>
        <v>31413.296758788711</v>
      </c>
      <c r="Y72" s="101"/>
      <c r="Z72" s="317">
        <f t="shared" si="35"/>
        <v>33101.441113718356</v>
      </c>
      <c r="AA72" s="317">
        <f>SUM(AA70:AA71)</f>
        <v>34798.972014256135</v>
      </c>
      <c r="AB72" s="317">
        <f>SUM(AB70:AB71)</f>
        <v>36312.892156914764</v>
      </c>
      <c r="AC72" s="317">
        <f>SUM(AC70:AC71)</f>
        <v>38171.815689837931</v>
      </c>
    </row>
    <row r="73" spans="1:29" x14ac:dyDescent="0.3">
      <c r="A73" s="56" t="s">
        <v>44</v>
      </c>
      <c r="B73" s="168"/>
      <c r="C73" s="105">
        <v>0.31665890000000002</v>
      </c>
      <c r="D73" s="136">
        <f>SUM(E73-C73)/E73</f>
        <v>1.2508805778898601E-2</v>
      </c>
      <c r="E73" s="105">
        <v>0.32067010000000001</v>
      </c>
      <c r="F73" s="169">
        <f>SUM(G73-E73)/G73</f>
        <v>-1.7309515855741205E-2</v>
      </c>
      <c r="G73" s="105">
        <v>0.31521389999999999</v>
      </c>
      <c r="H73" s="108">
        <f>SUM(I73-G73)/G73</f>
        <v>4.9560661099330737E-2</v>
      </c>
      <c r="I73" s="105">
        <f>8163129.23/24674239</f>
        <v>0.33083610927169832</v>
      </c>
      <c r="J73" s="137"/>
      <c r="K73" s="108">
        <f>SUM(L73-I73)/I73</f>
        <v>3.3346375673087368E-2</v>
      </c>
      <c r="L73" s="105">
        <f>8456.796/24737</f>
        <v>0.34186829445769495</v>
      </c>
      <c r="M73" s="108">
        <f>SUM((N73-L73)/L73)</f>
        <v>5.3951137019573575E-2</v>
      </c>
      <c r="N73" s="104">
        <f>8062.352/22376</f>
        <v>0.36031247765462998</v>
      </c>
      <c r="O73" s="108">
        <f>SUM((P73-N73)/N73)</f>
        <v>-3.346566291247341E-2</v>
      </c>
      <c r="P73" s="293">
        <f>9750.99871/27999.644</f>
        <v>0.34825438173428203</v>
      </c>
      <c r="Q73" s="294">
        <f>SUM((R73-P73)/P73)</f>
        <v>2.2302190699755222E-2</v>
      </c>
      <c r="R73" s="293">
        <f>10423252.05/29277053</f>
        <v>0.35602121736774534</v>
      </c>
      <c r="S73" s="294">
        <f>SUM((T73-R73)/R73)</f>
        <v>2.2726163818205108E-2</v>
      </c>
      <c r="T73" s="293">
        <f>11167.5306/T72</f>
        <v>0.36411221387640152</v>
      </c>
      <c r="U73" s="294">
        <f>SUM((V73-T73)/T73)</f>
        <v>-1.3491836583370404E-2</v>
      </c>
      <c r="V73" s="293">
        <f>11537.7201/V72</f>
        <v>0.3591996713887719</v>
      </c>
      <c r="W73" s="305">
        <f>$W$30</f>
        <v>1.4999999999999999E-2</v>
      </c>
      <c r="X73" s="318">
        <f>SUM(V73*(1+W73))</f>
        <v>0.36458766645960344</v>
      </c>
      <c r="Y73" s="305">
        <f>$Y$30</f>
        <v>0.02</v>
      </c>
      <c r="Z73" s="318">
        <f>SUM(X73*(1+Y73))</f>
        <v>0.37187941978879552</v>
      </c>
      <c r="AA73" s="318">
        <f>SUM(Z73*(1+Y73))</f>
        <v>0.37931700818457142</v>
      </c>
      <c r="AB73" s="318">
        <f>SUM(AA73*(1+Y73))</f>
        <v>0.38690334834826284</v>
      </c>
      <c r="AC73" s="318">
        <f>SUM(AB73*(1+$Y$73))</f>
        <v>0.39464141531522812</v>
      </c>
    </row>
    <row r="74" spans="1:29" x14ac:dyDescent="0.3">
      <c r="A74" s="56"/>
      <c r="C74" s="110"/>
      <c r="E74" s="110"/>
      <c r="G74" s="110"/>
      <c r="I74" s="110"/>
      <c r="J74" s="139"/>
      <c r="K74" s="71"/>
      <c r="L74" s="110"/>
      <c r="M74" s="111"/>
      <c r="N74" s="110"/>
      <c r="O74" s="111"/>
      <c r="P74" s="139"/>
      <c r="Q74" s="71"/>
      <c r="R74" s="139"/>
      <c r="S74" s="71"/>
      <c r="T74" s="139"/>
      <c r="U74" s="71"/>
      <c r="V74" s="139"/>
      <c r="W74" s="71"/>
      <c r="X74" s="319"/>
      <c r="Y74" s="71"/>
      <c r="Z74" s="319"/>
      <c r="AA74" s="319"/>
      <c r="AB74" s="319"/>
      <c r="AC74" s="319"/>
    </row>
    <row r="75" spans="1:29" ht="15" thickBot="1" x14ac:dyDescent="0.35">
      <c r="A75" s="52" t="s">
        <v>45</v>
      </c>
      <c r="C75" s="112">
        <f>SUM(C72*C73)</f>
        <v>6615.1312077205384</v>
      </c>
      <c r="E75" s="112">
        <f>SUM(E72*E73)</f>
        <v>6928.9801069931073</v>
      </c>
      <c r="G75" s="112">
        <f t="shared" ref="G75:I75" si="37">SUM(G72*G73)</f>
        <v>7219.74299186594</v>
      </c>
      <c r="I75" s="112">
        <f t="shared" si="37"/>
        <v>8163.043288322272</v>
      </c>
      <c r="J75" s="141"/>
      <c r="K75" s="114"/>
      <c r="L75" s="112">
        <f t="shared" ref="L75:N75" si="38">SUM(L72*L73)</f>
        <v>8456.9513856009962</v>
      </c>
      <c r="M75" s="113"/>
      <c r="N75" s="112">
        <f t="shared" si="38"/>
        <v>8062.4233890853202</v>
      </c>
      <c r="O75" s="113"/>
      <c r="P75" s="141">
        <f>SUM(P72*P73)</f>
        <v>9750.9988719237135</v>
      </c>
      <c r="Q75" s="114"/>
      <c r="R75" s="141">
        <f>SUM(R72*R73)</f>
        <v>10423.24290762867</v>
      </c>
      <c r="S75" s="114"/>
      <c r="T75" s="421">
        <f>SUM(T72*T73)</f>
        <v>11167.5306</v>
      </c>
      <c r="U75" s="114"/>
      <c r="V75" s="421">
        <f>SUM(V72*V73)</f>
        <v>11537.7201</v>
      </c>
      <c r="W75" s="370"/>
      <c r="X75" s="392">
        <f>SUM(X72*X73)</f>
        <v>11452.9005610898</v>
      </c>
      <c r="Y75" s="370"/>
      <c r="Z75" s="392">
        <f>SUM(Z72*Z73)</f>
        <v>12309.744715542563</v>
      </c>
      <c r="AA75" s="392">
        <f>SUM(AA72*AA73)</f>
        <v>13199.841952346265</v>
      </c>
      <c r="AB75" s="392">
        <f>SUM(AB72*AB73)</f>
        <v>14049.579563719695</v>
      </c>
      <c r="AC75" s="392">
        <f>SUM(AC72*AC73)</f>
        <v>15064.179368989671</v>
      </c>
    </row>
    <row r="76" spans="1:29" ht="15" thickTop="1" x14ac:dyDescent="0.3">
      <c r="A76" s="170"/>
      <c r="C76" s="171"/>
      <c r="E76" s="171"/>
      <c r="F76" s="171"/>
      <c r="G76" s="171"/>
      <c r="I76" s="171"/>
      <c r="J76" s="171"/>
      <c r="K76" s="172"/>
      <c r="L76" s="173"/>
      <c r="M76" s="171"/>
      <c r="N76" s="171"/>
      <c r="O76" s="171"/>
      <c r="P76" s="171"/>
      <c r="Q76" s="172"/>
      <c r="R76" s="171"/>
      <c r="S76" s="172"/>
      <c r="T76" s="171"/>
      <c r="U76" s="172"/>
      <c r="V76" s="171"/>
      <c r="W76" s="172"/>
      <c r="X76" s="171"/>
      <c r="Y76" s="172"/>
      <c r="Z76" s="171"/>
      <c r="AA76" s="171"/>
      <c r="AB76" s="171"/>
      <c r="AC76" s="171"/>
    </row>
    <row r="77" spans="1:29" x14ac:dyDescent="0.3">
      <c r="A77" s="60" t="s">
        <v>66</v>
      </c>
      <c r="C77" s="57" t="s">
        <v>67</v>
      </c>
      <c r="E77" s="57" t="s">
        <v>68</v>
      </c>
      <c r="G77" s="57" t="s">
        <v>69</v>
      </c>
      <c r="I77" s="57" t="s">
        <v>70</v>
      </c>
      <c r="J77" s="120"/>
      <c r="K77" s="59"/>
      <c r="L77" s="57" t="s">
        <v>71</v>
      </c>
      <c r="M77" s="58"/>
      <c r="N77" s="57" t="s">
        <v>72</v>
      </c>
      <c r="O77" s="120"/>
      <c r="P77" s="120" t="s">
        <v>73</v>
      </c>
      <c r="Q77" s="174"/>
      <c r="R77" s="120" t="s">
        <v>134</v>
      </c>
      <c r="S77" s="174"/>
      <c r="T77" s="120" t="s">
        <v>150</v>
      </c>
      <c r="U77" s="174"/>
      <c r="V77" s="120" t="s">
        <v>74</v>
      </c>
      <c r="W77" s="174"/>
      <c r="X77" s="301" t="s">
        <v>136</v>
      </c>
      <c r="Y77" s="174"/>
      <c r="Z77" s="301" t="s">
        <v>137</v>
      </c>
      <c r="AA77" s="301" t="s">
        <v>138</v>
      </c>
      <c r="AB77" s="301" t="s">
        <v>178</v>
      </c>
      <c r="AC77" s="301" t="s">
        <v>179</v>
      </c>
    </row>
    <row r="78" spans="1:29" x14ac:dyDescent="0.3">
      <c r="A78" s="147"/>
      <c r="C78" s="62"/>
      <c r="E78" s="62"/>
      <c r="G78" s="62"/>
      <c r="I78" s="62"/>
      <c r="J78" s="63"/>
      <c r="K78" s="64"/>
      <c r="L78" s="62"/>
      <c r="M78" s="65"/>
      <c r="N78" s="62"/>
      <c r="O78" s="63"/>
      <c r="P78" s="65"/>
      <c r="Q78" s="175"/>
      <c r="R78" s="65"/>
      <c r="S78" s="175"/>
      <c r="T78" s="65"/>
      <c r="U78" s="175"/>
      <c r="V78" s="65"/>
      <c r="W78" s="175"/>
      <c r="X78" s="321"/>
      <c r="Y78" s="175"/>
      <c r="Z78" s="321"/>
      <c r="AA78" s="321"/>
      <c r="AB78" s="321"/>
      <c r="AC78" s="321"/>
    </row>
    <row r="79" spans="1:29" x14ac:dyDescent="0.3">
      <c r="A79" s="56" t="s">
        <v>30</v>
      </c>
      <c r="C79" s="45" t="s">
        <v>75</v>
      </c>
      <c r="E79" s="45" t="s">
        <v>75</v>
      </c>
      <c r="G79" s="45" t="s">
        <v>75</v>
      </c>
      <c r="I79" s="45" t="s">
        <v>75</v>
      </c>
      <c r="J79" s="46"/>
      <c r="K79" s="43"/>
      <c r="L79" s="45" t="s">
        <v>75</v>
      </c>
      <c r="M79" s="42"/>
      <c r="N79" s="45" t="s">
        <v>75</v>
      </c>
      <c r="O79" s="46"/>
      <c r="P79" s="46" t="s">
        <v>75</v>
      </c>
      <c r="Q79" s="47"/>
      <c r="R79" s="46" t="s">
        <v>75</v>
      </c>
      <c r="S79" s="47"/>
      <c r="T79" s="46" t="s">
        <v>75</v>
      </c>
      <c r="U79" s="47"/>
      <c r="V79" s="46" t="s">
        <v>75</v>
      </c>
      <c r="W79" s="47"/>
      <c r="X79" s="308" t="s">
        <v>75</v>
      </c>
      <c r="Y79" s="47"/>
      <c r="Z79" s="308" t="s">
        <v>75</v>
      </c>
      <c r="AA79" s="308" t="s">
        <v>75</v>
      </c>
      <c r="AB79" s="308" t="s">
        <v>75</v>
      </c>
      <c r="AC79" s="308" t="s">
        <v>75</v>
      </c>
    </row>
    <row r="80" spans="1:29" x14ac:dyDescent="0.3">
      <c r="A80" s="56" t="s">
        <v>31</v>
      </c>
      <c r="C80" s="69">
        <v>841</v>
      </c>
      <c r="E80" s="69">
        <v>925</v>
      </c>
      <c r="G80" s="69">
        <v>888</v>
      </c>
      <c r="I80" s="69">
        <v>1002</v>
      </c>
      <c r="J80" s="70"/>
      <c r="K80" s="71"/>
      <c r="L80" s="69">
        <v>1190</v>
      </c>
      <c r="M80" s="72"/>
      <c r="N80" s="69">
        <v>1131</v>
      </c>
      <c r="O80" s="70"/>
      <c r="P80" s="70">
        <v>1137.998</v>
      </c>
      <c r="Q80" s="73"/>
      <c r="R80" s="70">
        <v>1221</v>
      </c>
      <c r="S80" s="73"/>
      <c r="T80" s="70">
        <v>1432</v>
      </c>
      <c r="U80" s="73"/>
      <c r="V80" s="70">
        <v>1377</v>
      </c>
      <c r="W80" s="73"/>
      <c r="X80" s="313">
        <f>SUM(V80)</f>
        <v>1377</v>
      </c>
      <c r="Y80" s="73"/>
      <c r="Z80" s="313">
        <f>SUM(X80)</f>
        <v>1377</v>
      </c>
      <c r="AA80" s="313">
        <f t="shared" ref="AA80" si="39">SUM(Z80)</f>
        <v>1377</v>
      </c>
      <c r="AB80" s="313">
        <f>SUM(AA80)</f>
        <v>1377</v>
      </c>
      <c r="AC80" s="313">
        <f>SUM(AB80)</f>
        <v>1377</v>
      </c>
    </row>
    <row r="81" spans="1:29" x14ac:dyDescent="0.3">
      <c r="A81" s="56" t="s">
        <v>76</v>
      </c>
      <c r="C81" s="69">
        <f>SUM(C73)</f>
        <v>0.31665890000000002</v>
      </c>
      <c r="E81" s="69">
        <f>SUM(E73)</f>
        <v>0.32067010000000001</v>
      </c>
      <c r="G81" s="69">
        <f>SUM(G73)</f>
        <v>0.31521389999999999</v>
      </c>
      <c r="I81" s="69">
        <f>SUM(I73)</f>
        <v>0.33083610927169832</v>
      </c>
      <c r="J81" s="70"/>
      <c r="K81" s="71" t="s">
        <v>1</v>
      </c>
      <c r="L81" s="69">
        <v>0</v>
      </c>
      <c r="M81" s="72"/>
      <c r="N81" s="69">
        <v>0</v>
      </c>
      <c r="O81" s="70"/>
      <c r="P81" s="70">
        <v>0</v>
      </c>
      <c r="Q81" s="73"/>
      <c r="R81" s="70">
        <v>0</v>
      </c>
      <c r="S81" s="73"/>
      <c r="T81" s="70">
        <v>0</v>
      </c>
      <c r="U81" s="73"/>
      <c r="V81" s="70">
        <v>0</v>
      </c>
      <c r="W81" s="73"/>
      <c r="X81" s="313">
        <v>0</v>
      </c>
      <c r="Y81" s="73"/>
      <c r="Z81" s="313">
        <v>0</v>
      </c>
      <c r="AA81" s="313">
        <v>0</v>
      </c>
      <c r="AB81" s="313">
        <v>0</v>
      </c>
      <c r="AC81" s="313">
        <v>0</v>
      </c>
    </row>
    <row r="82" spans="1:29" x14ac:dyDescent="0.3">
      <c r="A82" s="56" t="s">
        <v>52</v>
      </c>
      <c r="C82" s="69">
        <f>SUM(C74)</f>
        <v>0</v>
      </c>
      <c r="E82" s="69">
        <f>SUM(E74)</f>
        <v>0</v>
      </c>
      <c r="G82" s="69">
        <f>SUM(G74)</f>
        <v>0</v>
      </c>
      <c r="I82" s="69">
        <f>SUM(I74)</f>
        <v>0</v>
      </c>
      <c r="J82" s="70"/>
      <c r="K82" s="71"/>
      <c r="L82" s="69">
        <v>0</v>
      </c>
      <c r="M82" s="72"/>
      <c r="N82" s="69">
        <v>0</v>
      </c>
      <c r="O82" s="70"/>
      <c r="P82" s="70">
        <f>SUM(P74)</f>
        <v>0</v>
      </c>
      <c r="Q82" s="73"/>
      <c r="R82" s="70">
        <f>SUM(R74)</f>
        <v>0</v>
      </c>
      <c r="S82" s="73"/>
      <c r="T82" s="70">
        <f>SUM(T74)</f>
        <v>0</v>
      </c>
      <c r="U82" s="73"/>
      <c r="V82" s="70">
        <f>SUM(V74)</f>
        <v>0</v>
      </c>
      <c r="W82" s="73"/>
      <c r="X82" s="313">
        <f>SUM(X74)</f>
        <v>0</v>
      </c>
      <c r="Y82" s="73"/>
      <c r="Z82" s="313">
        <f>SUM(Z74)</f>
        <v>0</v>
      </c>
      <c r="AA82" s="313">
        <f>SUM(AA74)</f>
        <v>0</v>
      </c>
      <c r="AB82" s="313">
        <f>SUM(AB74)</f>
        <v>0</v>
      </c>
      <c r="AC82" s="313">
        <f>SUM(AC74)</f>
        <v>0</v>
      </c>
    </row>
    <row r="83" spans="1:29" x14ac:dyDescent="0.3">
      <c r="A83" s="56" t="s">
        <v>37</v>
      </c>
      <c r="C83" s="86">
        <v>1</v>
      </c>
      <c r="E83" s="86">
        <v>1</v>
      </c>
      <c r="G83" s="86">
        <v>1</v>
      </c>
      <c r="I83" s="86">
        <v>1</v>
      </c>
      <c r="J83" s="87"/>
      <c r="K83" s="71"/>
      <c r="L83" s="86">
        <v>1</v>
      </c>
      <c r="M83" s="89"/>
      <c r="N83" s="86">
        <v>1</v>
      </c>
      <c r="O83" s="87"/>
      <c r="P83" s="87">
        <v>1</v>
      </c>
      <c r="Q83" s="73"/>
      <c r="R83" s="87">
        <v>1</v>
      </c>
      <c r="S83" s="73"/>
      <c r="T83" s="87">
        <v>1</v>
      </c>
      <c r="U83" s="73"/>
      <c r="V83" s="87">
        <v>1</v>
      </c>
      <c r="W83" s="73"/>
      <c r="X83" s="314">
        <v>1</v>
      </c>
      <c r="Y83" s="73"/>
      <c r="Z83" s="314">
        <v>1</v>
      </c>
      <c r="AA83" s="314">
        <v>1</v>
      </c>
      <c r="AB83" s="314">
        <v>1</v>
      </c>
      <c r="AC83" s="314">
        <v>1</v>
      </c>
    </row>
    <row r="84" spans="1:29" x14ac:dyDescent="0.3">
      <c r="A84" s="56" t="s">
        <v>38</v>
      </c>
      <c r="C84" s="90">
        <v>1</v>
      </c>
      <c r="E84" s="90">
        <v>1</v>
      </c>
      <c r="G84" s="90">
        <v>1</v>
      </c>
      <c r="I84" s="90">
        <v>1</v>
      </c>
      <c r="J84" s="91"/>
      <c r="K84" s="81"/>
      <c r="L84" s="90">
        <v>1</v>
      </c>
      <c r="M84" s="94"/>
      <c r="N84" s="90">
        <v>1</v>
      </c>
      <c r="O84" s="91"/>
      <c r="P84" s="91">
        <v>1</v>
      </c>
      <c r="Q84" s="84"/>
      <c r="R84" s="91">
        <v>1</v>
      </c>
      <c r="S84" s="84"/>
      <c r="T84" s="91">
        <v>1</v>
      </c>
      <c r="U84" s="84"/>
      <c r="V84" s="91">
        <v>1</v>
      </c>
      <c r="W84" s="84"/>
      <c r="X84" s="315">
        <v>1</v>
      </c>
      <c r="Y84" s="84"/>
      <c r="Z84" s="315">
        <v>1</v>
      </c>
      <c r="AA84" s="315">
        <v>1</v>
      </c>
      <c r="AB84" s="315">
        <v>1</v>
      </c>
      <c r="AC84" s="315">
        <v>1</v>
      </c>
    </row>
    <row r="85" spans="1:29" x14ac:dyDescent="0.3">
      <c r="A85" s="56" t="s">
        <v>39</v>
      </c>
      <c r="C85" s="69">
        <f>SUM((C80+C81+C82)*C83*C84)</f>
        <v>841.31665889999999</v>
      </c>
      <c r="E85" s="69">
        <f>SUM((E80+E81+E82)*E83*E84)</f>
        <v>925.32067010000003</v>
      </c>
      <c r="G85" s="69">
        <f t="shared" ref="G85:I85" si="40">SUM((G80+G81+G82)*G83*G84)</f>
        <v>888.3152139</v>
      </c>
      <c r="I85" s="69">
        <f t="shared" si="40"/>
        <v>1002.3308361092717</v>
      </c>
      <c r="J85" s="70"/>
      <c r="K85" s="71"/>
      <c r="L85" s="69">
        <f>SUM((L80+L81+L82)*L83*L84)</f>
        <v>1190</v>
      </c>
      <c r="M85" s="72"/>
      <c r="N85" s="69">
        <f>SUM((N80+N81+N82)*N83*N84)</f>
        <v>1131</v>
      </c>
      <c r="O85" s="70"/>
      <c r="P85" s="70">
        <f t="shared" ref="P85:AA85" si="41">SUM((P80+P81+P82)*P83*P84)</f>
        <v>1137.998</v>
      </c>
      <c r="Q85" s="73"/>
      <c r="R85" s="70">
        <f t="shared" ref="R85" si="42">SUM((R80+R81+R82)*R83*R84)</f>
        <v>1221</v>
      </c>
      <c r="S85" s="73"/>
      <c r="T85" s="70">
        <f t="shared" si="41"/>
        <v>1432</v>
      </c>
      <c r="U85" s="73"/>
      <c r="V85" s="70">
        <f>SUM((V80+V81+V82)*V83*V84)</f>
        <v>1377</v>
      </c>
      <c r="W85" s="73"/>
      <c r="X85" s="313">
        <f t="shared" si="41"/>
        <v>1377</v>
      </c>
      <c r="Y85" s="73"/>
      <c r="Z85" s="313">
        <f t="shared" si="41"/>
        <v>1377</v>
      </c>
      <c r="AA85" s="313">
        <f t="shared" si="41"/>
        <v>1377</v>
      </c>
      <c r="AB85" s="313">
        <f>SUM((AB80+AB81+AB82)*AB83*AB84)</f>
        <v>1377</v>
      </c>
      <c r="AC85" s="313">
        <f>SUM((AC80+AC81+AC82)*AC83*AC84)</f>
        <v>1377</v>
      </c>
    </row>
    <row r="86" spans="1:29" x14ac:dyDescent="0.3">
      <c r="A86" s="56" t="s">
        <v>60</v>
      </c>
      <c r="C86" s="69"/>
      <c r="E86" s="69"/>
      <c r="G86" s="69"/>
      <c r="I86" s="69"/>
      <c r="J86" s="70"/>
      <c r="K86" s="71"/>
      <c r="L86" s="69"/>
      <c r="M86" s="72"/>
      <c r="N86" s="69"/>
      <c r="O86" s="70"/>
      <c r="P86" s="124"/>
      <c r="Q86" s="73"/>
      <c r="R86" s="124"/>
      <c r="S86" s="73"/>
      <c r="T86" s="124"/>
      <c r="U86" s="73"/>
      <c r="V86" s="124"/>
      <c r="W86" s="73"/>
      <c r="X86" s="313"/>
      <c r="Y86" s="73"/>
      <c r="Z86" s="313"/>
      <c r="AA86" s="313"/>
      <c r="AB86" s="313"/>
      <c r="AC86" s="313"/>
    </row>
    <row r="87" spans="1:29" x14ac:dyDescent="0.3">
      <c r="A87" s="56" t="s">
        <v>61</v>
      </c>
      <c r="C87" s="156">
        <v>1</v>
      </c>
      <c r="E87" s="156">
        <v>1</v>
      </c>
      <c r="G87" s="156">
        <v>1</v>
      </c>
      <c r="I87" s="156">
        <v>1</v>
      </c>
      <c r="J87" s="157"/>
      <c r="K87" s="71"/>
      <c r="L87" s="156">
        <v>1</v>
      </c>
      <c r="M87" s="158"/>
      <c r="N87" s="156">
        <v>1</v>
      </c>
      <c r="O87" s="157"/>
      <c r="P87" s="157">
        <v>1</v>
      </c>
      <c r="Q87" s="73"/>
      <c r="R87" s="157">
        <v>1</v>
      </c>
      <c r="S87" s="73"/>
      <c r="T87" s="157">
        <v>1</v>
      </c>
      <c r="U87" s="73"/>
      <c r="V87" s="157">
        <v>1</v>
      </c>
      <c r="W87" s="73"/>
      <c r="X87" s="326">
        <v>1</v>
      </c>
      <c r="Y87" s="73"/>
      <c r="Z87" s="326">
        <v>1</v>
      </c>
      <c r="AA87" s="326">
        <v>1</v>
      </c>
      <c r="AB87" s="326">
        <v>1</v>
      </c>
      <c r="AC87" s="326">
        <v>1</v>
      </c>
    </row>
    <row r="88" spans="1:29" x14ac:dyDescent="0.3">
      <c r="A88" s="159" t="s">
        <v>62</v>
      </c>
      <c r="C88" s="69">
        <f>SUM(C85:C86)*C87</f>
        <v>841.31665889999999</v>
      </c>
      <c r="E88" s="69">
        <f>SUM(E85:E86)*E87</f>
        <v>925.32067010000003</v>
      </c>
      <c r="G88" s="69">
        <f t="shared" ref="G88:I88" si="43">SUM(G85:G86)*G87</f>
        <v>888.3152139</v>
      </c>
      <c r="I88" s="69">
        <f t="shared" si="43"/>
        <v>1002.3308361092717</v>
      </c>
      <c r="J88" s="70"/>
      <c r="K88" s="71"/>
      <c r="L88" s="69">
        <v>1190</v>
      </c>
      <c r="M88" s="72"/>
      <c r="N88" s="69">
        <f t="shared" ref="N88" si="44">SUM(N85:N86)*N87</f>
        <v>1131</v>
      </c>
      <c r="O88" s="70"/>
      <c r="P88" s="70">
        <f t="shared" ref="P88:AA88" si="45">SUM(P85:P86)*P87</f>
        <v>1137.998</v>
      </c>
      <c r="Q88" s="73"/>
      <c r="R88" s="70">
        <f t="shared" ref="R88" si="46">SUM(R85:R86)*R87</f>
        <v>1221</v>
      </c>
      <c r="S88" s="73"/>
      <c r="T88" s="70">
        <f t="shared" si="45"/>
        <v>1432</v>
      </c>
      <c r="U88" s="73"/>
      <c r="V88" s="70">
        <f>SUM(V85:V86)*V87</f>
        <v>1377</v>
      </c>
      <c r="W88" s="73"/>
      <c r="X88" s="313">
        <f t="shared" si="45"/>
        <v>1377</v>
      </c>
      <c r="Y88" s="73"/>
      <c r="Z88" s="313">
        <f t="shared" si="45"/>
        <v>1377</v>
      </c>
      <c r="AA88" s="313">
        <f t="shared" si="45"/>
        <v>1377</v>
      </c>
      <c r="AB88" s="313">
        <f>SUM(AB85:AB86)*AB87</f>
        <v>1377</v>
      </c>
      <c r="AC88" s="313">
        <f>SUM(AC85:AC86)*AC87</f>
        <v>1377</v>
      </c>
    </row>
    <row r="89" spans="1:29" x14ac:dyDescent="0.3">
      <c r="A89" s="56" t="s">
        <v>55</v>
      </c>
      <c r="C89" s="96">
        <v>1</v>
      </c>
      <c r="E89" s="96">
        <v>1</v>
      </c>
      <c r="G89" s="96">
        <v>1</v>
      </c>
      <c r="I89" s="96">
        <v>1</v>
      </c>
      <c r="J89" s="176"/>
      <c r="K89" s="81"/>
      <c r="L89" s="96">
        <v>1</v>
      </c>
      <c r="M89" s="161"/>
      <c r="N89" s="96">
        <v>1</v>
      </c>
      <c r="O89" s="176"/>
      <c r="P89" s="176">
        <v>1</v>
      </c>
      <c r="Q89" s="84"/>
      <c r="R89" s="176">
        <v>1</v>
      </c>
      <c r="S89" s="84"/>
      <c r="T89" s="176">
        <v>1</v>
      </c>
      <c r="U89" s="84"/>
      <c r="V89" s="176">
        <v>1</v>
      </c>
      <c r="W89" s="84"/>
      <c r="X89" s="327">
        <v>1</v>
      </c>
      <c r="Y89" s="84"/>
      <c r="Z89" s="327">
        <v>1</v>
      </c>
      <c r="AA89" s="327">
        <v>1</v>
      </c>
      <c r="AB89" s="327">
        <v>1</v>
      </c>
      <c r="AC89" s="327">
        <v>1</v>
      </c>
    </row>
    <row r="90" spans="1:29" x14ac:dyDescent="0.3">
      <c r="A90" s="56" t="s">
        <v>63</v>
      </c>
      <c r="C90" s="69">
        <f>SUM(C88*C89)</f>
        <v>841.31665889999999</v>
      </c>
      <c r="E90" s="69">
        <f>SUM(E88*E89)</f>
        <v>925.32067010000003</v>
      </c>
      <c r="G90" s="69">
        <f t="shared" ref="G90:I90" si="47">SUM(G88*G89)</f>
        <v>888.3152139</v>
      </c>
      <c r="I90" s="69">
        <f t="shared" si="47"/>
        <v>1002.3308361092717</v>
      </c>
      <c r="J90" s="70"/>
      <c r="K90" s="71"/>
      <c r="L90" s="69">
        <f t="shared" ref="L90:AA90" si="48">SUM(L88*L89)</f>
        <v>1190</v>
      </c>
      <c r="M90" s="72"/>
      <c r="N90" s="69">
        <f t="shared" si="48"/>
        <v>1131</v>
      </c>
      <c r="O90" s="70"/>
      <c r="P90" s="70">
        <f t="shared" si="48"/>
        <v>1137.998</v>
      </c>
      <c r="Q90" s="73"/>
      <c r="R90" s="70">
        <f t="shared" ref="R90" si="49">SUM(R88*R89)</f>
        <v>1221</v>
      </c>
      <c r="S90" s="73"/>
      <c r="T90" s="70">
        <f t="shared" si="48"/>
        <v>1432</v>
      </c>
      <c r="U90" s="73"/>
      <c r="V90" s="70">
        <f t="shared" si="48"/>
        <v>1377</v>
      </c>
      <c r="W90" s="73"/>
      <c r="X90" s="313">
        <f t="shared" si="48"/>
        <v>1377</v>
      </c>
      <c r="Y90" s="73"/>
      <c r="Z90" s="313">
        <f t="shared" si="48"/>
        <v>1377</v>
      </c>
      <c r="AA90" s="313">
        <f t="shared" si="48"/>
        <v>1377</v>
      </c>
      <c r="AB90" s="313">
        <f>SUM(AB88*AB89)</f>
        <v>1377</v>
      </c>
      <c r="AC90" s="313">
        <f>SUM(AC88*AC89)</f>
        <v>1377</v>
      </c>
    </row>
    <row r="91" spans="1:29" x14ac:dyDescent="0.3">
      <c r="A91" s="56" t="s">
        <v>77</v>
      </c>
      <c r="C91" s="69">
        <v>0</v>
      </c>
      <c r="E91" s="69">
        <v>0</v>
      </c>
      <c r="G91" s="69">
        <v>0</v>
      </c>
      <c r="I91" s="69">
        <v>0</v>
      </c>
      <c r="J91" s="70"/>
      <c r="K91" s="71"/>
      <c r="L91" s="69">
        <v>0</v>
      </c>
      <c r="M91" s="72"/>
      <c r="N91" s="69">
        <v>0</v>
      </c>
      <c r="O91" s="70"/>
      <c r="P91" s="70">
        <v>0</v>
      </c>
      <c r="Q91" s="73"/>
      <c r="R91" s="70">
        <v>0</v>
      </c>
      <c r="S91" s="73"/>
      <c r="T91" s="70">
        <v>0</v>
      </c>
      <c r="U91" s="73"/>
      <c r="V91" s="70">
        <v>0</v>
      </c>
      <c r="W91" s="73"/>
      <c r="X91" s="313">
        <v>0</v>
      </c>
      <c r="Y91" s="73"/>
      <c r="Z91" s="313">
        <v>0</v>
      </c>
      <c r="AA91" s="313">
        <v>0</v>
      </c>
      <c r="AB91" s="313">
        <v>0</v>
      </c>
      <c r="AC91" s="313">
        <v>0</v>
      </c>
    </row>
    <row r="92" spans="1:29" x14ac:dyDescent="0.3">
      <c r="A92" s="56" t="s">
        <v>65</v>
      </c>
      <c r="C92" s="99">
        <f>SUM(C90:C91)</f>
        <v>841.31665889999999</v>
      </c>
      <c r="E92" s="99">
        <f>SUM(E90:E91)</f>
        <v>925.32067010000003</v>
      </c>
      <c r="G92" s="99">
        <f t="shared" ref="G92:I92" si="50">SUM(G90:G91)</f>
        <v>888.3152139</v>
      </c>
      <c r="I92" s="99">
        <f t="shared" si="50"/>
        <v>1002.3308361092717</v>
      </c>
      <c r="J92" s="100"/>
      <c r="K92" s="101"/>
      <c r="L92" s="99">
        <f t="shared" ref="L92:AA92" si="51">SUM(L90:L91)</f>
        <v>1190</v>
      </c>
      <c r="M92" s="111"/>
      <c r="N92" s="99">
        <f t="shared" si="51"/>
        <v>1131</v>
      </c>
      <c r="O92" s="100"/>
      <c r="P92" s="100">
        <f t="shared" si="51"/>
        <v>1137.998</v>
      </c>
      <c r="Q92" s="177"/>
      <c r="R92" s="100">
        <f t="shared" ref="R92" si="52">SUM(R90:R91)</f>
        <v>1221</v>
      </c>
      <c r="S92" s="177"/>
      <c r="T92" s="100">
        <f t="shared" si="51"/>
        <v>1432</v>
      </c>
      <c r="U92" s="177"/>
      <c r="V92" s="100">
        <f t="shared" si="51"/>
        <v>1377</v>
      </c>
      <c r="W92" s="177"/>
      <c r="X92" s="317">
        <f t="shared" si="51"/>
        <v>1377</v>
      </c>
      <c r="Y92" s="177"/>
      <c r="Z92" s="317">
        <f t="shared" si="51"/>
        <v>1377</v>
      </c>
      <c r="AA92" s="317">
        <f t="shared" si="51"/>
        <v>1377</v>
      </c>
      <c r="AB92" s="317">
        <f>SUM(AB90:AB91)</f>
        <v>1377</v>
      </c>
      <c r="AC92" s="317">
        <f>SUM(AC90:AC91)</f>
        <v>1377</v>
      </c>
    </row>
    <row r="93" spans="1:29" x14ac:dyDescent="0.3">
      <c r="A93" s="56" t="s">
        <v>44</v>
      </c>
      <c r="B93" s="168"/>
      <c r="C93" s="105">
        <v>9.7459999999999995E-3</v>
      </c>
      <c r="D93" s="138">
        <f>SUM(E93-C93)/E93</f>
        <v>-4.425158041358622E-2</v>
      </c>
      <c r="E93" s="105">
        <v>9.3329999999999993E-3</v>
      </c>
      <c r="F93" s="138">
        <f>SUM(G93-E93)/G93</f>
        <v>-2.4704618689579713E-3</v>
      </c>
      <c r="G93" s="105">
        <v>9.3100000000000006E-3</v>
      </c>
      <c r="H93" s="106">
        <f>SUM(I93-G93)/G93</f>
        <v>-1.5450106807006719E-3</v>
      </c>
      <c r="I93" s="105">
        <f>9314.17/1001996</f>
        <v>9.2956159505626773E-3</v>
      </c>
      <c r="J93" s="137"/>
      <c r="K93" s="108">
        <f>SUM(L93-I93)/I93</f>
        <v>2.8979687937840962E-2</v>
      </c>
      <c r="L93" s="105">
        <v>9.5650000000000006E-3</v>
      </c>
      <c r="M93" s="106">
        <f>SUM((N93-L93)/L93)</f>
        <v>-3.2263460533194024E-2</v>
      </c>
      <c r="N93" s="105">
        <v>9.2563999999999997E-3</v>
      </c>
      <c r="O93" s="168">
        <f>SUM(P95-N95)/N95</f>
        <v>4.0282402070482212E-3</v>
      </c>
      <c r="P93" s="293">
        <f>10511.16/1137998</f>
        <v>9.2365364438250323E-3</v>
      </c>
      <c r="Q93" s="294">
        <f>SUM((R93-P93)/P93)</f>
        <v>-1.8816592966751575E-3</v>
      </c>
      <c r="R93" s="293">
        <f>11256.59/1221000</f>
        <v>9.2191564291564301E-3</v>
      </c>
      <c r="S93" s="294">
        <f>SUM((T93-R93)/R93)</f>
        <v>-2.2718064081654575E-3</v>
      </c>
      <c r="T93" s="293">
        <f>13.17184/T92</f>
        <v>9.1982122905027927E-3</v>
      </c>
      <c r="U93" s="294">
        <f>SUM((V93-T93)/R93)</f>
        <v>-2.3244457749252265E-3</v>
      </c>
      <c r="V93" s="293">
        <f>12.63643/V92</f>
        <v>9.1767828612926653E-3</v>
      </c>
      <c r="W93" s="305">
        <f>$W$30</f>
        <v>1.4999999999999999E-2</v>
      </c>
      <c r="X93" s="318">
        <f>SUM(V93*(1+W93))</f>
        <v>9.3144346042120536E-3</v>
      </c>
      <c r="Y93" s="305">
        <f>$Y$30</f>
        <v>0.02</v>
      </c>
      <c r="Z93" s="318">
        <f>SUM(X93*(1+Y93))</f>
        <v>9.5007232962962956E-3</v>
      </c>
      <c r="AA93" s="318">
        <f>SUM(Z93*(1+Y93))</f>
        <v>9.6907377622222225E-3</v>
      </c>
      <c r="AB93" s="318">
        <f>SUM(AA93*(1+Y93))</f>
        <v>9.8845525174666663E-3</v>
      </c>
      <c r="AC93" s="318">
        <f>SUM(AB93*(1+$Y$93))</f>
        <v>1.0082243567816E-2</v>
      </c>
    </row>
    <row r="94" spans="1:29" x14ac:dyDescent="0.3">
      <c r="A94" s="56"/>
      <c r="C94" s="110"/>
      <c r="E94" s="110"/>
      <c r="G94" s="110"/>
      <c r="I94" s="110"/>
      <c r="J94" s="139"/>
      <c r="K94" s="71"/>
      <c r="L94" s="110"/>
      <c r="M94" s="111"/>
      <c r="N94" s="110"/>
      <c r="O94" s="139"/>
      <c r="P94" s="139"/>
      <c r="Q94" s="73"/>
      <c r="R94" s="139"/>
      <c r="S94" s="73"/>
      <c r="T94" s="139"/>
      <c r="U94" s="73"/>
      <c r="V94" s="111"/>
      <c r="W94" s="73"/>
      <c r="X94" s="319"/>
      <c r="Y94" s="73"/>
      <c r="Z94" s="319"/>
      <c r="AA94" s="319"/>
      <c r="AB94" s="319"/>
      <c r="AC94" s="319"/>
    </row>
    <row r="95" spans="1:29" x14ac:dyDescent="0.3">
      <c r="A95" s="52" t="s">
        <v>45</v>
      </c>
      <c r="C95" s="178">
        <f>SUM(C92*C93)</f>
        <v>8.1994721576394003</v>
      </c>
      <c r="E95" s="178">
        <f>SUM(E92*E93)</f>
        <v>8.6360178140432993</v>
      </c>
      <c r="G95" s="178">
        <f t="shared" ref="G95:I95" si="53">SUM(G92*G93)</f>
        <v>8.2702146414089999</v>
      </c>
      <c r="I95" s="178">
        <f t="shared" si="53"/>
        <v>9.3172825078781703</v>
      </c>
      <c r="J95" s="179"/>
      <c r="K95" s="180"/>
      <c r="L95" s="178">
        <f t="shared" ref="L95:AA95" si="54">SUM(L92*L93)</f>
        <v>11.382350000000001</v>
      </c>
      <c r="M95" s="181"/>
      <c r="N95" s="182">
        <f t="shared" si="54"/>
        <v>10.468988399999999</v>
      </c>
      <c r="O95" s="183"/>
      <c r="P95" s="183">
        <f t="shared" si="54"/>
        <v>10.51116</v>
      </c>
      <c r="Q95" s="55"/>
      <c r="R95" s="183">
        <f t="shared" ref="R95" si="55">SUM(R92*R93)</f>
        <v>11.256590000000001</v>
      </c>
      <c r="S95" s="55"/>
      <c r="T95" s="183">
        <f>SUM(T92*T93)</f>
        <v>13.17184</v>
      </c>
      <c r="U95" s="55"/>
      <c r="V95" s="441">
        <f>SUM(V92*V93)</f>
        <v>12.636430000000001</v>
      </c>
      <c r="W95" s="442"/>
      <c r="X95" s="443">
        <f>SUM(X92*X93)</f>
        <v>12.825976449999997</v>
      </c>
      <c r="Y95" s="442"/>
      <c r="Z95" s="443">
        <f>SUM(Z92*Z93)</f>
        <v>13.082495978999999</v>
      </c>
      <c r="AA95" s="443">
        <f t="shared" si="54"/>
        <v>13.344145898580001</v>
      </c>
      <c r="AB95" s="443">
        <f>SUM(AB92*AB93)</f>
        <v>13.611028816551599</v>
      </c>
      <c r="AC95" s="443">
        <f>SUM(AC92*AC93)</f>
        <v>13.883249392882632</v>
      </c>
    </row>
    <row r="96" spans="1:29" x14ac:dyDescent="0.3">
      <c r="A96" s="170"/>
      <c r="C96" s="184"/>
      <c r="E96" s="171"/>
      <c r="I96" s="172"/>
      <c r="J96" s="172"/>
      <c r="K96" s="172"/>
      <c r="L96" s="172"/>
      <c r="M96" s="171"/>
      <c r="N96" s="171"/>
      <c r="O96" s="171"/>
      <c r="P96" s="171"/>
      <c r="Q96" s="172"/>
      <c r="R96" s="171"/>
      <c r="S96" s="172"/>
      <c r="T96" s="171"/>
      <c r="U96" s="172"/>
      <c r="V96" s="171"/>
      <c r="W96" s="172"/>
      <c r="X96" s="171"/>
      <c r="Y96" s="172"/>
      <c r="Z96" s="171"/>
      <c r="AA96" s="171"/>
      <c r="AB96" s="171"/>
      <c r="AC96" s="171"/>
    </row>
    <row r="97" spans="1:29" x14ac:dyDescent="0.3">
      <c r="A97" s="185" t="s">
        <v>66</v>
      </c>
      <c r="C97" s="186" t="s">
        <v>67</v>
      </c>
      <c r="E97" s="186" t="s">
        <v>68</v>
      </c>
      <c r="G97" s="186" t="s">
        <v>69</v>
      </c>
      <c r="I97" s="186" t="s">
        <v>70</v>
      </c>
      <c r="J97" s="187"/>
      <c r="K97" s="188"/>
      <c r="L97" s="186" t="s">
        <v>71</v>
      </c>
      <c r="M97" s="189"/>
      <c r="N97" s="186" t="s">
        <v>72</v>
      </c>
      <c r="O97" s="120"/>
      <c r="P97" s="187" t="s">
        <v>73</v>
      </c>
      <c r="Q97" s="174"/>
      <c r="R97" s="187" t="s">
        <v>133</v>
      </c>
      <c r="S97" s="174"/>
      <c r="T97" s="120" t="s">
        <v>150</v>
      </c>
      <c r="U97" s="174"/>
      <c r="V97" s="120" t="s">
        <v>74</v>
      </c>
      <c r="W97" s="174"/>
      <c r="X97" s="301" t="s">
        <v>136</v>
      </c>
      <c r="Y97" s="174"/>
      <c r="Z97" s="301" t="str">
        <f>Z77</f>
        <v>21/22 Estimate</v>
      </c>
      <c r="AA97" s="301" t="str">
        <f>AA77</f>
        <v>22/23 Estimate</v>
      </c>
      <c r="AB97" s="301" t="str">
        <f>AB77</f>
        <v>23/24 Estimate</v>
      </c>
      <c r="AC97" s="301" t="str">
        <f>AC77</f>
        <v>24/25 Estimate</v>
      </c>
    </row>
    <row r="98" spans="1:29" x14ac:dyDescent="0.3">
      <c r="A98" s="190"/>
      <c r="C98" s="45" t="s">
        <v>78</v>
      </c>
      <c r="E98" s="45" t="s">
        <v>78</v>
      </c>
      <c r="G98" s="45" t="s">
        <v>78</v>
      </c>
      <c r="I98" s="191" t="s">
        <v>78</v>
      </c>
      <c r="J98" s="146"/>
      <c r="K98" s="172"/>
      <c r="L98" s="191" t="s">
        <v>78</v>
      </c>
      <c r="M98" s="42"/>
      <c r="N98" s="45" t="s">
        <v>78</v>
      </c>
      <c r="O98" s="46"/>
      <c r="P98" s="42" t="s">
        <v>78</v>
      </c>
      <c r="Q98" s="47"/>
      <c r="R98" s="42" t="s">
        <v>78</v>
      </c>
      <c r="S98" s="47"/>
      <c r="T98" s="42" t="s">
        <v>78</v>
      </c>
      <c r="U98" s="47"/>
      <c r="V98" s="42" t="s">
        <v>78</v>
      </c>
      <c r="W98" s="47"/>
      <c r="X98" s="308" t="s">
        <v>78</v>
      </c>
      <c r="Y98" s="47"/>
      <c r="Z98" s="308" t="s">
        <v>78</v>
      </c>
      <c r="AA98" s="308" t="s">
        <v>78</v>
      </c>
      <c r="AB98" s="308" t="s">
        <v>78</v>
      </c>
      <c r="AC98" s="308" t="s">
        <v>78</v>
      </c>
    </row>
    <row r="99" spans="1:29" x14ac:dyDescent="0.3">
      <c r="A99" s="190"/>
      <c r="C99" s="192"/>
      <c r="E99" s="45"/>
      <c r="G99" s="45"/>
      <c r="I99" s="45"/>
      <c r="J99" s="146"/>
      <c r="K99" s="172"/>
      <c r="L99" s="45"/>
      <c r="M99" s="42"/>
      <c r="N99" s="45"/>
      <c r="O99" s="46"/>
      <c r="P99" s="42"/>
      <c r="Q99" s="47"/>
      <c r="R99" s="42"/>
      <c r="S99" s="47"/>
      <c r="T99" s="42"/>
      <c r="U99" s="47"/>
      <c r="V99" s="42"/>
      <c r="W99" s="47"/>
      <c r="X99" s="308"/>
      <c r="Y99" s="47"/>
      <c r="Z99" s="308"/>
      <c r="AA99" s="308"/>
      <c r="AB99" s="308"/>
      <c r="AC99" s="308"/>
    </row>
    <row r="100" spans="1:29" x14ac:dyDescent="0.3">
      <c r="A100" s="190"/>
      <c r="C100" s="192"/>
      <c r="E100" s="45"/>
      <c r="G100" s="45"/>
      <c r="I100" s="45"/>
      <c r="J100" s="146"/>
      <c r="K100" s="172"/>
      <c r="L100" s="45"/>
      <c r="M100" s="42"/>
      <c r="N100" s="45"/>
      <c r="O100" s="46"/>
      <c r="P100" s="46"/>
      <c r="Q100" s="47"/>
      <c r="R100" s="46"/>
      <c r="S100" s="47"/>
      <c r="T100" s="46"/>
      <c r="U100" s="47"/>
      <c r="V100" s="46"/>
      <c r="W100" s="47"/>
      <c r="X100" s="308"/>
      <c r="Y100" s="47"/>
      <c r="Z100" s="308"/>
      <c r="AA100" s="308"/>
      <c r="AB100" s="308"/>
      <c r="AC100" s="308"/>
    </row>
    <row r="101" spans="1:29" x14ac:dyDescent="0.3">
      <c r="A101" s="119" t="s">
        <v>42</v>
      </c>
      <c r="C101" s="193">
        <v>104359</v>
      </c>
      <c r="E101" s="193">
        <v>115700</v>
      </c>
      <c r="G101" s="193">
        <v>110212</v>
      </c>
      <c r="I101" s="193">
        <v>127298</v>
      </c>
      <c r="J101" s="194"/>
      <c r="K101" s="195"/>
      <c r="L101" s="193">
        <v>151210</v>
      </c>
      <c r="M101" s="196"/>
      <c r="N101" s="193">
        <v>151669</v>
      </c>
      <c r="O101" s="197"/>
      <c r="P101" s="197">
        <v>152662</v>
      </c>
      <c r="Q101" s="175"/>
      <c r="R101" s="197">
        <v>172179</v>
      </c>
      <c r="S101" s="175"/>
      <c r="T101" s="197">
        <v>202468</v>
      </c>
      <c r="U101" s="175"/>
      <c r="V101" s="197">
        <f>197600-V80</f>
        <v>196223</v>
      </c>
      <c r="W101" s="175"/>
      <c r="X101" s="329">
        <f>SUM(V101:V103)</f>
        <v>196223</v>
      </c>
      <c r="Y101" s="175"/>
      <c r="Z101" s="329">
        <f>SUM(X101:X103)</f>
        <v>196223</v>
      </c>
      <c r="AA101" s="329">
        <f t="shared" ref="AA101" si="56">SUM(Z101:Z103)</f>
        <v>196223</v>
      </c>
      <c r="AB101" s="329">
        <f>SUM(AA101:AA103)</f>
        <v>196223</v>
      </c>
      <c r="AC101" s="329">
        <f>SUM(AB101:AB103)</f>
        <v>196223</v>
      </c>
    </row>
    <row r="102" spans="1:29" x14ac:dyDescent="0.3">
      <c r="A102" s="119" t="s">
        <v>32</v>
      </c>
      <c r="C102" s="69">
        <v>0</v>
      </c>
      <c r="E102" s="69"/>
      <c r="G102" s="69"/>
      <c r="I102" s="69"/>
      <c r="J102" s="198"/>
      <c r="K102" s="199"/>
      <c r="L102" s="75"/>
      <c r="M102" s="72"/>
      <c r="N102" s="69"/>
      <c r="O102" s="70"/>
      <c r="P102" s="70"/>
      <c r="Q102" s="73"/>
      <c r="R102" s="70"/>
      <c r="S102" s="73"/>
      <c r="T102" s="70"/>
      <c r="U102" s="73"/>
      <c r="V102" s="70">
        <v>0</v>
      </c>
      <c r="W102" s="73"/>
      <c r="X102" s="313">
        <v>0</v>
      </c>
      <c r="Y102" s="73"/>
      <c r="Z102" s="313">
        <v>0</v>
      </c>
      <c r="AA102" s="313">
        <v>0</v>
      </c>
      <c r="AB102" s="313">
        <v>0</v>
      </c>
      <c r="AC102" s="313">
        <v>0</v>
      </c>
    </row>
    <row r="103" spans="1:29" x14ac:dyDescent="0.3">
      <c r="A103" s="119" t="s">
        <v>79</v>
      </c>
      <c r="C103" s="69"/>
      <c r="E103" s="69"/>
      <c r="G103" s="69"/>
      <c r="I103" s="69"/>
      <c r="J103" s="198"/>
      <c r="K103" s="199"/>
      <c r="L103" s="75"/>
      <c r="M103" s="72"/>
      <c r="N103" s="69"/>
      <c r="O103" s="70"/>
      <c r="P103" s="70"/>
      <c r="Q103" s="73"/>
      <c r="R103" s="70">
        <v>0</v>
      </c>
      <c r="S103" s="73"/>
      <c r="T103" s="70">
        <v>0</v>
      </c>
      <c r="U103" s="73"/>
      <c r="V103" s="70">
        <v>0</v>
      </c>
      <c r="W103" s="73"/>
      <c r="X103" s="313">
        <v>0</v>
      </c>
      <c r="Y103" s="73"/>
      <c r="Z103" s="313">
        <v>0</v>
      </c>
      <c r="AA103" s="313">
        <v>0</v>
      </c>
      <c r="AB103" s="313">
        <v>0</v>
      </c>
      <c r="AC103" s="313">
        <v>0</v>
      </c>
    </row>
    <row r="104" spans="1:29" x14ac:dyDescent="0.3">
      <c r="A104" s="119" t="s">
        <v>80</v>
      </c>
      <c r="C104" s="200"/>
      <c r="E104" s="200"/>
      <c r="G104" s="200"/>
      <c r="I104" s="200">
        <v>0</v>
      </c>
      <c r="J104" s="201"/>
      <c r="K104" s="199"/>
      <c r="L104" s="202"/>
      <c r="M104" s="203"/>
      <c r="N104" s="200"/>
      <c r="O104" s="204"/>
      <c r="P104" s="204"/>
      <c r="Q104" s="73"/>
      <c r="R104" s="204">
        <v>0</v>
      </c>
      <c r="S104" s="73"/>
      <c r="T104" s="204">
        <v>0</v>
      </c>
      <c r="U104" s="73"/>
      <c r="V104" s="204">
        <v>0</v>
      </c>
      <c r="W104" s="73"/>
      <c r="X104" s="330">
        <v>0</v>
      </c>
      <c r="Y104" s="73"/>
      <c r="Z104" s="330">
        <v>0</v>
      </c>
      <c r="AA104" s="330">
        <v>0</v>
      </c>
      <c r="AB104" s="330">
        <v>0</v>
      </c>
      <c r="AC104" s="330">
        <v>0</v>
      </c>
    </row>
    <row r="105" spans="1:29" x14ac:dyDescent="0.3">
      <c r="A105" s="119" t="s">
        <v>38</v>
      </c>
      <c r="C105" s="205" t="s">
        <v>81</v>
      </c>
      <c r="E105" s="205" t="s">
        <v>81</v>
      </c>
      <c r="G105" s="205" t="s">
        <v>81</v>
      </c>
      <c r="I105" s="205" t="s">
        <v>81</v>
      </c>
      <c r="J105" s="206"/>
      <c r="K105" s="199"/>
      <c r="L105" s="207" t="s">
        <v>81</v>
      </c>
      <c r="M105" s="203"/>
      <c r="N105" s="205" t="s">
        <v>81</v>
      </c>
      <c r="O105" s="208"/>
      <c r="P105" s="208" t="s">
        <v>81</v>
      </c>
      <c r="Q105" s="174"/>
      <c r="R105" s="208" t="s">
        <v>81</v>
      </c>
      <c r="S105" s="174"/>
      <c r="T105" s="208" t="s">
        <v>81</v>
      </c>
      <c r="U105" s="174"/>
      <c r="V105" s="208" t="s">
        <v>81</v>
      </c>
      <c r="W105" s="174"/>
      <c r="X105" s="331" t="s">
        <v>81</v>
      </c>
      <c r="Y105" s="174"/>
      <c r="Z105" s="331" t="s">
        <v>81</v>
      </c>
      <c r="AA105" s="331" t="s">
        <v>81</v>
      </c>
      <c r="AB105" s="331" t="s">
        <v>81</v>
      </c>
      <c r="AC105" s="331" t="s">
        <v>81</v>
      </c>
    </row>
    <row r="106" spans="1:29" x14ac:dyDescent="0.3">
      <c r="A106" s="119" t="s">
        <v>82</v>
      </c>
      <c r="C106" s="209">
        <v>0</v>
      </c>
      <c r="E106" s="209">
        <v>0</v>
      </c>
      <c r="G106" s="209">
        <v>0</v>
      </c>
      <c r="I106" s="209">
        <v>0</v>
      </c>
      <c r="J106" s="210"/>
      <c r="K106" s="199"/>
      <c r="L106" s="211">
        <v>0</v>
      </c>
      <c r="M106" s="203"/>
      <c r="N106" s="209">
        <v>0</v>
      </c>
      <c r="O106" s="212"/>
      <c r="P106" s="212">
        <v>0</v>
      </c>
      <c r="Q106" s="152"/>
      <c r="R106" s="212">
        <v>0</v>
      </c>
      <c r="S106" s="152"/>
      <c r="T106" s="212">
        <v>0</v>
      </c>
      <c r="U106" s="152"/>
      <c r="V106" s="212">
        <v>0</v>
      </c>
      <c r="W106" s="152"/>
      <c r="X106" s="332">
        <v>0</v>
      </c>
      <c r="Y106" s="152"/>
      <c r="Z106" s="332">
        <v>0</v>
      </c>
      <c r="AA106" s="332">
        <v>0</v>
      </c>
      <c r="AB106" s="332">
        <v>0</v>
      </c>
      <c r="AC106" s="332">
        <v>0</v>
      </c>
    </row>
    <row r="107" spans="1:29" x14ac:dyDescent="0.3">
      <c r="A107" s="140" t="s">
        <v>83</v>
      </c>
      <c r="C107" s="213"/>
      <c r="E107" s="213"/>
      <c r="G107" s="213"/>
      <c r="I107" s="213"/>
      <c r="J107" s="214"/>
      <c r="K107" s="199"/>
      <c r="L107" s="215"/>
      <c r="M107" s="203"/>
      <c r="N107" s="213"/>
      <c r="O107" s="216"/>
      <c r="P107" s="216"/>
      <c r="Q107" s="152"/>
      <c r="R107" s="216"/>
      <c r="S107" s="152"/>
      <c r="T107" s="216"/>
      <c r="U107" s="152"/>
      <c r="V107" s="216"/>
      <c r="W107" s="152"/>
      <c r="X107" s="333"/>
      <c r="Y107" s="152"/>
      <c r="Z107" s="333"/>
      <c r="AA107" s="333"/>
      <c r="AB107" s="333"/>
      <c r="AC107" s="333"/>
    </row>
    <row r="108" spans="1:29" x14ac:dyDescent="0.3">
      <c r="A108" s="119" t="s">
        <v>84</v>
      </c>
      <c r="B108" s="168"/>
      <c r="C108" s="105">
        <f>1842880.17/104359000</f>
        <v>1.7659043973207868E-2</v>
      </c>
      <c r="D108" s="106">
        <f>SUM(E108-C108)/E108</f>
        <v>-6.6797886391917281E-3</v>
      </c>
      <c r="E108" s="105">
        <f>+(2013367.9)/(114775000)</f>
        <v>1.7541868002613807E-2</v>
      </c>
      <c r="F108" s="106">
        <f>SUM(G108-E108)/G108</f>
        <v>-7.516397829751751E-3</v>
      </c>
      <c r="G108" s="105">
        <v>1.7410999999999999E-2</v>
      </c>
      <c r="H108" s="106">
        <f>SUM(I108-G108)/G108</f>
        <v>-1.2155474878995879E-2</v>
      </c>
      <c r="I108" s="105">
        <f>2189444.26/127298000</f>
        <v>1.7199361026881802E-2</v>
      </c>
      <c r="J108" s="137"/>
      <c r="K108" s="106">
        <f>SUM(L108-I108)/I108</f>
        <v>-2.8796838525869704E-2</v>
      </c>
      <c r="L108" s="105">
        <f>2525823/151210000</f>
        <v>1.670407380464255E-2</v>
      </c>
      <c r="M108" s="108">
        <f>SUM((N108-L108)/L108)</f>
        <v>6.8625546604017693E-2</v>
      </c>
      <c r="N108" s="104">
        <v>1.7850399999999999E-2</v>
      </c>
      <c r="O108" s="217">
        <f>SUM(P111-N111)/N111</f>
        <v>-7.1049071208625469E-2</v>
      </c>
      <c r="P108" s="293">
        <f>2514997.45/152662000</f>
        <v>1.6474286004375682E-2</v>
      </c>
      <c r="Q108" s="294">
        <f>SUM((R108-P108)/P108)</f>
        <v>4.2175480238511809E-2</v>
      </c>
      <c r="R108" s="293">
        <f>2956157.94/172179000</f>
        <v>1.716909692819682E-2</v>
      </c>
      <c r="S108" s="294">
        <f>SUM((T108-R108)/R108)</f>
        <v>8.8700293481808298E-4</v>
      </c>
      <c r="T108" s="293">
        <f>3479.27611/T101</f>
        <v>1.7184325967560306E-2</v>
      </c>
      <c r="U108" s="232">
        <f>SUM((V108-T108)/T108)</f>
        <v>-2.7004141355659494E-2</v>
      </c>
      <c r="V108" s="293">
        <f>3280.90311/V101</f>
        <v>1.6720278000030578E-2</v>
      </c>
      <c r="W108" s="305">
        <f>$W$30</f>
        <v>1.4999999999999999E-2</v>
      </c>
      <c r="X108" s="318">
        <f>SUM(V108*(1+W108))</f>
        <v>1.6971082170031036E-2</v>
      </c>
      <c r="Y108" s="305">
        <f>$Y$30</f>
        <v>0.02</v>
      </c>
      <c r="Z108" s="318">
        <f>SUM(X108*(1+Y108))</f>
        <v>1.7310503813431657E-2</v>
      </c>
      <c r="AA108" s="318">
        <f>SUM(Z108*(1+Y108))</f>
        <v>1.765671388970029E-2</v>
      </c>
      <c r="AB108" s="318">
        <f>SUM(AA108*(1+Y108))</f>
        <v>1.8009848167494295E-2</v>
      </c>
      <c r="AC108" s="318">
        <f>SUM(AB108*(1+$Y$108))</f>
        <v>1.8370045130844181E-2</v>
      </c>
    </row>
    <row r="109" spans="1:29" x14ac:dyDescent="0.3">
      <c r="A109" s="119" t="s">
        <v>85</v>
      </c>
      <c r="C109" s="218">
        <v>1</v>
      </c>
      <c r="E109" s="218">
        <v>1</v>
      </c>
      <c r="G109" s="218">
        <v>1</v>
      </c>
      <c r="I109" s="218">
        <v>1</v>
      </c>
      <c r="J109" s="219"/>
      <c r="K109" s="195"/>
      <c r="L109" s="218">
        <v>1</v>
      </c>
      <c r="M109" s="203"/>
      <c r="N109" s="218">
        <v>1</v>
      </c>
      <c r="O109" s="220"/>
      <c r="P109" s="220">
        <v>1</v>
      </c>
      <c r="Q109" s="152"/>
      <c r="R109" s="220">
        <v>1</v>
      </c>
      <c r="S109" s="152"/>
      <c r="T109" s="220">
        <v>1</v>
      </c>
      <c r="U109" s="152"/>
      <c r="V109" s="220">
        <v>1</v>
      </c>
      <c r="W109" s="152"/>
      <c r="X109" s="334">
        <v>1</v>
      </c>
      <c r="Y109" s="152"/>
      <c r="Z109" s="334">
        <v>1</v>
      </c>
      <c r="AA109" s="334">
        <v>1</v>
      </c>
      <c r="AB109" s="334">
        <v>1</v>
      </c>
      <c r="AC109" s="334">
        <v>1</v>
      </c>
    </row>
    <row r="110" spans="1:29" x14ac:dyDescent="0.3">
      <c r="A110" s="119" t="s">
        <v>86</v>
      </c>
      <c r="C110" s="221"/>
      <c r="E110" s="221"/>
      <c r="G110" s="221"/>
      <c r="I110" s="221"/>
      <c r="J110" s="219"/>
      <c r="K110" s="195"/>
      <c r="L110" s="221"/>
      <c r="M110" s="203"/>
      <c r="N110" s="221"/>
      <c r="O110" s="222"/>
      <c r="P110" s="222"/>
      <c r="Q110" s="55"/>
      <c r="R110" s="222"/>
      <c r="S110" s="55"/>
      <c r="T110" s="222"/>
      <c r="U110" s="55"/>
      <c r="V110" s="222"/>
      <c r="W110" s="55"/>
      <c r="X110" s="335"/>
      <c r="Y110" s="55"/>
      <c r="Z110" s="335"/>
      <c r="AA110" s="335"/>
      <c r="AB110" s="335"/>
      <c r="AC110" s="335"/>
    </row>
    <row r="111" spans="1:29" x14ac:dyDescent="0.3">
      <c r="A111" s="140"/>
      <c r="C111" s="178">
        <f>SUM(C101:C104)*C108*C109</f>
        <v>1842.8801699999999</v>
      </c>
      <c r="E111" s="178">
        <f>SUM(E101:E105)*E108*E109</f>
        <v>2029.5941279024175</v>
      </c>
      <c r="G111" s="178">
        <f t="shared" ref="G111:I111" si="57">SUM(G101:G105)*G108*G109</f>
        <v>1918.901132</v>
      </c>
      <c r="I111" s="178">
        <f t="shared" si="57"/>
        <v>2189.4442599999998</v>
      </c>
      <c r="J111" s="223"/>
      <c r="K111" s="224"/>
      <c r="L111" s="178">
        <f>SUM(L101*L108)</f>
        <v>2525.8229999999999</v>
      </c>
      <c r="M111" s="203"/>
      <c r="N111" s="182">
        <f t="shared" ref="N111" si="58">SUM(N101:N105)*N108*N109</f>
        <v>2707.3523175999999</v>
      </c>
      <c r="O111" s="183"/>
      <c r="P111" s="179">
        <f t="shared" ref="P111" si="59">SUM(P101:P105)*P108*P109</f>
        <v>2514.9974500000003</v>
      </c>
      <c r="Q111" s="55"/>
      <c r="R111" s="179">
        <f t="shared" ref="R111" si="60">SUM(R101:R105)*R108*R109</f>
        <v>2956.1579400000001</v>
      </c>
      <c r="S111" s="55"/>
      <c r="T111" s="179">
        <f>SUM(T101:T105)*T108*T109</f>
        <v>3479.2761100000002</v>
      </c>
      <c r="U111" s="55"/>
      <c r="V111" s="441">
        <f>SUM(V101:V105)*V108*V109</f>
        <v>3280.9031100000002</v>
      </c>
      <c r="W111" s="442"/>
      <c r="X111" s="444">
        <f>SUM(X101:X105)*X108*X109</f>
        <v>3330.1166566500001</v>
      </c>
      <c r="Y111" s="442"/>
      <c r="Z111" s="444">
        <f t="shared" ref="Z111" si="61">SUM(Z101:Z105)*Z108*Z109</f>
        <v>3396.7189897829999</v>
      </c>
      <c r="AA111" s="444">
        <f>SUM(AA101:AA105)*AA108*AA109</f>
        <v>3464.6533695786602</v>
      </c>
      <c r="AB111" s="444">
        <f>SUM(AB101:AB105)*AB108*AB109</f>
        <v>3533.9464369702328</v>
      </c>
      <c r="AC111" s="444">
        <f>SUM(AC101:AC105)*AC108*AC109</f>
        <v>3604.6253657096377</v>
      </c>
    </row>
    <row r="112" spans="1:29" x14ac:dyDescent="0.3">
      <c r="A112" s="142"/>
      <c r="C112" s="184"/>
      <c r="E112" s="171"/>
      <c r="G112" s="171"/>
      <c r="H112" s="2"/>
      <c r="I112" s="171"/>
      <c r="J112" s="171"/>
      <c r="K112" s="172"/>
      <c r="L112" s="172"/>
      <c r="M112" s="203"/>
      <c r="N112" s="171"/>
      <c r="O112" s="171"/>
      <c r="P112" s="171"/>
      <c r="Q112" s="172"/>
      <c r="R112" s="171"/>
      <c r="S112" s="172"/>
      <c r="T112" s="171"/>
      <c r="U112" s="172"/>
      <c r="V112" s="171"/>
      <c r="W112" s="172"/>
      <c r="X112" s="171"/>
      <c r="Y112" s="172"/>
      <c r="Z112" s="171"/>
      <c r="AA112" s="171"/>
      <c r="AB112" s="171"/>
      <c r="AC112" s="171"/>
    </row>
    <row r="113" spans="1:29" x14ac:dyDescent="0.3">
      <c r="A113" s="170"/>
      <c r="C113" s="143"/>
      <c r="E113" s="144"/>
      <c r="G113" s="144"/>
      <c r="H113" s="2"/>
      <c r="I113" s="144"/>
      <c r="J113" s="144"/>
      <c r="K113" s="145"/>
      <c r="L113" s="144"/>
      <c r="M113" s="144"/>
      <c r="N113" s="144"/>
      <c r="O113" s="144"/>
      <c r="P113" s="144"/>
      <c r="Q113" s="145"/>
      <c r="R113" s="144"/>
      <c r="S113" s="145"/>
      <c r="T113" s="144"/>
      <c r="U113" s="145"/>
      <c r="V113" s="144"/>
      <c r="W113" s="145"/>
      <c r="X113" s="144"/>
      <c r="Y113" s="145"/>
      <c r="Z113" s="144"/>
      <c r="AA113" s="144"/>
      <c r="AB113" s="144"/>
      <c r="AC113" s="144"/>
    </row>
    <row r="114" spans="1:29" x14ac:dyDescent="0.3">
      <c r="A114" s="121" t="s">
        <v>87</v>
      </c>
      <c r="C114" s="57" t="s">
        <v>88</v>
      </c>
      <c r="E114" s="57" t="s">
        <v>20</v>
      </c>
      <c r="G114" s="57" t="s">
        <v>21</v>
      </c>
      <c r="I114" s="57" t="s">
        <v>89</v>
      </c>
      <c r="J114" s="58"/>
      <c r="K114" s="59"/>
      <c r="L114" s="57" t="s">
        <v>90</v>
      </c>
      <c r="M114" s="58"/>
      <c r="N114" s="57" t="s">
        <v>91</v>
      </c>
      <c r="O114" s="58"/>
      <c r="P114" s="120" t="s">
        <v>129</v>
      </c>
      <c r="Q114" s="59"/>
      <c r="R114" s="120" t="s">
        <v>131</v>
      </c>
      <c r="S114" s="59"/>
      <c r="T114" s="120" t="s">
        <v>148</v>
      </c>
      <c r="U114" s="59"/>
      <c r="V114" s="120" t="s">
        <v>26</v>
      </c>
      <c r="W114" s="59"/>
      <c r="X114" s="301" t="s">
        <v>27</v>
      </c>
      <c r="Y114" s="59"/>
      <c r="Z114" s="301" t="s">
        <v>28</v>
      </c>
      <c r="AA114" s="301" t="s">
        <v>135</v>
      </c>
      <c r="AB114" s="301" t="str">
        <f>$AB$10</f>
        <v>2023 Estimate</v>
      </c>
      <c r="AC114" s="301" t="str">
        <f>$AB$10</f>
        <v>2023 Estimate</v>
      </c>
    </row>
    <row r="115" spans="1:29" x14ac:dyDescent="0.3">
      <c r="A115" s="119"/>
      <c r="C115" s="45"/>
      <c r="E115" s="61"/>
      <c r="G115" s="62"/>
      <c r="I115" s="62"/>
      <c r="J115" s="63"/>
      <c r="K115" s="64"/>
      <c r="L115" s="61"/>
      <c r="M115" s="65"/>
      <c r="N115" s="61"/>
      <c r="O115" s="65"/>
      <c r="P115" s="65"/>
      <c r="Q115" s="64"/>
      <c r="R115" s="65"/>
      <c r="S115" s="64"/>
      <c r="T115" s="65"/>
      <c r="U115" s="64"/>
      <c r="V115" s="65"/>
      <c r="W115" s="64"/>
      <c r="X115" s="321"/>
      <c r="Y115" s="64"/>
      <c r="Z115" s="321"/>
      <c r="AA115" s="321"/>
      <c r="AB115" s="321"/>
      <c r="AC115" s="321"/>
    </row>
    <row r="116" spans="1:29" x14ac:dyDescent="0.3">
      <c r="A116" s="119" t="s">
        <v>30</v>
      </c>
      <c r="C116" s="62"/>
      <c r="E116" s="61"/>
      <c r="G116" s="62"/>
      <c r="I116" s="62"/>
      <c r="J116" s="63"/>
      <c r="K116" s="64"/>
      <c r="L116" s="61"/>
      <c r="M116" s="65"/>
      <c r="N116" s="62"/>
      <c r="O116" s="63"/>
      <c r="P116" s="63"/>
      <c r="Q116" s="175"/>
      <c r="R116" s="63"/>
      <c r="S116" s="175"/>
      <c r="T116" s="63"/>
      <c r="U116" s="175"/>
      <c r="V116" s="63"/>
      <c r="W116" s="175"/>
      <c r="X116" s="321"/>
      <c r="Y116" s="175"/>
      <c r="Z116" s="321"/>
      <c r="AA116" s="321"/>
      <c r="AB116" s="321"/>
      <c r="AC116" s="321"/>
    </row>
    <row r="117" spans="1:29" x14ac:dyDescent="0.3">
      <c r="A117" s="119" t="s">
        <v>31</v>
      </c>
      <c r="C117" s="69">
        <v>365000</v>
      </c>
      <c r="E117" s="69">
        <v>370000</v>
      </c>
      <c r="G117" s="69">
        <v>400000</v>
      </c>
      <c r="I117" s="69">
        <v>435000</v>
      </c>
      <c r="J117" s="70"/>
      <c r="K117" s="71"/>
      <c r="L117" s="69">
        <v>515000</v>
      </c>
      <c r="M117" s="72"/>
      <c r="N117" s="69">
        <v>500000</v>
      </c>
      <c r="O117" s="70"/>
      <c r="P117" s="70">
        <f>SUM(N117:N119)</f>
        <v>500000</v>
      </c>
      <c r="Q117" s="73"/>
      <c r="R117" s="70">
        <v>550000</v>
      </c>
      <c r="S117" s="73"/>
      <c r="T117" s="70">
        <v>670000</v>
      </c>
      <c r="U117" s="73"/>
      <c r="V117" s="70">
        <v>700000</v>
      </c>
      <c r="W117" s="73"/>
      <c r="X117" s="313">
        <f>SUM(V117:V119)</f>
        <v>700000</v>
      </c>
      <c r="Y117" s="73"/>
      <c r="Z117" s="313">
        <f>SUM(X117:X119)</f>
        <v>792772</v>
      </c>
      <c r="AA117" s="313">
        <f>SUM(Z117:Z119)</f>
        <v>857622</v>
      </c>
      <c r="AB117" s="313">
        <f>SUM(AA117:AA119)</f>
        <v>920938</v>
      </c>
      <c r="AC117" s="313">
        <f>SUM(AB117:AB119)</f>
        <v>987624</v>
      </c>
    </row>
    <row r="118" spans="1:29" x14ac:dyDescent="0.3">
      <c r="A118" s="119" t="s">
        <v>32</v>
      </c>
      <c r="C118" s="69"/>
      <c r="E118" s="75"/>
      <c r="G118" s="69"/>
      <c r="I118" s="69"/>
      <c r="J118" s="70"/>
      <c r="K118" s="71"/>
      <c r="L118" s="75"/>
      <c r="M118" s="72"/>
      <c r="N118" s="69"/>
      <c r="O118" s="70"/>
      <c r="P118" s="70"/>
      <c r="Q118" s="73"/>
      <c r="R118" s="70"/>
      <c r="S118" s="73"/>
      <c r="T118" s="70"/>
      <c r="U118" s="73"/>
      <c r="V118" s="70"/>
      <c r="W118" s="73"/>
      <c r="X118" s="154">
        <f>91240+35421</f>
        <v>126661</v>
      </c>
      <c r="Y118" s="73"/>
      <c r="Z118" s="154">
        <f>76162+22577</f>
        <v>98739</v>
      </c>
      <c r="AA118" s="154">
        <f>77486+19719</f>
        <v>97205</v>
      </c>
      <c r="AB118" s="154">
        <f>92514+8061</f>
        <v>100575</v>
      </c>
      <c r="AC118" s="154">
        <f>75072+20227</f>
        <v>95299</v>
      </c>
    </row>
    <row r="119" spans="1:29" x14ac:dyDescent="0.3">
      <c r="A119" s="119" t="s">
        <v>92</v>
      </c>
      <c r="C119" s="69"/>
      <c r="E119" s="75"/>
      <c r="G119" s="69"/>
      <c r="I119" s="69"/>
      <c r="J119" s="70"/>
      <c r="K119" s="71"/>
      <c r="L119" s="75"/>
      <c r="M119" s="72"/>
      <c r="N119" s="69"/>
      <c r="O119" s="70"/>
      <c r="P119" s="70"/>
      <c r="Q119" s="73"/>
      <c r="R119" s="70"/>
      <c r="S119" s="73"/>
      <c r="T119" s="70"/>
      <c r="U119" s="73"/>
      <c r="V119" s="70"/>
      <c r="W119" s="73"/>
      <c r="X119" s="154">
        <v>-33889</v>
      </c>
      <c r="Y119" s="73"/>
      <c r="Z119" s="154">
        <f>X119</f>
        <v>-33889</v>
      </c>
      <c r="AA119" s="154">
        <f>Z119</f>
        <v>-33889</v>
      </c>
      <c r="AB119" s="154">
        <f>AA119</f>
        <v>-33889</v>
      </c>
      <c r="AC119" s="154">
        <f>AB119</f>
        <v>-33889</v>
      </c>
    </row>
    <row r="120" spans="1:29" x14ac:dyDescent="0.3">
      <c r="A120" s="56" t="s">
        <v>122</v>
      </c>
      <c r="C120" s="86">
        <v>0.94630499999999995</v>
      </c>
      <c r="E120" s="86">
        <v>0.96772369999999996</v>
      </c>
      <c r="G120" s="86">
        <f>188890268/195011082</f>
        <v>0.96861299400410483</v>
      </c>
      <c r="I120" s="86">
        <v>0.96685500000000002</v>
      </c>
      <c r="J120" s="87"/>
      <c r="K120" s="71"/>
      <c r="L120" s="86">
        <f>234774025/243990907</f>
        <v>0.96222448568544405</v>
      </c>
      <c r="M120" s="89"/>
      <c r="N120" s="86">
        <f>230552.665/238786.689</f>
        <v>0.96551724036845288</v>
      </c>
      <c r="O120" s="87"/>
      <c r="P120" s="87">
        <f>229911.818/238226.137</f>
        <v>0.96509904788490952</v>
      </c>
      <c r="Q120" s="73"/>
      <c r="R120" s="87">
        <f>246152315/261192469</f>
        <v>0.94241735201025267</v>
      </c>
      <c r="S120" s="73"/>
      <c r="T120" s="87">
        <f>306718192/329741481</f>
        <v>0.93017775946727188</v>
      </c>
      <c r="U120" s="73"/>
      <c r="V120" s="87">
        <v>0.91990911480638227</v>
      </c>
      <c r="W120" s="73"/>
      <c r="X120" s="314">
        <f>SUM(V120)</f>
        <v>0.91990911480638227</v>
      </c>
      <c r="Y120" s="73"/>
      <c r="Z120" s="314">
        <f t="shared" ref="Z120:Z121" si="62">SUM(X120)</f>
        <v>0.91990911480638227</v>
      </c>
      <c r="AA120" s="314">
        <f t="shared" ref="AA120:AC121" si="63">SUM(Z120)</f>
        <v>0.91990911480638227</v>
      </c>
      <c r="AB120" s="314">
        <f t="shared" si="63"/>
        <v>0.91990911480638227</v>
      </c>
      <c r="AC120" s="314">
        <f t="shared" si="63"/>
        <v>0.91990911480638227</v>
      </c>
    </row>
    <row r="121" spans="1:29" x14ac:dyDescent="0.3">
      <c r="A121" s="56" t="s">
        <v>119</v>
      </c>
      <c r="C121" s="90">
        <v>0.471997</v>
      </c>
      <c r="E121" s="90">
        <v>0.47163899999999997</v>
      </c>
      <c r="G121" s="90">
        <f>195011082/400000000</f>
        <v>0.48752770499999998</v>
      </c>
      <c r="I121" s="90">
        <v>0.47452299999999997</v>
      </c>
      <c r="J121" s="91"/>
      <c r="K121" s="81"/>
      <c r="L121" s="90">
        <f>243990907/515000000</f>
        <v>0.4737687514563107</v>
      </c>
      <c r="M121" s="94"/>
      <c r="N121" s="90">
        <f>238786.689/N117</f>
        <v>0.47757337800000005</v>
      </c>
      <c r="O121" s="91"/>
      <c r="P121" s="91">
        <f>238226.137/P117</f>
        <v>0.47645227399999995</v>
      </c>
      <c r="Q121" s="84"/>
      <c r="R121" s="91">
        <v>0.47489500000000001</v>
      </c>
      <c r="S121" s="84"/>
      <c r="T121" s="91">
        <f>329741481/670000000</f>
        <v>0.49215146417910449</v>
      </c>
      <c r="U121" s="84"/>
      <c r="V121" s="91">
        <v>0.50019043891570614</v>
      </c>
      <c r="W121" s="84"/>
      <c r="X121" s="315">
        <f>SUM(V121)</f>
        <v>0.50019043891570614</v>
      </c>
      <c r="Y121" s="84"/>
      <c r="Z121" s="315">
        <f t="shared" si="62"/>
        <v>0.50019043891570614</v>
      </c>
      <c r="AA121" s="315">
        <f t="shared" si="63"/>
        <v>0.50019043891570614</v>
      </c>
      <c r="AB121" s="315">
        <f t="shared" si="63"/>
        <v>0.50019043891570614</v>
      </c>
      <c r="AC121" s="315">
        <f t="shared" si="63"/>
        <v>0.50019043891570614</v>
      </c>
    </row>
    <row r="122" spans="1:29" x14ac:dyDescent="0.3">
      <c r="A122" s="119" t="s">
        <v>39</v>
      </c>
      <c r="C122" s="69">
        <f>SUM(C117+C118+C119)*C120*C121</f>
        <v>163028.38919602497</v>
      </c>
      <c r="E122" s="69">
        <f>SUM(E117+E118+E119)*E120*E121</f>
        <v>168874.00811339097</v>
      </c>
      <c r="G122" s="69">
        <f t="shared" ref="G122:I122" si="64">SUM(G117+G118+G119)*G120*G121</f>
        <v>188890.26799999998</v>
      </c>
      <c r="I122" s="69">
        <f t="shared" si="64"/>
        <v>199575.79679677499</v>
      </c>
      <c r="J122" s="70"/>
      <c r="K122" s="71"/>
      <c r="L122" s="69">
        <f t="shared" ref="L122:N122" si="65">SUM(L117+L118+L119)*L120*L121</f>
        <v>234774.02500000002</v>
      </c>
      <c r="M122" s="72"/>
      <c r="N122" s="69">
        <f t="shared" si="65"/>
        <v>230552.66500000001</v>
      </c>
      <c r="O122" s="70"/>
      <c r="P122" s="70">
        <f t="shared" ref="P122:Z122" si="66">SUM(P117+P118+P119)*P120*P121</f>
        <v>229911.818</v>
      </c>
      <c r="Q122" s="73"/>
      <c r="R122" s="70">
        <f t="shared" ref="R122" si="67">SUM(R117+R118+R119)*R120*R121</f>
        <v>246152.10861059991</v>
      </c>
      <c r="S122" s="73"/>
      <c r="T122" s="70">
        <f>SUM(T117+T118+T119)*T120*T121</f>
        <v>306718.19200000004</v>
      </c>
      <c r="U122" s="73"/>
      <c r="V122" s="70">
        <f>SUM(V117+V118+V119)*V120*V121</f>
        <v>322090.82072829414</v>
      </c>
      <c r="W122" s="73"/>
      <c r="X122" s="313">
        <f>SUM(X117+X118+X119)*X120*X121</f>
        <v>364777.97732915886</v>
      </c>
      <c r="Y122" s="73"/>
      <c r="Z122" s="313">
        <f t="shared" si="66"/>
        <v>394617.39122091583</v>
      </c>
      <c r="AA122" s="313">
        <f>SUM(AA117+AA118+AA119)*AA120*AA121</f>
        <v>423750.96608553396</v>
      </c>
      <c r="AB122" s="313">
        <f>SUM(AB117+AB118+AB119)*AB120*AB121</f>
        <v>454435.17818708683</v>
      </c>
      <c r="AC122" s="313">
        <f>SUM(AC117+AC118+AC119)*AC120*AC121</f>
        <v>482691.74575983617</v>
      </c>
    </row>
    <row r="123" spans="1:29" x14ac:dyDescent="0.3">
      <c r="A123" s="119" t="s">
        <v>60</v>
      </c>
      <c r="C123" s="69"/>
      <c r="E123" s="225"/>
      <c r="G123" s="69"/>
      <c r="I123" s="69"/>
      <c r="J123" s="70"/>
      <c r="K123" s="71"/>
      <c r="L123" s="69"/>
      <c r="M123" s="72"/>
      <c r="N123" s="69"/>
      <c r="O123" s="70"/>
      <c r="P123" s="70"/>
      <c r="Q123" s="73"/>
      <c r="R123" s="70"/>
      <c r="S123" s="73"/>
      <c r="T123" s="70"/>
      <c r="U123" s="73"/>
      <c r="V123" s="70"/>
      <c r="W123" s="73"/>
      <c r="X123" s="313"/>
      <c r="Y123" s="73"/>
      <c r="Z123" s="313"/>
      <c r="AA123" s="313"/>
      <c r="AB123" s="313"/>
      <c r="AC123" s="313"/>
    </row>
    <row r="124" spans="1:29" x14ac:dyDescent="0.3">
      <c r="A124" s="119" t="s">
        <v>41</v>
      </c>
      <c r="C124" s="69">
        <f>SUM(C122)</f>
        <v>163028.38919602497</v>
      </c>
      <c r="E124" s="69">
        <f>SUM(E122)</f>
        <v>168874.00811339097</v>
      </c>
      <c r="G124" s="69">
        <f t="shared" ref="G124:I124" si="68">SUM(G122)</f>
        <v>188890.26799999998</v>
      </c>
      <c r="I124" s="69">
        <f t="shared" si="68"/>
        <v>199575.79679677499</v>
      </c>
      <c r="J124" s="70"/>
      <c r="K124" s="71"/>
      <c r="L124" s="69">
        <f t="shared" ref="L124:AA124" si="69">SUM(L122)</f>
        <v>234774.02500000002</v>
      </c>
      <c r="M124" s="72"/>
      <c r="N124" s="69">
        <f t="shared" si="69"/>
        <v>230552.66500000001</v>
      </c>
      <c r="O124" s="70"/>
      <c r="P124" s="70">
        <f t="shared" si="69"/>
        <v>229911.818</v>
      </c>
      <c r="Q124" s="73"/>
      <c r="R124" s="70">
        <f t="shared" ref="R124" si="70">SUM(R122)</f>
        <v>246152.10861059991</v>
      </c>
      <c r="S124" s="73"/>
      <c r="T124" s="70">
        <f t="shared" si="69"/>
        <v>306718.19200000004</v>
      </c>
      <c r="U124" s="73"/>
      <c r="V124" s="70">
        <f t="shared" si="69"/>
        <v>322090.82072829414</v>
      </c>
      <c r="W124" s="73"/>
      <c r="X124" s="313">
        <f t="shared" si="69"/>
        <v>364777.97732915886</v>
      </c>
      <c r="Y124" s="73"/>
      <c r="Z124" s="313">
        <f t="shared" si="69"/>
        <v>394617.39122091583</v>
      </c>
      <c r="AA124" s="313">
        <f t="shared" si="69"/>
        <v>423750.96608553396</v>
      </c>
      <c r="AB124" s="313">
        <f>SUM(AB122)</f>
        <v>454435.17818708683</v>
      </c>
      <c r="AC124" s="313">
        <f>SUM(AC122)</f>
        <v>482691.74575983617</v>
      </c>
    </row>
    <row r="125" spans="1:29" x14ac:dyDescent="0.3">
      <c r="A125" s="56" t="s">
        <v>120</v>
      </c>
      <c r="C125" s="69"/>
      <c r="E125" s="69"/>
      <c r="G125" s="69"/>
      <c r="I125" s="69"/>
      <c r="J125" s="70"/>
      <c r="K125" s="71"/>
      <c r="L125" s="69"/>
      <c r="M125" s="72"/>
      <c r="N125" s="69"/>
      <c r="O125" s="70"/>
      <c r="P125" s="70">
        <v>213560.91500000001</v>
      </c>
      <c r="Q125" s="73"/>
      <c r="R125" s="70">
        <v>231762.54759900001</v>
      </c>
      <c r="S125" s="73"/>
      <c r="T125" s="70">
        <v>293289.11</v>
      </c>
      <c r="U125" s="73"/>
      <c r="V125" s="426"/>
      <c r="W125" s="73"/>
      <c r="X125" s="313"/>
      <c r="Y125" s="73"/>
      <c r="Z125" s="313"/>
      <c r="AA125" s="313"/>
      <c r="AB125" s="313"/>
      <c r="AC125" s="313"/>
    </row>
    <row r="126" spans="1:29" x14ac:dyDescent="0.3">
      <c r="A126" s="56" t="s">
        <v>121</v>
      </c>
      <c r="B126" s="226"/>
      <c r="C126" s="227">
        <f>148020.988/163028</f>
        <v>0.90794825428760706</v>
      </c>
      <c r="E126" s="227">
        <f>SUM(E127/E124)</f>
        <v>0.90322653973832534</v>
      </c>
      <c r="G126" s="227">
        <f>173803920/188890000</f>
        <v>0.92013298745301497</v>
      </c>
      <c r="I126" s="227">
        <f>189501.264/199576</f>
        <v>0.94951930091794601</v>
      </c>
      <c r="J126" s="228"/>
      <c r="K126" s="81"/>
      <c r="L126" s="227">
        <f>223370.065/L124</f>
        <v>0.95142580189609982</v>
      </c>
      <c r="M126" s="229"/>
      <c r="N126" s="227">
        <f>216345.522/N124</f>
        <v>0.93837788428947455</v>
      </c>
      <c r="O126" s="228"/>
      <c r="P126" s="292">
        <f>P125/P124</f>
        <v>0.92888185069286</v>
      </c>
      <c r="Q126" s="230"/>
      <c r="R126" s="292">
        <f>R125/R124</f>
        <v>0.9415419957488016</v>
      </c>
      <c r="S126" s="230"/>
      <c r="T126" s="292">
        <f>T125/T124</f>
        <v>0.95621687154441737</v>
      </c>
      <c r="U126" s="230"/>
      <c r="V126" s="337">
        <f>SUM(T126)</f>
        <v>0.95621687154441737</v>
      </c>
      <c r="W126" s="230"/>
      <c r="X126" s="337">
        <f>SUM(V126)</f>
        <v>0.95621687154441737</v>
      </c>
      <c r="Y126" s="230"/>
      <c r="Z126" s="337">
        <f>SUM(X126)</f>
        <v>0.95621687154441737</v>
      </c>
      <c r="AA126" s="337">
        <f t="shared" ref="AA126" si="71">SUM(Z126)</f>
        <v>0.95621687154441737</v>
      </c>
      <c r="AB126" s="337">
        <f>SUM(AA126)</f>
        <v>0.95621687154441737</v>
      </c>
      <c r="AC126" s="337">
        <f>SUM(AB126)</f>
        <v>0.95621687154441737</v>
      </c>
    </row>
    <row r="127" spans="1:29" x14ac:dyDescent="0.3">
      <c r="A127" s="56" t="s">
        <v>123</v>
      </c>
      <c r="C127" s="69">
        <f>SUM(C124*C126)</f>
        <v>148021.34136985146</v>
      </c>
      <c r="E127" s="69">
        <v>152531.486</v>
      </c>
      <c r="G127" s="69">
        <f t="shared" ref="G127:I127" si="72">SUM(G124*G126)</f>
        <v>173804.16659564062</v>
      </c>
      <c r="I127" s="69">
        <f t="shared" si="72"/>
        <v>189501.07105461584</v>
      </c>
      <c r="J127" s="70"/>
      <c r="K127" s="71"/>
      <c r="L127" s="69">
        <f t="shared" ref="L127:AA127" si="73">SUM(L124*L126)</f>
        <v>223370.065</v>
      </c>
      <c r="M127" s="72"/>
      <c r="N127" s="69">
        <f t="shared" si="73"/>
        <v>216345.522</v>
      </c>
      <c r="O127" s="231"/>
      <c r="P127" s="70">
        <f t="shared" si="73"/>
        <v>213560.91500000001</v>
      </c>
      <c r="Q127" s="232"/>
      <c r="R127" s="70">
        <f>SUM(R124*R126)</f>
        <v>231762.54759900001</v>
      </c>
      <c r="S127" s="232"/>
      <c r="T127" s="70">
        <f>SUM(T124*T126)</f>
        <v>293289.11</v>
      </c>
      <c r="U127" s="232"/>
      <c r="V127" s="313">
        <f>SUM(V124*V126)</f>
        <v>307988.67694998323</v>
      </c>
      <c r="W127" s="232"/>
      <c r="X127" s="313">
        <f>SUM(X124*X126)</f>
        <v>348806.85628998867</v>
      </c>
      <c r="Y127" s="232"/>
      <c r="Z127" s="313">
        <f t="shared" si="73"/>
        <v>377339.80729028356</v>
      </c>
      <c r="AA127" s="313">
        <f t="shared" si="73"/>
        <v>405197.82310423377</v>
      </c>
      <c r="AB127" s="313">
        <f>SUM(AB124*AB126)</f>
        <v>434538.58440578601</v>
      </c>
      <c r="AC127" s="313">
        <f>SUM(AC124*AC126)</f>
        <v>461557.99105078384</v>
      </c>
    </row>
    <row r="128" spans="1:29" x14ac:dyDescent="0.3">
      <c r="A128" s="56" t="s">
        <v>124</v>
      </c>
      <c r="B128" s="168"/>
      <c r="C128" s="104">
        <v>1.2448000000000001E-2</v>
      </c>
      <c r="D128" s="106">
        <f>SUM(E128-C128)/E128</f>
        <v>2.1152787607139924E-2</v>
      </c>
      <c r="E128" s="105">
        <v>1.2716999999999999E-2</v>
      </c>
      <c r="F128" s="106">
        <f>SUM(G128-E128)/G128</f>
        <v>1.2578616352201311E-2</v>
      </c>
      <c r="G128" s="233">
        <v>1.2879E-2</v>
      </c>
      <c r="H128" s="234">
        <f>SUM((I128-G128)/G128)</f>
        <v>1.5232524017182573E-3</v>
      </c>
      <c r="I128" s="105">
        <f>SUM(I130/I127)</f>
        <v>1.2898617967681729E-2</v>
      </c>
      <c r="J128" s="107"/>
      <c r="K128" s="108">
        <f>SUM(L128-I128)/I128</f>
        <v>2.0893237059376537E-2</v>
      </c>
      <c r="L128" s="105">
        <f>SUM(L130/L127)</f>
        <v>1.3168111850618837E-2</v>
      </c>
      <c r="M128" s="106">
        <f>SUM(N128-L128)/L128</f>
        <v>-2.4622895488339361E-2</v>
      </c>
      <c r="N128" s="105">
        <f>SUM(N130/N127)</f>
        <v>1.2843874808742287E-2</v>
      </c>
      <c r="O128" s="138">
        <f>SUM(P128-N128)/N128</f>
        <v>-7.238054115254829E-3</v>
      </c>
      <c r="P128" s="293">
        <f>2723096/213560912</f>
        <v>1.2750910147827052E-2</v>
      </c>
      <c r="Q128" s="294">
        <f>SUM((R128-P128)/P128)</f>
        <v>2.1525227259517082E-2</v>
      </c>
      <c r="R128" s="293">
        <f>3018794.42/231762548</f>
        <v>1.3025376386524712E-2</v>
      </c>
      <c r="S128" s="294">
        <f>SUM((T128-R128)/R128)</f>
        <v>-0.12091383988352648</v>
      </c>
      <c r="T128" s="293">
        <f>3358285.87/293289110</f>
        <v>1.1450428111701796E-2</v>
      </c>
      <c r="U128" s="305">
        <v>0.09</v>
      </c>
      <c r="V128" s="318">
        <f>SUM(T128*(1+U128))</f>
        <v>1.2480966641754958E-2</v>
      </c>
      <c r="W128" s="305">
        <f>$W$30</f>
        <v>1.4999999999999999E-2</v>
      </c>
      <c r="X128" s="318">
        <f>SUM(V128*(1+W128))</f>
        <v>1.2668181141381281E-2</v>
      </c>
      <c r="Y128" s="305">
        <f>$Y$30</f>
        <v>0.02</v>
      </c>
      <c r="Z128" s="318">
        <f>SUM(X128*(1+Y128))</f>
        <v>1.2921544764208906E-2</v>
      </c>
      <c r="AA128" s="318">
        <f>SUM(Z128*(1+Y128))</f>
        <v>1.3179975659493085E-2</v>
      </c>
      <c r="AB128" s="318">
        <f>SUM(AA128*(1+Y128))</f>
        <v>1.3443575172682947E-2</v>
      </c>
      <c r="AC128" s="318">
        <f>SUM(AB128*(1+$Y$128))</f>
        <v>1.3712446676136606E-2</v>
      </c>
    </row>
    <row r="129" spans="1:29" x14ac:dyDescent="0.3">
      <c r="A129" s="56"/>
      <c r="C129" s="109"/>
      <c r="E129" s="110"/>
      <c r="G129" s="109"/>
      <c r="I129" s="109"/>
      <c r="J129" s="111"/>
      <c r="K129" s="71"/>
      <c r="L129" s="109"/>
      <c r="M129" s="111"/>
      <c r="N129" s="110"/>
      <c r="O129" s="111"/>
      <c r="P129" s="139"/>
      <c r="Q129" s="71"/>
      <c r="R129" s="139"/>
      <c r="S129" s="71"/>
      <c r="T129" s="139"/>
      <c r="U129" s="71"/>
      <c r="V129" s="313"/>
      <c r="W129" s="420"/>
      <c r="X129" s="313"/>
      <c r="Y129" s="420"/>
      <c r="Z129" s="313"/>
      <c r="AA129" s="313"/>
      <c r="AB129" s="313"/>
      <c r="AC129" s="313"/>
    </row>
    <row r="130" spans="1:29" ht="15" thickBot="1" x14ac:dyDescent="0.35">
      <c r="C130" s="112">
        <v>1843</v>
      </c>
      <c r="E130" s="112">
        <f>SUM(E127*E128)</f>
        <v>1939.7429074619999</v>
      </c>
      <c r="G130" s="112">
        <f t="shared" ref="G130" si="74">SUM(G127*G128)</f>
        <v>2238.4238615852555</v>
      </c>
      <c r="I130" s="112">
        <v>2444.3019199999999</v>
      </c>
      <c r="J130" s="113"/>
      <c r="K130" s="114"/>
      <c r="L130" s="112">
        <v>2941.3620000000001</v>
      </c>
      <c r="M130" s="113"/>
      <c r="N130" s="112">
        <v>2778.7148000000002</v>
      </c>
      <c r="O130" s="113"/>
      <c r="P130" s="141">
        <f>SUM(P127*P128)</f>
        <v>2723.0960382527305</v>
      </c>
      <c r="Q130" s="114"/>
      <c r="R130" s="141">
        <f t="shared" ref="R130" si="75">SUM(R127*R128)</f>
        <v>3018.7944147768244</v>
      </c>
      <c r="S130" s="114"/>
      <c r="T130" s="141">
        <f>SUM(T127*T128)</f>
        <v>3358.2858700000002</v>
      </c>
      <c r="U130" s="114"/>
      <c r="V130" s="320">
        <f>SUM(V127*V128)</f>
        <v>3843.9964030509846</v>
      </c>
      <c r="W130" s="440"/>
      <c r="X130" s="392">
        <f>SUM(X127*X128)</f>
        <v>4418.748438837325</v>
      </c>
      <c r="Y130" s="440"/>
      <c r="Z130" s="392">
        <f>SUM(Z127*Z128)</f>
        <v>4875.8132112193616</v>
      </c>
      <c r="AA130" s="392">
        <f>SUM(AA127*AA128)</f>
        <v>5340.4974457933859</v>
      </c>
      <c r="AB130" s="392">
        <f>SUM(AB127*AB128)</f>
        <v>5841.7521248904177</v>
      </c>
      <c r="AC130" s="392">
        <f>SUM(AC127*AC128)</f>
        <v>6329.0893402286101</v>
      </c>
    </row>
    <row r="131" spans="1:29" ht="15" thickTop="1" x14ac:dyDescent="0.3">
      <c r="A131" s="235"/>
      <c r="C131" s="236"/>
      <c r="E131" s="237"/>
      <c r="G131" s="238"/>
      <c r="I131" s="238"/>
      <c r="J131" s="238"/>
      <c r="K131" s="239"/>
      <c r="L131" s="239"/>
      <c r="M131" s="238"/>
      <c r="N131" s="239"/>
      <c r="O131" s="238"/>
      <c r="P131" s="238"/>
      <c r="Q131" s="239"/>
      <c r="R131" s="238"/>
      <c r="S131" s="239"/>
      <c r="T131" s="238"/>
      <c r="U131" s="239"/>
      <c r="V131" s="238"/>
      <c r="W131" s="239"/>
      <c r="X131" s="493"/>
      <c r="Y131" s="239"/>
      <c r="Z131" s="238"/>
      <c r="AA131" s="238"/>
      <c r="AB131" s="238"/>
      <c r="AC131" s="238"/>
    </row>
    <row r="132" spans="1:29" x14ac:dyDescent="0.3">
      <c r="A132" s="121" t="s">
        <v>93</v>
      </c>
      <c r="C132" s="57" t="s">
        <v>46</v>
      </c>
      <c r="E132" s="57" t="s">
        <v>20</v>
      </c>
      <c r="G132" s="57" t="s">
        <v>21</v>
      </c>
      <c r="I132" s="57" t="s">
        <v>47</v>
      </c>
      <c r="J132" s="120"/>
      <c r="K132" s="59"/>
      <c r="L132" s="57" t="s">
        <v>48</v>
      </c>
      <c r="M132" s="58"/>
      <c r="N132" s="57" t="s">
        <v>49</v>
      </c>
      <c r="O132" s="58"/>
      <c r="P132" s="120" t="s">
        <v>50</v>
      </c>
      <c r="Q132" s="59"/>
      <c r="R132" s="120" t="s">
        <v>131</v>
      </c>
      <c r="S132" s="59"/>
      <c r="T132" s="120" t="s">
        <v>149</v>
      </c>
      <c r="U132" s="59"/>
      <c r="V132" s="120" t="s">
        <v>26</v>
      </c>
      <c r="W132" s="59"/>
      <c r="X132" s="301" t="s">
        <v>27</v>
      </c>
      <c r="Y132" s="59"/>
      <c r="Z132" s="301" t="s">
        <v>28</v>
      </c>
      <c r="AA132" s="301" t="s">
        <v>135</v>
      </c>
      <c r="AB132" s="301" t="str">
        <f>$AB$10</f>
        <v>2023 Estimate</v>
      </c>
      <c r="AC132" s="301" t="str">
        <f>$AC$10</f>
        <v>2024 Estimate</v>
      </c>
    </row>
    <row r="133" spans="1:29" x14ac:dyDescent="0.3">
      <c r="A133" s="240"/>
      <c r="C133" s="45"/>
      <c r="E133" s="61"/>
      <c r="G133" s="62"/>
      <c r="I133" s="62"/>
      <c r="J133" s="63"/>
      <c r="K133" s="64"/>
      <c r="L133" s="61"/>
      <c r="M133" s="65"/>
      <c r="N133" s="61"/>
      <c r="O133" s="65"/>
      <c r="P133" s="65"/>
      <c r="Q133" s="64"/>
      <c r="R133" s="65"/>
      <c r="S133" s="64"/>
      <c r="T133" s="65"/>
      <c r="U133" s="64"/>
      <c r="V133" s="65"/>
      <c r="W133" s="64"/>
      <c r="X133" s="321"/>
      <c r="Y133" s="64"/>
      <c r="Z133" s="321"/>
      <c r="AA133" s="321"/>
      <c r="AB133" s="321"/>
      <c r="AC133" s="321"/>
    </row>
    <row r="134" spans="1:29" x14ac:dyDescent="0.3">
      <c r="A134" s="119" t="s">
        <v>30</v>
      </c>
      <c r="C134" s="62"/>
      <c r="E134" s="61"/>
      <c r="G134" s="62"/>
      <c r="I134" s="62"/>
      <c r="J134" s="63"/>
      <c r="K134" s="64"/>
      <c r="L134" s="61"/>
      <c r="M134" s="65"/>
      <c r="N134" s="61"/>
      <c r="O134" s="65"/>
      <c r="P134" s="65"/>
      <c r="Q134" s="64"/>
      <c r="R134" s="65"/>
      <c r="S134" s="64"/>
      <c r="T134" s="65"/>
      <c r="U134" s="64"/>
      <c r="V134" s="65"/>
      <c r="W134" s="64"/>
      <c r="X134" s="321"/>
      <c r="Y134" s="64"/>
      <c r="Z134" s="321"/>
      <c r="AA134" s="321"/>
      <c r="AB134" s="321"/>
      <c r="AC134" s="321"/>
    </row>
    <row r="135" spans="1:29" x14ac:dyDescent="0.3">
      <c r="A135" s="119" t="s">
        <v>31</v>
      </c>
      <c r="C135" s="69">
        <v>364953</v>
      </c>
      <c r="E135" s="69">
        <v>369405.65100000001</v>
      </c>
      <c r="G135" s="69">
        <v>424400.88699999999</v>
      </c>
      <c r="I135" s="69">
        <v>451330.43099999998</v>
      </c>
      <c r="J135" s="70"/>
      <c r="K135" s="71"/>
      <c r="L135" s="69">
        <v>489356.26899999997</v>
      </c>
      <c r="M135" s="72"/>
      <c r="N135" s="69">
        <v>510289.36700000003</v>
      </c>
      <c r="O135" s="70"/>
      <c r="P135" s="70">
        <v>558892.69999999995</v>
      </c>
      <c r="Q135" s="73"/>
      <c r="R135" s="70">
        <v>631442.69799999997</v>
      </c>
      <c r="S135" s="73"/>
      <c r="T135" s="70">
        <v>725360.09499999997</v>
      </c>
      <c r="U135" s="73"/>
      <c r="V135" s="70">
        <v>742683.92599999998</v>
      </c>
      <c r="W135" s="73"/>
      <c r="X135" s="313">
        <f>SUM(V135:V137)</f>
        <v>742683.92599999998</v>
      </c>
      <c r="Y135" s="73"/>
      <c r="Z135" s="313">
        <f>SUM(X135:X137)</f>
        <v>835455.92599999998</v>
      </c>
      <c r="AA135" s="313">
        <f>SUM(Z135:Z137)</f>
        <v>900305.92599999998</v>
      </c>
      <c r="AB135" s="313">
        <f>SUM(AA135:AA137)</f>
        <v>963621.92599999998</v>
      </c>
      <c r="AC135" s="313">
        <f>SUM(AB135:AB137)</f>
        <v>1030307.926</v>
      </c>
    </row>
    <row r="136" spans="1:29" x14ac:dyDescent="0.3">
      <c r="A136" s="119" t="s">
        <v>32</v>
      </c>
      <c r="C136" s="69"/>
      <c r="E136" s="75"/>
      <c r="G136" s="69"/>
      <c r="I136" s="69"/>
      <c r="J136" s="70"/>
      <c r="K136" s="71"/>
      <c r="L136" s="75"/>
      <c r="M136" s="72"/>
      <c r="N136" s="69"/>
      <c r="O136" s="70"/>
      <c r="P136" s="70"/>
      <c r="Q136" s="73"/>
      <c r="R136" s="70">
        <f>SUM(R118)</f>
        <v>0</v>
      </c>
      <c r="S136" s="73"/>
      <c r="T136" s="70">
        <f>SUM(T118)</f>
        <v>0</v>
      </c>
      <c r="U136" s="73"/>
      <c r="V136" s="70"/>
      <c r="W136" s="73"/>
      <c r="X136" s="313">
        <f>SUM(X118)</f>
        <v>126661</v>
      </c>
      <c r="Y136" s="73"/>
      <c r="Z136" s="313">
        <f t="shared" ref="X136:AA137" si="76">SUM(Z118)</f>
        <v>98739</v>
      </c>
      <c r="AA136" s="313">
        <f t="shared" si="76"/>
        <v>97205</v>
      </c>
      <c r="AB136" s="313">
        <f>SUM(AB118)</f>
        <v>100575</v>
      </c>
      <c r="AC136" s="313">
        <f>SUM(AC118)</f>
        <v>95299</v>
      </c>
    </row>
    <row r="137" spans="1:29" x14ac:dyDescent="0.3">
      <c r="A137" s="119" t="s">
        <v>52</v>
      </c>
      <c r="C137" s="69"/>
      <c r="E137" s="75"/>
      <c r="G137" s="69"/>
      <c r="I137" s="69"/>
      <c r="J137" s="70"/>
      <c r="K137" s="71"/>
      <c r="L137" s="75"/>
      <c r="M137" s="72"/>
      <c r="N137" s="69"/>
      <c r="O137" s="70"/>
      <c r="P137" s="70"/>
      <c r="Q137" s="73"/>
      <c r="R137" s="70">
        <f>SUM(R119)</f>
        <v>0</v>
      </c>
      <c r="S137" s="73"/>
      <c r="T137" s="70">
        <f>SUM(T119)</f>
        <v>0</v>
      </c>
      <c r="U137" s="73"/>
      <c r="V137" s="70"/>
      <c r="W137" s="73"/>
      <c r="X137" s="313">
        <f t="shared" si="76"/>
        <v>-33889</v>
      </c>
      <c r="Y137" s="73"/>
      <c r="Z137" s="313">
        <f t="shared" si="76"/>
        <v>-33889</v>
      </c>
      <c r="AA137" s="313">
        <f t="shared" si="76"/>
        <v>-33889</v>
      </c>
      <c r="AB137" s="313">
        <f>SUM(AB119)</f>
        <v>-33889</v>
      </c>
      <c r="AC137" s="313">
        <f>SUM(AC119)</f>
        <v>-33889</v>
      </c>
    </row>
    <row r="138" spans="1:29" x14ac:dyDescent="0.3">
      <c r="A138" s="119" t="s">
        <v>37</v>
      </c>
      <c r="C138" s="86">
        <v>1</v>
      </c>
      <c r="E138" s="86">
        <v>1</v>
      </c>
      <c r="G138" s="86">
        <v>1</v>
      </c>
      <c r="I138" s="86">
        <v>1</v>
      </c>
      <c r="J138" s="87"/>
      <c r="K138" s="71"/>
      <c r="L138" s="86">
        <v>1</v>
      </c>
      <c r="M138" s="89"/>
      <c r="N138" s="86">
        <v>1</v>
      </c>
      <c r="O138" s="87"/>
      <c r="P138" s="87">
        <v>1</v>
      </c>
      <c r="Q138" s="73"/>
      <c r="R138" s="87">
        <v>1</v>
      </c>
      <c r="S138" s="73"/>
      <c r="T138" s="87">
        <v>1</v>
      </c>
      <c r="U138" s="73"/>
      <c r="V138" s="87">
        <v>1</v>
      </c>
      <c r="W138" s="73"/>
      <c r="X138" s="314">
        <v>1</v>
      </c>
      <c r="Y138" s="73"/>
      <c r="Z138" s="314">
        <v>1</v>
      </c>
      <c r="AA138" s="314">
        <v>1</v>
      </c>
      <c r="AB138" s="314">
        <v>1</v>
      </c>
      <c r="AC138" s="314">
        <v>1</v>
      </c>
    </row>
    <row r="139" spans="1:29" x14ac:dyDescent="0.3">
      <c r="A139" s="119" t="s">
        <v>38</v>
      </c>
      <c r="C139" s="90">
        <v>0.19417899999999999</v>
      </c>
      <c r="E139" s="90">
        <v>0.18853565999999999</v>
      </c>
      <c r="G139" s="90">
        <f>79213073/424400887</f>
        <v>0.18664681301667496</v>
      </c>
      <c r="I139" s="90">
        <f>85831.54/451330.431</f>
        <v>0.1901745021044238</v>
      </c>
      <c r="J139" s="91"/>
      <c r="K139" s="81"/>
      <c r="L139" s="90">
        <v>0.18943473999999999</v>
      </c>
      <c r="M139" s="94"/>
      <c r="N139" s="90">
        <f>96666.593/510289.367</f>
        <v>0.18943485647820679</v>
      </c>
      <c r="O139" s="91"/>
      <c r="P139" s="91">
        <f>103095.598/558892.7</f>
        <v>0.18446402681588078</v>
      </c>
      <c r="Q139" s="84"/>
      <c r="R139" s="91">
        <f>115955848/631442698</f>
        <v>0.18363637487181775</v>
      </c>
      <c r="S139" s="84"/>
      <c r="T139" s="91">
        <f>134625429/725360095</f>
        <v>0.18559806353835884</v>
      </c>
      <c r="U139" s="84"/>
      <c r="V139" s="91">
        <v>0.18293040999999999</v>
      </c>
      <c r="W139" s="84"/>
      <c r="X139" s="315">
        <f>SUM(V139)</f>
        <v>0.18293040999999999</v>
      </c>
      <c r="Y139" s="84"/>
      <c r="Z139" s="315">
        <f>SUM(X139)</f>
        <v>0.18293040999999999</v>
      </c>
      <c r="AA139" s="315">
        <f t="shared" ref="AA139:AC139" si="77">SUM(Z139)</f>
        <v>0.18293040999999999</v>
      </c>
      <c r="AB139" s="315">
        <f t="shared" si="77"/>
        <v>0.18293040999999999</v>
      </c>
      <c r="AC139" s="315">
        <f t="shared" si="77"/>
        <v>0.18293040999999999</v>
      </c>
    </row>
    <row r="140" spans="1:29" x14ac:dyDescent="0.3">
      <c r="A140" s="119" t="s">
        <v>39</v>
      </c>
      <c r="C140" s="99">
        <f>SUM((C135+C136+C137)*C138*C139)</f>
        <v>70866.208587000001</v>
      </c>
      <c r="E140" s="99">
        <f>SUM((E135+E136+E137)*E138*E139)</f>
        <v>69646.138219014654</v>
      </c>
      <c r="G140" s="99">
        <f t="shared" ref="G140:I140" si="78">SUM((G135+G136+G137)*G138*G139)</f>
        <v>79213.073000000004</v>
      </c>
      <c r="I140" s="99">
        <f t="shared" si="78"/>
        <v>85831.54</v>
      </c>
      <c r="J140" s="100"/>
      <c r="K140" s="101"/>
      <c r="L140" s="99">
        <f t="shared" ref="L140:T140" si="79">SUM((L135+L136+L137)*L138*L139)</f>
        <v>92701.07758538505</v>
      </c>
      <c r="M140" s="102"/>
      <c r="N140" s="99">
        <f t="shared" si="79"/>
        <v>96666.592999999993</v>
      </c>
      <c r="O140" s="100"/>
      <c r="P140" s="100">
        <f t="shared" si="79"/>
        <v>103095.598</v>
      </c>
      <c r="Q140" s="177"/>
      <c r="R140" s="100">
        <f t="shared" ref="R140" si="80">SUM((R135+R136+R137)*R138*R139)</f>
        <v>115955.848</v>
      </c>
      <c r="S140" s="177"/>
      <c r="T140" s="100">
        <f t="shared" si="79"/>
        <v>134625.429</v>
      </c>
      <c r="U140" s="177"/>
      <c r="V140" s="100">
        <f>SUM((V135+V136+V137)*V138*V139)</f>
        <v>135859.47508358964</v>
      </c>
      <c r="W140" s="177"/>
      <c r="X140" s="317">
        <f>SUM((X135+X136+X137)*X138*X139)</f>
        <v>152830.29508010964</v>
      </c>
      <c r="Y140" s="177"/>
      <c r="Z140" s="317">
        <f>SUM((Z135+Z136+Z137)*Z138*Z139)</f>
        <v>164693.33216860963</v>
      </c>
      <c r="AA140" s="317">
        <f>SUM((AA135+AA136+AA137)*AA138*AA139)</f>
        <v>176275.75400816964</v>
      </c>
      <c r="AB140" s="317">
        <f>SUM((AB135+AB136+AB137)*AB138*AB139)</f>
        <v>188474.65132942965</v>
      </c>
      <c r="AC140" s="317">
        <f>SUM((AC135+AC136+AC137)*AC138*AC139)</f>
        <v>199708.40780752964</v>
      </c>
    </row>
    <row r="141" spans="1:29" x14ac:dyDescent="0.3">
      <c r="A141" s="119" t="s">
        <v>60</v>
      </c>
      <c r="C141" s="78">
        <v>-902</v>
      </c>
      <c r="E141" s="78">
        <v>-925.8</v>
      </c>
      <c r="G141" s="78"/>
      <c r="I141" s="78"/>
      <c r="J141" s="83"/>
      <c r="K141" s="81"/>
      <c r="L141" s="78"/>
      <c r="M141" s="80"/>
      <c r="N141" s="78"/>
      <c r="O141" s="83"/>
      <c r="P141" s="83"/>
      <c r="Q141" s="84"/>
      <c r="R141" s="83"/>
      <c r="S141" s="84"/>
      <c r="T141" s="83">
        <v>-100</v>
      </c>
      <c r="U141" s="84"/>
      <c r="V141" s="83">
        <v>-100</v>
      </c>
      <c r="W141" s="84"/>
      <c r="X141" s="323"/>
      <c r="Y141" s="84"/>
      <c r="Z141" s="323"/>
      <c r="AA141" s="323"/>
      <c r="AB141" s="323"/>
      <c r="AC141" s="323"/>
    </row>
    <row r="142" spans="1:29" x14ac:dyDescent="0.3">
      <c r="A142" s="119" t="s">
        <v>41</v>
      </c>
      <c r="C142" s="69">
        <f>C140+C141</f>
        <v>69964.208587000001</v>
      </c>
      <c r="E142" s="69">
        <f>SUM(E140:E141)</f>
        <v>68720.338219014651</v>
      </c>
      <c r="G142" s="69">
        <f t="shared" ref="G142:I142" si="81">SUM(G140)</f>
        <v>79213.073000000004</v>
      </c>
      <c r="I142" s="69">
        <f t="shared" si="81"/>
        <v>85831.54</v>
      </c>
      <c r="J142" s="70"/>
      <c r="K142" s="71"/>
      <c r="L142" s="69">
        <f t="shared" ref="L142:AA142" si="82">SUM(L140)</f>
        <v>92701.07758538505</v>
      </c>
      <c r="M142" s="72"/>
      <c r="N142" s="69">
        <f t="shared" si="82"/>
        <v>96666.592999999993</v>
      </c>
      <c r="O142" s="70"/>
      <c r="P142" s="70">
        <f t="shared" si="82"/>
        <v>103095.598</v>
      </c>
      <c r="Q142" s="73"/>
      <c r="R142" s="70">
        <f>R140+R141</f>
        <v>115955.848</v>
      </c>
      <c r="S142" s="73"/>
      <c r="T142" s="70">
        <f>T140+T141</f>
        <v>134525.429</v>
      </c>
      <c r="U142" s="73"/>
      <c r="V142" s="70">
        <f>SUM(V140:V141)</f>
        <v>135759.47508358964</v>
      </c>
      <c r="W142" s="73"/>
      <c r="X142" s="313">
        <f>SUM(X140)</f>
        <v>152830.29508010964</v>
      </c>
      <c r="Y142" s="73"/>
      <c r="Z142" s="313">
        <f t="shared" si="82"/>
        <v>164693.33216860963</v>
      </c>
      <c r="AA142" s="313">
        <f t="shared" si="82"/>
        <v>176275.75400816964</v>
      </c>
      <c r="AB142" s="313">
        <f>SUM(AB140)</f>
        <v>188474.65132942965</v>
      </c>
      <c r="AC142" s="313">
        <f>SUM(AC140)</f>
        <v>199708.40780752964</v>
      </c>
    </row>
    <row r="143" spans="1:29" x14ac:dyDescent="0.3">
      <c r="A143" s="119" t="s">
        <v>55</v>
      </c>
      <c r="C143" s="133">
        <v>1</v>
      </c>
      <c r="E143" s="133">
        <v>1</v>
      </c>
      <c r="G143" s="133">
        <f>77458/79213</f>
        <v>0.97784454571850576</v>
      </c>
      <c r="I143" s="133">
        <v>1</v>
      </c>
      <c r="J143" s="134"/>
      <c r="K143" s="81"/>
      <c r="L143" s="133">
        <v>1</v>
      </c>
      <c r="M143" s="135"/>
      <c r="N143" s="133">
        <v>1</v>
      </c>
      <c r="O143" s="134"/>
      <c r="P143" s="134">
        <v>1</v>
      </c>
      <c r="Q143" s="84"/>
      <c r="R143" s="134">
        <v>1</v>
      </c>
      <c r="S143" s="84"/>
      <c r="T143" s="134">
        <v>1</v>
      </c>
      <c r="U143" s="84"/>
      <c r="V143" s="134">
        <v>1</v>
      </c>
      <c r="W143" s="84"/>
      <c r="X143" s="324">
        <v>1</v>
      </c>
      <c r="Y143" s="84"/>
      <c r="Z143" s="324">
        <v>1</v>
      </c>
      <c r="AA143" s="324">
        <v>1</v>
      </c>
      <c r="AB143" s="324">
        <v>1</v>
      </c>
      <c r="AC143" s="324">
        <v>1</v>
      </c>
    </row>
    <row r="144" spans="1:29" x14ac:dyDescent="0.3">
      <c r="A144" s="119" t="s">
        <v>42</v>
      </c>
      <c r="C144" s="69">
        <f>SUM(C142*C143)</f>
        <v>69964.208587000001</v>
      </c>
      <c r="E144" s="69">
        <f>SUM(E142*E143)</f>
        <v>68720.338219014651</v>
      </c>
      <c r="G144" s="69">
        <f t="shared" ref="G144:I144" si="83">SUM(G142*G143)</f>
        <v>77458.071382651833</v>
      </c>
      <c r="I144" s="69">
        <f t="shared" si="83"/>
        <v>85831.54</v>
      </c>
      <c r="J144" s="70"/>
      <c r="K144" s="71"/>
      <c r="L144" s="69">
        <f t="shared" ref="L144:AA144" si="84">SUM(L142*L143)</f>
        <v>92701.07758538505</v>
      </c>
      <c r="M144" s="72"/>
      <c r="N144" s="69">
        <f t="shared" si="84"/>
        <v>96666.592999999993</v>
      </c>
      <c r="O144" s="70"/>
      <c r="P144" s="70">
        <f t="shared" si="84"/>
        <v>103095.598</v>
      </c>
      <c r="Q144" s="73"/>
      <c r="R144" s="70">
        <f t="shared" ref="R144" si="85">SUM(R142*R143)</f>
        <v>115955.848</v>
      </c>
      <c r="S144" s="73"/>
      <c r="T144" s="70">
        <f t="shared" si="84"/>
        <v>134525.429</v>
      </c>
      <c r="U144" s="73"/>
      <c r="V144" s="70">
        <f>SUM(V142*V143)</f>
        <v>135759.47508358964</v>
      </c>
      <c r="W144" s="73"/>
      <c r="X144" s="313">
        <f t="shared" si="84"/>
        <v>152830.29508010964</v>
      </c>
      <c r="Y144" s="73"/>
      <c r="Z144" s="313">
        <f t="shared" si="84"/>
        <v>164693.33216860963</v>
      </c>
      <c r="AA144" s="313">
        <f t="shared" si="84"/>
        <v>176275.75400816964</v>
      </c>
      <c r="AB144" s="313">
        <f>SUM(AB142*AB143)</f>
        <v>188474.65132942965</v>
      </c>
      <c r="AC144" s="313">
        <f>SUM(AC142*AC143)</f>
        <v>199708.40780752964</v>
      </c>
    </row>
    <row r="145" spans="1:29" x14ac:dyDescent="0.3">
      <c r="A145" s="119" t="s">
        <v>44</v>
      </c>
      <c r="B145" s="168"/>
      <c r="C145" s="105">
        <f>802707.06/69964158</f>
        <v>1.1473118278647762E-2</v>
      </c>
      <c r="D145" s="136">
        <f>SUM(E145-C145)/E145</f>
        <v>7.9026924355978134E-2</v>
      </c>
      <c r="E145" s="105">
        <f>856090.19/68720290</f>
        <v>1.2457604442588935E-2</v>
      </c>
      <c r="F145" s="136">
        <f>SUM(G145-E145)/G145</f>
        <v>0.13269904482785214</v>
      </c>
      <c r="G145" s="105">
        <f>1112585/77458394</f>
        <v>1.4363646630731848E-2</v>
      </c>
      <c r="H145" s="108">
        <f>SUM(I145-G145)/G145</f>
        <v>1.8103872228034199E-2</v>
      </c>
      <c r="I145" s="105">
        <f>1255173.34/85831540</f>
        <v>1.4623684254063251E-2</v>
      </c>
      <c r="J145" s="137"/>
      <c r="K145" s="106">
        <f>SUM(L145-I145)/I145</f>
        <v>-1.3949345977307324E-2</v>
      </c>
      <c r="L145" s="105">
        <f>1336.72/92701</f>
        <v>1.4419693422940421E-2</v>
      </c>
      <c r="M145" s="108">
        <f>SUM((N145-L145)/L145)</f>
        <v>2.0801192302491757E-3</v>
      </c>
      <c r="N145" s="105">
        <f>1396.808/96667</f>
        <v>1.4449688104523777E-2</v>
      </c>
      <c r="O145" s="168">
        <f>SUM(P147-N147)/N147</f>
        <v>5.2438044034974686E-2</v>
      </c>
      <c r="P145" s="293">
        <f>1470.04769/103095.598</f>
        <v>1.4259073311743148E-2</v>
      </c>
      <c r="Q145" s="294">
        <f>SUM((R145-P145)/P145)</f>
        <v>-7.5763117063388586E-3</v>
      </c>
      <c r="R145" s="293">
        <f>1640896.09/115955848</f>
        <v>1.4151042127689844E-2</v>
      </c>
      <c r="S145" s="294">
        <f>SUM((T145-R145)/R145)</f>
        <v>-7.2473180601005147E-2</v>
      </c>
      <c r="T145" s="293">
        <f>1765.70963/T144</f>
        <v>1.3125471095877346E-2</v>
      </c>
      <c r="U145" s="459">
        <f>SUM((V145-T145)/T145)</f>
        <v>-7.0861224244611554E-2</v>
      </c>
      <c r="V145" s="456">
        <f>1655.63895/V144</f>
        <v>1.2195384145236214E-2</v>
      </c>
      <c r="W145" s="305">
        <f>$W$30</f>
        <v>1.4999999999999999E-2</v>
      </c>
      <c r="X145" s="318">
        <f>SUM(V145*(1+W145))</f>
        <v>1.2378314907414756E-2</v>
      </c>
      <c r="Y145" s="305">
        <f>$Y$30</f>
        <v>0.02</v>
      </c>
      <c r="Z145" s="318">
        <f>SUM(X145*(1+Y145))</f>
        <v>1.2625881205563051E-2</v>
      </c>
      <c r="AA145" s="318">
        <f>SUM(Z145*(1+Y145))</f>
        <v>1.2878398829674313E-2</v>
      </c>
      <c r="AB145" s="318">
        <f>SUM(AA145*(1+Y145))</f>
        <v>1.31359668062678E-2</v>
      </c>
      <c r="AC145" s="318">
        <f>SUM(AB145*(1+$Y$145))</f>
        <v>1.3398686142393156E-2</v>
      </c>
    </row>
    <row r="146" spans="1:29" x14ac:dyDescent="0.3">
      <c r="A146" s="119"/>
      <c r="C146" s="241"/>
      <c r="E146" s="99"/>
      <c r="G146" s="99"/>
      <c r="I146" s="99"/>
      <c r="J146" s="100"/>
      <c r="K146" s="101"/>
      <c r="L146" s="241"/>
      <c r="M146" s="102"/>
      <c r="N146" s="99"/>
      <c r="O146" s="102"/>
      <c r="P146" s="100"/>
      <c r="Q146" s="101"/>
      <c r="R146" s="100"/>
      <c r="S146" s="101"/>
      <c r="T146" s="100"/>
      <c r="U146" s="101"/>
      <c r="V146" s="468"/>
      <c r="W146" s="101"/>
      <c r="X146" s="317"/>
      <c r="Y146" s="101"/>
      <c r="Z146" s="317"/>
      <c r="AA146" s="317"/>
      <c r="AB146" s="317"/>
      <c r="AC146" s="317"/>
    </row>
    <row r="147" spans="1:29" x14ac:dyDescent="0.3">
      <c r="A147" s="140" t="s">
        <v>45</v>
      </c>
      <c r="C147" s="178">
        <f>SUM(C144*C145)</f>
        <v>802.70764039063442</v>
      </c>
      <c r="E147" s="178">
        <f>SUM(E144*E145)</f>
        <v>856.09079069341112</v>
      </c>
      <c r="G147" s="178">
        <f t="shared" ref="G147:I147" si="86">SUM(G144*G145)</f>
        <v>1112.580366038414</v>
      </c>
      <c r="I147" s="178">
        <f t="shared" si="86"/>
        <v>1255.1733400000001</v>
      </c>
      <c r="J147" s="179"/>
      <c r="K147" s="180"/>
      <c r="L147" s="178">
        <f t="shared" ref="L147:P147" si="87">SUM(L144*L145)</f>
        <v>1336.7211187574665</v>
      </c>
      <c r="M147" s="181"/>
      <c r="N147" s="178">
        <f t="shared" si="87"/>
        <v>1396.8021189769413</v>
      </c>
      <c r="O147" s="181"/>
      <c r="P147" s="179">
        <f t="shared" si="87"/>
        <v>1470.0476900000001</v>
      </c>
      <c r="Q147" s="180"/>
      <c r="R147" s="179">
        <f t="shared" ref="R147" si="88">SUM(R144*R145)</f>
        <v>1640.8960900000002</v>
      </c>
      <c r="S147" s="180"/>
      <c r="T147" s="179">
        <f>SUM(T144*T145)</f>
        <v>1765.7096300000001</v>
      </c>
      <c r="U147" s="180"/>
      <c r="V147" s="467">
        <f>SUM(V144*V145)</f>
        <v>1655.63895</v>
      </c>
      <c r="W147" s="445"/>
      <c r="X147" s="443">
        <f>SUM(X144*X145)</f>
        <v>1891.7815198947171</v>
      </c>
      <c r="Y147" s="445"/>
      <c r="Z147" s="443">
        <f>SUM(Z144*Z145)</f>
        <v>2079.3984473092009</v>
      </c>
      <c r="AA147" s="443">
        <f>SUM(AA144*AA145)</f>
        <v>2270.1494641187687</v>
      </c>
      <c r="AB147" s="443">
        <f>SUM(AB144*AB145)</f>
        <v>2475.796763686285</v>
      </c>
      <c r="AC147" s="443">
        <f>SUM(AC144*AC145)</f>
        <v>2675.8302762101484</v>
      </c>
    </row>
    <row r="148" spans="1:29" x14ac:dyDescent="0.3">
      <c r="A148" s="170"/>
      <c r="C148" s="143"/>
      <c r="I148" s="242"/>
      <c r="J148" s="242"/>
      <c r="K148" s="145"/>
      <c r="L148" s="145"/>
      <c r="M148" s="144"/>
      <c r="N148" s="144"/>
      <c r="O148" s="144"/>
      <c r="P148" s="144"/>
      <c r="Q148" s="145"/>
      <c r="R148" s="144"/>
      <c r="S148" s="145"/>
      <c r="T148" s="144"/>
      <c r="U148" s="145"/>
      <c r="V148" s="144"/>
      <c r="W148" s="145"/>
      <c r="X148" s="144"/>
      <c r="Y148" s="145"/>
      <c r="Z148" s="144"/>
      <c r="AA148" s="144"/>
      <c r="AB148" s="144"/>
      <c r="AC148" s="144"/>
    </row>
    <row r="149" spans="1:29" x14ac:dyDescent="0.3">
      <c r="A149" s="185" t="s">
        <v>94</v>
      </c>
      <c r="C149" s="186" t="s">
        <v>67</v>
      </c>
      <c r="E149" s="186" t="s">
        <v>68</v>
      </c>
      <c r="G149" s="186" t="s">
        <v>69</v>
      </c>
      <c r="I149" s="186" t="s">
        <v>70</v>
      </c>
      <c r="J149" s="187"/>
      <c r="K149" s="188"/>
      <c r="L149" s="186" t="s">
        <v>71</v>
      </c>
      <c r="M149" s="189"/>
      <c r="N149" s="186" t="s">
        <v>72</v>
      </c>
      <c r="O149" s="187"/>
      <c r="P149" s="187" t="s">
        <v>73</v>
      </c>
      <c r="Q149" s="243"/>
      <c r="R149" s="187" t="s">
        <v>133</v>
      </c>
      <c r="S149" s="243"/>
      <c r="T149" s="187" t="s">
        <v>150</v>
      </c>
      <c r="U149" s="174"/>
      <c r="V149" s="187" t="s">
        <v>74</v>
      </c>
      <c r="W149" s="174"/>
      <c r="X149" s="301" t="s">
        <v>136</v>
      </c>
      <c r="Y149" s="174"/>
      <c r="Z149" s="301" t="s">
        <v>137</v>
      </c>
      <c r="AA149" s="301" t="s">
        <v>138</v>
      </c>
      <c r="AB149" s="301" t="s">
        <v>178</v>
      </c>
      <c r="AC149" s="301" t="s">
        <v>179</v>
      </c>
    </row>
    <row r="150" spans="1:29" x14ac:dyDescent="0.3">
      <c r="A150" s="119"/>
      <c r="C150" s="62"/>
      <c r="E150" s="62"/>
      <c r="G150" s="62"/>
      <c r="I150" s="62"/>
      <c r="J150" s="63"/>
      <c r="K150" s="64"/>
      <c r="L150" s="62"/>
      <c r="M150" s="65"/>
      <c r="N150" s="61"/>
      <c r="O150" s="65"/>
      <c r="P150" s="65"/>
      <c r="Q150" s="64"/>
      <c r="R150" s="65"/>
      <c r="S150" s="64"/>
      <c r="T150" s="65"/>
      <c r="U150" s="64"/>
      <c r="V150" s="65"/>
      <c r="W150" s="64"/>
      <c r="X150" s="321"/>
      <c r="Y150" s="64"/>
      <c r="Z150" s="321"/>
      <c r="AA150" s="321"/>
      <c r="AB150" s="321"/>
      <c r="AC150" s="321"/>
    </row>
    <row r="151" spans="1:29" x14ac:dyDescent="0.3">
      <c r="A151" s="119" t="s">
        <v>126</v>
      </c>
      <c r="C151" s="62"/>
      <c r="E151" s="62"/>
      <c r="G151" s="62"/>
      <c r="I151" s="62"/>
      <c r="J151" s="63"/>
      <c r="K151" s="64"/>
      <c r="L151" s="62"/>
      <c r="M151" s="65"/>
      <c r="N151" s="61"/>
      <c r="O151" s="65"/>
      <c r="P151" s="65"/>
      <c r="Q151" s="64"/>
      <c r="R151" s="65"/>
      <c r="S151" s="64"/>
      <c r="T151" s="65"/>
      <c r="U151" s="64"/>
      <c r="V151" s="65"/>
      <c r="W151" s="64"/>
      <c r="X151" s="321"/>
      <c r="Y151" s="64"/>
      <c r="Z151" s="321"/>
      <c r="AA151" s="321"/>
      <c r="AB151" s="321"/>
      <c r="AC151" s="321"/>
    </row>
    <row r="152" spans="1:29" x14ac:dyDescent="0.3">
      <c r="A152" s="119" t="s">
        <v>95</v>
      </c>
      <c r="C152" s="69">
        <v>130466</v>
      </c>
      <c r="E152" s="69">
        <v>142400</v>
      </c>
      <c r="G152" s="69">
        <v>160600</v>
      </c>
      <c r="I152" s="69">
        <v>168937</v>
      </c>
      <c r="J152" s="70"/>
      <c r="K152" s="71"/>
      <c r="L152" s="69">
        <v>184700</v>
      </c>
      <c r="M152" s="72"/>
      <c r="N152" s="69">
        <v>209500</v>
      </c>
      <c r="O152" s="70"/>
      <c r="P152" s="70">
        <v>243796.47</v>
      </c>
      <c r="Q152" s="73"/>
      <c r="R152" s="70">
        <v>282611.34999999998</v>
      </c>
      <c r="S152" s="73"/>
      <c r="T152" s="70">
        <v>340600</v>
      </c>
      <c r="U152" s="73"/>
      <c r="V152" s="70">
        <v>324700</v>
      </c>
      <c r="W152" s="73"/>
      <c r="X152" s="313">
        <f>SUM(V152:V154)</f>
        <v>324700</v>
      </c>
      <c r="Y152" s="73"/>
      <c r="Z152" s="313">
        <f>SUM(X152:X154)</f>
        <v>350644</v>
      </c>
      <c r="AA152" s="313">
        <f t="shared" ref="AA152" si="89">SUM(Z152:Z154)</f>
        <v>363744</v>
      </c>
      <c r="AB152" s="313">
        <f>SUM(AA152:AA154)</f>
        <v>373986</v>
      </c>
      <c r="AC152" s="313">
        <f>SUM(AB152:AB154)</f>
        <v>386174</v>
      </c>
    </row>
    <row r="153" spans="1:29" x14ac:dyDescent="0.3">
      <c r="A153" s="119" t="s">
        <v>96</v>
      </c>
      <c r="C153" s="69"/>
      <c r="E153" s="69"/>
      <c r="G153" s="69"/>
      <c r="I153" s="69"/>
      <c r="J153" s="70"/>
      <c r="K153" s="71"/>
      <c r="L153" s="69"/>
      <c r="M153" s="72"/>
      <c r="N153" s="69"/>
      <c r="O153" s="70"/>
      <c r="P153" s="70"/>
      <c r="Q153" s="73"/>
      <c r="R153" s="70"/>
      <c r="S153" s="73"/>
      <c r="T153" s="70"/>
      <c r="U153" s="73"/>
      <c r="V153" s="70">
        <v>0</v>
      </c>
      <c r="W153" s="73"/>
      <c r="X153" s="154">
        <f>35421</f>
        <v>35421</v>
      </c>
      <c r="Y153" s="73"/>
      <c r="Z153" s="154">
        <v>22577</v>
      </c>
      <c r="AA153" s="154">
        <v>19719</v>
      </c>
      <c r="AB153" s="154">
        <v>21665</v>
      </c>
      <c r="AC153" s="154">
        <v>20227</v>
      </c>
    </row>
    <row r="154" spans="1:29" x14ac:dyDescent="0.3">
      <c r="A154" s="119" t="s">
        <v>52</v>
      </c>
      <c r="C154" s="69"/>
      <c r="E154" s="69"/>
      <c r="G154" s="69"/>
      <c r="I154" s="69"/>
      <c r="J154" s="70"/>
      <c r="K154" s="71"/>
      <c r="L154" s="69"/>
      <c r="M154" s="72"/>
      <c r="N154" s="69"/>
      <c r="O154" s="70"/>
      <c r="P154" s="70"/>
      <c r="Q154" s="73"/>
      <c r="R154" s="70">
        <v>0</v>
      </c>
      <c r="S154" s="73"/>
      <c r="T154" s="70">
        <v>0</v>
      </c>
      <c r="U154" s="73"/>
      <c r="V154" s="70">
        <v>0</v>
      </c>
      <c r="W154" s="73"/>
      <c r="X154" s="154">
        <v>-9477</v>
      </c>
      <c r="Y154" s="73"/>
      <c r="Z154" s="154">
        <f>X154</f>
        <v>-9477</v>
      </c>
      <c r="AA154" s="154">
        <f>Z154</f>
        <v>-9477</v>
      </c>
      <c r="AB154" s="154">
        <f>AA154</f>
        <v>-9477</v>
      </c>
      <c r="AC154" s="154">
        <f>AB154</f>
        <v>-9477</v>
      </c>
    </row>
    <row r="155" spans="1:29" x14ac:dyDescent="0.3">
      <c r="A155" s="119" t="s">
        <v>37</v>
      </c>
      <c r="C155" s="86">
        <v>1</v>
      </c>
      <c r="E155" s="86">
        <v>1</v>
      </c>
      <c r="G155" s="86">
        <v>1</v>
      </c>
      <c r="I155" s="86">
        <v>1</v>
      </c>
      <c r="J155" s="87"/>
      <c r="K155" s="71"/>
      <c r="L155" s="86">
        <v>1</v>
      </c>
      <c r="M155" s="89"/>
      <c r="N155" s="86">
        <v>1</v>
      </c>
      <c r="O155" s="87"/>
      <c r="P155" s="87">
        <v>1</v>
      </c>
      <c r="Q155" s="73"/>
      <c r="R155" s="87">
        <v>1</v>
      </c>
      <c r="S155" s="73"/>
      <c r="T155" s="87">
        <v>1</v>
      </c>
      <c r="U155" s="73"/>
      <c r="V155" s="87">
        <v>1</v>
      </c>
      <c r="W155" s="73"/>
      <c r="X155" s="314">
        <v>1</v>
      </c>
      <c r="Y155" s="73"/>
      <c r="Z155" s="314">
        <v>1</v>
      </c>
      <c r="AA155" s="314">
        <v>1</v>
      </c>
      <c r="AB155" s="314">
        <v>1</v>
      </c>
      <c r="AC155" s="314">
        <v>1</v>
      </c>
    </row>
    <row r="156" spans="1:29" x14ac:dyDescent="0.3">
      <c r="A156" s="119" t="s">
        <v>38</v>
      </c>
      <c r="C156" s="90">
        <v>1</v>
      </c>
      <c r="E156" s="90">
        <v>1</v>
      </c>
      <c r="G156" s="90">
        <v>1</v>
      </c>
      <c r="I156" s="90">
        <v>1</v>
      </c>
      <c r="J156" s="91"/>
      <c r="K156" s="81"/>
      <c r="L156" s="90">
        <v>1</v>
      </c>
      <c r="M156" s="94"/>
      <c r="N156" s="90">
        <v>1</v>
      </c>
      <c r="O156" s="91"/>
      <c r="P156" s="91">
        <v>1</v>
      </c>
      <c r="Q156" s="84"/>
      <c r="R156" s="91">
        <v>1</v>
      </c>
      <c r="S156" s="84"/>
      <c r="T156" s="91">
        <v>1</v>
      </c>
      <c r="U156" s="84"/>
      <c r="V156" s="91">
        <v>1</v>
      </c>
      <c r="W156" s="84"/>
      <c r="X156" s="315">
        <v>1</v>
      </c>
      <c r="Y156" s="84"/>
      <c r="Z156" s="315">
        <v>1</v>
      </c>
      <c r="AA156" s="315">
        <v>1</v>
      </c>
      <c r="AB156" s="315">
        <v>1</v>
      </c>
      <c r="AC156" s="315">
        <v>1</v>
      </c>
    </row>
    <row r="157" spans="1:29" x14ac:dyDescent="0.3">
      <c r="A157" s="119" t="s">
        <v>97</v>
      </c>
      <c r="C157" s="99">
        <f>SUM((C152+C153+C154)*C155*C156)</f>
        <v>130466</v>
      </c>
      <c r="E157" s="99">
        <f>SUM((E152+E153+E154)*E155*E156)</f>
        <v>142400</v>
      </c>
      <c r="G157" s="99">
        <f t="shared" ref="G157:I157" si="90">SUM((G152+G153+G154)*G155*G156)</f>
        <v>160600</v>
      </c>
      <c r="I157" s="99">
        <f t="shared" si="90"/>
        <v>168937</v>
      </c>
      <c r="J157" s="100"/>
      <c r="K157" s="101"/>
      <c r="L157" s="99">
        <f t="shared" ref="L157:AA157" si="91">SUM((L152+L153+L154)*L155*L156)</f>
        <v>184700</v>
      </c>
      <c r="M157" s="102"/>
      <c r="N157" s="99">
        <f t="shared" si="91"/>
        <v>209500</v>
      </c>
      <c r="O157" s="100"/>
      <c r="P157" s="100">
        <f t="shared" ref="P157" si="92">SUM((P152+P153+P154)*P155*P156)</f>
        <v>243796.47</v>
      </c>
      <c r="Q157" s="177"/>
      <c r="R157" s="100">
        <f t="shared" ref="R157" si="93">SUM((R152+R153+R154)*R155*R156)</f>
        <v>282611.34999999998</v>
      </c>
      <c r="S157" s="177"/>
      <c r="T157" s="100">
        <f t="shared" si="91"/>
        <v>340600</v>
      </c>
      <c r="U157" s="177"/>
      <c r="V157" s="100">
        <f>SUM((V152+V153+V154)*V155*V156)</f>
        <v>324700</v>
      </c>
      <c r="W157" s="177"/>
      <c r="X157" s="317">
        <f>SUM((X152+X153+X154)*X155*X156)</f>
        <v>350644</v>
      </c>
      <c r="Y157" s="177"/>
      <c r="Z157" s="317">
        <f t="shared" si="91"/>
        <v>363744</v>
      </c>
      <c r="AA157" s="317">
        <f t="shared" si="91"/>
        <v>373986</v>
      </c>
      <c r="AB157" s="317">
        <f>SUM((AB152+AB153+AB154)*AB155*AB156)</f>
        <v>386174</v>
      </c>
      <c r="AC157" s="317">
        <f>SUM((AC152+AC153+AC154)*AC155*AC156)</f>
        <v>396924</v>
      </c>
    </row>
    <row r="158" spans="1:29" x14ac:dyDescent="0.3">
      <c r="A158" s="119" t="s">
        <v>98</v>
      </c>
      <c r="C158" s="69"/>
      <c r="E158" s="69"/>
      <c r="G158" s="69"/>
      <c r="I158" s="69"/>
      <c r="J158" s="70"/>
      <c r="K158" s="71"/>
      <c r="L158" s="69"/>
      <c r="M158" s="72"/>
      <c r="N158" s="69"/>
      <c r="O158" s="70"/>
      <c r="P158" s="70"/>
      <c r="Q158" s="73"/>
      <c r="R158" s="70"/>
      <c r="S158" s="73"/>
      <c r="T158" s="70"/>
      <c r="U158" s="73"/>
      <c r="V158" s="70"/>
      <c r="W158" s="73"/>
      <c r="X158" s="313"/>
      <c r="Y158" s="73"/>
      <c r="Z158" s="313"/>
      <c r="AA158" s="313"/>
      <c r="AB158" s="313"/>
      <c r="AC158" s="313"/>
    </row>
    <row r="159" spans="1:29" x14ac:dyDescent="0.3">
      <c r="A159" s="119"/>
      <c r="C159" s="244">
        <v>1</v>
      </c>
      <c r="E159" s="244">
        <v>1</v>
      </c>
      <c r="G159" s="244">
        <v>1</v>
      </c>
      <c r="I159" s="244">
        <v>1</v>
      </c>
      <c r="J159" s="245"/>
      <c r="K159" s="71"/>
      <c r="L159" s="244">
        <v>1</v>
      </c>
      <c r="M159" s="246"/>
      <c r="N159" s="244">
        <v>1</v>
      </c>
      <c r="O159" s="245"/>
      <c r="P159" s="245">
        <v>1</v>
      </c>
      <c r="Q159" s="73"/>
      <c r="R159" s="245">
        <v>1</v>
      </c>
      <c r="S159" s="73"/>
      <c r="T159" s="245">
        <v>1</v>
      </c>
      <c r="U159" s="73"/>
      <c r="V159" s="245">
        <v>1</v>
      </c>
      <c r="W159" s="73"/>
      <c r="X159" s="339">
        <v>1</v>
      </c>
      <c r="Y159" s="73"/>
      <c r="Z159" s="339">
        <v>1</v>
      </c>
      <c r="AA159" s="339">
        <v>1</v>
      </c>
      <c r="AB159" s="339">
        <v>1</v>
      </c>
      <c r="AC159" s="339">
        <v>1</v>
      </c>
    </row>
    <row r="160" spans="1:29" x14ac:dyDescent="0.3">
      <c r="A160" s="119" t="s">
        <v>41</v>
      </c>
      <c r="C160" s="69">
        <f>SUM(C157*C159)</f>
        <v>130466</v>
      </c>
      <c r="E160" s="69">
        <f>SUM(E157*E159)</f>
        <v>142400</v>
      </c>
      <c r="G160" s="69">
        <f t="shared" ref="G160:I160" si="94">SUM(G157*G159)</f>
        <v>160600</v>
      </c>
      <c r="I160" s="69">
        <f t="shared" si="94"/>
        <v>168937</v>
      </c>
      <c r="J160" s="70"/>
      <c r="K160" s="71"/>
      <c r="L160" s="69">
        <f t="shared" ref="L160:AA160" si="95">SUM(L157*L159)</f>
        <v>184700</v>
      </c>
      <c r="M160" s="72"/>
      <c r="N160" s="69">
        <f t="shared" si="95"/>
        <v>209500</v>
      </c>
      <c r="O160" s="70"/>
      <c r="P160" s="70">
        <f t="shared" ref="P160" si="96">SUM(P157*P159)</f>
        <v>243796.47</v>
      </c>
      <c r="Q160" s="73"/>
      <c r="R160" s="70">
        <f t="shared" ref="R160" si="97">SUM(R157*R159)</f>
        <v>282611.34999999998</v>
      </c>
      <c r="S160" s="73"/>
      <c r="T160" s="70">
        <f t="shared" si="95"/>
        <v>340600</v>
      </c>
      <c r="U160" s="73"/>
      <c r="V160" s="70">
        <f t="shared" si="95"/>
        <v>324700</v>
      </c>
      <c r="W160" s="73"/>
      <c r="X160" s="313">
        <f>SUM(X157*X159)</f>
        <v>350644</v>
      </c>
      <c r="Y160" s="73"/>
      <c r="Z160" s="313">
        <f t="shared" si="95"/>
        <v>363744</v>
      </c>
      <c r="AA160" s="313">
        <f t="shared" si="95"/>
        <v>373986</v>
      </c>
      <c r="AB160" s="313">
        <f>SUM(AB157*AB159)</f>
        <v>386174</v>
      </c>
      <c r="AC160" s="313">
        <f>SUM(AC157*AC159)</f>
        <v>396924</v>
      </c>
    </row>
    <row r="161" spans="1:31" x14ac:dyDescent="0.3">
      <c r="A161" s="119" t="s">
        <v>55</v>
      </c>
      <c r="C161" s="95">
        <v>1</v>
      </c>
      <c r="E161" s="95">
        <v>1</v>
      </c>
      <c r="G161" s="95">
        <v>1</v>
      </c>
      <c r="I161" s="95">
        <v>1</v>
      </c>
      <c r="J161" s="247"/>
      <c r="K161" s="81"/>
      <c r="L161" s="95">
        <v>1</v>
      </c>
      <c r="M161" s="98"/>
      <c r="N161" s="95">
        <v>1</v>
      </c>
      <c r="O161" s="247"/>
      <c r="P161" s="247">
        <v>1</v>
      </c>
      <c r="Q161" s="84"/>
      <c r="R161" s="247">
        <v>1</v>
      </c>
      <c r="S161" s="84"/>
      <c r="T161" s="247">
        <v>1</v>
      </c>
      <c r="U161" s="84"/>
      <c r="V161" s="247">
        <v>1</v>
      </c>
      <c r="W161" s="84"/>
      <c r="X161" s="340">
        <v>1</v>
      </c>
      <c r="Y161" s="84"/>
      <c r="Z161" s="340">
        <v>1</v>
      </c>
      <c r="AA161" s="340">
        <v>1</v>
      </c>
      <c r="AB161" s="340">
        <v>1</v>
      </c>
      <c r="AC161" s="340">
        <v>1</v>
      </c>
    </row>
    <row r="162" spans="1:31" x14ac:dyDescent="0.3">
      <c r="A162" s="119" t="s">
        <v>42</v>
      </c>
      <c r="C162" s="69">
        <f>SUM(C160*C161)</f>
        <v>130466</v>
      </c>
      <c r="E162" s="69">
        <f>SUM(E160*E161)</f>
        <v>142400</v>
      </c>
      <c r="G162" s="69">
        <f t="shared" ref="G162:I162" si="98">SUM(G160*G161)</f>
        <v>160600</v>
      </c>
      <c r="I162" s="69">
        <f t="shared" si="98"/>
        <v>168937</v>
      </c>
      <c r="J162" s="70"/>
      <c r="K162" s="71"/>
      <c r="L162" s="69">
        <f t="shared" ref="L162:AA162" si="99">SUM(L160*L161)</f>
        <v>184700</v>
      </c>
      <c r="M162" s="72"/>
      <c r="N162" s="69">
        <f t="shared" si="99"/>
        <v>209500</v>
      </c>
      <c r="O162" s="70"/>
      <c r="P162" s="70">
        <f t="shared" ref="P162" si="100">SUM(P160*P161)</f>
        <v>243796.47</v>
      </c>
      <c r="Q162" s="73"/>
      <c r="R162" s="70">
        <f t="shared" ref="R162" si="101">SUM(R160*R161)</f>
        <v>282611.34999999998</v>
      </c>
      <c r="S162" s="73"/>
      <c r="T162" s="70">
        <f t="shared" si="99"/>
        <v>340600</v>
      </c>
      <c r="U162" s="73"/>
      <c r="V162" s="70">
        <f>SUM(V160*V161)</f>
        <v>324700</v>
      </c>
      <c r="W162" s="73"/>
      <c r="X162" s="313">
        <f t="shared" si="99"/>
        <v>350644</v>
      </c>
      <c r="Y162" s="73"/>
      <c r="Z162" s="313">
        <f t="shared" si="99"/>
        <v>363744</v>
      </c>
      <c r="AA162" s="313">
        <f t="shared" si="99"/>
        <v>373986</v>
      </c>
      <c r="AB162" s="313">
        <f>SUM(AB160*AB161)</f>
        <v>386174</v>
      </c>
      <c r="AC162" s="313">
        <f>SUM(AC160*AC161)</f>
        <v>396924</v>
      </c>
    </row>
    <row r="163" spans="1:31" x14ac:dyDescent="0.3">
      <c r="A163" s="119" t="s">
        <v>44</v>
      </c>
      <c r="B163" s="138"/>
      <c r="C163" s="105">
        <f>1651218.73/130466761</f>
        <v>1.2656240695666537E-2</v>
      </c>
      <c r="D163" s="138">
        <f>SUM(E163-C163)/E163</f>
        <v>-6.262980404406311E-3</v>
      </c>
      <c r="E163" s="104">
        <f>1791.03148/142400</f>
        <v>1.2577468258426967E-2</v>
      </c>
      <c r="F163" s="138">
        <f>SUM(G163-E163)/G163</f>
        <v>5.2758046385714798E-3</v>
      </c>
      <c r="G163" s="105">
        <f>2030654.74/160600000</f>
        <v>1.2644176463262765E-2</v>
      </c>
      <c r="H163" s="108">
        <f>SUM(I163-G163)/G163</f>
        <v>5.1867792740404131E-4</v>
      </c>
      <c r="I163" s="105">
        <f>2137183.37/168937490</f>
        <v>1.2650734718504461E-2</v>
      </c>
      <c r="J163" s="137"/>
      <c r="K163" s="108">
        <f>SUM(L163-I163)/I163</f>
        <v>1.8090373058002526E-2</v>
      </c>
      <c r="L163" s="233">
        <f>2378.8605/184700</f>
        <v>1.2879591229020031E-2</v>
      </c>
      <c r="M163" s="106">
        <f>SUM((N163-L163)/L163)</f>
        <v>-1.7520220751848135E-2</v>
      </c>
      <c r="N163" s="105">
        <f>2651/209500</f>
        <v>1.2653937947494033E-2</v>
      </c>
      <c r="O163" s="106">
        <f>SUM((P163-N163)/N163)</f>
        <v>3.2142361743143194E-2</v>
      </c>
      <c r="P163" s="295">
        <f>3184144.12/243796470</f>
        <v>1.3060665398477674E-2</v>
      </c>
      <c r="Q163" s="294">
        <f>SUM((R163-P163)/P163)</f>
        <v>-3.4740827887131801E-3</v>
      </c>
      <c r="R163" s="295">
        <f>3678269.12/282611350</f>
        <v>1.301529156560768E-2</v>
      </c>
      <c r="S163" s="294">
        <f>SUM((T163-R163)/R163)</f>
        <v>-4.7261037638325091E-3</v>
      </c>
      <c r="T163" s="293">
        <f>4412.05745/T162</f>
        <v>1.2953779947152085E-2</v>
      </c>
      <c r="U163" s="232">
        <f>SUM((V163-T163)/T163)</f>
        <v>4.6000133984343871E-3</v>
      </c>
      <c r="V163" s="293">
        <f>4225.44043/V162</f>
        <v>1.3013367508469355E-2</v>
      </c>
      <c r="W163" s="305">
        <f>$W$30</f>
        <v>1.4999999999999999E-2</v>
      </c>
      <c r="X163" s="318">
        <f>SUM(V163*(1+W163))</f>
        <v>1.3208568021096394E-2</v>
      </c>
      <c r="Y163" s="305">
        <f>$Y$30</f>
        <v>0.02</v>
      </c>
      <c r="Z163" s="318">
        <f>SUM(X163*(1+Y163))</f>
        <v>1.3472739381518323E-2</v>
      </c>
      <c r="AA163" s="318">
        <f>SUM(Z163*(1+Y163))</f>
        <v>1.3742194169148689E-2</v>
      </c>
      <c r="AB163" s="318">
        <f>SUM(AA163*(1+Y163))</f>
        <v>1.4017038052531664E-2</v>
      </c>
      <c r="AC163" s="318">
        <f>SUM(AB163*(1+$Y$163))</f>
        <v>1.4297378813582296E-2</v>
      </c>
    </row>
    <row r="164" spans="1:31" x14ac:dyDescent="0.3">
      <c r="A164" s="119"/>
      <c r="C164" s="109"/>
      <c r="E164" s="110"/>
      <c r="G164" s="110"/>
      <c r="I164" s="110"/>
      <c r="J164" s="139"/>
      <c r="K164" s="71"/>
      <c r="L164" s="109"/>
      <c r="M164" s="111"/>
      <c r="N164" s="110"/>
      <c r="O164" s="139"/>
      <c r="P164" s="139"/>
      <c r="Q164" s="73"/>
      <c r="R164" s="139"/>
      <c r="S164" s="73"/>
      <c r="T164" s="139"/>
      <c r="U164" s="73"/>
      <c r="V164" s="139"/>
      <c r="W164" s="73"/>
      <c r="X164" s="319"/>
      <c r="Y164" s="73"/>
      <c r="Z164" s="319"/>
      <c r="AA164" s="319"/>
      <c r="AB164" s="319"/>
      <c r="AC164" s="319"/>
    </row>
    <row r="165" spans="1:31" ht="15" thickBot="1" x14ac:dyDescent="0.35">
      <c r="A165" s="140" t="s">
        <v>45</v>
      </c>
      <c r="C165" s="112">
        <f>SUM(C162*C163)</f>
        <v>1651.2090986008304</v>
      </c>
      <c r="E165" s="112">
        <f>SUM(E162*E163)</f>
        <v>1791.0314800000001</v>
      </c>
      <c r="G165" s="112">
        <f t="shared" ref="G165:I165" si="102">SUM(G162*G163)</f>
        <v>2030.6547399999999</v>
      </c>
      <c r="I165" s="112">
        <f t="shared" si="102"/>
        <v>2137.1771711399883</v>
      </c>
      <c r="J165" s="141"/>
      <c r="K165" s="114"/>
      <c r="L165" s="248">
        <f t="shared" ref="L165:Z165" si="103">SUM(L162*L163)</f>
        <v>2378.8604999999998</v>
      </c>
      <c r="M165" s="113"/>
      <c r="N165" s="112">
        <f t="shared" si="103"/>
        <v>2651</v>
      </c>
      <c r="O165" s="141"/>
      <c r="P165" s="141">
        <f t="shared" si="103"/>
        <v>3184.1441200000004</v>
      </c>
      <c r="Q165" s="249"/>
      <c r="R165" s="141">
        <f t="shared" ref="R165" si="104">SUM(R162*R163)</f>
        <v>3678.2691199999999</v>
      </c>
      <c r="S165" s="273"/>
      <c r="T165" s="141">
        <f>SUM(T162*T163)</f>
        <v>4412.0574500000002</v>
      </c>
      <c r="U165" s="273"/>
      <c r="V165" s="421">
        <f>SUM(V162*V163)</f>
        <v>4225.4404299999997</v>
      </c>
      <c r="W165" s="446"/>
      <c r="X165" s="392">
        <f>SUM(X162*X163)</f>
        <v>4631.5051251893237</v>
      </c>
      <c r="Y165" s="446"/>
      <c r="Z165" s="392">
        <f t="shared" si="103"/>
        <v>4900.6281135910012</v>
      </c>
      <c r="AA165" s="392">
        <f>SUM(AA162*AA163)</f>
        <v>5139.3882285432419</v>
      </c>
      <c r="AB165" s="392">
        <f>SUM(AB162*AB163)</f>
        <v>5413.0156528983625</v>
      </c>
      <c r="AC165" s="392">
        <f>SUM(AC162*AC163)</f>
        <v>5674.9727882023399</v>
      </c>
    </row>
    <row r="166" spans="1:31" ht="15" thickTop="1" x14ac:dyDescent="0.3">
      <c r="A166" s="250"/>
      <c r="B166" s="251"/>
      <c r="C166" s="144"/>
      <c r="D166" s="13"/>
      <c r="E166" s="116"/>
      <c r="F166" s="18"/>
      <c r="G166" s="116"/>
      <c r="H166" s="6"/>
      <c r="I166" s="144"/>
      <c r="J166" s="144"/>
      <c r="K166" s="145"/>
      <c r="L166" s="144"/>
      <c r="M166" s="144"/>
      <c r="N166" s="144"/>
      <c r="O166" s="144"/>
      <c r="P166" s="144"/>
      <c r="Q166" s="145"/>
      <c r="R166" s="144"/>
      <c r="S166" s="145"/>
      <c r="T166" s="144"/>
      <c r="U166" s="145"/>
      <c r="V166" s="144"/>
      <c r="W166" s="145"/>
      <c r="X166" s="144"/>
      <c r="Y166" s="145"/>
      <c r="Z166" s="144"/>
      <c r="AA166" s="144"/>
      <c r="AB166" s="144"/>
      <c r="AC166" s="144"/>
    </row>
    <row r="167" spans="1:31" hidden="1" x14ac:dyDescent="0.3">
      <c r="A167" s="19"/>
      <c r="B167" s="252"/>
      <c r="C167" s="20"/>
      <c r="D167" s="20"/>
      <c r="E167" s="20"/>
      <c r="F167" s="20"/>
      <c r="G167" s="20"/>
      <c r="H167" s="7"/>
      <c r="I167" s="21"/>
      <c r="J167" s="22"/>
      <c r="K167" s="8"/>
      <c r="L167" s="253"/>
      <c r="M167" s="23"/>
      <c r="N167" s="26" t="s">
        <v>0</v>
      </c>
      <c r="O167" s="254"/>
      <c r="P167" s="255" t="s">
        <v>0</v>
      </c>
      <c r="R167" s="255" t="s">
        <v>0</v>
      </c>
      <c r="T167" s="257"/>
      <c r="U167" s="4"/>
      <c r="V167" s="257"/>
      <c r="W167" s="4"/>
      <c r="X167" s="257"/>
      <c r="Y167" s="4"/>
      <c r="Z167" s="257"/>
      <c r="AA167" s="257"/>
      <c r="AB167" s="257"/>
      <c r="AC167" s="257"/>
    </row>
    <row r="168" spans="1:31" hidden="1" x14ac:dyDescent="0.3">
      <c r="A168" s="256"/>
      <c r="B168" s="27"/>
      <c r="C168" s="15"/>
      <c r="D168" s="15"/>
      <c r="E168" s="15"/>
      <c r="F168" s="15"/>
      <c r="H168" s="3"/>
      <c r="J168" s="257"/>
      <c r="K168" s="4"/>
      <c r="L168" s="258">
        <v>2014</v>
      </c>
      <c r="M168" s="24"/>
      <c r="N168" s="28">
        <v>2015</v>
      </c>
      <c r="O168" s="34"/>
      <c r="P168" s="259">
        <v>2016</v>
      </c>
      <c r="Q168" s="4"/>
      <c r="R168" s="259">
        <v>2017</v>
      </c>
      <c r="S168" s="4"/>
      <c r="T168" s="257"/>
      <c r="U168" s="4"/>
      <c r="V168" s="257"/>
      <c r="W168" s="4"/>
      <c r="X168" s="257"/>
      <c r="Y168" s="4"/>
      <c r="Z168" s="257"/>
      <c r="AA168" s="257"/>
      <c r="AB168" s="257"/>
      <c r="AC168" s="257"/>
    </row>
    <row r="169" spans="1:31" ht="15" hidden="1" thickBot="1" x14ac:dyDescent="0.35">
      <c r="A169" s="260"/>
      <c r="B169" s="27"/>
      <c r="C169" s="15"/>
      <c r="D169" s="15"/>
      <c r="E169" s="261"/>
      <c r="F169" s="15"/>
      <c r="G169" s="261"/>
      <c r="H169" s="3"/>
      <c r="I169" s="262"/>
      <c r="J169" s="261"/>
      <c r="K169" s="263"/>
      <c r="L169" s="264" t="s">
        <v>99</v>
      </c>
      <c r="M169" s="262"/>
      <c r="N169" s="33" t="s">
        <v>2</v>
      </c>
      <c r="O169" s="34"/>
      <c r="P169" s="35" t="s">
        <v>117</v>
      </c>
      <c r="Q169" s="36"/>
      <c r="R169" s="35" t="s">
        <v>132</v>
      </c>
      <c r="S169" s="36"/>
      <c r="T169" s="257"/>
      <c r="U169" s="36"/>
      <c r="V169" s="257"/>
      <c r="W169" s="36"/>
      <c r="X169" s="257"/>
      <c r="Y169" s="36"/>
      <c r="Z169" s="257"/>
      <c r="AA169" s="257"/>
      <c r="AB169" s="257"/>
      <c r="AC169" s="257"/>
    </row>
    <row r="170" spans="1:31" hidden="1" x14ac:dyDescent="0.3">
      <c r="A170" s="256"/>
      <c r="B170" s="27"/>
      <c r="C170" s="15"/>
      <c r="D170" s="15"/>
      <c r="E170" s="214"/>
      <c r="F170" s="15"/>
      <c r="G170" s="214"/>
      <c r="H170" s="3"/>
      <c r="I170" s="265"/>
      <c r="J170" s="265"/>
      <c r="K170" s="266"/>
      <c r="L170" s="265"/>
      <c r="M170" s="265"/>
      <c r="N170" s="265"/>
      <c r="O170" s="265"/>
      <c r="P170" s="265"/>
      <c r="Q170" s="266"/>
      <c r="R170" s="265"/>
      <c r="S170" s="266"/>
      <c r="T170" s="265"/>
      <c r="U170" s="266"/>
      <c r="V170" s="265"/>
      <c r="W170" s="266"/>
      <c r="X170" s="265"/>
      <c r="Y170" s="266"/>
      <c r="Z170" s="265"/>
      <c r="AA170" s="265"/>
      <c r="AB170" s="265"/>
      <c r="AC170" s="265"/>
    </row>
    <row r="171" spans="1:31" x14ac:dyDescent="0.3">
      <c r="A171" s="56" t="s">
        <v>100</v>
      </c>
      <c r="B171" s="27"/>
      <c r="C171" s="191" t="s">
        <v>101</v>
      </c>
      <c r="D171" s="15"/>
      <c r="E171" s="45" t="s">
        <v>102</v>
      </c>
      <c r="F171" s="15"/>
      <c r="G171" s="45" t="s">
        <v>102</v>
      </c>
      <c r="H171" s="3"/>
      <c r="I171" s="191" t="s">
        <v>101</v>
      </c>
      <c r="J171" s="267"/>
      <c r="K171" s="268"/>
      <c r="L171" s="191" t="s">
        <v>101</v>
      </c>
      <c r="M171" s="267"/>
      <c r="N171" s="191" t="s">
        <v>102</v>
      </c>
      <c r="O171" s="267"/>
      <c r="P171" s="296" t="s">
        <v>130</v>
      </c>
      <c r="Q171" s="268"/>
      <c r="R171" s="296" t="s">
        <v>130</v>
      </c>
      <c r="S171" s="268"/>
      <c r="T171" s="296" t="s">
        <v>130</v>
      </c>
      <c r="U171" s="268"/>
      <c r="V171" s="341" t="s">
        <v>103</v>
      </c>
      <c r="W171" s="268"/>
      <c r="X171" s="341" t="s">
        <v>103</v>
      </c>
      <c r="Y171" s="268"/>
      <c r="Z171" s="341" t="s">
        <v>103</v>
      </c>
      <c r="AA171" s="341" t="s">
        <v>103</v>
      </c>
      <c r="AB171" s="341" t="s">
        <v>103</v>
      </c>
      <c r="AC171" s="341" t="s">
        <v>103</v>
      </c>
    </row>
    <row r="172" spans="1:31" x14ac:dyDescent="0.3">
      <c r="A172" s="56"/>
      <c r="B172" s="27"/>
      <c r="C172" s="57">
        <v>2010</v>
      </c>
      <c r="D172" s="15"/>
      <c r="E172" s="57">
        <v>2011</v>
      </c>
      <c r="F172" s="15"/>
      <c r="G172" s="57">
        <v>2012</v>
      </c>
      <c r="H172" s="3"/>
      <c r="I172" s="57">
        <v>2013</v>
      </c>
      <c r="J172" s="58"/>
      <c r="K172" s="59"/>
      <c r="L172" s="57">
        <v>2014</v>
      </c>
      <c r="M172" s="58"/>
      <c r="N172" s="57">
        <v>2015</v>
      </c>
      <c r="O172" s="58"/>
      <c r="P172" s="120">
        <v>2016</v>
      </c>
      <c r="Q172" s="59"/>
      <c r="R172" s="120">
        <v>2017</v>
      </c>
      <c r="S172" s="59"/>
      <c r="T172" s="120">
        <v>2018</v>
      </c>
      <c r="U172" s="59"/>
      <c r="V172" s="301">
        <v>2019</v>
      </c>
      <c r="W172" s="59"/>
      <c r="X172" s="301">
        <v>2020</v>
      </c>
      <c r="Y172" s="59"/>
      <c r="Z172" s="301">
        <v>2021</v>
      </c>
      <c r="AA172" s="301">
        <v>2022</v>
      </c>
      <c r="AB172" s="301">
        <f>AA172+1</f>
        <v>2023</v>
      </c>
      <c r="AC172" s="301">
        <f>AB172+1</f>
        <v>2024</v>
      </c>
    </row>
    <row r="173" spans="1:31" x14ac:dyDescent="0.3">
      <c r="A173" s="56" t="s">
        <v>104</v>
      </c>
      <c r="B173" s="27"/>
      <c r="C173" s="61"/>
      <c r="D173" s="15"/>
      <c r="E173" s="62"/>
      <c r="F173" s="15"/>
      <c r="G173" s="61"/>
      <c r="H173" s="3"/>
      <c r="I173" s="62"/>
      <c r="J173" s="65"/>
      <c r="K173" s="64"/>
      <c r="L173" s="61"/>
      <c r="M173" s="65"/>
      <c r="N173" s="61"/>
      <c r="O173" s="65"/>
      <c r="P173" s="65"/>
      <c r="Q173" s="64"/>
      <c r="R173" s="65"/>
      <c r="S173" s="64"/>
      <c r="T173" s="65"/>
      <c r="U173" s="64"/>
      <c r="V173" s="321"/>
      <c r="W173" s="64"/>
      <c r="X173" s="321"/>
      <c r="Y173" s="64"/>
      <c r="Z173" s="321"/>
      <c r="AA173" s="321"/>
      <c r="AB173" s="321"/>
      <c r="AC173" s="321"/>
      <c r="AE173" s="11"/>
    </row>
    <row r="174" spans="1:31" x14ac:dyDescent="0.3">
      <c r="A174" s="147" t="s">
        <v>105</v>
      </c>
      <c r="B174" s="27"/>
      <c r="C174" s="269">
        <f>SUM(C32)</f>
        <v>6644.5774054519761</v>
      </c>
      <c r="D174" s="15"/>
      <c r="E174" s="269">
        <f>SUM(E32)</f>
        <v>7876.3008272199995</v>
      </c>
      <c r="F174" s="15"/>
      <c r="G174" s="269">
        <f>SUM(G32)</f>
        <v>8630.5537097419092</v>
      </c>
      <c r="H174" s="3"/>
      <c r="I174" s="269">
        <f>SUM(I32)</f>
        <v>9501.7079599999997</v>
      </c>
      <c r="J174" s="270"/>
      <c r="K174" s="271"/>
      <c r="L174" s="269">
        <f>SUM(L32)</f>
        <v>11286.939</v>
      </c>
      <c r="M174" s="270"/>
      <c r="N174" s="269">
        <f>SUM(N32)</f>
        <v>12999.765589175515</v>
      </c>
      <c r="O174" s="272"/>
      <c r="P174" s="276">
        <f>SUM(P32)</f>
        <v>12677.752</v>
      </c>
      <c r="Q174" s="273"/>
      <c r="R174" s="276">
        <f>SUM(R32)</f>
        <v>14080.649957033333</v>
      </c>
      <c r="S174" s="273"/>
      <c r="T174" s="276">
        <f>SUM(T32)</f>
        <v>12863.036179999999</v>
      </c>
      <c r="U174" s="273"/>
      <c r="V174" s="342">
        <f>SUM(V32)</f>
        <v>14808.461660383624</v>
      </c>
      <c r="W174" s="355"/>
      <c r="X174" s="342">
        <f>SUM(X32)</f>
        <v>14688.082901149826</v>
      </c>
      <c r="Y174" s="355"/>
      <c r="Z174" s="342">
        <f>SUM(Z32)</f>
        <v>15264.497818942384</v>
      </c>
      <c r="AA174" s="342">
        <f>SUM(AA32)</f>
        <v>16741.632407551399</v>
      </c>
      <c r="AB174" s="342">
        <f>SUM(AB32)</f>
        <v>18073.858912976993</v>
      </c>
      <c r="AC174" s="342">
        <f>SUM(AC32)</f>
        <v>19824.711340207843</v>
      </c>
      <c r="AE174" s="145"/>
    </row>
    <row r="175" spans="1:31" x14ac:dyDescent="0.3">
      <c r="A175" s="147" t="s">
        <v>106</v>
      </c>
      <c r="B175" s="27"/>
      <c r="C175" s="274"/>
      <c r="D175" s="15"/>
      <c r="E175" s="269"/>
      <c r="F175" s="15"/>
      <c r="G175" s="275"/>
      <c r="H175" s="3"/>
      <c r="I175" s="269"/>
      <c r="J175" s="276"/>
      <c r="K175" s="271"/>
      <c r="L175" s="269"/>
      <c r="M175" s="270"/>
      <c r="N175" s="275"/>
      <c r="O175" s="270"/>
      <c r="P175" s="270"/>
      <c r="Q175" s="271"/>
      <c r="R175" s="270"/>
      <c r="S175" s="271"/>
      <c r="T175" s="272"/>
      <c r="U175" s="271"/>
      <c r="V175" s="270"/>
      <c r="W175" s="271"/>
      <c r="X175" s="342"/>
      <c r="Y175" s="271"/>
      <c r="Z175" s="342"/>
      <c r="AA175" s="342"/>
      <c r="AB175" s="342"/>
      <c r="AC175" s="342"/>
      <c r="AE175" s="144"/>
    </row>
    <row r="176" spans="1:31" x14ac:dyDescent="0.3">
      <c r="A176" s="147" t="s">
        <v>107</v>
      </c>
      <c r="B176" s="27"/>
      <c r="C176" s="269">
        <f>SUM(C53)</f>
        <v>3829.9382243772443</v>
      </c>
      <c r="D176" s="15"/>
      <c r="E176" s="269">
        <f>SUM(E53)</f>
        <v>4334.8598087510027</v>
      </c>
      <c r="F176" s="15"/>
      <c r="G176" s="269">
        <f>SUM(G53)</f>
        <v>4690.254523070862</v>
      </c>
      <c r="H176" s="3"/>
      <c r="I176" s="269">
        <f>SUM(I53)</f>
        <v>5359.0285675337436</v>
      </c>
      <c r="J176" s="276"/>
      <c r="K176" s="271"/>
      <c r="L176" s="269">
        <f>SUM(L53)</f>
        <v>5440.7422465869995</v>
      </c>
      <c r="M176" s="270"/>
      <c r="N176" s="269">
        <f>SUM(N53)</f>
        <v>5717.717903841688</v>
      </c>
      <c r="O176" s="272"/>
      <c r="P176" s="276">
        <f>SUM(P53)</f>
        <v>5675.1669887565686</v>
      </c>
      <c r="Q176" s="273"/>
      <c r="R176" s="276">
        <f>SUM(R53)</f>
        <v>6132.3038800000004</v>
      </c>
      <c r="S176" s="273"/>
      <c r="T176" s="276">
        <f>SUM(T53)</f>
        <v>6201.3853499999996</v>
      </c>
      <c r="U176" s="273"/>
      <c r="V176" s="270">
        <f>SUM(V53)</f>
        <v>5979.1903499999999</v>
      </c>
      <c r="W176" s="273"/>
      <c r="X176" s="342">
        <f>SUM(X53)</f>
        <v>6485.9689935238766</v>
      </c>
      <c r="Y176" s="273"/>
      <c r="Z176" s="368">
        <f>SUM(Z53)</f>
        <v>7049.1565542400222</v>
      </c>
      <c r="AA176" s="368">
        <f>SUM(AA53)</f>
        <v>7665.6285653430778</v>
      </c>
      <c r="AB176" s="368">
        <f>SUM(AB53)</f>
        <v>8223.6446912756182</v>
      </c>
      <c r="AC176" s="368">
        <f>SUM(AC53)</f>
        <v>8951.8719113049247</v>
      </c>
      <c r="AE176" s="145"/>
    </row>
    <row r="177" spans="1:31" x14ac:dyDescent="0.3">
      <c r="A177" s="147" t="s">
        <v>108</v>
      </c>
      <c r="B177" s="27"/>
      <c r="C177" s="269">
        <f>SUM(C75)</f>
        <v>6615.1312077205384</v>
      </c>
      <c r="D177" s="15"/>
      <c r="E177" s="269">
        <f>SUM(E75)</f>
        <v>6928.9801069931073</v>
      </c>
      <c r="F177" s="15"/>
      <c r="G177" s="269">
        <f>SUM(G75)</f>
        <v>7219.74299186594</v>
      </c>
      <c r="H177" s="3"/>
      <c r="I177" s="269">
        <f>SUM(I75)</f>
        <v>8163.043288322272</v>
      </c>
      <c r="J177" s="276"/>
      <c r="K177" s="271"/>
      <c r="L177" s="269">
        <f>SUM(L75)</f>
        <v>8456.9513856009962</v>
      </c>
      <c r="M177" s="270"/>
      <c r="N177" s="277">
        <f>SUM(N75)</f>
        <v>8062.4233890853202</v>
      </c>
      <c r="O177" s="272"/>
      <c r="P177" s="276">
        <f>SUM(P75)</f>
        <v>9750.9988719237135</v>
      </c>
      <c r="Q177" s="273"/>
      <c r="R177" s="276">
        <f>SUM(R75)</f>
        <v>10423.24290762867</v>
      </c>
      <c r="S177" s="273"/>
      <c r="T177" s="276">
        <f>SUM(T75)</f>
        <v>11167.5306</v>
      </c>
      <c r="U177" s="273"/>
      <c r="V177" s="270">
        <f>SUM(V75)</f>
        <v>11537.7201</v>
      </c>
      <c r="W177" s="273"/>
      <c r="X177" s="342">
        <f>SUM(X75)</f>
        <v>11452.9005610898</v>
      </c>
      <c r="Y177" s="273"/>
      <c r="Z177" s="342">
        <f>SUM(Z75)</f>
        <v>12309.744715542563</v>
      </c>
      <c r="AA177" s="342">
        <f>SUM(AA75)</f>
        <v>13199.841952346265</v>
      </c>
      <c r="AB177" s="342">
        <f>SUM(AB75)</f>
        <v>14049.579563719695</v>
      </c>
      <c r="AC177" s="342">
        <f>SUM(AC75)</f>
        <v>15064.179368989671</v>
      </c>
      <c r="AE177" s="145"/>
    </row>
    <row r="178" spans="1:31" x14ac:dyDescent="0.3">
      <c r="A178" s="159" t="s">
        <v>109</v>
      </c>
      <c r="B178" s="27"/>
      <c r="C178" s="269">
        <f>SUM(C95)</f>
        <v>8.1994721576394003</v>
      </c>
      <c r="D178" s="15"/>
      <c r="E178" s="269">
        <f>SUM(E95)</f>
        <v>8.6360178140432993</v>
      </c>
      <c r="F178" s="15"/>
      <c r="G178" s="269">
        <f>SUM(G95)</f>
        <v>8.2702146414089999</v>
      </c>
      <c r="H178" s="3"/>
      <c r="I178" s="269">
        <f>SUM(I95)</f>
        <v>9.3172825078781703</v>
      </c>
      <c r="J178" s="276"/>
      <c r="K178" s="271"/>
      <c r="L178" s="269">
        <f>SUM(L95)</f>
        <v>11.382350000000001</v>
      </c>
      <c r="M178" s="270"/>
      <c r="N178" s="278">
        <f>SUM(N95)</f>
        <v>10.468988399999999</v>
      </c>
      <c r="O178" s="279"/>
      <c r="P178" s="279">
        <f>SUM(P95)</f>
        <v>10.51116</v>
      </c>
      <c r="Q178" s="175"/>
      <c r="R178" s="279">
        <f>SUM(R95)</f>
        <v>11.256590000000001</v>
      </c>
      <c r="S178" s="175"/>
      <c r="T178" s="279">
        <f>SUM(T95)</f>
        <v>13.17184</v>
      </c>
      <c r="U178" s="273"/>
      <c r="V178" s="422">
        <f>SUM(V95)</f>
        <v>12.636430000000001</v>
      </c>
      <c r="W178" s="273"/>
      <c r="X178" s="343">
        <f>SUM(X95)</f>
        <v>12.825976449999997</v>
      </c>
      <c r="Y178" s="273"/>
      <c r="Z178" s="343">
        <f>SUM(Z95)</f>
        <v>13.082495978999999</v>
      </c>
      <c r="AA178" s="343">
        <f>SUM(AA95)</f>
        <v>13.344145898580001</v>
      </c>
      <c r="AB178" s="343">
        <f>SUM(AB95)</f>
        <v>13.611028816551599</v>
      </c>
      <c r="AC178" s="343">
        <f>SUM(AC95)</f>
        <v>13.883249392882632</v>
      </c>
      <c r="AE178" s="145"/>
    </row>
    <row r="179" spans="1:31" x14ac:dyDescent="0.3">
      <c r="A179" s="159" t="s">
        <v>110</v>
      </c>
      <c r="B179" s="27"/>
      <c r="C179" s="178">
        <f>SUM(C111)</f>
        <v>1842.8801699999999</v>
      </c>
      <c r="D179" s="15"/>
      <c r="E179" s="178">
        <f>SUM(E111)</f>
        <v>2029.5941279024175</v>
      </c>
      <c r="F179" s="15"/>
      <c r="G179" s="178">
        <f>SUM(G111)</f>
        <v>1918.901132</v>
      </c>
      <c r="H179" s="3"/>
      <c r="I179" s="178">
        <f>SUM(I111)</f>
        <v>2189.4442599999998</v>
      </c>
      <c r="J179" s="179"/>
      <c r="K179" s="180"/>
      <c r="L179" s="178">
        <f>SUM(L111)</f>
        <v>2525.8229999999999</v>
      </c>
      <c r="M179" s="181"/>
      <c r="N179" s="178">
        <f>SUM(N111)</f>
        <v>2707.3523175999999</v>
      </c>
      <c r="O179" s="183"/>
      <c r="P179" s="179">
        <f>SUM(P111)</f>
        <v>2514.9974500000003</v>
      </c>
      <c r="Q179" s="55"/>
      <c r="R179" s="179">
        <f>SUM(R111)</f>
        <v>2956.1579400000001</v>
      </c>
      <c r="S179" s="175"/>
      <c r="T179" s="179">
        <f>SUM(T111)</f>
        <v>3479.2761100000002</v>
      </c>
      <c r="U179" s="273"/>
      <c r="V179" s="181">
        <f>SUM(V111)</f>
        <v>3280.9031100000002</v>
      </c>
      <c r="W179" s="273"/>
      <c r="X179" s="338">
        <f>SUM(X111)</f>
        <v>3330.1166566500001</v>
      </c>
      <c r="Y179" s="273"/>
      <c r="Z179" s="338">
        <f>SUM(Z111)</f>
        <v>3396.7189897829999</v>
      </c>
      <c r="AA179" s="338">
        <f>SUM(AA111)</f>
        <v>3464.6533695786602</v>
      </c>
      <c r="AB179" s="338">
        <f>SUM(AB111)</f>
        <v>3533.9464369702328</v>
      </c>
      <c r="AC179" s="338">
        <f>SUM(AC111)</f>
        <v>3604.6253657096377</v>
      </c>
      <c r="AE179" s="145"/>
    </row>
    <row r="180" spans="1:31" x14ac:dyDescent="0.3">
      <c r="A180" s="56"/>
      <c r="B180" s="27"/>
      <c r="C180" s="269"/>
      <c r="D180" s="15"/>
      <c r="E180" s="269"/>
      <c r="F180" s="15"/>
      <c r="G180" s="269"/>
      <c r="H180" s="3"/>
      <c r="I180" s="269"/>
      <c r="J180" s="270"/>
      <c r="K180" s="271"/>
      <c r="L180" s="269"/>
      <c r="M180" s="270"/>
      <c r="N180" s="275"/>
      <c r="O180" s="270"/>
      <c r="P180" s="297"/>
      <c r="Q180" s="271"/>
      <c r="R180" s="297"/>
      <c r="S180" s="175"/>
      <c r="T180" s="272"/>
      <c r="U180" s="271"/>
      <c r="V180" s="342"/>
      <c r="W180" s="271"/>
      <c r="X180" s="342"/>
      <c r="Y180" s="271"/>
      <c r="Z180" s="342"/>
      <c r="AA180" s="342"/>
      <c r="AB180" s="342"/>
      <c r="AC180" s="342"/>
      <c r="AE180" s="144"/>
    </row>
    <row r="181" spans="1:31" x14ac:dyDescent="0.3">
      <c r="A181" s="147" t="s">
        <v>111</v>
      </c>
      <c r="B181" s="27"/>
      <c r="C181" s="178">
        <f>SUM(C174:C179)</f>
        <v>18940.726479707399</v>
      </c>
      <c r="D181" s="15"/>
      <c r="E181" s="178">
        <f>SUM(E174:E179)</f>
        <v>21178.370888680573</v>
      </c>
      <c r="F181" s="15"/>
      <c r="G181" s="178">
        <f t="shared" ref="G181:I181" si="105">SUM(G174:G179)</f>
        <v>22467.722571320119</v>
      </c>
      <c r="H181" s="3"/>
      <c r="I181" s="178">
        <f t="shared" si="105"/>
        <v>25222.541358363891</v>
      </c>
      <c r="J181" s="181"/>
      <c r="K181" s="180"/>
      <c r="L181" s="178">
        <f t="shared" ref="L181:AA181" si="106">SUM(L174:L179)</f>
        <v>27721.837982187997</v>
      </c>
      <c r="M181" s="181"/>
      <c r="N181" s="178">
        <f t="shared" ref="N181" si="107">SUM(N174:N179)</f>
        <v>29497.728188102526</v>
      </c>
      <c r="O181" s="280"/>
      <c r="P181" s="179">
        <f t="shared" si="106"/>
        <v>30629.426470680279</v>
      </c>
      <c r="Q181" s="281"/>
      <c r="R181" s="179">
        <f>SUM(R174:R179)</f>
        <v>33603.611274662006</v>
      </c>
      <c r="S181" s="175"/>
      <c r="T181" s="179">
        <f>SUM(T174:T179)</f>
        <v>33724.400079999999</v>
      </c>
      <c r="U181" s="273"/>
      <c r="V181" s="338">
        <f t="shared" si="106"/>
        <v>35618.911650383619</v>
      </c>
      <c r="W181" s="273"/>
      <c r="X181" s="338">
        <f t="shared" si="106"/>
        <v>35969.895088863501</v>
      </c>
      <c r="Y181" s="273"/>
      <c r="Z181" s="338">
        <f t="shared" si="106"/>
        <v>38033.200574486968</v>
      </c>
      <c r="AA181" s="338">
        <f t="shared" si="106"/>
        <v>41085.100440717986</v>
      </c>
      <c r="AB181" s="338">
        <f>SUM(AB174:AB179)</f>
        <v>43894.640633759089</v>
      </c>
      <c r="AC181" s="338">
        <f>SUM(AC174:AC179)</f>
        <v>47459.271235604967</v>
      </c>
      <c r="AE181" s="144"/>
    </row>
    <row r="182" spans="1:31" x14ac:dyDescent="0.3">
      <c r="A182" s="56"/>
      <c r="B182" s="27"/>
      <c r="C182" s="274"/>
      <c r="D182" s="15"/>
      <c r="E182" s="269"/>
      <c r="F182" s="15"/>
      <c r="G182" s="269"/>
      <c r="H182" s="3"/>
      <c r="I182" s="269"/>
      <c r="J182" s="270"/>
      <c r="K182" s="271"/>
      <c r="L182" s="269"/>
      <c r="M182" s="270"/>
      <c r="N182" s="269"/>
      <c r="O182" s="270"/>
      <c r="P182" s="276"/>
      <c r="Q182" s="271"/>
      <c r="R182" s="276"/>
      <c r="S182" s="175"/>
      <c r="T182" s="272"/>
      <c r="U182" s="271"/>
      <c r="V182" s="342"/>
      <c r="W182" s="271"/>
      <c r="X182" s="342"/>
      <c r="Y182" s="271"/>
      <c r="Z182" s="342"/>
      <c r="AA182" s="342"/>
      <c r="AB182" s="342"/>
      <c r="AC182" s="342"/>
      <c r="AE182" s="144"/>
    </row>
    <row r="183" spans="1:31" x14ac:dyDescent="0.3">
      <c r="A183" s="56" t="s">
        <v>112</v>
      </c>
      <c r="B183" s="27"/>
      <c r="C183" s="274"/>
      <c r="D183" s="15"/>
      <c r="E183" s="269"/>
      <c r="F183" s="15"/>
      <c r="G183" s="269"/>
      <c r="H183" s="3"/>
      <c r="I183" s="269"/>
      <c r="J183" s="270"/>
      <c r="K183" s="271"/>
      <c r="L183" s="269"/>
      <c r="M183" s="270"/>
      <c r="N183" s="269"/>
      <c r="O183" s="270"/>
      <c r="P183" s="276"/>
      <c r="Q183" s="271"/>
      <c r="R183" s="276"/>
      <c r="S183" s="175"/>
      <c r="T183" s="272"/>
      <c r="U183" s="271"/>
      <c r="V183" s="342"/>
      <c r="W183" s="271"/>
      <c r="X183" s="342"/>
      <c r="Y183" s="271"/>
      <c r="Z183" s="342"/>
      <c r="AA183" s="342"/>
      <c r="AB183" s="342"/>
      <c r="AC183" s="342"/>
      <c r="AE183" s="144"/>
    </row>
    <row r="184" spans="1:31" x14ac:dyDescent="0.3">
      <c r="A184" s="147" t="s">
        <v>113</v>
      </c>
      <c r="B184" s="27"/>
      <c r="C184" s="269">
        <f>SUM(C130)</f>
        <v>1843</v>
      </c>
      <c r="D184" s="15"/>
      <c r="E184" s="269">
        <f>SUM(E130)</f>
        <v>1939.7429074619999</v>
      </c>
      <c r="F184" s="15"/>
      <c r="G184" s="269">
        <f>SUM(G130)</f>
        <v>2238.4238615852555</v>
      </c>
      <c r="H184" s="3"/>
      <c r="I184" s="269">
        <f>SUM(I130)</f>
        <v>2444.3019199999999</v>
      </c>
      <c r="J184" s="270"/>
      <c r="K184" s="271"/>
      <c r="L184" s="269">
        <f>SUM(L130)</f>
        <v>2941.3620000000001</v>
      </c>
      <c r="M184" s="270"/>
      <c r="N184" s="269">
        <f>SUM(N130)</f>
        <v>2778.7148000000002</v>
      </c>
      <c r="O184" s="272"/>
      <c r="P184" s="276">
        <f>SUM(P130)</f>
        <v>2723.0960382527305</v>
      </c>
      <c r="Q184" s="273"/>
      <c r="R184" s="276">
        <f>SUM(R130)</f>
        <v>3018.7944147768244</v>
      </c>
      <c r="S184" s="175"/>
      <c r="T184" s="276">
        <f>SUM(T130)</f>
        <v>3358.2858700000002</v>
      </c>
      <c r="U184" s="273"/>
      <c r="V184" s="342">
        <f>SUM(V130)</f>
        <v>3843.9964030509846</v>
      </c>
      <c r="W184" s="355"/>
      <c r="X184" s="342">
        <f>SUM(X130)</f>
        <v>4418.748438837325</v>
      </c>
      <c r="Y184" s="355"/>
      <c r="Z184" s="342">
        <f>SUM(Z130)</f>
        <v>4875.8132112193616</v>
      </c>
      <c r="AA184" s="342">
        <f>SUM(AA130)</f>
        <v>5340.4974457933859</v>
      </c>
      <c r="AB184" s="342">
        <f>SUM(AB130)</f>
        <v>5841.7521248904177</v>
      </c>
      <c r="AC184" s="342">
        <f>SUM(AC130)</f>
        <v>6329.0893402286101</v>
      </c>
      <c r="AE184" s="145"/>
    </row>
    <row r="185" spans="1:31" x14ac:dyDescent="0.3">
      <c r="A185" s="147" t="s">
        <v>107</v>
      </c>
      <c r="B185" s="27"/>
      <c r="C185" s="269">
        <f>SUM(C147)</f>
        <v>802.70764039063442</v>
      </c>
      <c r="D185" s="15"/>
      <c r="E185" s="269">
        <f>SUM(E147)</f>
        <v>856.09079069341112</v>
      </c>
      <c r="F185" s="15"/>
      <c r="G185" s="269">
        <f>SUM(G147)</f>
        <v>1112.580366038414</v>
      </c>
      <c r="H185" s="3"/>
      <c r="I185" s="269">
        <f>SUM(I147)</f>
        <v>1255.1733400000001</v>
      </c>
      <c r="J185" s="276"/>
      <c r="K185" s="271"/>
      <c r="L185" s="269">
        <f>SUM(L147)</f>
        <v>1336.7211187574665</v>
      </c>
      <c r="M185" s="270"/>
      <c r="N185" s="269">
        <f>SUM(N147)</f>
        <v>1396.8021189769413</v>
      </c>
      <c r="O185" s="272"/>
      <c r="P185" s="276">
        <f>SUM(P147)</f>
        <v>1470.0476900000001</v>
      </c>
      <c r="Q185" s="273"/>
      <c r="R185" s="276">
        <f>SUM(R147)</f>
        <v>1640.8960900000002</v>
      </c>
      <c r="S185" s="175"/>
      <c r="T185" s="276">
        <f>SUM(T147)</f>
        <v>1765.7096300000001</v>
      </c>
      <c r="U185" s="273"/>
      <c r="V185" s="270">
        <f>SUM(V147)</f>
        <v>1655.63895</v>
      </c>
      <c r="W185" s="273"/>
      <c r="X185" s="342">
        <f>SUM(X147)</f>
        <v>1891.7815198947171</v>
      </c>
      <c r="Y185" s="273"/>
      <c r="Z185" s="342">
        <f>SUM(Z147)</f>
        <v>2079.3984473092009</v>
      </c>
      <c r="AA185" s="342">
        <f>SUM(AA147)</f>
        <v>2270.1494641187687</v>
      </c>
      <c r="AB185" s="342">
        <f>SUM(AB147)</f>
        <v>2475.796763686285</v>
      </c>
      <c r="AC185" s="342">
        <f>SUM(AC147)</f>
        <v>2675.8302762101484</v>
      </c>
      <c r="AE185" s="145"/>
    </row>
    <row r="186" spans="1:31" x14ac:dyDescent="0.3">
      <c r="A186" s="147" t="s">
        <v>114</v>
      </c>
      <c r="B186" s="27"/>
      <c r="C186" s="269">
        <f>SUM(C165)</f>
        <v>1651.2090986008304</v>
      </c>
      <c r="D186" s="15"/>
      <c r="E186" s="269">
        <f>SUM(E165)</f>
        <v>1791.0314800000001</v>
      </c>
      <c r="F186" s="15"/>
      <c r="G186" s="269">
        <f>SUM(G165)</f>
        <v>2030.6547399999999</v>
      </c>
      <c r="H186" s="3"/>
      <c r="I186" s="269">
        <f>SUM(I165)</f>
        <v>2137.1771711399883</v>
      </c>
      <c r="J186" s="276"/>
      <c r="K186" s="271"/>
      <c r="L186" s="269">
        <f>SUM(L165)</f>
        <v>2378.8604999999998</v>
      </c>
      <c r="M186" s="270"/>
      <c r="N186" s="269">
        <f>SUM(N165)</f>
        <v>2651</v>
      </c>
      <c r="O186" s="276"/>
      <c r="P186" s="276">
        <f>SUM(P165)</f>
        <v>3184.1441200000004</v>
      </c>
      <c r="Q186" s="175"/>
      <c r="R186" s="276">
        <f>SUM(R165)</f>
        <v>3678.2691199999999</v>
      </c>
      <c r="S186" s="175"/>
      <c r="T186" s="276">
        <f>SUM(T165)</f>
        <v>4412.0574500000002</v>
      </c>
      <c r="U186" s="273"/>
      <c r="V186" s="270">
        <f>SUM(V165)</f>
        <v>4225.4404299999997</v>
      </c>
      <c r="W186" s="273"/>
      <c r="X186" s="342">
        <f>SUM(X165)</f>
        <v>4631.5051251893237</v>
      </c>
      <c r="Y186" s="273"/>
      <c r="Z186" s="342">
        <f>SUM(Z165)</f>
        <v>4900.6281135910012</v>
      </c>
      <c r="AA186" s="342">
        <f>SUM(AA165)</f>
        <v>5139.3882285432419</v>
      </c>
      <c r="AB186" s="342">
        <f>SUM(AB165)</f>
        <v>5413.0156528983625</v>
      </c>
      <c r="AC186" s="342">
        <f>SUM(AC165)</f>
        <v>5674.9727882023399</v>
      </c>
      <c r="AE186" s="145"/>
    </row>
    <row r="187" spans="1:31" x14ac:dyDescent="0.3">
      <c r="A187" s="56" t="s">
        <v>43</v>
      </c>
      <c r="B187" s="27"/>
      <c r="C187" s="178">
        <v>0</v>
      </c>
      <c r="D187" s="15"/>
      <c r="E187" s="178">
        <v>0</v>
      </c>
      <c r="F187" s="15"/>
      <c r="G187" s="178">
        <v>0</v>
      </c>
      <c r="H187" s="3"/>
      <c r="I187" s="178">
        <v>0</v>
      </c>
      <c r="J187" s="179"/>
      <c r="K187" s="180"/>
      <c r="L187" s="178">
        <v>0</v>
      </c>
      <c r="M187" s="181"/>
      <c r="N187" s="178">
        <v>0</v>
      </c>
      <c r="O187" s="181"/>
      <c r="P187" s="179">
        <v>0</v>
      </c>
      <c r="Q187" s="180"/>
      <c r="R187" s="179">
        <v>0</v>
      </c>
      <c r="S187" s="175"/>
      <c r="T187" s="179">
        <v>0</v>
      </c>
      <c r="U187" s="273"/>
      <c r="V187" s="181">
        <v>0</v>
      </c>
      <c r="W187" s="273"/>
      <c r="X187" s="338">
        <v>0</v>
      </c>
      <c r="Y187" s="273"/>
      <c r="Z187" s="338">
        <v>0</v>
      </c>
      <c r="AA187" s="338">
        <v>0</v>
      </c>
      <c r="AB187" s="338">
        <v>0</v>
      </c>
      <c r="AC187" s="338">
        <v>0</v>
      </c>
      <c r="AE187" s="144"/>
    </row>
    <row r="188" spans="1:31" x14ac:dyDescent="0.3">
      <c r="A188" s="147" t="s">
        <v>111</v>
      </c>
      <c r="B188" s="27"/>
      <c r="C188" s="269"/>
      <c r="D188" s="15"/>
      <c r="E188" s="269"/>
      <c r="F188" s="15"/>
      <c r="G188" s="269"/>
      <c r="H188" s="3"/>
      <c r="I188" s="269"/>
      <c r="J188" s="270"/>
      <c r="K188" s="271"/>
      <c r="L188" s="269"/>
      <c r="M188" s="270"/>
      <c r="N188" s="269"/>
      <c r="O188" s="270"/>
      <c r="P188" s="276"/>
      <c r="Q188" s="271"/>
      <c r="R188" s="276"/>
      <c r="S188" s="175"/>
      <c r="T188" s="272"/>
      <c r="U188" s="271"/>
      <c r="V188" s="342"/>
      <c r="W188" s="271"/>
      <c r="X188" s="342"/>
      <c r="Y188" s="271"/>
      <c r="Z188" s="342"/>
      <c r="AA188" s="342"/>
      <c r="AB188" s="342"/>
      <c r="AC188" s="342"/>
      <c r="AE188" s="27"/>
    </row>
    <row r="189" spans="1:31" x14ac:dyDescent="0.3">
      <c r="A189" s="56"/>
      <c r="B189" s="27"/>
      <c r="C189" s="178">
        <f>SUM(C184:C186)</f>
        <v>4296.9167389914646</v>
      </c>
      <c r="D189" s="15"/>
      <c r="E189" s="178">
        <f>SUM(E184:E186)</f>
        <v>4586.8651781554108</v>
      </c>
      <c r="F189" s="15"/>
      <c r="G189" s="178">
        <f t="shared" ref="G189:I189" si="108">SUM(G184:G186)</f>
        <v>5381.658967623669</v>
      </c>
      <c r="H189" s="3"/>
      <c r="I189" s="178">
        <f t="shared" si="108"/>
        <v>5836.652431139988</v>
      </c>
      <c r="J189" s="181"/>
      <c r="K189" s="180"/>
      <c r="L189" s="178">
        <f t="shared" ref="L189:AC189" si="109">SUM(L184:L186)</f>
        <v>6656.9436187574665</v>
      </c>
      <c r="M189" s="181"/>
      <c r="N189" s="178">
        <f t="shared" ref="N189" si="110">SUM(N184:N186)</f>
        <v>6826.5169189769413</v>
      </c>
      <c r="O189" s="181"/>
      <c r="P189" s="179">
        <f t="shared" si="109"/>
        <v>7377.2878482527303</v>
      </c>
      <c r="Q189" s="180"/>
      <c r="R189" s="179">
        <f>SUM(R184:R186)</f>
        <v>8337.9596247768241</v>
      </c>
      <c r="S189" s="175"/>
      <c r="T189" s="179">
        <f>SUM(T184:T186)</f>
        <v>9536.0529500000011</v>
      </c>
      <c r="U189" s="273"/>
      <c r="V189" s="338">
        <f>SUM(V184:V186)</f>
        <v>9725.0757830509829</v>
      </c>
      <c r="W189" s="273"/>
      <c r="X189" s="338">
        <f t="shared" si="109"/>
        <v>10942.035083921366</v>
      </c>
      <c r="Y189" s="273"/>
      <c r="Z189" s="338">
        <f t="shared" si="109"/>
        <v>11855.839772119563</v>
      </c>
      <c r="AA189" s="338">
        <f t="shared" si="109"/>
        <v>12750.035138455398</v>
      </c>
      <c r="AB189" s="338">
        <f t="shared" si="109"/>
        <v>13730.564541475065</v>
      </c>
      <c r="AC189" s="338">
        <f t="shared" si="109"/>
        <v>14679.892404641098</v>
      </c>
    </row>
    <row r="190" spans="1:31" x14ac:dyDescent="0.3">
      <c r="A190" s="56" t="s">
        <v>115</v>
      </c>
      <c r="B190" s="27"/>
      <c r="C190" s="269"/>
      <c r="D190" s="15"/>
      <c r="E190" s="269"/>
      <c r="F190" s="15"/>
      <c r="G190" s="269"/>
      <c r="H190" s="3"/>
      <c r="I190" s="269"/>
      <c r="J190" s="270"/>
      <c r="K190" s="271"/>
      <c r="L190" s="275"/>
      <c r="M190" s="270"/>
      <c r="N190" s="277"/>
      <c r="O190" s="270"/>
      <c r="P190" s="297"/>
      <c r="Q190" s="271"/>
      <c r="R190" s="297"/>
      <c r="S190" s="175"/>
      <c r="T190" s="270"/>
      <c r="U190" s="271"/>
      <c r="V190" s="368"/>
      <c r="W190" s="271"/>
      <c r="X190" s="342"/>
      <c r="Y190" s="271"/>
      <c r="Z190" s="342"/>
      <c r="AA190" s="342"/>
      <c r="AB190" s="342"/>
      <c r="AC190" s="342"/>
    </row>
    <row r="191" spans="1:31" ht="15" thickBot="1" x14ac:dyDescent="0.35">
      <c r="A191" s="56"/>
      <c r="B191" s="27"/>
      <c r="C191" s="112">
        <f>SUM(C181+C189)</f>
        <v>23237.643218698864</v>
      </c>
      <c r="D191" s="15"/>
      <c r="E191" s="112">
        <f>SUM(E181+E189)</f>
        <v>25765.236066835983</v>
      </c>
      <c r="F191" s="15"/>
      <c r="G191" s="112">
        <f>SUM(G181+G189)</f>
        <v>27849.381538943788</v>
      </c>
      <c r="H191" s="3"/>
      <c r="I191" s="112">
        <f>SUM(I181+I189)</f>
        <v>31059.193789503879</v>
      </c>
      <c r="J191" s="113"/>
      <c r="K191" s="114"/>
      <c r="L191" s="112">
        <f>SUM(L181+L189)</f>
        <v>34378.781600945462</v>
      </c>
      <c r="M191" s="113"/>
      <c r="N191" s="282">
        <f>SUM(N181+N189)</f>
        <v>36324.24510707947</v>
      </c>
      <c r="O191" s="113"/>
      <c r="P191" s="141">
        <f>SUM(P181+P189)</f>
        <v>38006.714318933009</v>
      </c>
      <c r="Q191" s="114"/>
      <c r="R191" s="141">
        <f>SUM(R181+R189)</f>
        <v>41941.570899438826</v>
      </c>
      <c r="S191" s="175"/>
      <c r="T191" s="141">
        <f>SUM(T181+T189)</f>
        <v>43260.453030000004</v>
      </c>
      <c r="U191" s="273"/>
      <c r="V191" s="392">
        <f>SUM(V181+V189)</f>
        <v>45343.987433434602</v>
      </c>
      <c r="W191" s="446"/>
      <c r="X191" s="392">
        <f>SUM(X181+X189)</f>
        <v>46911.930172784865</v>
      </c>
      <c r="Y191" s="446"/>
      <c r="Z191" s="392">
        <f>SUM(Z181+Z189)</f>
        <v>49889.040346606533</v>
      </c>
      <c r="AA191" s="392">
        <f>SUM(AA181+AA189)</f>
        <v>53835.13557917338</v>
      </c>
      <c r="AB191" s="392">
        <f>SUM(AB181+AB189)</f>
        <v>57625.20517523415</v>
      </c>
      <c r="AC191" s="392">
        <f>SUM(AC181+AC189)</f>
        <v>62139.163640246064</v>
      </c>
    </row>
    <row r="192" spans="1:31" ht="15" thickTop="1" x14ac:dyDescent="0.3">
      <c r="A192" s="56"/>
      <c r="B192" s="27"/>
      <c r="C192" s="283"/>
      <c r="D192" s="15"/>
      <c r="E192" s="284"/>
      <c r="F192" s="15"/>
      <c r="G192" s="285"/>
      <c r="H192" s="3"/>
      <c r="I192" s="285"/>
      <c r="J192" s="285"/>
      <c r="K192" s="286"/>
      <c r="L192" s="285"/>
      <c r="M192" s="285"/>
      <c r="N192" s="285"/>
      <c r="O192" s="285"/>
      <c r="P192" s="285"/>
      <c r="Q192" s="286"/>
      <c r="R192" s="285"/>
      <c r="S192" s="175"/>
      <c r="T192" s="285"/>
      <c r="U192" s="286"/>
      <c r="V192" s="285"/>
      <c r="W192" s="286"/>
      <c r="X192" s="285"/>
      <c r="Y192" s="286"/>
      <c r="Z192" s="285"/>
      <c r="AA192" s="285"/>
      <c r="AB192" s="285"/>
      <c r="AC192" s="285"/>
    </row>
    <row r="193" spans="1:29" x14ac:dyDescent="0.3">
      <c r="A193" s="25"/>
      <c r="B193" s="287"/>
      <c r="C193" s="288" t="e">
        <f>SUM(C191-#REF!)</f>
        <v>#REF!</v>
      </c>
      <c r="D193" s="18"/>
      <c r="E193" s="289">
        <f>SUM(E191-C191)</f>
        <v>2527.5928481371193</v>
      </c>
      <c r="F193" s="18"/>
      <c r="G193" s="289">
        <f>SUM(G191-E191)</f>
        <v>2084.1454721078044</v>
      </c>
      <c r="H193" s="6"/>
      <c r="I193" s="289">
        <f>SUM(I191-G191)</f>
        <v>3209.8122505600913</v>
      </c>
      <c r="J193" s="289"/>
      <c r="K193" s="290"/>
      <c r="L193" s="289">
        <f>SUM(L191-I191)</f>
        <v>3319.5878114415827</v>
      </c>
      <c r="M193" s="289"/>
      <c r="N193" s="289">
        <f>SUM(N191-L191)</f>
        <v>1945.4635061340086</v>
      </c>
      <c r="O193" s="289"/>
      <c r="P193" s="289">
        <f>SUM(P191-N191)</f>
        <v>1682.4692118535386</v>
      </c>
      <c r="Q193" s="290"/>
      <c r="R193" s="289">
        <f>SUM(R191-P191)</f>
        <v>3934.856580505817</v>
      </c>
      <c r="S193" s="175"/>
      <c r="T193" s="289">
        <f>SUM(T191-R191)</f>
        <v>1318.8821305611782</v>
      </c>
      <c r="U193" s="175"/>
      <c r="V193" s="289">
        <f>SUM(V191-T191)</f>
        <v>2083.5344034345981</v>
      </c>
      <c r="W193" s="175"/>
      <c r="X193" s="289">
        <f>SUM(X191-V191)</f>
        <v>1567.9427393502629</v>
      </c>
      <c r="Y193" s="175"/>
      <c r="Z193" s="289">
        <f>SUM(Z191-X191)</f>
        <v>2977.1101738216676</v>
      </c>
      <c r="AA193" s="289">
        <f>SUM(AA191-Z191)</f>
        <v>3946.0952325668477</v>
      </c>
      <c r="AB193" s="289">
        <f>SUM(AB191-AA191)</f>
        <v>3790.06959606077</v>
      </c>
      <c r="AC193" s="289">
        <f>SUM(AC191-AB191)</f>
        <v>4513.9584650119141</v>
      </c>
    </row>
    <row r="194" spans="1:29" x14ac:dyDescent="0.3">
      <c r="G194" s="11"/>
      <c r="I194" s="11"/>
      <c r="J194" s="11"/>
      <c r="K194" s="291"/>
      <c r="L194" s="11"/>
      <c r="M194" s="11"/>
      <c r="N194" s="11"/>
      <c r="O194" s="11"/>
      <c r="P194" s="11"/>
      <c r="Q194" s="291"/>
      <c r="S194" s="12"/>
      <c r="U194" s="12"/>
      <c r="W194" s="12"/>
      <c r="Y194" s="12"/>
    </row>
    <row r="195" spans="1:29" x14ac:dyDescent="0.3">
      <c r="L195" s="10">
        <f>(L191-I191)/I191</f>
        <v>0.10687939403512148</v>
      </c>
      <c r="N195" s="10">
        <f>(N191-L191)/L191</f>
        <v>5.6589076620461323E-2</v>
      </c>
      <c r="P195" s="10">
        <f>(P191-N191)/N191</f>
        <v>4.631807782636152E-2</v>
      </c>
      <c r="R195" s="10">
        <f>(R191-P191)/P191</f>
        <v>0.10353056429678457</v>
      </c>
      <c r="T195" s="10">
        <f>(T191-R191)/R191</f>
        <v>3.1445701776964791E-2</v>
      </c>
      <c r="U195" s="10"/>
      <c r="V195" s="10">
        <f>(V191-T191)/T191</f>
        <v>4.8162565518898311E-2</v>
      </c>
      <c r="W195" s="10"/>
      <c r="X195" s="10">
        <f>(X191-V191)/V191</f>
        <v>3.4578845577972549E-2</v>
      </c>
      <c r="Y195" s="10"/>
      <c r="Z195" s="10">
        <f>(Z191-X191)/X191</f>
        <v>6.3461685819714703E-2</v>
      </c>
      <c r="AA195" s="10">
        <f>(AA191-Z191)/Z191</f>
        <v>7.9097437135514315E-2</v>
      </c>
      <c r="AB195" s="10">
        <f>(AB191-AA191)/AA191</f>
        <v>7.0401412670111185E-2</v>
      </c>
      <c r="AC195" s="10">
        <f>(AC191-AB191)/AB191</f>
        <v>7.8333056711647059E-2</v>
      </c>
    </row>
    <row r="232" spans="20:22" x14ac:dyDescent="0.3">
      <c r="T232" s="354"/>
      <c r="V232" s="354"/>
    </row>
    <row r="233" spans="20:22" x14ac:dyDescent="0.3">
      <c r="T233" s="354"/>
      <c r="V233" s="354"/>
    </row>
    <row r="234" spans="20:22" x14ac:dyDescent="0.3">
      <c r="T234" s="354"/>
      <c r="V234" s="354"/>
    </row>
    <row r="236" spans="20:22" x14ac:dyDescent="0.3">
      <c r="T236" s="357"/>
      <c r="V236" s="357"/>
    </row>
  </sheetData>
  <pageMargins left="0.7" right="0.7" top="0.75" bottom="0.75" header="0.3" footer="0.3"/>
  <pageSetup paperSize="5" scale="60" fitToHeight="0" orientation="landscape" r:id="rId1"/>
  <rowBreaks count="4" manualBreakCount="4">
    <brk id="33" max="16383" man="1"/>
    <brk id="76" max="16383" man="1"/>
    <brk id="113" max="16383" man="1"/>
    <brk id="148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35FAFBF-97D0-4AEE-8A87-167D9776C42C}"/>
</file>

<file path=customXml/itemProps2.xml><?xml version="1.0" encoding="utf-8"?>
<ds:datastoreItem xmlns:ds="http://schemas.openxmlformats.org/officeDocument/2006/customXml" ds:itemID="{14909FD9-E30D-4BBC-85EC-7E24CD4314A8}"/>
</file>

<file path=customXml/itemProps3.xml><?xml version="1.0" encoding="utf-8"?>
<ds:datastoreItem xmlns:ds="http://schemas.openxmlformats.org/officeDocument/2006/customXml" ds:itemID="{A5F7D145-CE66-4BD1-98E2-04AC2EE13382}"/>
</file>

<file path=customXml/itemProps4.xml><?xml version="1.0" encoding="utf-8"?>
<ds:datastoreItem xmlns:ds="http://schemas.openxmlformats.org/officeDocument/2006/customXml" ds:itemID="{C1F561D6-8381-4C55-B20D-D1FA03E75A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Revision 08.20.20 minus %</vt:lpstr>
      <vt:lpstr>Revision 08.20.20</vt:lpstr>
      <vt:lpstr>Compare 08.20.20</vt:lpstr>
      <vt:lpstr>Revision 07.06.20</vt:lpstr>
      <vt:lpstr>Compare 07.06.20</vt:lpstr>
      <vt:lpstr>Revision 06.16.20</vt:lpstr>
      <vt:lpstr>Revision 04.23.20</vt:lpstr>
      <vt:lpstr>Compare 6.16.20</vt:lpstr>
      <vt:lpstr>Revision 12.10.19</vt:lpstr>
      <vt:lpstr>Revision 11.20.19</vt:lpstr>
      <vt:lpstr>Comparison 12.10.19 w.$763k adj</vt:lpstr>
      <vt:lpstr>Comparison 12.10.19</vt:lpstr>
      <vt:lpstr>Revision 11.01.19</vt:lpstr>
      <vt:lpstr>Revision 07.17.19</vt:lpstr>
      <vt:lpstr>Revision 06.01.19 </vt:lpstr>
      <vt:lpstr>Comparison 06.01.19</vt:lpstr>
      <vt:lpstr>Revision 05.01.19</vt:lpstr>
      <vt:lpstr>Comparison 05.01.19</vt:lpstr>
      <vt:lpstr>Revision 01.10.19</vt:lpstr>
      <vt:lpstr>'Revision 08.20.20 minus %'!Print_Area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2020-10-06T13:27:20Z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